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c26aeee6f08e21e/MEng/KwanLab/cFosProject2/Data/lightsheetV2/"/>
    </mc:Choice>
  </mc:AlternateContent>
  <xr:revisionPtr revIDLastSave="35" documentId="11_466273B860A003236DCBEF25908E6CE2BF1482C2" xr6:coauthVersionLast="47" xr6:coauthVersionMax="47" xr10:uidLastSave="{B249C500-3AEE-40B3-B2A2-80903C653D5A}"/>
  <bookViews>
    <workbookView xWindow="1764" yWindow="516" windowWidth="12084" windowHeight="16476" activeTab="2" xr2:uid="{00000000-000D-0000-FFFF-FFFF00000000}"/>
  </bookViews>
  <sheets>
    <sheet name="Cell Counts" sheetId="1" r:id="rId1"/>
    <sheet name="Density" sheetId="2" r:id="rId2"/>
    <sheet name="Raw Data" sheetId="3" r:id="rId3"/>
  </sheets>
  <definedNames>
    <definedName name="_xlnm._FilterDatabase" localSheetId="2" hidden="1">'Raw Data'!$A$1:$D$242</definedName>
    <definedName name="Z_5B60A9D9_7B95_4E78_AE9E_014FF8DB45B4_.wvu.FilterData" localSheetId="2" hidden="1">'Raw Data'!#REF!</definedName>
  </definedNames>
  <calcPr calcId="191029"/>
  <customWorkbookViews>
    <customWorkbookView name="Filter 1" guid="{5B60A9D9-7B95-4E78-AE9E-014FF8DB45B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<sst xmlns="http://schemas.openxmlformats.org/spreadsheetml/2006/main" count="90" uniqueCount="86">
  <si>
    <t>Search: 
(blank space to display all)</t>
  </si>
  <si>
    <t xml:space="preserve"> </t>
  </si>
  <si>
    <t>Depth Level Display:</t>
  </si>
  <si>
    <t>View By:</t>
  </si>
  <si>
    <t>Sample</t>
  </si>
  <si>
    <t>Group</t>
  </si>
  <si>
    <t>Region</t>
  </si>
  <si>
    <t>Displayed?</t>
  </si>
  <si>
    <t>parent_structure_id</t>
  </si>
  <si>
    <t>depth</t>
  </si>
  <si>
    <t>AlKw_52022_PSI_M_1 count</t>
  </si>
  <si>
    <t>AlKw_52022_PSI_F_4 count</t>
  </si>
  <si>
    <t>AlKw_SAL_F__3_NeuN_cFos count</t>
  </si>
  <si>
    <t>AlKw_PSI_M__2_NeuN_cFos count</t>
  </si>
  <si>
    <t>AlKw_SAL_M__2_NeuN_cFos count</t>
  </si>
  <si>
    <t>AlKw_SAL_M__1_NeuN_cFos count</t>
  </si>
  <si>
    <t>AlKw_SAL_F__4_NeuN_cFos count</t>
  </si>
  <si>
    <t>AlKw_PSI_F__3_NeuN_cFos count</t>
  </si>
  <si>
    <t>AVERAGE count 6DET_F</t>
  </si>
  <si>
    <t>AVERAGE count 6DET_M</t>
  </si>
  <si>
    <t>AVERAGE count A-SSRI_F</t>
  </si>
  <si>
    <t>AVERAGE count A-SSRI_M</t>
  </si>
  <si>
    <t>AVERAGE count C-SSRI_F</t>
  </si>
  <si>
    <t>AVERAGE count C-SSRI_M</t>
  </si>
  <si>
    <t>AVERAGE count DMT_F</t>
  </si>
  <si>
    <t>AVERAGE count DMT_M</t>
  </si>
  <si>
    <t>AVERAGE count PSI_F</t>
  </si>
  <si>
    <t>AVERAGE count PSI_M</t>
  </si>
  <si>
    <t>AVERAGE count SAL_F</t>
  </si>
  <si>
    <t>AVERAGE count SAL_M</t>
  </si>
  <si>
    <t>AVERAGE count All Samples</t>
  </si>
  <si>
    <t>AlKw_52022_C-SSRI_M_2 density (cells/mm^3)</t>
  </si>
  <si>
    <t>AlKw_52022_A-SSRI_M_3 density (cells/mm^3)</t>
  </si>
  <si>
    <t>AlKw_52022_DMT_M_2 density (cells/mm^3)</t>
  </si>
  <si>
    <t>AlKw_52022_A-SSRI_M_2 density (cells/mm^3)</t>
  </si>
  <si>
    <t>AlKw_52022_DMT_M_1 density (cells/mm^3)</t>
  </si>
  <si>
    <t>AlKw_52022_PSI_M_1 density (cells/mm^3)</t>
  </si>
  <si>
    <t>AlKw_52022_C-SSRI_F_6 density (cells/mm^3)</t>
  </si>
  <si>
    <t>AlKw_52022_C-SSRI_F_8 density (cells/mm^3)</t>
  </si>
  <si>
    <t>AlKw_52022_C-SSRI_M_3 density (cells/mm^3)</t>
  </si>
  <si>
    <t>AlKw_52022_A-SSRI_F_7 density (cells/mm^3)</t>
  </si>
  <si>
    <t>AlKw_52022_DMT_F_5 density (cells/mm^3)</t>
  </si>
  <si>
    <t>AlKw_52022_PSI_F_4 density (cells/mm^3)</t>
  </si>
  <si>
    <t>AlKw_52022_6FDET_M_2 density (cells/mm^3)</t>
  </si>
  <si>
    <t>AlKw_52022_A_SSRI_M_4 density (cells/mm^3)</t>
  </si>
  <si>
    <t>AlKw_52022_C_SSRI_F_5 density (cells/mm^3)</t>
  </si>
  <si>
    <t>AlKw_52022_C_SSRI_F_7 density (cells/mm^3)</t>
  </si>
  <si>
    <t>AlKw_52022_C_SSRI_M_4 density (cells/mm^3)</t>
  </si>
  <si>
    <t>AlKw_52022_C_SSRI_M_1 density (cells/mm^3)</t>
  </si>
  <si>
    <t>AlKw_SAL_F__3_NeuN_cFos density (cells/mm^3)</t>
  </si>
  <si>
    <t>AlKw_PSI_M__2_NeuN_cFos density (cells/mm^3)</t>
  </si>
  <si>
    <t>AlKw_A_SSRI_F__6_NeuN_cFos density (cells/mm^3)</t>
  </si>
  <si>
    <t>AlKw_6DET_M__8_NeuN_cFOS density (cells/mm^3)</t>
  </si>
  <si>
    <t>AlKw_DMT_M__3_NeuN_cFos density (cells/mm^3)</t>
  </si>
  <si>
    <t>AlKw_DMT_F__8_NeuN_cFos density (cells/mm^3)</t>
  </si>
  <si>
    <t>AlKw_DMT_F__7_NeuN_cFos density (cells/mm^3)</t>
  </si>
  <si>
    <t>AlKw_A_SSRI_F__5_NeuN_cFos density (cells/mm^3)</t>
  </si>
  <si>
    <t>AlKw_6DET_F__6_NeuN_cFos density (cells/mm^3)</t>
  </si>
  <si>
    <t>AlKw_SAL_M__2_NeuN_cFos density (cells/mm^3)</t>
  </si>
  <si>
    <t>AlKw_6DET_F__7_NeuN_cFos density (cells/mm^3)</t>
  </si>
  <si>
    <t>AlKw_SAL_M__1_NeuN_cFos density (cells/mm^3)</t>
  </si>
  <si>
    <t>AlKw_6DET_F__5_NeuN_cFos density (cells/mm^3)</t>
  </si>
  <si>
    <t>AlKw_A_SSRI_F__8_NeuN_cFos density (cells/mm^3)</t>
  </si>
  <si>
    <t>AlKw_DMT_F__6_NeuN_cFos density (cells/mm^3)</t>
  </si>
  <si>
    <t>AlKw_DMT_M__4_NeuN_cFos density (cells/mm^3)</t>
  </si>
  <si>
    <t>AlKw_A_SSRI_M__1_NeuN_cFos density (cells/mm^3)</t>
  </si>
  <si>
    <t>AlKw_SAL_F__4_NeuN_cFos density (cells/mm^3)</t>
  </si>
  <si>
    <t>AlKw_PSI_F__3_NeuN_cFos density (cells/mm^3)</t>
  </si>
  <si>
    <t>AlKw_6DET_F__4_NeuN_cFos density (cells/mm^3)</t>
  </si>
  <si>
    <t>AlKw_6DET_M__3_NeuN_cFos density (cells/mm^3)</t>
  </si>
  <si>
    <t>AlKw_6DET_M_ 1_NeuN_cFos density (cells/mm^3)</t>
  </si>
  <si>
    <t>AVERAGE density (cells/mm^3) 6DET_F</t>
  </si>
  <si>
    <t>AVERAGE density (cells/mm^3) 6DET_M</t>
  </si>
  <si>
    <t>AVERAGE density (cells/mm^3) A-SSRI_F</t>
  </si>
  <si>
    <t>AVERAGE density (cells/mm^3) A-SSRI_M</t>
  </si>
  <si>
    <t>AVERAGE density (cells/mm^3) C-SSRI_F</t>
  </si>
  <si>
    <t>AVERAGE density (cells/mm^3) C-SSRI_M</t>
  </si>
  <si>
    <t>AVERAGE density (cells/mm^3) DMT_F</t>
  </si>
  <si>
    <t>AVERAGE density (cells/mm^3) DMT_M</t>
  </si>
  <si>
    <t>AVERAGE density (cells/mm^3) PSI_F</t>
  </si>
  <si>
    <t>AVERAGE density (cells/mm^3) PSI_M</t>
  </si>
  <si>
    <t>AVERAGE density (cells/mm^3) SAL_F</t>
  </si>
  <si>
    <t>AVERAGE density (cells/mm^3) SAL_M</t>
  </si>
  <si>
    <t>AVERAGE density (cells/mm^3) All Samples</t>
  </si>
  <si>
    <t xml:space="preserve">                  left Dorsal nucleus raphe</t>
  </si>
  <si>
    <t xml:space="preserve">                  right Dorsal nucleus raphe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</si>
</sst>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1" fillId="2" borderId="1" xfId="0" applyNumberFormat="1" applyFont="1" applyFill="1" applyBorder="1" applyAlignment="1">
      <alignment horizontal="right" wrapText="1"/>
    </xf>
    <xf numFmtId="3" fontId="2" fillId="3" borderId="2" xfId="0" applyNumberFormat="1" applyFont="1" applyFill="1" applyBorder="1" applyAlignment="1">
      <alignment wrapText="1"/>
    </xf>
    <xf numFmtId="3" fontId="1" fillId="4" borderId="0" xfId="0" applyNumberFormat="1" applyFont="1" applyFill="1" applyAlignment="1">
      <alignment wrapText="1"/>
    </xf>
    <xf numFmtId="3" fontId="1" fillId="4" borderId="2" xfId="0" applyNumberFormat="1" applyFont="1" applyFill="1" applyBorder="1" applyAlignment="1">
      <alignment wrapText="1"/>
    </xf>
    <xf numFmtId="3" fontId="1" fillId="5" borderId="0" xfId="0" applyNumberFormat="1" applyFont="1" applyFill="1" applyAlignment="1">
      <alignment wrapText="1"/>
    </xf>
    <xf numFmtId="3" fontId="1" fillId="5" borderId="2" xfId="0" applyNumberFormat="1" applyFont="1" applyFill="1" applyBorder="1" applyAlignment="1">
      <alignment wrapText="1"/>
    </xf>
    <xf numFmtId="3" fontId="2" fillId="0" borderId="0" xfId="0" applyNumberFormat="1" applyFont="1" applyAlignment="1">
      <alignment wrapText="1"/>
    </xf>
    <xf numFmtId="3" fontId="3" fillId="0" borderId="0" xfId="0" applyNumberFormat="1" applyFont="1"/>
    <xf numFmtId="0" fontId="3" fillId="0" borderId="0" xfId="0" applyFont="1"/>
    <xf numFmtId="3" fontId="1" fillId="0" borderId="0" xfId="0" applyNumberFormat="1" applyFont="1" applyAlignment="1">
      <alignment wrapText="1"/>
    </xf>
    <xf numFmtId="3" fontId="2" fillId="2" borderId="0" xfId="0" applyNumberFormat="1" applyFont="1" applyFill="1"/>
    <xf numFmtId="3" fontId="2" fillId="0" borderId="0" xfId="0" applyNumberFormat="1" applyFont="1"/>
    <xf numFmtId="164" fontId="4" fillId="0" borderId="2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5" fillId="6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/>
    <xf numFmtId="164" fontId="3" fillId="0" borderId="3" xfId="0" applyNumberFormat="1" applyFont="1" applyBorder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/>
    <xf numFmtId="164" fontId="7" fillId="6" borderId="0" xfId="0" applyNumberFormat="1" applyFont="1" applyFill="1"/>
    <xf numFmtId="164" fontId="7" fillId="7" borderId="0" xfId="0" applyNumberFormat="1" applyFont="1" applyFill="1"/>
    <xf numFmtId="164" fontId="7" fillId="7" borderId="0" xfId="0" applyNumberFormat="1" applyFont="1" applyFill="1" applyAlignment="1">
      <alignment horizontal="right"/>
    </xf>
    <xf numFmtId="164" fontId="8" fillId="7" borderId="0" xfId="0" applyNumberFormat="1" applyFont="1" applyFill="1" applyAlignment="1">
      <alignment horizontal="right"/>
    </xf>
    <xf numFmtId="164" fontId="2" fillId="7" borderId="0" xfId="0" applyNumberFormat="1" applyFont="1" applyFill="1"/>
    <xf numFmtId="164" fontId="3" fillId="7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2177"/>
  <sheetViews>
    <sheetView workbookViewId="0">
      <pane ySplit="2" topLeftCell="A3" activePane="bottomLeft" state="frozen"/>
      <selection pane="bottomLeft" activeCell="X2" sqref="X2"/>
    </sheetView>
  </sheetViews>
  <sheetFormatPr defaultColWidth="12.6640625" defaultRowHeight="15.75" customHeight="1" x14ac:dyDescent="0.25"/>
  <cols>
    <col min="1" max="1" width="50.44140625" customWidth="1"/>
  </cols>
  <sheetData>
    <row r="1" spans="1:51" ht="26.4" x14ac:dyDescent="0.25">
      <c r="A1" s="1" t="s">
        <v>0</v>
      </c>
      <c r="B1" s="2" t="s">
        <v>1</v>
      </c>
      <c r="C1" s="3" t="s">
        <v>2</v>
      </c>
      <c r="D1" s="4"/>
      <c r="E1" s="5" t="s">
        <v>3</v>
      </c>
      <c r="F1" s="6" t="s">
        <v>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Z1" s="7"/>
      <c r="AA1" s="7"/>
      <c r="AB1" s="7"/>
      <c r="AF1" s="8"/>
      <c r="AG1" s="8"/>
      <c r="AH1" s="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39.6" x14ac:dyDescent="0.25">
      <c r="A2" s="10" t="str">
        <f ca="1">IFERROR(__xludf.DUMMYFUNCTION("IF(F1=""Sample"",QUERY('Raw Data'!1:1679,""Select A,F,G,H,I,J,K,L,M,N,O,P,Q,R,S,T,U,V,W,X,Y,Z,AA,AB,AC,AD,AE,AF,AG,AH,AI,AJ,AK,AL,AM,AN,AO,AP,AQ,AR,AS where  (LOWER(A) contains LOWER('""&amp;B1&amp;""')) and B='Y' and D&lt;=""&amp;D1 ,1), QUERY('Raw Data'!1:1679,""Selec"&amp;"t A,AT,AU,AV,AW,AX,AY,AZ,BA,BB,BC,BD,BE,BF where  (LOWER(A) contains LOWER('""&amp;B1&amp;""')) and  B='Y' and D&lt;=""&amp;D1 ,1))"),"Region")</f>
        <v>Region</v>
      </c>
      <c r="B2" s="7" t="str">
        <f ca="1">IFERROR(__xludf.DUMMYFUNCTION("""COMPUTED_VALUE"""),"AlKw_52022_C-SSRI_M_2 count")</f>
        <v>AlKw_52022_C-SSRI_M_2 count</v>
      </c>
      <c r="C2" s="7" t="str">
        <f ca="1">IFERROR(__xludf.DUMMYFUNCTION("""COMPUTED_VALUE"""),"AlKw_52022_A-SSRI_M_3 count")</f>
        <v>AlKw_52022_A-SSRI_M_3 count</v>
      </c>
      <c r="D2" s="7" t="str">
        <f ca="1">IFERROR(__xludf.DUMMYFUNCTION("""COMPUTED_VALUE"""),"AlKw_52022_DMT_M_2 count")</f>
        <v>AlKw_52022_DMT_M_2 count</v>
      </c>
      <c r="E2" s="7" t="str">
        <f ca="1">IFERROR(__xludf.DUMMYFUNCTION("""COMPUTED_VALUE"""),"AlKw_52022_A-SSRI_M_2 count")</f>
        <v>AlKw_52022_A-SSRI_M_2 count</v>
      </c>
      <c r="F2" s="7" t="str">
        <f ca="1">IFERROR(__xludf.DUMMYFUNCTION("""COMPUTED_VALUE"""),"AlKw_52022_DMT_M_1 count")</f>
        <v>AlKw_52022_DMT_M_1 count</v>
      </c>
      <c r="G2" s="7" t="str">
        <f ca="1">IFERROR(__xludf.DUMMYFUNCTION("""COMPUTED_VALUE"""),"AlKw_52022_PSI_M_1 count")</f>
        <v>AlKw_52022_PSI_M_1 count</v>
      </c>
      <c r="H2" s="7" t="str">
        <f ca="1">IFERROR(__xludf.DUMMYFUNCTION("""COMPUTED_VALUE"""),"AlKw_52022_C-SSRI_F_6 count")</f>
        <v>AlKw_52022_C-SSRI_F_6 count</v>
      </c>
      <c r="I2" s="7" t="str">
        <f ca="1">IFERROR(__xludf.DUMMYFUNCTION("""COMPUTED_VALUE"""),"AlKw_52022_C-SSRI_F_8 count")</f>
        <v>AlKw_52022_C-SSRI_F_8 count</v>
      </c>
      <c r="J2" s="7" t="str">
        <f ca="1">IFERROR(__xludf.DUMMYFUNCTION("""COMPUTED_VALUE"""),"AlKw_52022_C-SSRI_M_3 count")</f>
        <v>AlKw_52022_C-SSRI_M_3 count</v>
      </c>
      <c r="K2" s="7" t="str">
        <f ca="1">IFERROR(__xludf.DUMMYFUNCTION("""COMPUTED_VALUE"""),"AlKw_52022_A-SSRI_F_7 count")</f>
        <v>AlKw_52022_A-SSRI_F_7 count</v>
      </c>
      <c r="L2" s="7" t="str">
        <f ca="1">IFERROR(__xludf.DUMMYFUNCTION("""COMPUTED_VALUE"""),"AlKw_52022_DMT_F_5 count")</f>
        <v>AlKw_52022_DMT_F_5 count</v>
      </c>
      <c r="M2" s="7" t="str">
        <f ca="1">IFERROR(__xludf.DUMMYFUNCTION("""COMPUTED_VALUE"""),"AlKw_52022_PSI_F_4 count")</f>
        <v>AlKw_52022_PSI_F_4 count</v>
      </c>
      <c r="N2" s="7" t="str">
        <f ca="1">IFERROR(__xludf.DUMMYFUNCTION("""COMPUTED_VALUE"""),"AlKw_52022_6FDET_M_2 count")</f>
        <v>AlKw_52022_6FDET_M_2 count</v>
      </c>
      <c r="O2" s="7" t="str">
        <f ca="1">IFERROR(__xludf.DUMMYFUNCTION("""COMPUTED_VALUE"""),"AlKw_52022_A_SSRI_M_4 count")</f>
        <v>AlKw_52022_A_SSRI_M_4 count</v>
      </c>
      <c r="P2" s="7" t="str">
        <f ca="1">IFERROR(__xludf.DUMMYFUNCTION("""COMPUTED_VALUE"""),"AlKw_52022_C_SSRI_F_5 count")</f>
        <v>AlKw_52022_C_SSRI_F_5 count</v>
      </c>
      <c r="Q2" s="7" t="str">
        <f ca="1">IFERROR(__xludf.DUMMYFUNCTION("""COMPUTED_VALUE"""),"AlKw_52022_C_SSRI_F_7 count")</f>
        <v>AlKw_52022_C_SSRI_F_7 count</v>
      </c>
      <c r="R2" s="7" t="str">
        <f ca="1">IFERROR(__xludf.DUMMYFUNCTION("""COMPUTED_VALUE"""),"AlKw_52022_C_SSRI_M_4 count")</f>
        <v>AlKw_52022_C_SSRI_M_4 count</v>
      </c>
      <c r="S2" s="7" t="str">
        <f ca="1">IFERROR(__xludf.DUMMYFUNCTION("""COMPUTED_VALUE"""),"AlKw_52022_C_SSRI_M_1 count")</f>
        <v>AlKw_52022_C_SSRI_M_1 count</v>
      </c>
      <c r="T2" s="7" t="str">
        <f ca="1">IFERROR(__xludf.DUMMYFUNCTION("""COMPUTED_VALUE"""),"AlKw_SAL_F__3_NeuN_cFos count")</f>
        <v>AlKw_SAL_F__3_NeuN_cFos count</v>
      </c>
      <c r="U2" s="7" t="str">
        <f ca="1">IFERROR(__xludf.DUMMYFUNCTION("""COMPUTED_VALUE"""),"AlKw_PSI_M__2_NeuN_cFos count")</f>
        <v>AlKw_PSI_M__2_NeuN_cFos count</v>
      </c>
      <c r="V2" s="7" t="str">
        <f ca="1">IFERROR(__xludf.DUMMYFUNCTION("""COMPUTED_VALUE"""),"AlKw_A_SSRI_F__6_NeuN_cFos count")</f>
        <v>AlKw_A_SSRI_F__6_NeuN_cFos count</v>
      </c>
      <c r="W2" s="7" t="str">
        <f ca="1">IFERROR(__xludf.DUMMYFUNCTION("""COMPUTED_VALUE"""),"AlKw_6DET_M__8_NeuN_cFOS count")</f>
        <v>AlKw_6DET_M__8_NeuN_cFOS count</v>
      </c>
      <c r="X2" s="7" t="str">
        <f ca="1">IFERROR(__xludf.DUMMYFUNCTION("""COMPUTED_VALUE"""),"AlKw_DMT_M__3_NeuN_cFos count")</f>
        <v>AlKw_DMT_M__3_NeuN_cFos count</v>
      </c>
      <c r="Y2" s="7" t="str">
        <f ca="1">IFERROR(__xludf.DUMMYFUNCTION("""COMPUTED_VALUE"""),"AlKw_DMT_F__8_NeuN_cFos count")</f>
        <v>AlKw_DMT_F__8_NeuN_cFos count</v>
      </c>
      <c r="Z2" s="7" t="str">
        <f ca="1">IFERROR(__xludf.DUMMYFUNCTION("""COMPUTED_VALUE"""),"AlKw_DMT_F__7_NeuN_cFos count")</f>
        <v>AlKw_DMT_F__7_NeuN_cFos count</v>
      </c>
      <c r="AA2" s="7" t="str">
        <f ca="1">IFERROR(__xludf.DUMMYFUNCTION("""COMPUTED_VALUE"""),"AlKw_A_SSRI_F__5_NeuN_cFos count")</f>
        <v>AlKw_A_SSRI_F__5_NeuN_cFos count</v>
      </c>
      <c r="AB2" s="7" t="str">
        <f ca="1">IFERROR(__xludf.DUMMYFUNCTION("""COMPUTED_VALUE"""),"AlKw_6DET_F__6_NeuN_cFos count")</f>
        <v>AlKw_6DET_F__6_NeuN_cFos count</v>
      </c>
      <c r="AC2" s="7" t="str">
        <f ca="1">IFERROR(__xludf.DUMMYFUNCTION("""COMPUTED_VALUE"""),"AlKw_SAL_M__2_NeuN_cFos count")</f>
        <v>AlKw_SAL_M__2_NeuN_cFos count</v>
      </c>
      <c r="AD2" s="7" t="str">
        <f ca="1">IFERROR(__xludf.DUMMYFUNCTION("""COMPUTED_VALUE"""),"AlKw_6DET_F__7_NeuN_cFos count")</f>
        <v>AlKw_6DET_F__7_NeuN_cFos count</v>
      </c>
      <c r="AE2" s="7" t="str">
        <f ca="1">IFERROR(__xludf.DUMMYFUNCTION("""COMPUTED_VALUE"""),"AlKw_SAL_M__1_NeuN_cFos count")</f>
        <v>AlKw_SAL_M__1_NeuN_cFos count</v>
      </c>
      <c r="AF2" s="8" t="str">
        <f ca="1">IFERROR(__xludf.DUMMYFUNCTION("""COMPUTED_VALUE"""),"AlKw_6DET_F__5_NeuN_cFos count")</f>
        <v>AlKw_6DET_F__5_NeuN_cFos count</v>
      </c>
      <c r="AG2" s="8" t="str">
        <f ca="1">IFERROR(__xludf.DUMMYFUNCTION("""COMPUTED_VALUE"""),"AlKw_A_SSRI_F__8_NeuN_cFos count")</f>
        <v>AlKw_A_SSRI_F__8_NeuN_cFos count</v>
      </c>
      <c r="AH2" s="8" t="str">
        <f ca="1">IFERROR(__xludf.DUMMYFUNCTION("""COMPUTED_VALUE"""),"AlKw_DMT_F__6_NeuN_cFos count")</f>
        <v>AlKw_DMT_F__6_NeuN_cFos count</v>
      </c>
      <c r="AI2" s="8" t="str">
        <f ca="1">IFERROR(__xludf.DUMMYFUNCTION("""COMPUTED_VALUE"""),"AlKw_DMT_M__4_NeuN_cFos count")</f>
        <v>AlKw_DMT_M__4_NeuN_cFos count</v>
      </c>
      <c r="AJ2" s="8" t="str">
        <f ca="1">IFERROR(__xludf.DUMMYFUNCTION("""COMPUTED_VALUE"""),"AlKw_A_SSRI_M__1_NeuN_cFos count")</f>
        <v>AlKw_A_SSRI_M__1_NeuN_cFos count</v>
      </c>
      <c r="AK2" s="8" t="str">
        <f ca="1">IFERROR(__xludf.DUMMYFUNCTION("""COMPUTED_VALUE"""),"AlKw_SAL_F__4_NeuN_cFos count")</f>
        <v>AlKw_SAL_F__4_NeuN_cFos count</v>
      </c>
      <c r="AL2" s="8" t="str">
        <f ca="1">IFERROR(__xludf.DUMMYFUNCTION("""COMPUTED_VALUE"""),"AlKw_PSI_F__3_NeuN_cFos count")</f>
        <v>AlKw_PSI_F__3_NeuN_cFos count</v>
      </c>
      <c r="AM2" s="8" t="str">
        <f ca="1">IFERROR(__xludf.DUMMYFUNCTION("""COMPUTED_VALUE"""),"AlKw_6DET_F__4_NeuN_cFos count")</f>
        <v>AlKw_6DET_F__4_NeuN_cFos count</v>
      </c>
      <c r="AN2" s="8" t="str">
        <f ca="1">IFERROR(__xludf.DUMMYFUNCTION("""COMPUTED_VALUE"""),"AlKw_6DET_M__3_NeuN_cFos count")</f>
        <v>AlKw_6DET_M__3_NeuN_cFos count</v>
      </c>
      <c r="AO2" s="8" t="str">
        <f ca="1">IFERROR(__xludf.DUMMYFUNCTION("""COMPUTED_VALUE"""),"AlKw_6DET_M_ 1_NeuN_cFos count")</f>
        <v>AlKw_6DET_M_ 1_NeuN_cFos count</v>
      </c>
      <c r="AP2" s="8"/>
      <c r="AQ2" s="8"/>
      <c r="AR2" s="8"/>
      <c r="AS2" s="8"/>
      <c r="AT2" s="8"/>
      <c r="AU2" s="8"/>
      <c r="AV2" s="8"/>
      <c r="AW2" s="8"/>
      <c r="AX2" s="8"/>
      <c r="AY2" s="8"/>
    </row>
    <row r="3" spans="1:51" ht="15.75" customHeight="1" x14ac:dyDescent="0.25">
      <c r="A3" s="11" t="str">
        <f ca="1">IFERROR(__xludf.DUMMYFUNCTION("""COMPUTED_VALUE"""),"left root")</f>
        <v>left root</v>
      </c>
      <c r="B3" s="12">
        <f ca="1">IFERROR(__xludf.DUMMYFUNCTION("""COMPUTED_VALUE"""),693546)</f>
        <v>693546</v>
      </c>
      <c r="C3" s="12">
        <f ca="1">IFERROR(__xludf.DUMMYFUNCTION("""COMPUTED_VALUE"""),1310952)</f>
        <v>1310952</v>
      </c>
      <c r="D3" s="12">
        <f ca="1">IFERROR(__xludf.DUMMYFUNCTION("""COMPUTED_VALUE"""),1738669)</f>
        <v>1738669</v>
      </c>
      <c r="E3" s="12">
        <f ca="1">IFERROR(__xludf.DUMMYFUNCTION("""COMPUTED_VALUE"""),1383961)</f>
        <v>1383961</v>
      </c>
      <c r="F3" s="12">
        <f ca="1">IFERROR(__xludf.DUMMYFUNCTION("""COMPUTED_VALUE"""),1453989)</f>
        <v>1453989</v>
      </c>
      <c r="G3" s="12">
        <f ca="1">IFERROR(__xludf.DUMMYFUNCTION("""COMPUTED_VALUE"""),634764)</f>
        <v>634764</v>
      </c>
      <c r="H3" s="12">
        <f ca="1">IFERROR(__xludf.DUMMYFUNCTION("""COMPUTED_VALUE"""),929112)</f>
        <v>929112</v>
      </c>
      <c r="I3" s="12">
        <f ca="1">IFERROR(__xludf.DUMMYFUNCTION("""COMPUTED_VALUE"""),587032)</f>
        <v>587032</v>
      </c>
      <c r="J3" s="12">
        <f ca="1">IFERROR(__xludf.DUMMYFUNCTION("""COMPUTED_VALUE"""),557903)</f>
        <v>557903</v>
      </c>
      <c r="K3" s="12">
        <f ca="1">IFERROR(__xludf.DUMMYFUNCTION("""COMPUTED_VALUE"""),741791)</f>
        <v>741791</v>
      </c>
      <c r="L3" s="12">
        <f ca="1">IFERROR(__xludf.DUMMYFUNCTION("""COMPUTED_VALUE"""),1192936)</f>
        <v>1192936</v>
      </c>
      <c r="M3" s="12">
        <f ca="1">IFERROR(__xludf.DUMMYFUNCTION("""COMPUTED_VALUE"""),1773386)</f>
        <v>1773386</v>
      </c>
      <c r="N3" s="12">
        <f ca="1">IFERROR(__xludf.DUMMYFUNCTION("""COMPUTED_VALUE"""),1249759)</f>
        <v>1249759</v>
      </c>
      <c r="O3" s="12">
        <f ca="1">IFERROR(__xludf.DUMMYFUNCTION("""COMPUTED_VALUE"""),1379326)</f>
        <v>1379326</v>
      </c>
      <c r="P3" s="12">
        <f ca="1">IFERROR(__xludf.DUMMYFUNCTION("""COMPUTED_VALUE"""),407494)</f>
        <v>407494</v>
      </c>
      <c r="Q3" s="12">
        <f ca="1">IFERROR(__xludf.DUMMYFUNCTION("""COMPUTED_VALUE"""),984624)</f>
        <v>984624</v>
      </c>
      <c r="R3" s="12">
        <f ca="1">IFERROR(__xludf.DUMMYFUNCTION("""COMPUTED_VALUE"""),550051)</f>
        <v>550051</v>
      </c>
      <c r="S3" s="12">
        <f ca="1">IFERROR(__xludf.DUMMYFUNCTION("""COMPUTED_VALUE"""),620613)</f>
        <v>620613</v>
      </c>
      <c r="T3" s="12">
        <f ca="1">IFERROR(__xludf.DUMMYFUNCTION("""COMPUTED_VALUE"""),1300541)</f>
        <v>1300541</v>
      </c>
      <c r="U3" s="12">
        <f ca="1">IFERROR(__xludf.DUMMYFUNCTION("""COMPUTED_VALUE"""),1131819)</f>
        <v>1131819</v>
      </c>
      <c r="V3" s="12">
        <f ca="1">IFERROR(__xludf.DUMMYFUNCTION("""COMPUTED_VALUE"""),1248633)</f>
        <v>1248633</v>
      </c>
      <c r="W3" s="12">
        <f ca="1">IFERROR(__xludf.DUMMYFUNCTION("""COMPUTED_VALUE"""),2514020)</f>
        <v>2514020</v>
      </c>
      <c r="X3" s="12">
        <f ca="1">IFERROR(__xludf.DUMMYFUNCTION("""COMPUTED_VALUE"""),3275488)</f>
        <v>3275488</v>
      </c>
      <c r="Y3" s="12">
        <f ca="1">IFERROR(__xludf.DUMMYFUNCTION("""COMPUTED_VALUE"""),1355814)</f>
        <v>1355814</v>
      </c>
      <c r="Z3" s="12">
        <f ca="1">IFERROR(__xludf.DUMMYFUNCTION("""COMPUTED_VALUE"""),1803156)</f>
        <v>1803156</v>
      </c>
      <c r="AA3" s="12">
        <f ca="1">IFERROR(__xludf.DUMMYFUNCTION("""COMPUTED_VALUE"""),1130225)</f>
        <v>1130225</v>
      </c>
      <c r="AB3" s="12">
        <f ca="1">IFERROR(__xludf.DUMMYFUNCTION("""COMPUTED_VALUE"""),1334580)</f>
        <v>1334580</v>
      </c>
      <c r="AC3" s="12">
        <f ca="1">IFERROR(__xludf.DUMMYFUNCTION("""COMPUTED_VALUE"""),1379240)</f>
        <v>1379240</v>
      </c>
      <c r="AD3" s="12">
        <f ca="1">IFERROR(__xludf.DUMMYFUNCTION("""COMPUTED_VALUE"""),1578200)</f>
        <v>1578200</v>
      </c>
      <c r="AE3" s="12">
        <f ca="1">IFERROR(__xludf.DUMMYFUNCTION("""COMPUTED_VALUE"""),1932216)</f>
        <v>1932216</v>
      </c>
      <c r="AF3" s="8">
        <f ca="1">IFERROR(__xludf.DUMMYFUNCTION("""COMPUTED_VALUE"""),2903281)</f>
        <v>2903281</v>
      </c>
      <c r="AG3" s="8">
        <f ca="1">IFERROR(__xludf.DUMMYFUNCTION("""COMPUTED_VALUE"""),876702)</f>
        <v>876702</v>
      </c>
      <c r="AH3" s="8">
        <f ca="1">IFERROR(__xludf.DUMMYFUNCTION("""COMPUTED_VALUE"""),1660514)</f>
        <v>1660514</v>
      </c>
      <c r="AI3" s="8">
        <f ca="1">IFERROR(__xludf.DUMMYFUNCTION("""COMPUTED_VALUE"""),1301145)</f>
        <v>1301145</v>
      </c>
      <c r="AJ3" s="8">
        <f ca="1">IFERROR(__xludf.DUMMYFUNCTION("""COMPUTED_VALUE"""),797076)</f>
        <v>797076</v>
      </c>
      <c r="AK3" s="8">
        <f ca="1">IFERROR(__xludf.DUMMYFUNCTION("""COMPUTED_VALUE"""),411517)</f>
        <v>411517</v>
      </c>
      <c r="AL3" s="8">
        <f ca="1">IFERROR(__xludf.DUMMYFUNCTION("""COMPUTED_VALUE"""),846964)</f>
        <v>846964</v>
      </c>
      <c r="AM3" s="8">
        <f ca="1">IFERROR(__xludf.DUMMYFUNCTION("""COMPUTED_VALUE"""),1496039)</f>
        <v>1496039</v>
      </c>
      <c r="AN3" s="8">
        <f ca="1">IFERROR(__xludf.DUMMYFUNCTION("""COMPUTED_VALUE"""),989717)</f>
        <v>989717</v>
      </c>
      <c r="AO3" s="8">
        <f ca="1">IFERROR(__xludf.DUMMYFUNCTION("""COMPUTED_VALUE"""),716454)</f>
        <v>716454</v>
      </c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ht="15.75" customHeight="1" x14ac:dyDescent="0.25">
      <c r="A4" s="11" t="str">
        <f ca="1">IFERROR(__xludf.DUMMYFUNCTION("""COMPUTED_VALUE"""),"      left Cerebrum")</f>
        <v xml:space="preserve">      left Cerebrum</v>
      </c>
      <c r="B4" s="12">
        <f ca="1">IFERROR(__xludf.DUMMYFUNCTION("""COMPUTED_VALUE"""),499752)</f>
        <v>499752</v>
      </c>
      <c r="C4" s="12">
        <f ca="1">IFERROR(__xludf.DUMMYFUNCTION("""COMPUTED_VALUE"""),951502)</f>
        <v>951502</v>
      </c>
      <c r="D4" s="12">
        <f ca="1">IFERROR(__xludf.DUMMYFUNCTION("""COMPUTED_VALUE"""),1303491)</f>
        <v>1303491</v>
      </c>
      <c r="E4" s="12">
        <f ca="1">IFERROR(__xludf.DUMMYFUNCTION("""COMPUTED_VALUE"""),1013922)</f>
        <v>1013922</v>
      </c>
      <c r="F4" s="12">
        <f ca="1">IFERROR(__xludf.DUMMYFUNCTION("""COMPUTED_VALUE"""),1100527)</f>
        <v>1100527</v>
      </c>
      <c r="G4" s="12">
        <f ca="1">IFERROR(__xludf.DUMMYFUNCTION("""COMPUTED_VALUE"""),452733)</f>
        <v>452733</v>
      </c>
      <c r="H4" s="12">
        <f ca="1">IFERROR(__xludf.DUMMYFUNCTION("""COMPUTED_VALUE"""),732529)</f>
        <v>732529</v>
      </c>
      <c r="I4" s="12">
        <f ca="1">IFERROR(__xludf.DUMMYFUNCTION("""COMPUTED_VALUE"""),394353)</f>
        <v>394353</v>
      </c>
      <c r="J4" s="12">
        <f ca="1">IFERROR(__xludf.DUMMYFUNCTION("""COMPUTED_VALUE"""),381910)</f>
        <v>381910</v>
      </c>
      <c r="K4" s="12">
        <f ca="1">IFERROR(__xludf.DUMMYFUNCTION("""COMPUTED_VALUE"""),523854)</f>
        <v>523854</v>
      </c>
      <c r="L4" s="12">
        <f ca="1">IFERROR(__xludf.DUMMYFUNCTION("""COMPUTED_VALUE"""),854384)</f>
        <v>854384</v>
      </c>
      <c r="M4" s="12">
        <f ca="1">IFERROR(__xludf.DUMMYFUNCTION("""COMPUTED_VALUE"""),1369414)</f>
        <v>1369414</v>
      </c>
      <c r="N4" s="12">
        <f ca="1">IFERROR(__xludf.DUMMYFUNCTION("""COMPUTED_VALUE"""),685996)</f>
        <v>685996</v>
      </c>
      <c r="O4" s="12">
        <f ca="1">IFERROR(__xludf.DUMMYFUNCTION("""COMPUTED_VALUE"""),1032815)</f>
        <v>1032815</v>
      </c>
      <c r="P4" s="12">
        <f ca="1">IFERROR(__xludf.DUMMYFUNCTION("""COMPUTED_VALUE"""),267433)</f>
        <v>267433</v>
      </c>
      <c r="Q4" s="12">
        <f ca="1">IFERROR(__xludf.DUMMYFUNCTION("""COMPUTED_VALUE"""),739905)</f>
        <v>739905</v>
      </c>
      <c r="R4" s="12">
        <f ca="1">IFERROR(__xludf.DUMMYFUNCTION("""COMPUTED_VALUE"""),422045)</f>
        <v>422045</v>
      </c>
      <c r="S4" s="12">
        <f ca="1">IFERROR(__xludf.DUMMYFUNCTION("""COMPUTED_VALUE"""),475979)</f>
        <v>475979</v>
      </c>
      <c r="T4" s="12">
        <f ca="1">IFERROR(__xludf.DUMMYFUNCTION("""COMPUTED_VALUE"""),1058575)</f>
        <v>1058575</v>
      </c>
      <c r="U4" s="12">
        <f ca="1">IFERROR(__xludf.DUMMYFUNCTION("""COMPUTED_VALUE"""),932689)</f>
        <v>932689</v>
      </c>
      <c r="V4" s="12">
        <f ca="1">IFERROR(__xludf.DUMMYFUNCTION("""COMPUTED_VALUE"""),933692)</f>
        <v>933692</v>
      </c>
      <c r="W4" s="12">
        <f ca="1">IFERROR(__xludf.DUMMYFUNCTION("""COMPUTED_VALUE"""),2184582)</f>
        <v>2184582</v>
      </c>
      <c r="X4" s="12">
        <f ca="1">IFERROR(__xludf.DUMMYFUNCTION("""COMPUTED_VALUE"""),2512787)</f>
        <v>2512787</v>
      </c>
      <c r="Y4" s="12">
        <f ca="1">IFERROR(__xludf.DUMMYFUNCTION("""COMPUTED_VALUE"""),1026652)</f>
        <v>1026652</v>
      </c>
      <c r="Z4" s="12">
        <f ca="1">IFERROR(__xludf.DUMMYFUNCTION("""COMPUTED_VALUE"""),1397392)</f>
        <v>1397392</v>
      </c>
      <c r="AA4" s="12">
        <f ca="1">IFERROR(__xludf.DUMMYFUNCTION("""COMPUTED_VALUE"""),925563)</f>
        <v>925563</v>
      </c>
      <c r="AB4" s="12">
        <f ca="1">IFERROR(__xludf.DUMMYFUNCTION("""COMPUTED_VALUE"""),994580)</f>
        <v>994580</v>
      </c>
      <c r="AC4" s="12">
        <f ca="1">IFERROR(__xludf.DUMMYFUNCTION("""COMPUTED_VALUE"""),1177762)</f>
        <v>1177762</v>
      </c>
      <c r="AD4" s="12">
        <f ca="1">IFERROR(__xludf.DUMMYFUNCTION("""COMPUTED_VALUE"""),1333774)</f>
        <v>1333774</v>
      </c>
      <c r="AE4" s="12">
        <f ca="1">IFERROR(__xludf.DUMMYFUNCTION("""COMPUTED_VALUE"""),1503103)</f>
        <v>1503103</v>
      </c>
      <c r="AF4" s="8">
        <f ca="1">IFERROR(__xludf.DUMMYFUNCTION("""COMPUTED_VALUE"""),2353203)</f>
        <v>2353203</v>
      </c>
      <c r="AG4" s="8">
        <f ca="1">IFERROR(__xludf.DUMMYFUNCTION("""COMPUTED_VALUE"""),694564)</f>
        <v>694564</v>
      </c>
      <c r="AH4" s="8">
        <f ca="1">IFERROR(__xludf.DUMMYFUNCTION("""COMPUTED_VALUE"""),1365122)</f>
        <v>1365122</v>
      </c>
      <c r="AI4" s="8">
        <f ca="1">IFERROR(__xludf.DUMMYFUNCTION("""COMPUTED_VALUE"""),1051294)</f>
        <v>1051294</v>
      </c>
      <c r="AJ4" s="8">
        <f ca="1">IFERROR(__xludf.DUMMYFUNCTION("""COMPUTED_VALUE"""),556044)</f>
        <v>556044</v>
      </c>
      <c r="AK4" s="8">
        <f ca="1">IFERROR(__xludf.DUMMYFUNCTION("""COMPUTED_VALUE"""),339205)</f>
        <v>339205</v>
      </c>
      <c r="AL4" s="8">
        <f ca="1">IFERROR(__xludf.DUMMYFUNCTION("""COMPUTED_VALUE"""),694760)</f>
        <v>694760</v>
      </c>
      <c r="AM4" s="8">
        <f ca="1">IFERROR(__xludf.DUMMYFUNCTION("""COMPUTED_VALUE"""),1281013)</f>
        <v>1281013</v>
      </c>
      <c r="AN4" s="8">
        <f ca="1">IFERROR(__xludf.DUMMYFUNCTION("""COMPUTED_VALUE"""),799833)</f>
        <v>799833</v>
      </c>
      <c r="AO4" s="8">
        <f ca="1">IFERROR(__xludf.DUMMYFUNCTION("""COMPUTED_VALUE"""),572341)</f>
        <v>572341</v>
      </c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ht="15.75" customHeight="1" x14ac:dyDescent="0.25">
      <c r="A5" s="11" t="str">
        <f ca="1">IFERROR(__xludf.DUMMYFUNCTION("""COMPUTED_VALUE"""),"         left Cerebral cortex")</f>
        <v xml:space="preserve">         left Cerebral cortex</v>
      </c>
      <c r="B5" s="12">
        <f ca="1">IFERROR(__xludf.DUMMYFUNCTION("""COMPUTED_VALUE"""),458096)</f>
        <v>458096</v>
      </c>
      <c r="C5" s="12">
        <f ca="1">IFERROR(__xludf.DUMMYFUNCTION("""COMPUTED_VALUE"""),815616)</f>
        <v>815616</v>
      </c>
      <c r="D5" s="12">
        <f ca="1">IFERROR(__xludf.DUMMYFUNCTION("""COMPUTED_VALUE"""),1057937)</f>
        <v>1057937</v>
      </c>
      <c r="E5" s="12">
        <f ca="1">IFERROR(__xludf.DUMMYFUNCTION("""COMPUTED_VALUE"""),874938)</f>
        <v>874938</v>
      </c>
      <c r="F5" s="12">
        <f ca="1">IFERROR(__xludf.DUMMYFUNCTION("""COMPUTED_VALUE"""),928198)</f>
        <v>928198</v>
      </c>
      <c r="G5" s="12">
        <f ca="1">IFERROR(__xludf.DUMMYFUNCTION("""COMPUTED_VALUE"""),388484)</f>
        <v>388484</v>
      </c>
      <c r="H5" s="12">
        <f ca="1">IFERROR(__xludf.DUMMYFUNCTION("""COMPUTED_VALUE"""),639996)</f>
        <v>639996</v>
      </c>
      <c r="I5" s="12">
        <f ca="1">IFERROR(__xludf.DUMMYFUNCTION("""COMPUTED_VALUE"""),335999)</f>
        <v>335999</v>
      </c>
      <c r="J5" s="12">
        <f ca="1">IFERROR(__xludf.DUMMYFUNCTION("""COMPUTED_VALUE"""),311247)</f>
        <v>311247</v>
      </c>
      <c r="K5" s="12">
        <f ca="1">IFERROR(__xludf.DUMMYFUNCTION("""COMPUTED_VALUE"""),440126)</f>
        <v>440126</v>
      </c>
      <c r="L5" s="12">
        <f ca="1">IFERROR(__xludf.DUMMYFUNCTION("""COMPUTED_VALUE"""),679131)</f>
        <v>679131</v>
      </c>
      <c r="M5" s="12">
        <f ca="1">IFERROR(__xludf.DUMMYFUNCTION("""COMPUTED_VALUE"""),1196680)</f>
        <v>1196680</v>
      </c>
      <c r="N5" s="12">
        <f ca="1">IFERROR(__xludf.DUMMYFUNCTION("""COMPUTED_VALUE"""),456558)</f>
        <v>456558</v>
      </c>
      <c r="O5" s="12">
        <f ca="1">IFERROR(__xludf.DUMMYFUNCTION("""COMPUTED_VALUE"""),890782)</f>
        <v>890782</v>
      </c>
      <c r="P5" s="12">
        <f ca="1">IFERROR(__xludf.DUMMYFUNCTION("""COMPUTED_VALUE"""),226884)</f>
        <v>226884</v>
      </c>
      <c r="Q5" s="12">
        <f ca="1">IFERROR(__xludf.DUMMYFUNCTION("""COMPUTED_VALUE"""),659447)</f>
        <v>659447</v>
      </c>
      <c r="R5" s="12">
        <f ca="1">IFERROR(__xludf.DUMMYFUNCTION("""COMPUTED_VALUE"""),357600)</f>
        <v>357600</v>
      </c>
      <c r="S5" s="12">
        <f ca="1">IFERROR(__xludf.DUMMYFUNCTION("""COMPUTED_VALUE"""),421699)</f>
        <v>421699</v>
      </c>
      <c r="T5" s="12">
        <f ca="1">IFERROR(__xludf.DUMMYFUNCTION("""COMPUTED_VALUE"""),941958)</f>
        <v>941958</v>
      </c>
      <c r="U5" s="12">
        <f ca="1">IFERROR(__xludf.DUMMYFUNCTION("""COMPUTED_VALUE"""),852985)</f>
        <v>852985</v>
      </c>
      <c r="V5" s="12">
        <f ca="1">IFERROR(__xludf.DUMMYFUNCTION("""COMPUTED_VALUE"""),802692)</f>
        <v>802692</v>
      </c>
      <c r="W5" s="12">
        <f ca="1">IFERROR(__xludf.DUMMYFUNCTION("""COMPUTED_VALUE"""),1879011)</f>
        <v>1879011</v>
      </c>
      <c r="X5" s="12">
        <f ca="1">IFERROR(__xludf.DUMMYFUNCTION("""COMPUTED_VALUE"""),2159214)</f>
        <v>2159214</v>
      </c>
      <c r="Y5" s="12">
        <f ca="1">IFERROR(__xludf.DUMMYFUNCTION("""COMPUTED_VALUE"""),877820)</f>
        <v>877820</v>
      </c>
      <c r="Z5" s="12">
        <f ca="1">IFERROR(__xludf.DUMMYFUNCTION("""COMPUTED_VALUE"""),1191062)</f>
        <v>1191062</v>
      </c>
      <c r="AA5" s="12">
        <f ca="1">IFERROR(__xludf.DUMMYFUNCTION("""COMPUTED_VALUE"""),768691)</f>
        <v>768691</v>
      </c>
      <c r="AB5" s="12">
        <f ca="1">IFERROR(__xludf.DUMMYFUNCTION("""COMPUTED_VALUE"""),852059)</f>
        <v>852059</v>
      </c>
      <c r="AC5" s="12">
        <f ca="1">IFERROR(__xludf.DUMMYFUNCTION("""COMPUTED_VALUE"""),1088841)</f>
        <v>1088841</v>
      </c>
      <c r="AD5" s="12">
        <f ca="1">IFERROR(__xludf.DUMMYFUNCTION("""COMPUTED_VALUE"""),1156094)</f>
        <v>1156094</v>
      </c>
      <c r="AE5" s="12">
        <f ca="1">IFERROR(__xludf.DUMMYFUNCTION("""COMPUTED_VALUE"""),1367994)</f>
        <v>1367994</v>
      </c>
      <c r="AF5" s="8">
        <f ca="1">IFERROR(__xludf.DUMMYFUNCTION("""COMPUTED_VALUE"""),2062801)</f>
        <v>2062801</v>
      </c>
      <c r="AG5" s="8">
        <f ca="1">IFERROR(__xludf.DUMMYFUNCTION("""COMPUTED_VALUE"""),574281)</f>
        <v>574281</v>
      </c>
      <c r="AH5" s="8">
        <f ca="1">IFERROR(__xludf.DUMMYFUNCTION("""COMPUTED_VALUE"""),1188144)</f>
        <v>1188144</v>
      </c>
      <c r="AI5" s="8">
        <f ca="1">IFERROR(__xludf.DUMMYFUNCTION("""COMPUTED_VALUE"""),948068)</f>
        <v>948068</v>
      </c>
      <c r="AJ5" s="8">
        <f ca="1">IFERROR(__xludf.DUMMYFUNCTION("""COMPUTED_VALUE"""),473499)</f>
        <v>473499</v>
      </c>
      <c r="AK5" s="8">
        <f ca="1">IFERROR(__xludf.DUMMYFUNCTION("""COMPUTED_VALUE"""),321038)</f>
        <v>321038</v>
      </c>
      <c r="AL5" s="8">
        <f ca="1">IFERROR(__xludf.DUMMYFUNCTION("""COMPUTED_VALUE"""),638256)</f>
        <v>638256</v>
      </c>
      <c r="AM5" s="8">
        <f ca="1">IFERROR(__xludf.DUMMYFUNCTION("""COMPUTED_VALUE"""),1118249)</f>
        <v>1118249</v>
      </c>
      <c r="AN5" s="8">
        <f ca="1">IFERROR(__xludf.DUMMYFUNCTION("""COMPUTED_VALUE"""),706554)</f>
        <v>706554</v>
      </c>
      <c r="AO5" s="8">
        <f ca="1">IFERROR(__xludf.DUMMYFUNCTION("""COMPUTED_VALUE"""),523603)</f>
        <v>523603</v>
      </c>
      <c r="AP5" s="8"/>
      <c r="AQ5" s="8"/>
      <c r="AR5" s="8"/>
      <c r="AS5" s="8"/>
      <c r="AT5" s="8"/>
      <c r="AU5" s="8"/>
      <c r="AV5" s="8"/>
      <c r="AW5" s="8"/>
      <c r="AX5" s="8"/>
      <c r="AY5" s="8"/>
    </row>
    <row r="6" spans="1:51" ht="15.75" customHeight="1" x14ac:dyDescent="0.25">
      <c r="A6" s="11" t="str">
        <f ca="1">IFERROR(__xludf.DUMMYFUNCTION("""COMPUTED_VALUE"""),"            left Cortical plate")</f>
        <v xml:space="preserve">            left Cortical plate</v>
      </c>
      <c r="B6" s="12">
        <f ca="1">IFERROR(__xludf.DUMMYFUNCTION("""COMPUTED_VALUE"""),437266)</f>
        <v>437266</v>
      </c>
      <c r="C6" s="12">
        <f ca="1">IFERROR(__xludf.DUMMYFUNCTION("""COMPUTED_VALUE"""),776207)</f>
        <v>776207</v>
      </c>
      <c r="D6" s="12">
        <f ca="1">IFERROR(__xludf.DUMMYFUNCTION("""COMPUTED_VALUE"""),1015223)</f>
        <v>1015223</v>
      </c>
      <c r="E6" s="12">
        <f ca="1">IFERROR(__xludf.DUMMYFUNCTION("""COMPUTED_VALUE"""),834475)</f>
        <v>834475</v>
      </c>
      <c r="F6" s="12">
        <f ca="1">IFERROR(__xludf.DUMMYFUNCTION("""COMPUTED_VALUE"""),887129)</f>
        <v>887129</v>
      </c>
      <c r="G6" s="12">
        <f ca="1">IFERROR(__xludf.DUMMYFUNCTION("""COMPUTED_VALUE"""),365065)</f>
        <v>365065</v>
      </c>
      <c r="H6" s="12">
        <f ca="1">IFERROR(__xludf.DUMMYFUNCTION("""COMPUTED_VALUE"""),610379)</f>
        <v>610379</v>
      </c>
      <c r="I6" s="12">
        <f ca="1">IFERROR(__xludf.DUMMYFUNCTION("""COMPUTED_VALUE"""),322483)</f>
        <v>322483</v>
      </c>
      <c r="J6" s="12">
        <f ca="1">IFERROR(__xludf.DUMMYFUNCTION("""COMPUTED_VALUE"""),294369)</f>
        <v>294369</v>
      </c>
      <c r="K6" s="12">
        <f ca="1">IFERROR(__xludf.DUMMYFUNCTION("""COMPUTED_VALUE"""),416005)</f>
        <v>416005</v>
      </c>
      <c r="L6" s="12">
        <f ca="1">IFERROR(__xludf.DUMMYFUNCTION("""COMPUTED_VALUE"""),652795)</f>
        <v>652795</v>
      </c>
      <c r="M6" s="12">
        <f ca="1">IFERROR(__xludf.DUMMYFUNCTION("""COMPUTED_VALUE"""),1159877)</f>
        <v>1159877</v>
      </c>
      <c r="N6" s="12">
        <f ca="1">IFERROR(__xludf.DUMMYFUNCTION("""COMPUTED_VALUE"""),437290)</f>
        <v>437290</v>
      </c>
      <c r="O6" s="12">
        <f ca="1">IFERROR(__xludf.DUMMYFUNCTION("""COMPUTED_VALUE"""),859428)</f>
        <v>859428</v>
      </c>
      <c r="P6" s="12">
        <f ca="1">IFERROR(__xludf.DUMMYFUNCTION("""COMPUTED_VALUE"""),216801)</f>
        <v>216801</v>
      </c>
      <c r="Q6" s="12">
        <f ca="1">IFERROR(__xludf.DUMMYFUNCTION("""COMPUTED_VALUE"""),637592)</f>
        <v>637592</v>
      </c>
      <c r="R6" s="12">
        <f ca="1">IFERROR(__xludf.DUMMYFUNCTION("""COMPUTED_VALUE"""),337440)</f>
        <v>337440</v>
      </c>
      <c r="S6" s="12">
        <f ca="1">IFERROR(__xludf.DUMMYFUNCTION("""COMPUTED_VALUE"""),402569)</f>
        <v>402569</v>
      </c>
      <c r="T6" s="12">
        <f ca="1">IFERROR(__xludf.DUMMYFUNCTION("""COMPUTED_VALUE"""),906048)</f>
        <v>906048</v>
      </c>
      <c r="U6" s="12">
        <f ca="1">IFERROR(__xludf.DUMMYFUNCTION("""COMPUTED_VALUE"""),827230)</f>
        <v>827230</v>
      </c>
      <c r="V6" s="12">
        <f ca="1">IFERROR(__xludf.DUMMYFUNCTION("""COMPUTED_VALUE"""),773351)</f>
        <v>773351</v>
      </c>
      <c r="W6" s="12">
        <f ca="1">IFERROR(__xludf.DUMMYFUNCTION("""COMPUTED_VALUE"""),1824566)</f>
        <v>1824566</v>
      </c>
      <c r="X6" s="12">
        <f ca="1">IFERROR(__xludf.DUMMYFUNCTION("""COMPUTED_VALUE"""),2088018)</f>
        <v>2088018</v>
      </c>
      <c r="Y6" s="12">
        <f ca="1">IFERROR(__xludf.DUMMYFUNCTION("""COMPUTED_VALUE"""),839934)</f>
        <v>839934</v>
      </c>
      <c r="Z6" s="12">
        <f ca="1">IFERROR(__xludf.DUMMYFUNCTION("""COMPUTED_VALUE"""),1140166)</f>
        <v>1140166</v>
      </c>
      <c r="AA6" s="12">
        <f ca="1">IFERROR(__xludf.DUMMYFUNCTION("""COMPUTED_VALUE"""),721907)</f>
        <v>721907</v>
      </c>
      <c r="AB6" s="12">
        <f ca="1">IFERROR(__xludf.DUMMYFUNCTION("""COMPUTED_VALUE"""),821973)</f>
        <v>821973</v>
      </c>
      <c r="AC6" s="12">
        <f ca="1">IFERROR(__xludf.DUMMYFUNCTION("""COMPUTED_VALUE"""),1069149)</f>
        <v>1069149</v>
      </c>
      <c r="AD6" s="12">
        <f ca="1">IFERROR(__xludf.DUMMYFUNCTION("""COMPUTED_VALUE"""),1128657)</f>
        <v>1128657</v>
      </c>
      <c r="AE6" s="12">
        <f ca="1">IFERROR(__xludf.DUMMYFUNCTION("""COMPUTED_VALUE"""),1331990)</f>
        <v>1331990</v>
      </c>
      <c r="AF6" s="8">
        <f ca="1">IFERROR(__xludf.DUMMYFUNCTION("""COMPUTED_VALUE"""),2004352)</f>
        <v>2004352</v>
      </c>
      <c r="AG6" s="8">
        <f ca="1">IFERROR(__xludf.DUMMYFUNCTION("""COMPUTED_VALUE"""),543440)</f>
        <v>543440</v>
      </c>
      <c r="AH6" s="8">
        <f ca="1">IFERROR(__xludf.DUMMYFUNCTION("""COMPUTED_VALUE"""),1153041)</f>
        <v>1153041</v>
      </c>
      <c r="AI6" s="8">
        <f ca="1">IFERROR(__xludf.DUMMYFUNCTION("""COMPUTED_VALUE"""),912899)</f>
        <v>912899</v>
      </c>
      <c r="AJ6" s="8">
        <f ca="1">IFERROR(__xludf.DUMMYFUNCTION("""COMPUTED_VALUE"""),459746)</f>
        <v>459746</v>
      </c>
      <c r="AK6" s="8">
        <f ca="1">IFERROR(__xludf.DUMMYFUNCTION("""COMPUTED_VALUE"""),305817)</f>
        <v>305817</v>
      </c>
      <c r="AL6" s="8">
        <f ca="1">IFERROR(__xludf.DUMMYFUNCTION("""COMPUTED_VALUE"""),617609)</f>
        <v>617609</v>
      </c>
      <c r="AM6" s="8">
        <f ca="1">IFERROR(__xludf.DUMMYFUNCTION("""COMPUTED_VALUE"""),1082851)</f>
        <v>1082851</v>
      </c>
      <c r="AN6" s="8">
        <f ca="1">IFERROR(__xludf.DUMMYFUNCTION("""COMPUTED_VALUE"""),682161)</f>
        <v>682161</v>
      </c>
      <c r="AO6" s="8">
        <f ca="1">IFERROR(__xludf.DUMMYFUNCTION("""COMPUTED_VALUE"""),500655)</f>
        <v>500655</v>
      </c>
      <c r="AP6" s="8"/>
      <c r="AQ6" s="8"/>
      <c r="AR6" s="8"/>
      <c r="AS6" s="8"/>
      <c r="AT6" s="8"/>
      <c r="AU6" s="8"/>
      <c r="AV6" s="8"/>
      <c r="AW6" s="8"/>
      <c r="AX6" s="8"/>
      <c r="AY6" s="8"/>
    </row>
    <row r="7" spans="1:51" ht="15.75" customHeight="1" x14ac:dyDescent="0.25">
      <c r="A7" s="11" t="str">
        <f ca="1">IFERROR(__xludf.DUMMYFUNCTION("""COMPUTED_VALUE"""),"               left Isocortex")</f>
        <v xml:space="preserve">               left Isocortex</v>
      </c>
      <c r="B7" s="12">
        <f ca="1">IFERROR(__xludf.DUMMYFUNCTION("""COMPUTED_VALUE"""),260632)</f>
        <v>260632</v>
      </c>
      <c r="C7" s="12">
        <f ca="1">IFERROR(__xludf.DUMMYFUNCTION("""COMPUTED_VALUE"""),528309)</f>
        <v>528309</v>
      </c>
      <c r="D7" s="12">
        <f ca="1">IFERROR(__xludf.DUMMYFUNCTION("""COMPUTED_VALUE"""),772287)</f>
        <v>772287</v>
      </c>
      <c r="E7" s="12">
        <f ca="1">IFERROR(__xludf.DUMMYFUNCTION("""COMPUTED_VALUE"""),521255)</f>
        <v>521255</v>
      </c>
      <c r="F7" s="12">
        <f ca="1">IFERROR(__xludf.DUMMYFUNCTION("""COMPUTED_VALUE"""),691631)</f>
        <v>691631</v>
      </c>
      <c r="G7" s="12">
        <f ca="1">IFERROR(__xludf.DUMMYFUNCTION("""COMPUTED_VALUE"""),251927)</f>
        <v>251927</v>
      </c>
      <c r="H7" s="12">
        <f ca="1">IFERROR(__xludf.DUMMYFUNCTION("""COMPUTED_VALUE"""),419281)</f>
        <v>419281</v>
      </c>
      <c r="I7" s="12">
        <f ca="1">IFERROR(__xludf.DUMMYFUNCTION("""COMPUTED_VALUE"""),222105)</f>
        <v>222105</v>
      </c>
      <c r="J7" s="12">
        <f ca="1">IFERROR(__xludf.DUMMYFUNCTION("""COMPUTED_VALUE"""),186306)</f>
        <v>186306</v>
      </c>
      <c r="K7" s="12">
        <f ca="1">IFERROR(__xludf.DUMMYFUNCTION("""COMPUTED_VALUE"""),236110)</f>
        <v>236110</v>
      </c>
      <c r="L7" s="12">
        <f ca="1">IFERROR(__xludf.DUMMYFUNCTION("""COMPUTED_VALUE"""),434280)</f>
        <v>434280</v>
      </c>
      <c r="M7" s="12">
        <f ca="1">IFERROR(__xludf.DUMMYFUNCTION("""COMPUTED_VALUE"""),870825)</f>
        <v>870825</v>
      </c>
      <c r="N7" s="12">
        <f ca="1">IFERROR(__xludf.DUMMYFUNCTION("""COMPUTED_VALUE"""),245817)</f>
        <v>245817</v>
      </c>
      <c r="O7" s="12">
        <f ca="1">IFERROR(__xludf.DUMMYFUNCTION("""COMPUTED_VALUE"""),598086)</f>
        <v>598086</v>
      </c>
      <c r="P7" s="12">
        <f ca="1">IFERROR(__xludf.DUMMYFUNCTION("""COMPUTED_VALUE"""),120430)</f>
        <v>120430</v>
      </c>
      <c r="Q7" s="12">
        <f ca="1">IFERROR(__xludf.DUMMYFUNCTION("""COMPUTED_VALUE"""),428120)</f>
        <v>428120</v>
      </c>
      <c r="R7" s="12">
        <f ca="1">IFERROR(__xludf.DUMMYFUNCTION("""COMPUTED_VALUE"""),200814)</f>
        <v>200814</v>
      </c>
      <c r="S7" s="12">
        <f ca="1">IFERROR(__xludf.DUMMYFUNCTION("""COMPUTED_VALUE"""),211446)</f>
        <v>211446</v>
      </c>
      <c r="T7" s="12">
        <f ca="1">IFERROR(__xludf.DUMMYFUNCTION("""COMPUTED_VALUE"""),640794)</f>
        <v>640794</v>
      </c>
      <c r="U7" s="12">
        <f ca="1">IFERROR(__xludf.DUMMYFUNCTION("""COMPUTED_VALUE"""),617613)</f>
        <v>617613</v>
      </c>
      <c r="V7" s="12">
        <f ca="1">IFERROR(__xludf.DUMMYFUNCTION("""COMPUTED_VALUE"""),433508)</f>
        <v>433508</v>
      </c>
      <c r="W7" s="12">
        <f ca="1">IFERROR(__xludf.DUMMYFUNCTION("""COMPUTED_VALUE"""),1288579)</f>
        <v>1288579</v>
      </c>
      <c r="X7" s="12">
        <f ca="1">IFERROR(__xludf.DUMMYFUNCTION("""COMPUTED_VALUE"""),1513191)</f>
        <v>1513191</v>
      </c>
      <c r="Y7" s="12">
        <f ca="1">IFERROR(__xludf.DUMMYFUNCTION("""COMPUTED_VALUE"""),617315)</f>
        <v>617315</v>
      </c>
      <c r="Z7" s="12">
        <f ca="1">IFERROR(__xludf.DUMMYFUNCTION("""COMPUTED_VALUE"""),713010)</f>
        <v>713010</v>
      </c>
      <c r="AA7" s="12">
        <f ca="1">IFERROR(__xludf.DUMMYFUNCTION("""COMPUTED_VALUE"""),396228)</f>
        <v>396228</v>
      </c>
      <c r="AB7" s="12">
        <f ca="1">IFERROR(__xludf.DUMMYFUNCTION("""COMPUTED_VALUE"""),543406)</f>
        <v>543406</v>
      </c>
      <c r="AC7" s="12">
        <f ca="1">IFERROR(__xludf.DUMMYFUNCTION("""COMPUTED_VALUE"""),796712)</f>
        <v>796712</v>
      </c>
      <c r="AD7" s="12">
        <f ca="1">IFERROR(__xludf.DUMMYFUNCTION("""COMPUTED_VALUE"""),780528)</f>
        <v>780528</v>
      </c>
      <c r="AE7" s="12">
        <f ca="1">IFERROR(__xludf.DUMMYFUNCTION("""COMPUTED_VALUE"""),923995)</f>
        <v>923995</v>
      </c>
      <c r="AF7" s="8">
        <f ca="1">IFERROR(__xludf.DUMMYFUNCTION("""COMPUTED_VALUE"""),1434718)</f>
        <v>1434718</v>
      </c>
      <c r="AG7" s="8">
        <f ca="1">IFERROR(__xludf.DUMMYFUNCTION("""COMPUTED_VALUE"""),286979)</f>
        <v>286979</v>
      </c>
      <c r="AH7" s="8">
        <f ca="1">IFERROR(__xludf.DUMMYFUNCTION("""COMPUTED_VALUE"""),874169)</f>
        <v>874169</v>
      </c>
      <c r="AI7" s="8">
        <f ca="1">IFERROR(__xludf.DUMMYFUNCTION("""COMPUTED_VALUE"""),727083)</f>
        <v>727083</v>
      </c>
      <c r="AJ7" s="8">
        <f ca="1">IFERROR(__xludf.DUMMYFUNCTION("""COMPUTED_VALUE"""),290125)</f>
        <v>290125</v>
      </c>
      <c r="AK7" s="8">
        <f ca="1">IFERROR(__xludf.DUMMYFUNCTION("""COMPUTED_VALUE"""),178831)</f>
        <v>178831</v>
      </c>
      <c r="AL7" s="8">
        <f ca="1">IFERROR(__xludf.DUMMYFUNCTION("""COMPUTED_VALUE"""),436845)</f>
        <v>436845</v>
      </c>
      <c r="AM7" s="8">
        <f ca="1">IFERROR(__xludf.DUMMYFUNCTION("""COMPUTED_VALUE"""),861577)</f>
        <v>861577</v>
      </c>
      <c r="AN7" s="8">
        <f ca="1">IFERROR(__xludf.DUMMYFUNCTION("""COMPUTED_VALUE"""),460602)</f>
        <v>460602</v>
      </c>
      <c r="AO7" s="8">
        <f ca="1">IFERROR(__xludf.DUMMYFUNCTION("""COMPUTED_VALUE"""),343624)</f>
        <v>343624</v>
      </c>
      <c r="AP7" s="8"/>
      <c r="AQ7" s="8"/>
      <c r="AR7" s="8"/>
      <c r="AS7" s="8"/>
      <c r="AT7" s="8"/>
      <c r="AU7" s="8"/>
      <c r="AV7" s="8"/>
      <c r="AW7" s="8"/>
      <c r="AX7" s="8"/>
      <c r="AY7" s="8"/>
    </row>
    <row r="8" spans="1:51" ht="15.75" customHeight="1" x14ac:dyDescent="0.25">
      <c r="A8" s="11" t="str">
        <f ca="1">IFERROR(__xludf.DUMMYFUNCTION("""COMPUTED_VALUE"""),"                  left Frontal pole, cerebral cortex")</f>
        <v xml:space="preserve">                  left Frontal pole, cerebral cortex</v>
      </c>
      <c r="B8" s="12">
        <f ca="1">IFERROR(__xludf.DUMMYFUNCTION("""COMPUTED_VALUE"""),435)</f>
        <v>435</v>
      </c>
      <c r="C8" s="12">
        <f ca="1">IFERROR(__xludf.DUMMYFUNCTION("""COMPUTED_VALUE"""),1191)</f>
        <v>1191</v>
      </c>
      <c r="D8" s="12">
        <f ca="1">IFERROR(__xludf.DUMMYFUNCTION("""COMPUTED_VALUE"""),5196)</f>
        <v>5196</v>
      </c>
      <c r="E8" s="12">
        <f ca="1">IFERROR(__xludf.DUMMYFUNCTION("""COMPUTED_VALUE"""),1239)</f>
        <v>1239</v>
      </c>
      <c r="F8" s="12">
        <f ca="1">IFERROR(__xludf.DUMMYFUNCTION("""COMPUTED_VALUE"""),5661)</f>
        <v>5661</v>
      </c>
      <c r="G8" s="12">
        <f ca="1">IFERROR(__xludf.DUMMYFUNCTION("""COMPUTED_VALUE"""),1239)</f>
        <v>1239</v>
      </c>
      <c r="H8" s="12">
        <f ca="1">IFERROR(__xludf.DUMMYFUNCTION("""COMPUTED_VALUE"""),1047)</f>
        <v>1047</v>
      </c>
      <c r="I8" s="12">
        <f ca="1">IFERROR(__xludf.DUMMYFUNCTION("""COMPUTED_VALUE"""),231)</f>
        <v>231</v>
      </c>
      <c r="J8" s="12">
        <f ca="1">IFERROR(__xludf.DUMMYFUNCTION("""COMPUTED_VALUE"""),278)</f>
        <v>278</v>
      </c>
      <c r="K8" s="12">
        <f ca="1">IFERROR(__xludf.DUMMYFUNCTION("""COMPUTED_VALUE"""),2131)</f>
        <v>2131</v>
      </c>
      <c r="L8" s="12">
        <f ca="1">IFERROR(__xludf.DUMMYFUNCTION("""COMPUTED_VALUE"""),3295)</f>
        <v>3295</v>
      </c>
      <c r="M8" s="12">
        <f ca="1">IFERROR(__xludf.DUMMYFUNCTION("""COMPUTED_VALUE"""),3717)</f>
        <v>3717</v>
      </c>
      <c r="N8" s="12">
        <f ca="1">IFERROR(__xludf.DUMMYFUNCTION("""COMPUTED_VALUE"""),1930)</f>
        <v>1930</v>
      </c>
      <c r="O8" s="12">
        <f ca="1">IFERROR(__xludf.DUMMYFUNCTION("""COMPUTED_VALUE"""),2820)</f>
        <v>2820</v>
      </c>
      <c r="P8" s="12">
        <f ca="1">IFERROR(__xludf.DUMMYFUNCTION("""COMPUTED_VALUE"""),296)</f>
        <v>296</v>
      </c>
      <c r="Q8" s="12">
        <f ca="1">IFERROR(__xludf.DUMMYFUNCTION("""COMPUTED_VALUE"""),468)</f>
        <v>468</v>
      </c>
      <c r="R8" s="12">
        <f ca="1">IFERROR(__xludf.DUMMYFUNCTION("""COMPUTED_VALUE"""),428)</f>
        <v>428</v>
      </c>
      <c r="S8" s="12">
        <f ca="1">IFERROR(__xludf.DUMMYFUNCTION("""COMPUTED_VALUE"""),696)</f>
        <v>696</v>
      </c>
      <c r="T8" s="12">
        <f ca="1">IFERROR(__xludf.DUMMYFUNCTION("""COMPUTED_VALUE"""),3907)</f>
        <v>3907</v>
      </c>
      <c r="U8" s="12">
        <f ca="1">IFERROR(__xludf.DUMMYFUNCTION("""COMPUTED_VALUE"""),4575)</f>
        <v>4575</v>
      </c>
      <c r="V8" s="12">
        <f ca="1">IFERROR(__xludf.DUMMYFUNCTION("""COMPUTED_VALUE"""),2181)</f>
        <v>2181</v>
      </c>
      <c r="W8" s="12">
        <f ca="1">IFERROR(__xludf.DUMMYFUNCTION("""COMPUTED_VALUE"""),10980)</f>
        <v>10980</v>
      </c>
      <c r="X8" s="12">
        <f ca="1">IFERROR(__xludf.DUMMYFUNCTION("""COMPUTED_VALUE"""),9886)</f>
        <v>9886</v>
      </c>
      <c r="Y8" s="12">
        <f ca="1">IFERROR(__xludf.DUMMYFUNCTION("""COMPUTED_VALUE"""),2399)</f>
        <v>2399</v>
      </c>
      <c r="Z8" s="12">
        <f ca="1">IFERROR(__xludf.DUMMYFUNCTION("""COMPUTED_VALUE"""),3171)</f>
        <v>3171</v>
      </c>
      <c r="AA8" s="12">
        <f ca="1">IFERROR(__xludf.DUMMYFUNCTION("""COMPUTED_VALUE"""),595)</f>
        <v>595</v>
      </c>
      <c r="AB8" s="12">
        <f ca="1">IFERROR(__xludf.DUMMYFUNCTION("""COMPUTED_VALUE"""),3185)</f>
        <v>3185</v>
      </c>
      <c r="AC8" s="12">
        <f ca="1">IFERROR(__xludf.DUMMYFUNCTION("""COMPUTED_VALUE"""),1141)</f>
        <v>1141</v>
      </c>
      <c r="AD8" s="12">
        <f ca="1">IFERROR(__xludf.DUMMYFUNCTION("""COMPUTED_VALUE"""),6669)</f>
        <v>6669</v>
      </c>
      <c r="AE8" s="12">
        <f ca="1">IFERROR(__xludf.DUMMYFUNCTION("""COMPUTED_VALUE"""),5891)</f>
        <v>5891</v>
      </c>
      <c r="AF8" s="8">
        <f ca="1">IFERROR(__xludf.DUMMYFUNCTION("""COMPUTED_VALUE"""),10298)</f>
        <v>10298</v>
      </c>
      <c r="AG8" s="8">
        <f ca="1">IFERROR(__xludf.DUMMYFUNCTION("""COMPUTED_VALUE"""),1572)</f>
        <v>1572</v>
      </c>
      <c r="AH8" s="8">
        <f ca="1">IFERROR(__xludf.DUMMYFUNCTION("""COMPUTED_VALUE"""),5062)</f>
        <v>5062</v>
      </c>
      <c r="AI8" s="8">
        <f ca="1">IFERROR(__xludf.DUMMYFUNCTION("""COMPUTED_VALUE"""),2763)</f>
        <v>2763</v>
      </c>
      <c r="AJ8" s="8">
        <f ca="1">IFERROR(__xludf.DUMMYFUNCTION("""COMPUTED_VALUE"""),1683)</f>
        <v>1683</v>
      </c>
      <c r="AK8" s="8">
        <f ca="1">IFERROR(__xludf.DUMMYFUNCTION("""COMPUTED_VALUE"""),1773)</f>
        <v>1773</v>
      </c>
      <c r="AL8" s="8">
        <f ca="1">IFERROR(__xludf.DUMMYFUNCTION("""COMPUTED_VALUE"""),449)</f>
        <v>449</v>
      </c>
      <c r="AM8" s="8">
        <f ca="1">IFERROR(__xludf.DUMMYFUNCTION("""COMPUTED_VALUE"""),2740)</f>
        <v>2740</v>
      </c>
      <c r="AN8" s="8">
        <f ca="1">IFERROR(__xludf.DUMMYFUNCTION("""COMPUTED_VALUE"""),5649)</f>
        <v>5649</v>
      </c>
      <c r="AO8" s="8">
        <f ca="1">IFERROR(__xludf.DUMMYFUNCTION("""COMPUTED_VALUE"""),1197)</f>
        <v>1197</v>
      </c>
      <c r="AP8" s="8"/>
      <c r="AQ8" s="8"/>
      <c r="AR8" s="8"/>
      <c r="AS8" s="8"/>
      <c r="AT8" s="8"/>
      <c r="AU8" s="8"/>
      <c r="AV8" s="8"/>
      <c r="AW8" s="8"/>
      <c r="AX8" s="8"/>
      <c r="AY8" s="8"/>
    </row>
    <row r="9" spans="1:51" ht="15.75" customHeight="1" x14ac:dyDescent="0.25">
      <c r="A9" s="11" t="str">
        <f ca="1">IFERROR(__xludf.DUMMYFUNCTION("""COMPUTED_VALUE"""),"                  left Somatomotor areas")</f>
        <v xml:space="preserve">                  left Somatomotor areas</v>
      </c>
      <c r="B9" s="12">
        <f ca="1">IFERROR(__xludf.DUMMYFUNCTION("""COMPUTED_VALUE"""),8649)</f>
        <v>8649</v>
      </c>
      <c r="C9" s="12">
        <f ca="1">IFERROR(__xludf.DUMMYFUNCTION("""COMPUTED_VALUE"""),60443)</f>
        <v>60443</v>
      </c>
      <c r="D9" s="12">
        <f ca="1">IFERROR(__xludf.DUMMYFUNCTION("""COMPUTED_VALUE"""),153192)</f>
        <v>153192</v>
      </c>
      <c r="E9" s="12">
        <f ca="1">IFERROR(__xludf.DUMMYFUNCTION("""COMPUTED_VALUE"""),29138)</f>
        <v>29138</v>
      </c>
      <c r="F9" s="12">
        <f ca="1">IFERROR(__xludf.DUMMYFUNCTION("""COMPUTED_VALUE"""),114698)</f>
        <v>114698</v>
      </c>
      <c r="G9" s="12">
        <f ca="1">IFERROR(__xludf.DUMMYFUNCTION("""COMPUTED_VALUE"""),44139)</f>
        <v>44139</v>
      </c>
      <c r="H9" s="12">
        <f ca="1">IFERROR(__xludf.DUMMYFUNCTION("""COMPUTED_VALUE"""),42881)</f>
        <v>42881</v>
      </c>
      <c r="I9" s="12">
        <f ca="1">IFERROR(__xludf.DUMMYFUNCTION("""COMPUTED_VALUE"""),23728)</f>
        <v>23728</v>
      </c>
      <c r="J9" s="12">
        <f ca="1">IFERROR(__xludf.DUMMYFUNCTION("""COMPUTED_VALUE"""),11460)</f>
        <v>11460</v>
      </c>
      <c r="K9" s="12">
        <f ca="1">IFERROR(__xludf.DUMMYFUNCTION("""COMPUTED_VALUE"""),23738)</f>
        <v>23738</v>
      </c>
      <c r="L9" s="12">
        <f ca="1">IFERROR(__xludf.DUMMYFUNCTION("""COMPUTED_VALUE"""),71007)</f>
        <v>71007</v>
      </c>
      <c r="M9" s="12">
        <f ca="1">IFERROR(__xludf.DUMMYFUNCTION("""COMPUTED_VALUE"""),118096)</f>
        <v>118096</v>
      </c>
      <c r="N9" s="12">
        <f ca="1">IFERROR(__xludf.DUMMYFUNCTION("""COMPUTED_VALUE"""),41682)</f>
        <v>41682</v>
      </c>
      <c r="O9" s="12">
        <f ca="1">IFERROR(__xludf.DUMMYFUNCTION("""COMPUTED_VALUE"""),57211)</f>
        <v>57211</v>
      </c>
      <c r="P9" s="12">
        <f ca="1">IFERROR(__xludf.DUMMYFUNCTION("""COMPUTED_VALUE"""),5231)</f>
        <v>5231</v>
      </c>
      <c r="Q9" s="12">
        <f ca="1">IFERROR(__xludf.DUMMYFUNCTION("""COMPUTED_VALUE"""),28739)</f>
        <v>28739</v>
      </c>
      <c r="R9" s="12">
        <f ca="1">IFERROR(__xludf.DUMMYFUNCTION("""COMPUTED_VALUE"""),10790)</f>
        <v>10790</v>
      </c>
      <c r="S9" s="12">
        <f ca="1">IFERROR(__xludf.DUMMYFUNCTION("""COMPUTED_VALUE"""),25987)</f>
        <v>25987</v>
      </c>
      <c r="T9" s="12">
        <f ca="1">IFERROR(__xludf.DUMMYFUNCTION("""COMPUTED_VALUE"""),76424)</f>
        <v>76424</v>
      </c>
      <c r="U9" s="12">
        <f ca="1">IFERROR(__xludf.DUMMYFUNCTION("""COMPUTED_VALUE"""),97564)</f>
        <v>97564</v>
      </c>
      <c r="V9" s="12">
        <f ca="1">IFERROR(__xludf.DUMMYFUNCTION("""COMPUTED_VALUE"""),58101)</f>
        <v>58101</v>
      </c>
      <c r="W9" s="12">
        <f ca="1">IFERROR(__xludf.DUMMYFUNCTION("""COMPUTED_VALUE"""),270434)</f>
        <v>270434</v>
      </c>
      <c r="X9" s="12">
        <f ca="1">IFERROR(__xludf.DUMMYFUNCTION("""COMPUTED_VALUE"""),254767)</f>
        <v>254767</v>
      </c>
      <c r="Y9" s="12">
        <f ca="1">IFERROR(__xludf.DUMMYFUNCTION("""COMPUTED_VALUE"""),88889)</f>
        <v>88889</v>
      </c>
      <c r="Z9" s="12">
        <f ca="1">IFERROR(__xludf.DUMMYFUNCTION("""COMPUTED_VALUE"""),78850)</f>
        <v>78850</v>
      </c>
      <c r="AA9" s="12">
        <f ca="1">IFERROR(__xludf.DUMMYFUNCTION("""COMPUTED_VALUE"""),22802)</f>
        <v>22802</v>
      </c>
      <c r="AB9" s="12">
        <f ca="1">IFERROR(__xludf.DUMMYFUNCTION("""COMPUTED_VALUE"""),56245)</f>
        <v>56245</v>
      </c>
      <c r="AC9" s="12">
        <f ca="1">IFERROR(__xludf.DUMMYFUNCTION("""COMPUTED_VALUE"""),78695)</f>
        <v>78695</v>
      </c>
      <c r="AD9" s="12">
        <f ca="1">IFERROR(__xludf.DUMMYFUNCTION("""COMPUTED_VALUE"""),93692)</f>
        <v>93692</v>
      </c>
      <c r="AE9" s="12">
        <f ca="1">IFERROR(__xludf.DUMMYFUNCTION("""COMPUTED_VALUE"""),102889)</f>
        <v>102889</v>
      </c>
      <c r="AF9" s="8">
        <f ca="1">IFERROR(__xludf.DUMMYFUNCTION("""COMPUTED_VALUE"""),141955)</f>
        <v>141955</v>
      </c>
      <c r="AG9" s="8">
        <f ca="1">IFERROR(__xludf.DUMMYFUNCTION("""COMPUTED_VALUE"""),27953)</f>
        <v>27953</v>
      </c>
      <c r="AH9" s="8">
        <f ca="1">IFERROR(__xludf.DUMMYFUNCTION("""COMPUTED_VALUE"""),141371)</f>
        <v>141371</v>
      </c>
      <c r="AI9" s="8">
        <f ca="1">IFERROR(__xludf.DUMMYFUNCTION("""COMPUTED_VALUE"""),78754)</f>
        <v>78754</v>
      </c>
      <c r="AJ9" s="8">
        <f ca="1">IFERROR(__xludf.DUMMYFUNCTION("""COMPUTED_VALUE"""),15202)</f>
        <v>15202</v>
      </c>
      <c r="AK9" s="8">
        <f ca="1">IFERROR(__xludf.DUMMYFUNCTION("""COMPUTED_VALUE"""),21117)</f>
        <v>21117</v>
      </c>
      <c r="AL9" s="8">
        <f ca="1">IFERROR(__xludf.DUMMYFUNCTION("""COMPUTED_VALUE"""),62596)</f>
        <v>62596</v>
      </c>
      <c r="AM9" s="8">
        <f ca="1">IFERROR(__xludf.DUMMYFUNCTION("""COMPUTED_VALUE"""),133193)</f>
        <v>133193</v>
      </c>
      <c r="AN9" s="8">
        <f ca="1">IFERROR(__xludf.DUMMYFUNCTION("""COMPUTED_VALUE"""),58875)</f>
        <v>58875</v>
      </c>
      <c r="AO9" s="8">
        <f ca="1">IFERROR(__xludf.DUMMYFUNCTION("""COMPUTED_VALUE"""),52005)</f>
        <v>52005</v>
      </c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1" ht="15.75" customHeight="1" x14ac:dyDescent="0.25">
      <c r="A10" s="11" t="str">
        <f ca="1">IFERROR(__xludf.DUMMYFUNCTION("""COMPUTED_VALUE"""),"                     left Primary motor area")</f>
        <v xml:space="preserve">                     left Primary motor area</v>
      </c>
      <c r="B10" s="12">
        <f ca="1">IFERROR(__xludf.DUMMYFUNCTION("""COMPUTED_VALUE"""),2066)</f>
        <v>2066</v>
      </c>
      <c r="C10" s="12">
        <f ca="1">IFERROR(__xludf.DUMMYFUNCTION("""COMPUTED_VALUE"""),34924)</f>
        <v>34924</v>
      </c>
      <c r="D10" s="12">
        <f ca="1">IFERROR(__xludf.DUMMYFUNCTION("""COMPUTED_VALUE"""),63358)</f>
        <v>63358</v>
      </c>
      <c r="E10" s="12">
        <f ca="1">IFERROR(__xludf.DUMMYFUNCTION("""COMPUTED_VALUE"""),12391)</f>
        <v>12391</v>
      </c>
      <c r="F10" s="12">
        <f ca="1">IFERROR(__xludf.DUMMYFUNCTION("""COMPUTED_VALUE"""),54757)</f>
        <v>54757</v>
      </c>
      <c r="G10" s="12">
        <f ca="1">IFERROR(__xludf.DUMMYFUNCTION("""COMPUTED_VALUE"""),21512)</f>
        <v>21512</v>
      </c>
      <c r="H10" s="12">
        <f ca="1">IFERROR(__xludf.DUMMYFUNCTION("""COMPUTED_VALUE"""),26117)</f>
        <v>26117</v>
      </c>
      <c r="I10" s="12">
        <f ca="1">IFERROR(__xludf.DUMMYFUNCTION("""COMPUTED_VALUE"""),8831)</f>
        <v>8831</v>
      </c>
      <c r="J10" s="12">
        <f ca="1">IFERROR(__xludf.DUMMYFUNCTION("""COMPUTED_VALUE"""),6676)</f>
        <v>6676</v>
      </c>
      <c r="K10" s="12">
        <f ca="1">IFERROR(__xludf.DUMMYFUNCTION("""COMPUTED_VALUE"""),9041)</f>
        <v>9041</v>
      </c>
      <c r="L10" s="12">
        <f ca="1">IFERROR(__xludf.DUMMYFUNCTION("""COMPUTED_VALUE"""),34573)</f>
        <v>34573</v>
      </c>
      <c r="M10" s="12">
        <f ca="1">IFERROR(__xludf.DUMMYFUNCTION("""COMPUTED_VALUE"""),65776)</f>
        <v>65776</v>
      </c>
      <c r="N10" s="12">
        <f ca="1">IFERROR(__xludf.DUMMYFUNCTION("""COMPUTED_VALUE"""),23570)</f>
        <v>23570</v>
      </c>
      <c r="O10" s="12">
        <f ca="1">IFERROR(__xludf.DUMMYFUNCTION("""COMPUTED_VALUE"""),23214)</f>
        <v>23214</v>
      </c>
      <c r="P10" s="12">
        <f ca="1">IFERROR(__xludf.DUMMYFUNCTION("""COMPUTED_VALUE"""),1502)</f>
        <v>1502</v>
      </c>
      <c r="Q10" s="12">
        <f ca="1">IFERROR(__xludf.DUMMYFUNCTION("""COMPUTED_VALUE"""),13735)</f>
        <v>13735</v>
      </c>
      <c r="R10" s="12">
        <f ca="1">IFERROR(__xludf.DUMMYFUNCTION("""COMPUTED_VALUE"""),6772)</f>
        <v>6772</v>
      </c>
      <c r="S10" s="12">
        <f ca="1">IFERROR(__xludf.DUMMYFUNCTION("""COMPUTED_VALUE"""),9831)</f>
        <v>9831</v>
      </c>
      <c r="T10" s="12">
        <f ca="1">IFERROR(__xludf.DUMMYFUNCTION("""COMPUTED_VALUE"""),32445)</f>
        <v>32445</v>
      </c>
      <c r="U10" s="12">
        <f ca="1">IFERROR(__xludf.DUMMYFUNCTION("""COMPUTED_VALUE"""),45846)</f>
        <v>45846</v>
      </c>
      <c r="V10" s="12">
        <f ca="1">IFERROR(__xludf.DUMMYFUNCTION("""COMPUTED_VALUE"""),20133)</f>
        <v>20133</v>
      </c>
      <c r="W10" s="12">
        <f ca="1">IFERROR(__xludf.DUMMYFUNCTION("""COMPUTED_VALUE"""),115363)</f>
        <v>115363</v>
      </c>
      <c r="X10" s="12">
        <f ca="1">IFERROR(__xludf.DUMMYFUNCTION("""COMPUTED_VALUE"""),138041)</f>
        <v>138041</v>
      </c>
      <c r="Y10" s="12">
        <f ca="1">IFERROR(__xludf.DUMMYFUNCTION("""COMPUTED_VALUE"""),40262)</f>
        <v>40262</v>
      </c>
      <c r="Z10" s="12">
        <f ca="1">IFERROR(__xludf.DUMMYFUNCTION("""COMPUTED_VALUE"""),39564)</f>
        <v>39564</v>
      </c>
      <c r="AA10" s="12">
        <f ca="1">IFERROR(__xludf.DUMMYFUNCTION("""COMPUTED_VALUE"""),11978)</f>
        <v>11978</v>
      </c>
      <c r="AB10" s="12">
        <f ca="1">IFERROR(__xludf.DUMMYFUNCTION("""COMPUTED_VALUE"""),22761)</f>
        <v>22761</v>
      </c>
      <c r="AC10" s="12">
        <f ca="1">IFERROR(__xludf.DUMMYFUNCTION("""COMPUTED_VALUE"""),36896)</f>
        <v>36896</v>
      </c>
      <c r="AD10" s="12">
        <f ca="1">IFERROR(__xludf.DUMMYFUNCTION("""COMPUTED_VALUE"""),40350)</f>
        <v>40350</v>
      </c>
      <c r="AE10" s="12">
        <f ca="1">IFERROR(__xludf.DUMMYFUNCTION("""COMPUTED_VALUE"""),24571)</f>
        <v>24571</v>
      </c>
      <c r="AF10" s="8">
        <f ca="1">IFERROR(__xludf.DUMMYFUNCTION("""COMPUTED_VALUE"""),56475)</f>
        <v>56475</v>
      </c>
      <c r="AG10" s="8">
        <f ca="1">IFERROR(__xludf.DUMMYFUNCTION("""COMPUTED_VALUE"""),9116)</f>
        <v>9116</v>
      </c>
      <c r="AH10" s="8">
        <f ca="1">IFERROR(__xludf.DUMMYFUNCTION("""COMPUTED_VALUE"""),72697)</f>
        <v>72697</v>
      </c>
      <c r="AI10" s="8">
        <f ca="1">IFERROR(__xludf.DUMMYFUNCTION("""COMPUTED_VALUE"""),42676)</f>
        <v>42676</v>
      </c>
      <c r="AJ10" s="8">
        <f ca="1">IFERROR(__xludf.DUMMYFUNCTION("""COMPUTED_VALUE"""),5080)</f>
        <v>5080</v>
      </c>
      <c r="AK10" s="8">
        <f ca="1">IFERROR(__xludf.DUMMYFUNCTION("""COMPUTED_VALUE"""),5910)</f>
        <v>5910</v>
      </c>
      <c r="AL10" s="8">
        <f ca="1">IFERROR(__xludf.DUMMYFUNCTION("""COMPUTED_VALUE"""),36118)</f>
        <v>36118</v>
      </c>
      <c r="AM10" s="8">
        <f ca="1">IFERROR(__xludf.DUMMYFUNCTION("""COMPUTED_VALUE"""),53792)</f>
        <v>53792</v>
      </c>
      <c r="AN10" s="8">
        <f ca="1">IFERROR(__xludf.DUMMYFUNCTION("""COMPUTED_VALUE"""),25535)</f>
        <v>25535</v>
      </c>
      <c r="AO10" s="8">
        <f ca="1">IFERROR(__xludf.DUMMYFUNCTION("""COMPUTED_VALUE"""),20516)</f>
        <v>20516</v>
      </c>
      <c r="AP10" s="8"/>
      <c r="AQ10" s="8"/>
      <c r="AR10" s="8"/>
      <c r="AS10" s="8"/>
      <c r="AT10" s="8"/>
      <c r="AU10" s="8"/>
      <c r="AV10" s="8"/>
      <c r="AW10" s="8"/>
      <c r="AX10" s="8"/>
      <c r="AY10" s="8"/>
    </row>
    <row r="11" spans="1:51" ht="15.75" customHeight="1" x14ac:dyDescent="0.25">
      <c r="A11" s="11" t="str">
        <f ca="1">IFERROR(__xludf.DUMMYFUNCTION("""COMPUTED_VALUE"""),"                     left Secondary motor area")</f>
        <v xml:space="preserve">                     left Secondary motor area</v>
      </c>
      <c r="B11" s="12">
        <f ca="1">IFERROR(__xludf.DUMMYFUNCTION("""COMPUTED_VALUE"""),6583)</f>
        <v>6583</v>
      </c>
      <c r="C11" s="12">
        <f ca="1">IFERROR(__xludf.DUMMYFUNCTION("""COMPUTED_VALUE"""),25519)</f>
        <v>25519</v>
      </c>
      <c r="D11" s="12">
        <f ca="1">IFERROR(__xludf.DUMMYFUNCTION("""COMPUTED_VALUE"""),89834)</f>
        <v>89834</v>
      </c>
      <c r="E11" s="12">
        <f ca="1">IFERROR(__xludf.DUMMYFUNCTION("""COMPUTED_VALUE"""),16747)</f>
        <v>16747</v>
      </c>
      <c r="F11" s="12">
        <f ca="1">IFERROR(__xludf.DUMMYFUNCTION("""COMPUTED_VALUE"""),59941)</f>
        <v>59941</v>
      </c>
      <c r="G11" s="12">
        <f ca="1">IFERROR(__xludf.DUMMYFUNCTION("""COMPUTED_VALUE"""),22627)</f>
        <v>22627</v>
      </c>
      <c r="H11" s="12">
        <f ca="1">IFERROR(__xludf.DUMMYFUNCTION("""COMPUTED_VALUE"""),16764)</f>
        <v>16764</v>
      </c>
      <c r="I11" s="12">
        <f ca="1">IFERROR(__xludf.DUMMYFUNCTION("""COMPUTED_VALUE"""),14897)</f>
        <v>14897</v>
      </c>
      <c r="J11" s="12">
        <f ca="1">IFERROR(__xludf.DUMMYFUNCTION("""COMPUTED_VALUE"""),4784)</f>
        <v>4784</v>
      </c>
      <c r="K11" s="12">
        <f ca="1">IFERROR(__xludf.DUMMYFUNCTION("""COMPUTED_VALUE"""),14697)</f>
        <v>14697</v>
      </c>
      <c r="L11" s="12">
        <f ca="1">IFERROR(__xludf.DUMMYFUNCTION("""COMPUTED_VALUE"""),36434)</f>
        <v>36434</v>
      </c>
      <c r="M11" s="12">
        <f ca="1">IFERROR(__xludf.DUMMYFUNCTION("""COMPUTED_VALUE"""),52320)</f>
        <v>52320</v>
      </c>
      <c r="N11" s="12">
        <f ca="1">IFERROR(__xludf.DUMMYFUNCTION("""COMPUTED_VALUE"""),18112)</f>
        <v>18112</v>
      </c>
      <c r="O11" s="12">
        <f ca="1">IFERROR(__xludf.DUMMYFUNCTION("""COMPUTED_VALUE"""),33997)</f>
        <v>33997</v>
      </c>
      <c r="P11" s="12">
        <f ca="1">IFERROR(__xludf.DUMMYFUNCTION("""COMPUTED_VALUE"""),3729)</f>
        <v>3729</v>
      </c>
      <c r="Q11" s="12">
        <f ca="1">IFERROR(__xludf.DUMMYFUNCTION("""COMPUTED_VALUE"""),15004)</f>
        <v>15004</v>
      </c>
      <c r="R11" s="12">
        <f ca="1">IFERROR(__xludf.DUMMYFUNCTION("""COMPUTED_VALUE"""),4018)</f>
        <v>4018</v>
      </c>
      <c r="S11" s="12">
        <f ca="1">IFERROR(__xludf.DUMMYFUNCTION("""COMPUTED_VALUE"""),16156)</f>
        <v>16156</v>
      </c>
      <c r="T11" s="12">
        <f ca="1">IFERROR(__xludf.DUMMYFUNCTION("""COMPUTED_VALUE"""),43979)</f>
        <v>43979</v>
      </c>
      <c r="U11" s="12">
        <f ca="1">IFERROR(__xludf.DUMMYFUNCTION("""COMPUTED_VALUE"""),51718)</f>
        <v>51718</v>
      </c>
      <c r="V11" s="12">
        <f ca="1">IFERROR(__xludf.DUMMYFUNCTION("""COMPUTED_VALUE"""),37968)</f>
        <v>37968</v>
      </c>
      <c r="W11" s="12">
        <f ca="1">IFERROR(__xludf.DUMMYFUNCTION("""COMPUTED_VALUE"""),155071)</f>
        <v>155071</v>
      </c>
      <c r="X11" s="12">
        <f ca="1">IFERROR(__xludf.DUMMYFUNCTION("""COMPUTED_VALUE"""),116726)</f>
        <v>116726</v>
      </c>
      <c r="Y11" s="12">
        <f ca="1">IFERROR(__xludf.DUMMYFUNCTION("""COMPUTED_VALUE"""),48627)</f>
        <v>48627</v>
      </c>
      <c r="Z11" s="12">
        <f ca="1">IFERROR(__xludf.DUMMYFUNCTION("""COMPUTED_VALUE"""),39286)</f>
        <v>39286</v>
      </c>
      <c r="AA11" s="12">
        <f ca="1">IFERROR(__xludf.DUMMYFUNCTION("""COMPUTED_VALUE"""),10824)</f>
        <v>10824</v>
      </c>
      <c r="AB11" s="12">
        <f ca="1">IFERROR(__xludf.DUMMYFUNCTION("""COMPUTED_VALUE"""),33484)</f>
        <v>33484</v>
      </c>
      <c r="AC11" s="12">
        <f ca="1">IFERROR(__xludf.DUMMYFUNCTION("""COMPUTED_VALUE"""),41799)</f>
        <v>41799</v>
      </c>
      <c r="AD11" s="12">
        <f ca="1">IFERROR(__xludf.DUMMYFUNCTION("""COMPUTED_VALUE"""),53342)</f>
        <v>53342</v>
      </c>
      <c r="AE11" s="12">
        <f ca="1">IFERROR(__xludf.DUMMYFUNCTION("""COMPUTED_VALUE"""),78318)</f>
        <v>78318</v>
      </c>
      <c r="AF11" s="8">
        <f ca="1">IFERROR(__xludf.DUMMYFUNCTION("""COMPUTED_VALUE"""),85480)</f>
        <v>85480</v>
      </c>
      <c r="AG11" s="8">
        <f ca="1">IFERROR(__xludf.DUMMYFUNCTION("""COMPUTED_VALUE"""),18837)</f>
        <v>18837</v>
      </c>
      <c r="AH11" s="8">
        <f ca="1">IFERROR(__xludf.DUMMYFUNCTION("""COMPUTED_VALUE"""),68674)</f>
        <v>68674</v>
      </c>
      <c r="AI11" s="8">
        <f ca="1">IFERROR(__xludf.DUMMYFUNCTION("""COMPUTED_VALUE"""),36078)</f>
        <v>36078</v>
      </c>
      <c r="AJ11" s="8">
        <f ca="1">IFERROR(__xludf.DUMMYFUNCTION("""COMPUTED_VALUE"""),10122)</f>
        <v>10122</v>
      </c>
      <c r="AK11" s="8">
        <f ca="1">IFERROR(__xludf.DUMMYFUNCTION("""COMPUTED_VALUE"""),15207)</f>
        <v>15207</v>
      </c>
      <c r="AL11" s="8">
        <f ca="1">IFERROR(__xludf.DUMMYFUNCTION("""COMPUTED_VALUE"""),26478)</f>
        <v>26478</v>
      </c>
      <c r="AM11" s="8">
        <f ca="1">IFERROR(__xludf.DUMMYFUNCTION("""COMPUTED_VALUE"""),79401)</f>
        <v>79401</v>
      </c>
      <c r="AN11" s="8">
        <f ca="1">IFERROR(__xludf.DUMMYFUNCTION("""COMPUTED_VALUE"""),33340)</f>
        <v>33340</v>
      </c>
      <c r="AO11" s="8">
        <f ca="1">IFERROR(__xludf.DUMMYFUNCTION("""COMPUTED_VALUE"""),31489)</f>
        <v>31489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</row>
    <row r="12" spans="1:51" ht="15.75" customHeight="1" x14ac:dyDescent="0.25">
      <c r="A12" s="11" t="str">
        <f ca="1">IFERROR(__xludf.DUMMYFUNCTION("""COMPUTED_VALUE"""),"                  left Somatosensory areas")</f>
        <v xml:space="preserve">                  left Somatosensory areas</v>
      </c>
      <c r="B12" s="12">
        <f ca="1">IFERROR(__xludf.DUMMYFUNCTION("""COMPUTED_VALUE"""),20497)</f>
        <v>20497</v>
      </c>
      <c r="C12" s="12">
        <f ca="1">IFERROR(__xludf.DUMMYFUNCTION("""COMPUTED_VALUE"""),106392)</f>
        <v>106392</v>
      </c>
      <c r="D12" s="12">
        <f ca="1">IFERROR(__xludf.DUMMYFUNCTION("""COMPUTED_VALUE"""),269234)</f>
        <v>269234</v>
      </c>
      <c r="E12" s="12">
        <f ca="1">IFERROR(__xludf.DUMMYFUNCTION("""COMPUTED_VALUE"""),77703)</f>
        <v>77703</v>
      </c>
      <c r="F12" s="12">
        <f ca="1">IFERROR(__xludf.DUMMYFUNCTION("""COMPUTED_VALUE"""),235493)</f>
        <v>235493</v>
      </c>
      <c r="G12" s="12">
        <f ca="1">IFERROR(__xludf.DUMMYFUNCTION("""COMPUTED_VALUE"""),51656)</f>
        <v>51656</v>
      </c>
      <c r="H12" s="12">
        <f ca="1">IFERROR(__xludf.DUMMYFUNCTION("""COMPUTED_VALUE"""),97453)</f>
        <v>97453</v>
      </c>
      <c r="I12" s="12">
        <f ca="1">IFERROR(__xludf.DUMMYFUNCTION("""COMPUTED_VALUE"""),33426)</f>
        <v>33426</v>
      </c>
      <c r="J12" s="12">
        <f ca="1">IFERROR(__xludf.DUMMYFUNCTION("""COMPUTED_VALUE"""),32309)</f>
        <v>32309</v>
      </c>
      <c r="K12" s="12">
        <f ca="1">IFERROR(__xludf.DUMMYFUNCTION("""COMPUTED_VALUE"""),28841)</f>
        <v>28841</v>
      </c>
      <c r="L12" s="12">
        <f ca="1">IFERROR(__xludf.DUMMYFUNCTION("""COMPUTED_VALUE"""),126980)</f>
        <v>126980</v>
      </c>
      <c r="M12" s="12">
        <f ca="1">IFERROR(__xludf.DUMMYFUNCTION("""COMPUTED_VALUE"""),302439)</f>
        <v>302439</v>
      </c>
      <c r="N12" s="12">
        <f ca="1">IFERROR(__xludf.DUMMYFUNCTION("""COMPUTED_VALUE"""),68013)</f>
        <v>68013</v>
      </c>
      <c r="O12" s="12">
        <f ca="1">IFERROR(__xludf.DUMMYFUNCTION("""COMPUTED_VALUE"""),123569)</f>
        <v>123569</v>
      </c>
      <c r="P12" s="12">
        <f ca="1">IFERROR(__xludf.DUMMYFUNCTION("""COMPUTED_VALUE"""),8776)</f>
        <v>8776</v>
      </c>
      <c r="Q12" s="12">
        <f ca="1">IFERROR(__xludf.DUMMYFUNCTION("""COMPUTED_VALUE"""),81367)</f>
        <v>81367</v>
      </c>
      <c r="R12" s="12">
        <f ca="1">IFERROR(__xludf.DUMMYFUNCTION("""COMPUTED_VALUE"""),33595)</f>
        <v>33595</v>
      </c>
      <c r="S12" s="12">
        <f ca="1">IFERROR(__xludf.DUMMYFUNCTION("""COMPUTED_VALUE"""),27636)</f>
        <v>27636</v>
      </c>
      <c r="T12" s="12">
        <f ca="1">IFERROR(__xludf.DUMMYFUNCTION("""COMPUTED_VALUE"""),129807)</f>
        <v>129807</v>
      </c>
      <c r="U12" s="12">
        <f ca="1">IFERROR(__xludf.DUMMYFUNCTION("""COMPUTED_VALUE"""),141447)</f>
        <v>141447</v>
      </c>
      <c r="V12" s="12">
        <f ca="1">IFERROR(__xludf.DUMMYFUNCTION("""COMPUTED_VALUE"""),61823)</f>
        <v>61823</v>
      </c>
      <c r="W12" s="12">
        <f ca="1">IFERROR(__xludf.DUMMYFUNCTION("""COMPUTED_VALUE"""),365378)</f>
        <v>365378</v>
      </c>
      <c r="X12" s="12">
        <f ca="1">IFERROR(__xludf.DUMMYFUNCTION("""COMPUTED_VALUE"""),438151)</f>
        <v>438151</v>
      </c>
      <c r="Y12" s="12">
        <f ca="1">IFERROR(__xludf.DUMMYFUNCTION("""COMPUTED_VALUE"""),106464)</f>
        <v>106464</v>
      </c>
      <c r="Z12" s="12">
        <f ca="1">IFERROR(__xludf.DUMMYFUNCTION("""COMPUTED_VALUE"""),230695)</f>
        <v>230695</v>
      </c>
      <c r="AA12" s="12">
        <f ca="1">IFERROR(__xludf.DUMMYFUNCTION("""COMPUTED_VALUE"""),42794)</f>
        <v>42794</v>
      </c>
      <c r="AB12" s="12">
        <f ca="1">IFERROR(__xludf.DUMMYFUNCTION("""COMPUTED_VALUE"""),92113)</f>
        <v>92113</v>
      </c>
      <c r="AC12" s="12">
        <f ca="1">IFERROR(__xludf.DUMMYFUNCTION("""COMPUTED_VALUE"""),192304)</f>
        <v>192304</v>
      </c>
      <c r="AD12" s="12">
        <f ca="1">IFERROR(__xludf.DUMMYFUNCTION("""COMPUTED_VALUE"""),159106)</f>
        <v>159106</v>
      </c>
      <c r="AE12" s="12">
        <f ca="1">IFERROR(__xludf.DUMMYFUNCTION("""COMPUTED_VALUE"""),219539)</f>
        <v>219539</v>
      </c>
      <c r="AF12" s="8">
        <f ca="1">IFERROR(__xludf.DUMMYFUNCTION("""COMPUTED_VALUE"""),370799)</f>
        <v>370799</v>
      </c>
      <c r="AG12" s="8">
        <f ca="1">IFERROR(__xludf.DUMMYFUNCTION("""COMPUTED_VALUE"""),50838)</f>
        <v>50838</v>
      </c>
      <c r="AH12" s="8">
        <f ca="1">IFERROR(__xludf.DUMMYFUNCTION("""COMPUTED_VALUE"""),282690)</f>
        <v>282690</v>
      </c>
      <c r="AI12" s="8">
        <f ca="1">IFERROR(__xludf.DUMMYFUNCTION("""COMPUTED_VALUE"""),227939)</f>
        <v>227939</v>
      </c>
      <c r="AJ12" s="8">
        <f ca="1">IFERROR(__xludf.DUMMYFUNCTION("""COMPUTED_VALUE"""),35591)</f>
        <v>35591</v>
      </c>
      <c r="AK12" s="8">
        <f ca="1">IFERROR(__xludf.DUMMYFUNCTION("""COMPUTED_VALUE"""),30373)</f>
        <v>30373</v>
      </c>
      <c r="AL12" s="8">
        <f ca="1">IFERROR(__xludf.DUMMYFUNCTION("""COMPUTED_VALUE"""),122508)</f>
        <v>122508</v>
      </c>
      <c r="AM12" s="8">
        <f ca="1">IFERROR(__xludf.DUMMYFUNCTION("""COMPUTED_VALUE"""),215782)</f>
        <v>215782</v>
      </c>
      <c r="AN12" s="8">
        <f ca="1">IFERROR(__xludf.DUMMYFUNCTION("""COMPUTED_VALUE"""),97264)</f>
        <v>97264</v>
      </c>
      <c r="AO12" s="8">
        <f ca="1">IFERROR(__xludf.DUMMYFUNCTION("""COMPUTED_VALUE"""),66278)</f>
        <v>66278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1" ht="15.75" customHeight="1" x14ac:dyDescent="0.25">
      <c r="A13" s="11" t="str">
        <f ca="1">IFERROR(__xludf.DUMMYFUNCTION("""COMPUTED_VALUE"""),"                     left Primary somatosensory area")</f>
        <v xml:space="preserve">                     left Primary somatosensory area</v>
      </c>
      <c r="B13" s="12">
        <f ca="1">IFERROR(__xludf.DUMMYFUNCTION("""COMPUTED_VALUE"""),9230)</f>
        <v>9230</v>
      </c>
      <c r="C13" s="12">
        <f ca="1">IFERROR(__xludf.DUMMYFUNCTION("""COMPUTED_VALUE"""),85509)</f>
        <v>85509</v>
      </c>
      <c r="D13" s="12">
        <f ca="1">IFERROR(__xludf.DUMMYFUNCTION("""COMPUTED_VALUE"""),213982)</f>
        <v>213982</v>
      </c>
      <c r="E13" s="12">
        <f ca="1">IFERROR(__xludf.DUMMYFUNCTION("""COMPUTED_VALUE"""),48502)</f>
        <v>48502</v>
      </c>
      <c r="F13" s="12">
        <f ca="1">IFERROR(__xludf.DUMMYFUNCTION("""COMPUTED_VALUE"""),173440)</f>
        <v>173440</v>
      </c>
      <c r="G13" s="12">
        <f ca="1">IFERROR(__xludf.DUMMYFUNCTION("""COMPUTED_VALUE"""),36386)</f>
        <v>36386</v>
      </c>
      <c r="H13" s="12">
        <f ca="1">IFERROR(__xludf.DUMMYFUNCTION("""COMPUTED_VALUE"""),65948)</f>
        <v>65948</v>
      </c>
      <c r="I13" s="12">
        <f ca="1">IFERROR(__xludf.DUMMYFUNCTION("""COMPUTED_VALUE"""),27408)</f>
        <v>27408</v>
      </c>
      <c r="J13" s="12">
        <f ca="1">IFERROR(__xludf.DUMMYFUNCTION("""COMPUTED_VALUE"""),26744)</f>
        <v>26744</v>
      </c>
      <c r="K13" s="12">
        <f ca="1">IFERROR(__xludf.DUMMYFUNCTION("""COMPUTED_VALUE"""),20808)</f>
        <v>20808</v>
      </c>
      <c r="L13" s="12">
        <f ca="1">IFERROR(__xludf.DUMMYFUNCTION("""COMPUTED_VALUE"""),93016)</f>
        <v>93016</v>
      </c>
      <c r="M13" s="12">
        <f ca="1">IFERROR(__xludf.DUMMYFUNCTION("""COMPUTED_VALUE"""),215132)</f>
        <v>215132</v>
      </c>
      <c r="N13" s="12">
        <f ca="1">IFERROR(__xludf.DUMMYFUNCTION("""COMPUTED_VALUE"""),43096)</f>
        <v>43096</v>
      </c>
      <c r="O13" s="12">
        <f ca="1">IFERROR(__xludf.DUMMYFUNCTION("""COMPUTED_VALUE"""),85122)</f>
        <v>85122</v>
      </c>
      <c r="P13" s="12">
        <f ca="1">IFERROR(__xludf.DUMMYFUNCTION("""COMPUTED_VALUE"""),3697)</f>
        <v>3697</v>
      </c>
      <c r="Q13" s="12">
        <f ca="1">IFERROR(__xludf.DUMMYFUNCTION("""COMPUTED_VALUE"""),60277)</f>
        <v>60277</v>
      </c>
      <c r="R13" s="12">
        <f ca="1">IFERROR(__xludf.DUMMYFUNCTION("""COMPUTED_VALUE"""),20065)</f>
        <v>20065</v>
      </c>
      <c r="S13" s="12">
        <f ca="1">IFERROR(__xludf.DUMMYFUNCTION("""COMPUTED_VALUE"""),22896)</f>
        <v>22896</v>
      </c>
      <c r="T13" s="12">
        <f ca="1">IFERROR(__xludf.DUMMYFUNCTION("""COMPUTED_VALUE"""),103219)</f>
        <v>103219</v>
      </c>
      <c r="U13" s="12">
        <f ca="1">IFERROR(__xludf.DUMMYFUNCTION("""COMPUTED_VALUE"""),115179)</f>
        <v>115179</v>
      </c>
      <c r="V13" s="12">
        <f ca="1">IFERROR(__xludf.DUMMYFUNCTION("""COMPUTED_VALUE"""),46147)</f>
        <v>46147</v>
      </c>
      <c r="W13" s="12">
        <f ca="1">IFERROR(__xludf.DUMMYFUNCTION("""COMPUTED_VALUE"""),259197)</f>
        <v>259197</v>
      </c>
      <c r="X13" s="12">
        <f ca="1">IFERROR(__xludf.DUMMYFUNCTION("""COMPUTED_VALUE"""),313198)</f>
        <v>313198</v>
      </c>
      <c r="Y13" s="12">
        <f ca="1">IFERROR(__xludf.DUMMYFUNCTION("""COMPUTED_VALUE"""),71500)</f>
        <v>71500</v>
      </c>
      <c r="Z13" s="12">
        <f ca="1">IFERROR(__xludf.DUMMYFUNCTION("""COMPUTED_VALUE"""),159517)</f>
        <v>159517</v>
      </c>
      <c r="AA13" s="12">
        <f ca="1">IFERROR(__xludf.DUMMYFUNCTION("""COMPUTED_VALUE"""),27811)</f>
        <v>27811</v>
      </c>
      <c r="AB13" s="12">
        <f ca="1">IFERROR(__xludf.DUMMYFUNCTION("""COMPUTED_VALUE"""),67732)</f>
        <v>67732</v>
      </c>
      <c r="AC13" s="12">
        <f ca="1">IFERROR(__xludf.DUMMYFUNCTION("""COMPUTED_VALUE"""),143650)</f>
        <v>143650</v>
      </c>
      <c r="AD13" s="12">
        <f ca="1">IFERROR(__xludf.DUMMYFUNCTION("""COMPUTED_VALUE"""),98623)</f>
        <v>98623</v>
      </c>
      <c r="AE13" s="12">
        <f ca="1">IFERROR(__xludf.DUMMYFUNCTION("""COMPUTED_VALUE"""),160549)</f>
        <v>160549</v>
      </c>
      <c r="AF13" s="8">
        <f ca="1">IFERROR(__xludf.DUMMYFUNCTION("""COMPUTED_VALUE"""),242267)</f>
        <v>242267</v>
      </c>
      <c r="AG13" s="8">
        <f ca="1">IFERROR(__xludf.DUMMYFUNCTION("""COMPUTED_VALUE"""),33286)</f>
        <v>33286</v>
      </c>
      <c r="AH13" s="8">
        <f ca="1">IFERROR(__xludf.DUMMYFUNCTION("""COMPUTED_VALUE"""),206612)</f>
        <v>206612</v>
      </c>
      <c r="AI13" s="8">
        <f ca="1">IFERROR(__xludf.DUMMYFUNCTION("""COMPUTED_VALUE"""),159898)</f>
        <v>159898</v>
      </c>
      <c r="AJ13" s="8">
        <f ca="1">IFERROR(__xludf.DUMMYFUNCTION("""COMPUTED_VALUE"""),23567)</f>
        <v>23567</v>
      </c>
      <c r="AK13" s="8">
        <f ca="1">IFERROR(__xludf.DUMMYFUNCTION("""COMPUTED_VALUE"""),15616)</f>
        <v>15616</v>
      </c>
      <c r="AL13" s="8">
        <f ca="1">IFERROR(__xludf.DUMMYFUNCTION("""COMPUTED_VALUE"""),88322)</f>
        <v>88322</v>
      </c>
      <c r="AM13" s="8">
        <f ca="1">IFERROR(__xludf.DUMMYFUNCTION("""COMPUTED_VALUE"""),147492)</f>
        <v>147492</v>
      </c>
      <c r="AN13" s="8">
        <f ca="1">IFERROR(__xludf.DUMMYFUNCTION("""COMPUTED_VALUE"""),63206)</f>
        <v>63206</v>
      </c>
      <c r="AO13" s="8">
        <f ca="1">IFERROR(__xludf.DUMMYFUNCTION("""COMPUTED_VALUE"""),42565)</f>
        <v>42565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1" ht="15.75" customHeight="1" x14ac:dyDescent="0.25">
      <c r="A14" s="11" t="str">
        <f ca="1">IFERROR(__xludf.DUMMYFUNCTION("""COMPUTED_VALUE"""),"                        left Primary somatosensory area, nose")</f>
        <v xml:space="preserve">                        left Primary somatosensory area, nose</v>
      </c>
      <c r="B14" s="12">
        <f ca="1">IFERROR(__xludf.DUMMYFUNCTION("""COMPUTED_VALUE"""),611)</f>
        <v>611</v>
      </c>
      <c r="C14" s="12">
        <f ca="1">IFERROR(__xludf.DUMMYFUNCTION("""COMPUTED_VALUE"""),3317)</f>
        <v>3317</v>
      </c>
      <c r="D14" s="12">
        <f ca="1">IFERROR(__xludf.DUMMYFUNCTION("""COMPUTED_VALUE"""),35635)</f>
        <v>35635</v>
      </c>
      <c r="E14" s="12">
        <f ca="1">IFERROR(__xludf.DUMMYFUNCTION("""COMPUTED_VALUE"""),4692)</f>
        <v>4692</v>
      </c>
      <c r="F14" s="12">
        <f ca="1">IFERROR(__xludf.DUMMYFUNCTION("""COMPUTED_VALUE"""),29452)</f>
        <v>29452</v>
      </c>
      <c r="G14" s="12">
        <f ca="1">IFERROR(__xludf.DUMMYFUNCTION("""COMPUTED_VALUE"""),5042)</f>
        <v>5042</v>
      </c>
      <c r="H14" s="12">
        <f ca="1">IFERROR(__xludf.DUMMYFUNCTION("""COMPUTED_VALUE"""),7845)</f>
        <v>7845</v>
      </c>
      <c r="I14" s="12">
        <f ca="1">IFERROR(__xludf.DUMMYFUNCTION("""COMPUTED_VALUE"""),1977)</f>
        <v>1977</v>
      </c>
      <c r="J14" s="12">
        <f ca="1">IFERROR(__xludf.DUMMYFUNCTION("""COMPUTED_VALUE"""),1530)</f>
        <v>1530</v>
      </c>
      <c r="K14" s="12">
        <f ca="1">IFERROR(__xludf.DUMMYFUNCTION("""COMPUTED_VALUE"""),2592)</f>
        <v>2592</v>
      </c>
      <c r="L14" s="12">
        <f ca="1">IFERROR(__xludf.DUMMYFUNCTION("""COMPUTED_VALUE"""),16923)</f>
        <v>16923</v>
      </c>
      <c r="M14" s="12">
        <f ca="1">IFERROR(__xludf.DUMMYFUNCTION("""COMPUTED_VALUE"""),33984)</f>
        <v>33984</v>
      </c>
      <c r="N14" s="12">
        <f ca="1">IFERROR(__xludf.DUMMYFUNCTION("""COMPUTED_VALUE"""),4699)</f>
        <v>4699</v>
      </c>
      <c r="O14" s="12">
        <f ca="1">IFERROR(__xludf.DUMMYFUNCTION("""COMPUTED_VALUE"""),8000)</f>
        <v>8000</v>
      </c>
      <c r="P14" s="12">
        <f ca="1">IFERROR(__xludf.DUMMYFUNCTION("""COMPUTED_VALUE"""),928)</f>
        <v>928</v>
      </c>
      <c r="Q14" s="12">
        <f ca="1">IFERROR(__xludf.DUMMYFUNCTION("""COMPUTED_VALUE"""),5506)</f>
        <v>5506</v>
      </c>
      <c r="R14" s="12">
        <f ca="1">IFERROR(__xludf.DUMMYFUNCTION("""COMPUTED_VALUE"""),1029)</f>
        <v>1029</v>
      </c>
      <c r="S14" s="12">
        <f ca="1">IFERROR(__xludf.DUMMYFUNCTION("""COMPUTED_VALUE"""),499)</f>
        <v>499</v>
      </c>
      <c r="T14" s="12">
        <f ca="1">IFERROR(__xludf.DUMMYFUNCTION("""COMPUTED_VALUE"""),10986)</f>
        <v>10986</v>
      </c>
      <c r="U14" s="12">
        <f ca="1">IFERROR(__xludf.DUMMYFUNCTION("""COMPUTED_VALUE"""),10103)</f>
        <v>10103</v>
      </c>
      <c r="V14" s="12">
        <f ca="1">IFERROR(__xludf.DUMMYFUNCTION("""COMPUTED_VALUE"""),4932)</f>
        <v>4932</v>
      </c>
      <c r="W14" s="12">
        <f ca="1">IFERROR(__xludf.DUMMYFUNCTION("""COMPUTED_VALUE"""),33306)</f>
        <v>33306</v>
      </c>
      <c r="X14" s="12">
        <f ca="1">IFERROR(__xludf.DUMMYFUNCTION("""COMPUTED_VALUE"""),54954)</f>
        <v>54954</v>
      </c>
      <c r="Y14" s="12">
        <f ca="1">IFERROR(__xludf.DUMMYFUNCTION("""COMPUTED_VALUE"""),3217)</f>
        <v>3217</v>
      </c>
      <c r="Z14" s="12">
        <f ca="1">IFERROR(__xludf.DUMMYFUNCTION("""COMPUTED_VALUE"""),27271)</f>
        <v>27271</v>
      </c>
      <c r="AA14" s="12">
        <f ca="1">IFERROR(__xludf.DUMMYFUNCTION("""COMPUTED_VALUE"""),1095)</f>
        <v>1095</v>
      </c>
      <c r="AB14" s="12">
        <f ca="1">IFERROR(__xludf.DUMMYFUNCTION("""COMPUTED_VALUE"""),5486)</f>
        <v>5486</v>
      </c>
      <c r="AC14" s="12">
        <f ca="1">IFERROR(__xludf.DUMMYFUNCTION("""COMPUTED_VALUE"""),15481)</f>
        <v>15481</v>
      </c>
      <c r="AD14" s="12">
        <f ca="1">IFERROR(__xludf.DUMMYFUNCTION("""COMPUTED_VALUE"""),12417)</f>
        <v>12417</v>
      </c>
      <c r="AE14" s="12">
        <f ca="1">IFERROR(__xludf.DUMMYFUNCTION("""COMPUTED_VALUE"""),35017)</f>
        <v>35017</v>
      </c>
      <c r="AF14" s="8">
        <f ca="1">IFERROR(__xludf.DUMMYFUNCTION("""COMPUTED_VALUE"""),41894)</f>
        <v>41894</v>
      </c>
      <c r="AG14" s="8">
        <f ca="1">IFERROR(__xludf.DUMMYFUNCTION("""COMPUTED_VALUE"""),4935)</f>
        <v>4935</v>
      </c>
      <c r="AH14" s="8">
        <f ca="1">IFERROR(__xludf.DUMMYFUNCTION("""COMPUTED_VALUE"""),37416)</f>
        <v>37416</v>
      </c>
      <c r="AI14" s="8">
        <f ca="1">IFERROR(__xludf.DUMMYFUNCTION("""COMPUTED_VALUE"""),18607)</f>
        <v>18607</v>
      </c>
      <c r="AJ14" s="8">
        <f ca="1">IFERROR(__xludf.DUMMYFUNCTION("""COMPUTED_VALUE"""),2229)</f>
        <v>2229</v>
      </c>
      <c r="AK14" s="8">
        <f ca="1">IFERROR(__xludf.DUMMYFUNCTION("""COMPUTED_VALUE"""),3326)</f>
        <v>3326</v>
      </c>
      <c r="AL14" s="8">
        <f ca="1">IFERROR(__xludf.DUMMYFUNCTION("""COMPUTED_VALUE"""),22344)</f>
        <v>22344</v>
      </c>
      <c r="AM14" s="8">
        <f ca="1">IFERROR(__xludf.DUMMYFUNCTION("""COMPUTED_VALUE"""),19306)</f>
        <v>19306</v>
      </c>
      <c r="AN14" s="8">
        <f ca="1">IFERROR(__xludf.DUMMYFUNCTION("""COMPUTED_VALUE"""),9623)</f>
        <v>9623</v>
      </c>
      <c r="AO14" s="8">
        <f ca="1">IFERROR(__xludf.DUMMYFUNCTION("""COMPUTED_VALUE"""),6491)</f>
        <v>6491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</row>
    <row r="15" spans="1:51" ht="15.75" customHeight="1" x14ac:dyDescent="0.25">
      <c r="A15" s="11" t="str">
        <f ca="1">IFERROR(__xludf.DUMMYFUNCTION("""COMPUTED_VALUE"""),"                        left Primary somatosensory area, barrel field")</f>
        <v xml:space="preserve">                        left Primary somatosensory area, barrel field</v>
      </c>
      <c r="B15" s="12">
        <f ca="1">IFERROR(__xludf.DUMMYFUNCTION("""COMPUTED_VALUE"""),6505)</f>
        <v>6505</v>
      </c>
      <c r="C15" s="12">
        <f ca="1">IFERROR(__xludf.DUMMYFUNCTION("""COMPUTED_VALUE"""),23067)</f>
        <v>23067</v>
      </c>
      <c r="D15" s="12">
        <f ca="1">IFERROR(__xludf.DUMMYFUNCTION("""COMPUTED_VALUE"""),54224)</f>
        <v>54224</v>
      </c>
      <c r="E15" s="12">
        <f ca="1">IFERROR(__xludf.DUMMYFUNCTION("""COMPUTED_VALUE"""),17341)</f>
        <v>17341</v>
      </c>
      <c r="F15" s="12">
        <f ca="1">IFERROR(__xludf.DUMMYFUNCTION("""COMPUTED_VALUE"""),50912)</f>
        <v>50912</v>
      </c>
      <c r="G15" s="12">
        <f ca="1">IFERROR(__xludf.DUMMYFUNCTION("""COMPUTED_VALUE"""),9919)</f>
        <v>9919</v>
      </c>
      <c r="H15" s="12">
        <f ca="1">IFERROR(__xludf.DUMMYFUNCTION("""COMPUTED_VALUE"""),19627)</f>
        <v>19627</v>
      </c>
      <c r="I15" s="12">
        <f ca="1">IFERROR(__xludf.DUMMYFUNCTION("""COMPUTED_VALUE"""),11361)</f>
        <v>11361</v>
      </c>
      <c r="J15" s="12">
        <f ca="1">IFERROR(__xludf.DUMMYFUNCTION("""COMPUTED_VALUE"""),10760)</f>
        <v>10760</v>
      </c>
      <c r="K15" s="12">
        <f ca="1">IFERROR(__xludf.DUMMYFUNCTION("""COMPUTED_VALUE"""),7702)</f>
        <v>7702</v>
      </c>
      <c r="L15" s="12">
        <f ca="1">IFERROR(__xludf.DUMMYFUNCTION("""COMPUTED_VALUE"""),23881)</f>
        <v>23881</v>
      </c>
      <c r="M15" s="12">
        <f ca="1">IFERROR(__xludf.DUMMYFUNCTION("""COMPUTED_VALUE"""),62906)</f>
        <v>62906</v>
      </c>
      <c r="N15" s="12">
        <f ca="1">IFERROR(__xludf.DUMMYFUNCTION("""COMPUTED_VALUE"""),10452)</f>
        <v>10452</v>
      </c>
      <c r="O15" s="12">
        <f ca="1">IFERROR(__xludf.DUMMYFUNCTION("""COMPUTED_VALUE"""),36352)</f>
        <v>36352</v>
      </c>
      <c r="P15" s="12">
        <f ca="1">IFERROR(__xludf.DUMMYFUNCTION("""COMPUTED_VALUE"""),941)</f>
        <v>941</v>
      </c>
      <c r="Q15" s="12">
        <f ca="1">IFERROR(__xludf.DUMMYFUNCTION("""COMPUTED_VALUE"""),27990)</f>
        <v>27990</v>
      </c>
      <c r="R15" s="12">
        <f ca="1">IFERROR(__xludf.DUMMYFUNCTION("""COMPUTED_VALUE"""),9784)</f>
        <v>9784</v>
      </c>
      <c r="S15" s="12">
        <f ca="1">IFERROR(__xludf.DUMMYFUNCTION("""COMPUTED_VALUE"""),5321)</f>
        <v>5321</v>
      </c>
      <c r="T15" s="12">
        <f ca="1">IFERROR(__xludf.DUMMYFUNCTION("""COMPUTED_VALUE"""),35829)</f>
        <v>35829</v>
      </c>
      <c r="U15" s="12">
        <f ca="1">IFERROR(__xludf.DUMMYFUNCTION("""COMPUTED_VALUE"""),45416)</f>
        <v>45416</v>
      </c>
      <c r="V15" s="12">
        <f ca="1">IFERROR(__xludf.DUMMYFUNCTION("""COMPUTED_VALUE"""),21797)</f>
        <v>21797</v>
      </c>
      <c r="W15" s="12">
        <f ca="1">IFERROR(__xludf.DUMMYFUNCTION("""COMPUTED_VALUE"""),68853)</f>
        <v>68853</v>
      </c>
      <c r="X15" s="12">
        <f ca="1">IFERROR(__xludf.DUMMYFUNCTION("""COMPUTED_VALUE"""),102835)</f>
        <v>102835</v>
      </c>
      <c r="Y15" s="12">
        <f ca="1">IFERROR(__xludf.DUMMYFUNCTION("""COMPUTED_VALUE"""),23508)</f>
        <v>23508</v>
      </c>
      <c r="Z15" s="12">
        <f ca="1">IFERROR(__xludf.DUMMYFUNCTION("""COMPUTED_VALUE"""),51000)</f>
        <v>51000</v>
      </c>
      <c r="AA15" s="12">
        <f ca="1">IFERROR(__xludf.DUMMYFUNCTION("""COMPUTED_VALUE"""),7767)</f>
        <v>7767</v>
      </c>
      <c r="AB15" s="12">
        <f ca="1">IFERROR(__xludf.DUMMYFUNCTION("""COMPUTED_VALUE"""),25958)</f>
        <v>25958</v>
      </c>
      <c r="AC15" s="12">
        <f ca="1">IFERROR(__xludf.DUMMYFUNCTION("""COMPUTED_VALUE"""),51358)</f>
        <v>51358</v>
      </c>
      <c r="AD15" s="12">
        <f ca="1">IFERROR(__xludf.DUMMYFUNCTION("""COMPUTED_VALUE"""),33136)</f>
        <v>33136</v>
      </c>
      <c r="AE15" s="12">
        <f ca="1">IFERROR(__xludf.DUMMYFUNCTION("""COMPUTED_VALUE"""),66237)</f>
        <v>66237</v>
      </c>
      <c r="AF15" s="8">
        <f ca="1">IFERROR(__xludf.DUMMYFUNCTION("""COMPUTED_VALUE"""),95802)</f>
        <v>95802</v>
      </c>
      <c r="AG15" s="8">
        <f ca="1">IFERROR(__xludf.DUMMYFUNCTION("""COMPUTED_VALUE"""),12132)</f>
        <v>12132</v>
      </c>
      <c r="AH15" s="8">
        <f ca="1">IFERROR(__xludf.DUMMYFUNCTION("""COMPUTED_VALUE"""),69932)</f>
        <v>69932</v>
      </c>
      <c r="AI15" s="8">
        <f ca="1">IFERROR(__xludf.DUMMYFUNCTION("""COMPUTED_VALUE"""),70372)</f>
        <v>70372</v>
      </c>
      <c r="AJ15" s="8">
        <f ca="1">IFERROR(__xludf.DUMMYFUNCTION("""COMPUTED_VALUE"""),12834)</f>
        <v>12834</v>
      </c>
      <c r="AK15" s="8">
        <f ca="1">IFERROR(__xludf.DUMMYFUNCTION("""COMPUTED_VALUE"""),4845)</f>
        <v>4845</v>
      </c>
      <c r="AL15" s="8">
        <f ca="1">IFERROR(__xludf.DUMMYFUNCTION("""COMPUTED_VALUE"""),24628)</f>
        <v>24628</v>
      </c>
      <c r="AM15" s="8">
        <f ca="1">IFERROR(__xludf.DUMMYFUNCTION("""COMPUTED_VALUE"""),39876)</f>
        <v>39876</v>
      </c>
      <c r="AN15" s="8">
        <f ca="1">IFERROR(__xludf.DUMMYFUNCTION("""COMPUTED_VALUE"""),18720)</f>
        <v>18720</v>
      </c>
      <c r="AO15" s="8">
        <f ca="1">IFERROR(__xludf.DUMMYFUNCTION("""COMPUTED_VALUE"""),13211)</f>
        <v>13211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</row>
    <row r="16" spans="1:51" ht="15.75" customHeight="1" x14ac:dyDescent="0.25">
      <c r="A16" s="11" t="str">
        <f ca="1">IFERROR(__xludf.DUMMYFUNCTION("""COMPUTED_VALUE"""),"                        left Primary somatosensory area, lower limb")</f>
        <v xml:space="preserve">                        left Primary somatosensory area, lower limb</v>
      </c>
      <c r="B16" s="12">
        <f ca="1">IFERROR(__xludf.DUMMYFUNCTION("""COMPUTED_VALUE"""),195)</f>
        <v>195</v>
      </c>
      <c r="C16" s="12">
        <f ca="1">IFERROR(__xludf.DUMMYFUNCTION("""COMPUTED_VALUE"""),14947)</f>
        <v>14947</v>
      </c>
      <c r="D16" s="12">
        <f ca="1">IFERROR(__xludf.DUMMYFUNCTION("""COMPUTED_VALUE"""),18958)</f>
        <v>18958</v>
      </c>
      <c r="E16" s="12">
        <f ca="1">IFERROR(__xludf.DUMMYFUNCTION("""COMPUTED_VALUE"""),4088)</f>
        <v>4088</v>
      </c>
      <c r="F16" s="12">
        <f ca="1">IFERROR(__xludf.DUMMYFUNCTION("""COMPUTED_VALUE"""),18308)</f>
        <v>18308</v>
      </c>
      <c r="G16" s="12">
        <f ca="1">IFERROR(__xludf.DUMMYFUNCTION("""COMPUTED_VALUE"""),2803)</f>
        <v>2803</v>
      </c>
      <c r="H16" s="12">
        <f ca="1">IFERROR(__xludf.DUMMYFUNCTION("""COMPUTED_VALUE"""),7477)</f>
        <v>7477</v>
      </c>
      <c r="I16" s="12">
        <f ca="1">IFERROR(__xludf.DUMMYFUNCTION("""COMPUTED_VALUE"""),3406)</f>
        <v>3406</v>
      </c>
      <c r="J16" s="12">
        <f ca="1">IFERROR(__xludf.DUMMYFUNCTION("""COMPUTED_VALUE"""),2877)</f>
        <v>2877</v>
      </c>
      <c r="K16" s="12">
        <f ca="1">IFERROR(__xludf.DUMMYFUNCTION("""COMPUTED_VALUE"""),2056)</f>
        <v>2056</v>
      </c>
      <c r="L16" s="12">
        <f ca="1">IFERROR(__xludf.DUMMYFUNCTION("""COMPUTED_VALUE"""),7313)</f>
        <v>7313</v>
      </c>
      <c r="M16" s="12">
        <f ca="1">IFERROR(__xludf.DUMMYFUNCTION("""COMPUTED_VALUE"""),17315)</f>
        <v>17315</v>
      </c>
      <c r="N16" s="12">
        <f ca="1">IFERROR(__xludf.DUMMYFUNCTION("""COMPUTED_VALUE"""),3166)</f>
        <v>3166</v>
      </c>
      <c r="O16" s="12">
        <f ca="1">IFERROR(__xludf.DUMMYFUNCTION("""COMPUTED_VALUE"""),8954)</f>
        <v>8954</v>
      </c>
      <c r="P16" s="12">
        <f ca="1">IFERROR(__xludf.DUMMYFUNCTION("""COMPUTED_VALUE"""),439)</f>
        <v>439</v>
      </c>
      <c r="Q16" s="12">
        <f ca="1">IFERROR(__xludf.DUMMYFUNCTION("""COMPUTED_VALUE"""),5725)</f>
        <v>5725</v>
      </c>
      <c r="R16" s="12">
        <f ca="1">IFERROR(__xludf.DUMMYFUNCTION("""COMPUTED_VALUE"""),1168)</f>
        <v>1168</v>
      </c>
      <c r="S16" s="12">
        <f ca="1">IFERROR(__xludf.DUMMYFUNCTION("""COMPUTED_VALUE"""),6530)</f>
        <v>6530</v>
      </c>
      <c r="T16" s="12">
        <f ca="1">IFERROR(__xludf.DUMMYFUNCTION("""COMPUTED_VALUE"""),8879)</f>
        <v>8879</v>
      </c>
      <c r="U16" s="12">
        <f ca="1">IFERROR(__xludf.DUMMYFUNCTION("""COMPUTED_VALUE"""),3948)</f>
        <v>3948</v>
      </c>
      <c r="V16" s="12">
        <f ca="1">IFERROR(__xludf.DUMMYFUNCTION("""COMPUTED_VALUE"""),2310)</f>
        <v>2310</v>
      </c>
      <c r="W16" s="12">
        <f ca="1">IFERROR(__xludf.DUMMYFUNCTION("""COMPUTED_VALUE"""),26546)</f>
        <v>26546</v>
      </c>
      <c r="X16" s="12">
        <f ca="1">IFERROR(__xludf.DUMMYFUNCTION("""COMPUTED_VALUE"""),17710)</f>
        <v>17710</v>
      </c>
      <c r="Y16" s="12">
        <f ca="1">IFERROR(__xludf.DUMMYFUNCTION("""COMPUTED_VALUE"""),9529)</f>
        <v>9529</v>
      </c>
      <c r="Z16" s="12">
        <f ca="1">IFERROR(__xludf.DUMMYFUNCTION("""COMPUTED_VALUE"""),11631)</f>
        <v>11631</v>
      </c>
      <c r="AA16" s="12">
        <f ca="1">IFERROR(__xludf.DUMMYFUNCTION("""COMPUTED_VALUE"""),2080)</f>
        <v>2080</v>
      </c>
      <c r="AB16" s="12">
        <f ca="1">IFERROR(__xludf.DUMMYFUNCTION("""COMPUTED_VALUE"""),8570)</f>
        <v>8570</v>
      </c>
      <c r="AC16" s="12">
        <f ca="1">IFERROR(__xludf.DUMMYFUNCTION("""COMPUTED_VALUE"""),13064)</f>
        <v>13064</v>
      </c>
      <c r="AD16" s="12">
        <f ca="1">IFERROR(__xludf.DUMMYFUNCTION("""COMPUTED_VALUE"""),5346)</f>
        <v>5346</v>
      </c>
      <c r="AE16" s="12">
        <f ca="1">IFERROR(__xludf.DUMMYFUNCTION("""COMPUTED_VALUE"""),7196)</f>
        <v>7196</v>
      </c>
      <c r="AF16" s="8">
        <f ca="1">IFERROR(__xludf.DUMMYFUNCTION("""COMPUTED_VALUE"""),12522)</f>
        <v>12522</v>
      </c>
      <c r="AG16" s="8">
        <f ca="1">IFERROR(__xludf.DUMMYFUNCTION("""COMPUTED_VALUE"""),1563)</f>
        <v>1563</v>
      </c>
      <c r="AH16" s="8">
        <f ca="1">IFERROR(__xludf.DUMMYFUNCTION("""COMPUTED_VALUE"""),14573)</f>
        <v>14573</v>
      </c>
      <c r="AI16" s="8">
        <f ca="1">IFERROR(__xludf.DUMMYFUNCTION("""COMPUTED_VALUE"""),10227)</f>
        <v>10227</v>
      </c>
      <c r="AJ16" s="8">
        <f ca="1">IFERROR(__xludf.DUMMYFUNCTION("""COMPUTED_VALUE"""),1358)</f>
        <v>1358</v>
      </c>
      <c r="AK16" s="8">
        <f ca="1">IFERROR(__xludf.DUMMYFUNCTION("""COMPUTED_VALUE"""),408)</f>
        <v>408</v>
      </c>
      <c r="AL16" s="8">
        <f ca="1">IFERROR(__xludf.DUMMYFUNCTION("""COMPUTED_VALUE"""),2593)</f>
        <v>2593</v>
      </c>
      <c r="AM16" s="8">
        <f ca="1">IFERROR(__xludf.DUMMYFUNCTION("""COMPUTED_VALUE"""),6611)</f>
        <v>6611</v>
      </c>
      <c r="AN16" s="8">
        <f ca="1">IFERROR(__xludf.DUMMYFUNCTION("""COMPUTED_VALUE"""),6673)</f>
        <v>6673</v>
      </c>
      <c r="AO16" s="8">
        <f ca="1">IFERROR(__xludf.DUMMYFUNCTION("""COMPUTED_VALUE"""),6850)</f>
        <v>6850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</row>
    <row r="17" spans="1:51" ht="15.75" customHeight="1" x14ac:dyDescent="0.25">
      <c r="A17" s="11" t="str">
        <f ca="1">IFERROR(__xludf.DUMMYFUNCTION("""COMPUTED_VALUE"""),"                        left Primary somatosensory area, mouth")</f>
        <v xml:space="preserve">                        left Primary somatosensory area, mouth</v>
      </c>
      <c r="B17" s="12">
        <f ca="1">IFERROR(__xludf.DUMMYFUNCTION("""COMPUTED_VALUE"""),1062)</f>
        <v>1062</v>
      </c>
      <c r="C17" s="12">
        <f ca="1">IFERROR(__xludf.DUMMYFUNCTION("""COMPUTED_VALUE"""),9991)</f>
        <v>9991</v>
      </c>
      <c r="D17" s="12">
        <f ca="1">IFERROR(__xludf.DUMMYFUNCTION("""COMPUTED_VALUE"""),40270)</f>
        <v>40270</v>
      </c>
      <c r="E17" s="12">
        <f ca="1">IFERROR(__xludf.DUMMYFUNCTION("""COMPUTED_VALUE"""),12776)</f>
        <v>12776</v>
      </c>
      <c r="F17" s="12">
        <f ca="1">IFERROR(__xludf.DUMMYFUNCTION("""COMPUTED_VALUE"""),28936)</f>
        <v>28936</v>
      </c>
      <c r="G17" s="12">
        <f ca="1">IFERROR(__xludf.DUMMYFUNCTION("""COMPUTED_VALUE"""),8740)</f>
        <v>8740</v>
      </c>
      <c r="H17" s="12">
        <f ca="1">IFERROR(__xludf.DUMMYFUNCTION("""COMPUTED_VALUE"""),13568)</f>
        <v>13568</v>
      </c>
      <c r="I17" s="12">
        <f ca="1">IFERROR(__xludf.DUMMYFUNCTION("""COMPUTED_VALUE"""),2903)</f>
        <v>2903</v>
      </c>
      <c r="J17" s="12">
        <f ca="1">IFERROR(__xludf.DUMMYFUNCTION("""COMPUTED_VALUE"""),3091)</f>
        <v>3091</v>
      </c>
      <c r="K17" s="12">
        <f ca="1">IFERROR(__xludf.DUMMYFUNCTION("""COMPUTED_VALUE"""),3402)</f>
        <v>3402</v>
      </c>
      <c r="L17" s="12">
        <f ca="1">IFERROR(__xludf.DUMMYFUNCTION("""COMPUTED_VALUE"""),23470)</f>
        <v>23470</v>
      </c>
      <c r="M17" s="12">
        <f ca="1">IFERROR(__xludf.DUMMYFUNCTION("""COMPUTED_VALUE"""),48862)</f>
        <v>48862</v>
      </c>
      <c r="N17" s="12">
        <f ca="1">IFERROR(__xludf.DUMMYFUNCTION("""COMPUTED_VALUE"""),14147)</f>
        <v>14147</v>
      </c>
      <c r="O17" s="12">
        <f ca="1">IFERROR(__xludf.DUMMYFUNCTION("""COMPUTED_VALUE"""),7441)</f>
        <v>7441</v>
      </c>
      <c r="P17" s="12">
        <f ca="1">IFERROR(__xludf.DUMMYFUNCTION("""COMPUTED_VALUE"""),863)</f>
        <v>863</v>
      </c>
      <c r="Q17" s="12">
        <f ca="1">IFERROR(__xludf.DUMMYFUNCTION("""COMPUTED_VALUE"""),7564)</f>
        <v>7564</v>
      </c>
      <c r="R17" s="12">
        <f ca="1">IFERROR(__xludf.DUMMYFUNCTION("""COMPUTED_VALUE"""),4122)</f>
        <v>4122</v>
      </c>
      <c r="S17" s="12">
        <f ca="1">IFERROR(__xludf.DUMMYFUNCTION("""COMPUTED_VALUE"""),1525)</f>
        <v>1525</v>
      </c>
      <c r="T17" s="12">
        <f ca="1">IFERROR(__xludf.DUMMYFUNCTION("""COMPUTED_VALUE"""),19312)</f>
        <v>19312</v>
      </c>
      <c r="U17" s="12">
        <f ca="1">IFERROR(__xludf.DUMMYFUNCTION("""COMPUTED_VALUE"""),31773)</f>
        <v>31773</v>
      </c>
      <c r="V17" s="12">
        <f ca="1">IFERROR(__xludf.DUMMYFUNCTION("""COMPUTED_VALUE"""),10085)</f>
        <v>10085</v>
      </c>
      <c r="W17" s="12">
        <f ca="1">IFERROR(__xludf.DUMMYFUNCTION("""COMPUTED_VALUE"""),61344)</f>
        <v>61344</v>
      </c>
      <c r="X17" s="12">
        <f ca="1">IFERROR(__xludf.DUMMYFUNCTION("""COMPUTED_VALUE"""),78202)</f>
        <v>78202</v>
      </c>
      <c r="Y17" s="12">
        <f ca="1">IFERROR(__xludf.DUMMYFUNCTION("""COMPUTED_VALUE"""),16471)</f>
        <v>16471</v>
      </c>
      <c r="Z17" s="12">
        <f ca="1">IFERROR(__xludf.DUMMYFUNCTION("""COMPUTED_VALUE"""),36915)</f>
        <v>36915</v>
      </c>
      <c r="AA17" s="12">
        <f ca="1">IFERROR(__xludf.DUMMYFUNCTION("""COMPUTED_VALUE"""),5679)</f>
        <v>5679</v>
      </c>
      <c r="AB17" s="12">
        <f ca="1">IFERROR(__xludf.DUMMYFUNCTION("""COMPUTED_VALUE"""),12678)</f>
        <v>12678</v>
      </c>
      <c r="AC17" s="12">
        <f ca="1">IFERROR(__xludf.DUMMYFUNCTION("""COMPUTED_VALUE"""),24506)</f>
        <v>24506</v>
      </c>
      <c r="AD17" s="12">
        <f ca="1">IFERROR(__xludf.DUMMYFUNCTION("""COMPUTED_VALUE"""),34998)</f>
        <v>34998</v>
      </c>
      <c r="AE17" s="12">
        <f ca="1">IFERROR(__xludf.DUMMYFUNCTION("""COMPUTED_VALUE"""),22622)</f>
        <v>22622</v>
      </c>
      <c r="AF17" s="8">
        <f ca="1">IFERROR(__xludf.DUMMYFUNCTION("""COMPUTED_VALUE"""),62128)</f>
        <v>62128</v>
      </c>
      <c r="AG17" s="8">
        <f ca="1">IFERROR(__xludf.DUMMYFUNCTION("""COMPUTED_VALUE"""),10888)</f>
        <v>10888</v>
      </c>
      <c r="AH17" s="8">
        <f ca="1">IFERROR(__xludf.DUMMYFUNCTION("""COMPUTED_VALUE"""),37928)</f>
        <v>37928</v>
      </c>
      <c r="AI17" s="8">
        <f ca="1">IFERROR(__xludf.DUMMYFUNCTION("""COMPUTED_VALUE"""),19078)</f>
        <v>19078</v>
      </c>
      <c r="AJ17" s="8">
        <f ca="1">IFERROR(__xludf.DUMMYFUNCTION("""COMPUTED_VALUE"""),3663)</f>
        <v>3663</v>
      </c>
      <c r="AK17" s="8">
        <f ca="1">IFERROR(__xludf.DUMMYFUNCTION("""COMPUTED_VALUE"""),3658)</f>
        <v>3658</v>
      </c>
      <c r="AL17" s="8">
        <f ca="1">IFERROR(__xludf.DUMMYFUNCTION("""COMPUTED_VALUE"""),15460)</f>
        <v>15460</v>
      </c>
      <c r="AM17" s="8">
        <f ca="1">IFERROR(__xludf.DUMMYFUNCTION("""COMPUTED_VALUE"""),48571)</f>
        <v>48571</v>
      </c>
      <c r="AN17" s="8">
        <f ca="1">IFERROR(__xludf.DUMMYFUNCTION("""COMPUTED_VALUE"""),18716)</f>
        <v>18716</v>
      </c>
      <c r="AO17" s="8">
        <f ca="1">IFERROR(__xludf.DUMMYFUNCTION("""COMPUTED_VALUE"""),7095)</f>
        <v>7095</v>
      </c>
      <c r="AP17" s="8"/>
      <c r="AQ17" s="8"/>
      <c r="AR17" s="8"/>
      <c r="AS17" s="8"/>
      <c r="AT17" s="8"/>
      <c r="AU17" s="8"/>
      <c r="AV17" s="8"/>
      <c r="AW17" s="8"/>
      <c r="AX17" s="8"/>
      <c r="AY17" s="8"/>
    </row>
    <row r="18" spans="1:51" ht="15.75" customHeight="1" x14ac:dyDescent="0.25">
      <c r="A18" s="11" t="str">
        <f ca="1">IFERROR(__xludf.DUMMYFUNCTION("""COMPUTED_VALUE"""),"                        left Primary somatosensory area, upper limb")</f>
        <v xml:space="preserve">                        left Primary somatosensory area, upper limb</v>
      </c>
      <c r="B18" s="12">
        <f ca="1">IFERROR(__xludf.DUMMYFUNCTION("""COMPUTED_VALUE"""),316)</f>
        <v>316</v>
      </c>
      <c r="C18" s="12">
        <f ca="1">IFERROR(__xludf.DUMMYFUNCTION("""COMPUTED_VALUE"""),17012)</f>
        <v>17012</v>
      </c>
      <c r="D18" s="12">
        <f ca="1">IFERROR(__xludf.DUMMYFUNCTION("""COMPUTED_VALUE"""),40924)</f>
        <v>40924</v>
      </c>
      <c r="E18" s="12">
        <f ca="1">IFERROR(__xludf.DUMMYFUNCTION("""COMPUTED_VALUE"""),4394)</f>
        <v>4394</v>
      </c>
      <c r="F18" s="12">
        <f ca="1">IFERROR(__xludf.DUMMYFUNCTION("""COMPUTED_VALUE"""),26400)</f>
        <v>26400</v>
      </c>
      <c r="G18" s="12">
        <f ca="1">IFERROR(__xludf.DUMMYFUNCTION("""COMPUTED_VALUE"""),6126)</f>
        <v>6126</v>
      </c>
      <c r="H18" s="12">
        <f ca="1">IFERROR(__xludf.DUMMYFUNCTION("""COMPUTED_VALUE"""),9536)</f>
        <v>9536</v>
      </c>
      <c r="I18" s="12">
        <f ca="1">IFERROR(__xludf.DUMMYFUNCTION("""COMPUTED_VALUE"""),4210)</f>
        <v>4210</v>
      </c>
      <c r="J18" s="12">
        <f ca="1">IFERROR(__xludf.DUMMYFUNCTION("""COMPUTED_VALUE"""),4613)</f>
        <v>4613</v>
      </c>
      <c r="K18" s="12">
        <f ca="1">IFERROR(__xludf.DUMMYFUNCTION("""COMPUTED_VALUE"""),2487)</f>
        <v>2487</v>
      </c>
      <c r="L18" s="12">
        <f ca="1">IFERROR(__xludf.DUMMYFUNCTION("""COMPUTED_VALUE"""),13033)</f>
        <v>13033</v>
      </c>
      <c r="M18" s="12">
        <f ca="1">IFERROR(__xludf.DUMMYFUNCTION("""COMPUTED_VALUE"""),34512)</f>
        <v>34512</v>
      </c>
      <c r="N18" s="12">
        <f ca="1">IFERROR(__xludf.DUMMYFUNCTION("""COMPUTED_VALUE"""),6847)</f>
        <v>6847</v>
      </c>
      <c r="O18" s="12">
        <f ca="1">IFERROR(__xludf.DUMMYFUNCTION("""COMPUTED_VALUE"""),13990)</f>
        <v>13990</v>
      </c>
      <c r="P18" s="12">
        <f ca="1">IFERROR(__xludf.DUMMYFUNCTION("""COMPUTED_VALUE"""),185)</f>
        <v>185</v>
      </c>
      <c r="Q18" s="12">
        <f ca="1">IFERROR(__xludf.DUMMYFUNCTION("""COMPUTED_VALUE"""),8509)</f>
        <v>8509</v>
      </c>
      <c r="R18" s="12">
        <f ca="1">IFERROR(__xludf.DUMMYFUNCTION("""COMPUTED_VALUE"""),1173)</f>
        <v>1173</v>
      </c>
      <c r="S18" s="12">
        <f ca="1">IFERROR(__xludf.DUMMYFUNCTION("""COMPUTED_VALUE"""),4185)</f>
        <v>4185</v>
      </c>
      <c r="T18" s="12">
        <f ca="1">IFERROR(__xludf.DUMMYFUNCTION("""COMPUTED_VALUE"""),14295)</f>
        <v>14295</v>
      </c>
      <c r="U18" s="12">
        <f ca="1">IFERROR(__xludf.DUMMYFUNCTION("""COMPUTED_VALUE"""),15038)</f>
        <v>15038</v>
      </c>
      <c r="V18" s="12">
        <f ca="1">IFERROR(__xludf.DUMMYFUNCTION("""COMPUTED_VALUE"""),4491)</f>
        <v>4491</v>
      </c>
      <c r="W18" s="12">
        <f ca="1">IFERROR(__xludf.DUMMYFUNCTION("""COMPUTED_VALUE"""),47924)</f>
        <v>47924</v>
      </c>
      <c r="X18" s="12">
        <f ca="1">IFERROR(__xludf.DUMMYFUNCTION("""COMPUTED_VALUE"""),38755)</f>
        <v>38755</v>
      </c>
      <c r="Y18" s="12">
        <f ca="1">IFERROR(__xludf.DUMMYFUNCTION("""COMPUTED_VALUE"""),10226)</f>
        <v>10226</v>
      </c>
      <c r="Z18" s="12">
        <f ca="1">IFERROR(__xludf.DUMMYFUNCTION("""COMPUTED_VALUE"""),19771)</f>
        <v>19771</v>
      </c>
      <c r="AA18" s="12">
        <f ca="1">IFERROR(__xludf.DUMMYFUNCTION("""COMPUTED_VALUE"""),5070)</f>
        <v>5070</v>
      </c>
      <c r="AB18" s="12">
        <f ca="1">IFERROR(__xludf.DUMMYFUNCTION("""COMPUTED_VALUE"""),7469)</f>
        <v>7469</v>
      </c>
      <c r="AC18" s="12">
        <f ca="1">IFERROR(__xludf.DUMMYFUNCTION("""COMPUTED_VALUE"""),23710)</f>
        <v>23710</v>
      </c>
      <c r="AD18" s="12">
        <f ca="1">IFERROR(__xludf.DUMMYFUNCTION("""COMPUTED_VALUE"""),5853)</f>
        <v>5853</v>
      </c>
      <c r="AE18" s="12">
        <f ca="1">IFERROR(__xludf.DUMMYFUNCTION("""COMPUTED_VALUE"""),12806)</f>
        <v>12806</v>
      </c>
      <c r="AF18" s="8">
        <f ca="1">IFERROR(__xludf.DUMMYFUNCTION("""COMPUTED_VALUE"""),17339)</f>
        <v>17339</v>
      </c>
      <c r="AG18" s="8">
        <f ca="1">IFERROR(__xludf.DUMMYFUNCTION("""COMPUTED_VALUE"""),2619)</f>
        <v>2619</v>
      </c>
      <c r="AH18" s="8">
        <f ca="1">IFERROR(__xludf.DUMMYFUNCTION("""COMPUTED_VALUE"""),27787)</f>
        <v>27787</v>
      </c>
      <c r="AI18" s="8">
        <f ca="1">IFERROR(__xludf.DUMMYFUNCTION("""COMPUTED_VALUE"""),22969)</f>
        <v>22969</v>
      </c>
      <c r="AJ18" s="8">
        <f ca="1">IFERROR(__xludf.DUMMYFUNCTION("""COMPUTED_VALUE"""),1915)</f>
        <v>1915</v>
      </c>
      <c r="AK18" s="8">
        <f ca="1">IFERROR(__xludf.DUMMYFUNCTION("""COMPUTED_VALUE"""),2365)</f>
        <v>2365</v>
      </c>
      <c r="AL18" s="8">
        <f ca="1">IFERROR(__xludf.DUMMYFUNCTION("""COMPUTED_VALUE"""),17521)</f>
        <v>17521</v>
      </c>
      <c r="AM18" s="8">
        <f ca="1">IFERROR(__xludf.DUMMYFUNCTION("""COMPUTED_VALUE"""),22242)</f>
        <v>22242</v>
      </c>
      <c r="AN18" s="8">
        <f ca="1">IFERROR(__xludf.DUMMYFUNCTION("""COMPUTED_VALUE"""),5374)</f>
        <v>5374</v>
      </c>
      <c r="AO18" s="8">
        <f ca="1">IFERROR(__xludf.DUMMYFUNCTION("""COMPUTED_VALUE"""),6336)</f>
        <v>6336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</row>
    <row r="19" spans="1:51" ht="15.75" customHeight="1" x14ac:dyDescent="0.25">
      <c r="A19" s="11" t="str">
        <f ca="1">IFERROR(__xludf.DUMMYFUNCTION("""COMPUTED_VALUE"""),"                        left Primary somatosensory area, trunk")</f>
        <v xml:space="preserve">                        left Primary somatosensory area, trunk</v>
      </c>
      <c r="B19" s="12">
        <f ca="1">IFERROR(__xludf.DUMMYFUNCTION("""COMPUTED_VALUE"""),185)</f>
        <v>185</v>
      </c>
      <c r="C19" s="12">
        <f ca="1">IFERROR(__xludf.DUMMYFUNCTION("""COMPUTED_VALUE"""),12141)</f>
        <v>12141</v>
      </c>
      <c r="D19" s="12">
        <f ca="1">IFERROR(__xludf.DUMMYFUNCTION("""COMPUTED_VALUE"""),9784)</f>
        <v>9784</v>
      </c>
      <c r="E19" s="12">
        <f ca="1">IFERROR(__xludf.DUMMYFUNCTION("""COMPUTED_VALUE"""),3389)</f>
        <v>3389</v>
      </c>
      <c r="F19" s="12">
        <f ca="1">IFERROR(__xludf.DUMMYFUNCTION("""COMPUTED_VALUE"""),8808)</f>
        <v>8808</v>
      </c>
      <c r="G19" s="12">
        <f ca="1">IFERROR(__xludf.DUMMYFUNCTION("""COMPUTED_VALUE"""),659)</f>
        <v>659</v>
      </c>
      <c r="H19" s="12">
        <f ca="1">IFERROR(__xludf.DUMMYFUNCTION("""COMPUTED_VALUE"""),4349)</f>
        <v>4349</v>
      </c>
      <c r="I19" s="12">
        <f ca="1">IFERROR(__xludf.DUMMYFUNCTION("""COMPUTED_VALUE"""),2011)</f>
        <v>2011</v>
      </c>
      <c r="J19" s="12">
        <f ca="1">IFERROR(__xludf.DUMMYFUNCTION("""COMPUTED_VALUE"""),1929)</f>
        <v>1929</v>
      </c>
      <c r="K19" s="12">
        <f ca="1">IFERROR(__xludf.DUMMYFUNCTION("""COMPUTED_VALUE"""),1226)</f>
        <v>1226</v>
      </c>
      <c r="L19" s="12">
        <f ca="1">IFERROR(__xludf.DUMMYFUNCTION("""COMPUTED_VALUE"""),3630)</f>
        <v>3630</v>
      </c>
      <c r="M19" s="12">
        <f ca="1">IFERROR(__xludf.DUMMYFUNCTION("""COMPUTED_VALUE"""),5453)</f>
        <v>5453</v>
      </c>
      <c r="N19" s="12">
        <f ca="1">IFERROR(__xludf.DUMMYFUNCTION("""COMPUTED_VALUE"""),1580)</f>
        <v>1580</v>
      </c>
      <c r="O19" s="12">
        <f ca="1">IFERROR(__xludf.DUMMYFUNCTION("""COMPUTED_VALUE"""),4811)</f>
        <v>4811</v>
      </c>
      <c r="P19" s="12">
        <f ca="1">IFERROR(__xludf.DUMMYFUNCTION("""COMPUTED_VALUE"""),186)</f>
        <v>186</v>
      </c>
      <c r="Q19" s="12">
        <f ca="1">IFERROR(__xludf.DUMMYFUNCTION("""COMPUTED_VALUE"""),1406)</f>
        <v>1406</v>
      </c>
      <c r="R19" s="12">
        <f ca="1">IFERROR(__xludf.DUMMYFUNCTION("""COMPUTED_VALUE"""),1786)</f>
        <v>1786</v>
      </c>
      <c r="S19" s="12">
        <f ca="1">IFERROR(__xludf.DUMMYFUNCTION("""COMPUTED_VALUE"""),3534)</f>
        <v>3534</v>
      </c>
      <c r="T19" s="12">
        <f ca="1">IFERROR(__xludf.DUMMYFUNCTION("""COMPUTED_VALUE"""),7523)</f>
        <v>7523</v>
      </c>
      <c r="U19" s="12">
        <f ca="1">IFERROR(__xludf.DUMMYFUNCTION("""COMPUTED_VALUE"""),3403)</f>
        <v>3403</v>
      </c>
      <c r="V19" s="12">
        <f ca="1">IFERROR(__xludf.DUMMYFUNCTION("""COMPUTED_VALUE"""),1242)</f>
        <v>1242</v>
      </c>
      <c r="W19" s="12">
        <f ca="1">IFERROR(__xludf.DUMMYFUNCTION("""COMPUTED_VALUE"""),7158)</f>
        <v>7158</v>
      </c>
      <c r="X19" s="12">
        <f ca="1">IFERROR(__xludf.DUMMYFUNCTION("""COMPUTED_VALUE"""),7010)</f>
        <v>7010</v>
      </c>
      <c r="Y19" s="12">
        <f ca="1">IFERROR(__xludf.DUMMYFUNCTION("""COMPUTED_VALUE"""),5671)</f>
        <v>5671</v>
      </c>
      <c r="Z19" s="12">
        <f ca="1">IFERROR(__xludf.DUMMYFUNCTION("""COMPUTED_VALUE"""),4939)</f>
        <v>4939</v>
      </c>
      <c r="AA19" s="12">
        <f ca="1">IFERROR(__xludf.DUMMYFUNCTION("""COMPUTED_VALUE"""),3858)</f>
        <v>3858</v>
      </c>
      <c r="AB19" s="12">
        <f ca="1">IFERROR(__xludf.DUMMYFUNCTION("""COMPUTED_VALUE"""),5221)</f>
        <v>5221</v>
      </c>
      <c r="AC19" s="12">
        <f ca="1">IFERROR(__xludf.DUMMYFUNCTION("""COMPUTED_VALUE"""),9688)</f>
        <v>9688</v>
      </c>
      <c r="AD19" s="12">
        <f ca="1">IFERROR(__xludf.DUMMYFUNCTION("""COMPUTED_VALUE"""),4626)</f>
        <v>4626</v>
      </c>
      <c r="AE19" s="12">
        <f ca="1">IFERROR(__xludf.DUMMYFUNCTION("""COMPUTED_VALUE"""),6000)</f>
        <v>6000</v>
      </c>
      <c r="AF19" s="8">
        <f ca="1">IFERROR(__xludf.DUMMYFUNCTION("""COMPUTED_VALUE"""),6053)</f>
        <v>6053</v>
      </c>
      <c r="AG19" s="8">
        <f ca="1">IFERROR(__xludf.DUMMYFUNCTION("""COMPUTED_VALUE"""),393)</f>
        <v>393</v>
      </c>
      <c r="AH19" s="8">
        <f ca="1">IFERROR(__xludf.DUMMYFUNCTION("""COMPUTED_VALUE"""),7262)</f>
        <v>7262</v>
      </c>
      <c r="AI19" s="8">
        <f ca="1">IFERROR(__xludf.DUMMYFUNCTION("""COMPUTED_VALUE"""),7499)</f>
        <v>7499</v>
      </c>
      <c r="AJ19" s="8">
        <f ca="1">IFERROR(__xludf.DUMMYFUNCTION("""COMPUTED_VALUE"""),868)</f>
        <v>868</v>
      </c>
      <c r="AK19" s="8">
        <f ca="1">IFERROR(__xludf.DUMMYFUNCTION("""COMPUTED_VALUE"""),144)</f>
        <v>144</v>
      </c>
      <c r="AL19" s="8">
        <f ca="1">IFERROR(__xludf.DUMMYFUNCTION("""COMPUTED_VALUE"""),161)</f>
        <v>161</v>
      </c>
      <c r="AM19" s="8">
        <f ca="1">IFERROR(__xludf.DUMMYFUNCTION("""COMPUTED_VALUE"""),4485)</f>
        <v>4485</v>
      </c>
      <c r="AN19" s="8">
        <f ca="1">IFERROR(__xludf.DUMMYFUNCTION("""COMPUTED_VALUE"""),2908)</f>
        <v>2908</v>
      </c>
      <c r="AO19" s="8">
        <f ca="1">IFERROR(__xludf.DUMMYFUNCTION("""COMPUTED_VALUE"""),820)</f>
        <v>820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 spans="1:51" ht="15.75" customHeight="1" x14ac:dyDescent="0.25">
      <c r="A20" s="11" t="str">
        <f ca="1">IFERROR(__xludf.DUMMYFUNCTION("""COMPUTED_VALUE"""),"                        left Primary somatosensory area, unassigned")</f>
        <v xml:space="preserve">                        left Primary somatosensory area, unassigned</v>
      </c>
      <c r="B20" s="12">
        <f ca="1">IFERROR(__xludf.DUMMYFUNCTION("""COMPUTED_VALUE"""),356)</f>
        <v>356</v>
      </c>
      <c r="C20" s="12">
        <f ca="1">IFERROR(__xludf.DUMMYFUNCTION("""COMPUTED_VALUE"""),5034)</f>
        <v>5034</v>
      </c>
      <c r="D20" s="12">
        <f ca="1">IFERROR(__xludf.DUMMYFUNCTION("""COMPUTED_VALUE"""),14187)</f>
        <v>14187</v>
      </c>
      <c r="E20" s="12">
        <f ca="1">IFERROR(__xludf.DUMMYFUNCTION("""COMPUTED_VALUE"""),1822)</f>
        <v>1822</v>
      </c>
      <c r="F20" s="12">
        <f ca="1">IFERROR(__xludf.DUMMYFUNCTION("""COMPUTED_VALUE"""),10624)</f>
        <v>10624</v>
      </c>
      <c r="G20" s="12">
        <f ca="1">IFERROR(__xludf.DUMMYFUNCTION("""COMPUTED_VALUE"""),3097)</f>
        <v>3097</v>
      </c>
      <c r="H20" s="12">
        <f ca="1">IFERROR(__xludf.DUMMYFUNCTION("""COMPUTED_VALUE"""),3546)</f>
        <v>3546</v>
      </c>
      <c r="I20" s="12">
        <f ca="1">IFERROR(__xludf.DUMMYFUNCTION("""COMPUTED_VALUE"""),1540)</f>
        <v>1540</v>
      </c>
      <c r="J20" s="12">
        <f ca="1">IFERROR(__xludf.DUMMYFUNCTION("""COMPUTED_VALUE"""),1944)</f>
        <v>1944</v>
      </c>
      <c r="K20" s="12">
        <f ca="1">IFERROR(__xludf.DUMMYFUNCTION("""COMPUTED_VALUE"""),1343)</f>
        <v>1343</v>
      </c>
      <c r="L20" s="12">
        <f ca="1">IFERROR(__xludf.DUMMYFUNCTION("""COMPUTED_VALUE"""),4766)</f>
        <v>4766</v>
      </c>
      <c r="M20" s="12">
        <f ca="1">IFERROR(__xludf.DUMMYFUNCTION("""COMPUTED_VALUE"""),12100)</f>
        <v>12100</v>
      </c>
      <c r="N20" s="12">
        <f ca="1">IFERROR(__xludf.DUMMYFUNCTION("""COMPUTED_VALUE"""),2205)</f>
        <v>2205</v>
      </c>
      <c r="O20" s="12">
        <f ca="1">IFERROR(__xludf.DUMMYFUNCTION("""COMPUTED_VALUE"""),5574)</f>
        <v>5574</v>
      </c>
      <c r="P20" s="12">
        <f ca="1">IFERROR(__xludf.DUMMYFUNCTION("""COMPUTED_VALUE"""),155)</f>
        <v>155</v>
      </c>
      <c r="Q20" s="12">
        <f ca="1">IFERROR(__xludf.DUMMYFUNCTION("""COMPUTED_VALUE"""),3577)</f>
        <v>3577</v>
      </c>
      <c r="R20" s="12">
        <f ca="1">IFERROR(__xludf.DUMMYFUNCTION("""COMPUTED_VALUE"""),1003)</f>
        <v>1003</v>
      </c>
      <c r="S20" s="12">
        <f ca="1">IFERROR(__xludf.DUMMYFUNCTION("""COMPUTED_VALUE"""),1302)</f>
        <v>1302</v>
      </c>
      <c r="T20" s="12">
        <f ca="1">IFERROR(__xludf.DUMMYFUNCTION("""COMPUTED_VALUE"""),6395)</f>
        <v>6395</v>
      </c>
      <c r="U20" s="12">
        <f ca="1">IFERROR(__xludf.DUMMYFUNCTION("""COMPUTED_VALUE"""),5498)</f>
        <v>5498</v>
      </c>
      <c r="V20" s="12">
        <f ca="1">IFERROR(__xludf.DUMMYFUNCTION("""COMPUTED_VALUE"""),1290)</f>
        <v>1290</v>
      </c>
      <c r="W20" s="12">
        <f ca="1">IFERROR(__xludf.DUMMYFUNCTION("""COMPUTED_VALUE"""),14066)</f>
        <v>14066</v>
      </c>
      <c r="X20" s="12">
        <f ca="1">IFERROR(__xludf.DUMMYFUNCTION("""COMPUTED_VALUE"""),13732)</f>
        <v>13732</v>
      </c>
      <c r="Y20" s="12">
        <f ca="1">IFERROR(__xludf.DUMMYFUNCTION("""COMPUTED_VALUE"""),2878)</f>
        <v>2878</v>
      </c>
      <c r="Z20" s="12">
        <f ca="1">IFERROR(__xludf.DUMMYFUNCTION("""COMPUTED_VALUE"""),7990)</f>
        <v>7990</v>
      </c>
      <c r="AA20" s="12">
        <f ca="1">IFERROR(__xludf.DUMMYFUNCTION("""COMPUTED_VALUE"""),2262)</f>
        <v>2262</v>
      </c>
      <c r="AB20" s="12">
        <f ca="1">IFERROR(__xludf.DUMMYFUNCTION("""COMPUTED_VALUE"""),2350)</f>
        <v>2350</v>
      </c>
      <c r="AC20" s="12">
        <f ca="1">IFERROR(__xludf.DUMMYFUNCTION("""COMPUTED_VALUE"""),5843)</f>
        <v>5843</v>
      </c>
      <c r="AD20" s="12">
        <f ca="1">IFERROR(__xludf.DUMMYFUNCTION("""COMPUTED_VALUE"""),2247)</f>
        <v>2247</v>
      </c>
      <c r="AE20" s="12">
        <f ca="1">IFERROR(__xludf.DUMMYFUNCTION("""COMPUTED_VALUE"""),10671)</f>
        <v>10671</v>
      </c>
      <c r="AF20" s="8">
        <f ca="1">IFERROR(__xludf.DUMMYFUNCTION("""COMPUTED_VALUE"""),6529)</f>
        <v>6529</v>
      </c>
      <c r="AG20" s="8">
        <f ca="1">IFERROR(__xludf.DUMMYFUNCTION("""COMPUTED_VALUE"""),756)</f>
        <v>756</v>
      </c>
      <c r="AH20" s="8">
        <f ca="1">IFERROR(__xludf.DUMMYFUNCTION("""COMPUTED_VALUE"""),11714)</f>
        <v>11714</v>
      </c>
      <c r="AI20" s="8">
        <f ca="1">IFERROR(__xludf.DUMMYFUNCTION("""COMPUTED_VALUE"""),11146)</f>
        <v>11146</v>
      </c>
      <c r="AJ20" s="8">
        <f ca="1">IFERROR(__xludf.DUMMYFUNCTION("""COMPUTED_VALUE"""),700)</f>
        <v>700</v>
      </c>
      <c r="AK20" s="8">
        <f ca="1">IFERROR(__xludf.DUMMYFUNCTION("""COMPUTED_VALUE"""),870)</f>
        <v>870</v>
      </c>
      <c r="AL20" s="8">
        <f ca="1">IFERROR(__xludf.DUMMYFUNCTION("""COMPUTED_VALUE"""),5615)</f>
        <v>5615</v>
      </c>
      <c r="AM20" s="8">
        <f ca="1">IFERROR(__xludf.DUMMYFUNCTION("""COMPUTED_VALUE"""),6401)</f>
        <v>6401</v>
      </c>
      <c r="AN20" s="8">
        <f ca="1">IFERROR(__xludf.DUMMYFUNCTION("""COMPUTED_VALUE"""),1192)</f>
        <v>1192</v>
      </c>
      <c r="AO20" s="8">
        <f ca="1">IFERROR(__xludf.DUMMYFUNCTION("""COMPUTED_VALUE"""),1762)</f>
        <v>1762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</row>
    <row r="21" spans="1:51" ht="15.75" customHeight="1" x14ac:dyDescent="0.25">
      <c r="A21" s="11" t="str">
        <f ca="1">IFERROR(__xludf.DUMMYFUNCTION("""COMPUTED_VALUE"""),"                     left Supplemental somatosensory area")</f>
        <v xml:space="preserve">                     left Supplemental somatosensory area</v>
      </c>
      <c r="B21" s="12">
        <f ca="1">IFERROR(__xludf.DUMMYFUNCTION("""COMPUTED_VALUE"""),11267)</f>
        <v>11267</v>
      </c>
      <c r="C21" s="12">
        <f ca="1">IFERROR(__xludf.DUMMYFUNCTION("""COMPUTED_VALUE"""),20883)</f>
        <v>20883</v>
      </c>
      <c r="D21" s="12">
        <f ca="1">IFERROR(__xludf.DUMMYFUNCTION("""COMPUTED_VALUE"""),55252)</f>
        <v>55252</v>
      </c>
      <c r="E21" s="12">
        <f ca="1">IFERROR(__xludf.DUMMYFUNCTION("""COMPUTED_VALUE"""),29201)</f>
        <v>29201</v>
      </c>
      <c r="F21" s="12">
        <f ca="1">IFERROR(__xludf.DUMMYFUNCTION("""COMPUTED_VALUE"""),62053)</f>
        <v>62053</v>
      </c>
      <c r="G21" s="12">
        <f ca="1">IFERROR(__xludf.DUMMYFUNCTION("""COMPUTED_VALUE"""),15270)</f>
        <v>15270</v>
      </c>
      <c r="H21" s="12">
        <f ca="1">IFERROR(__xludf.DUMMYFUNCTION("""COMPUTED_VALUE"""),31505)</f>
        <v>31505</v>
      </c>
      <c r="I21" s="12">
        <f ca="1">IFERROR(__xludf.DUMMYFUNCTION("""COMPUTED_VALUE"""),6018)</f>
        <v>6018</v>
      </c>
      <c r="J21" s="12">
        <f ca="1">IFERROR(__xludf.DUMMYFUNCTION("""COMPUTED_VALUE"""),5565)</f>
        <v>5565</v>
      </c>
      <c r="K21" s="12">
        <f ca="1">IFERROR(__xludf.DUMMYFUNCTION("""COMPUTED_VALUE"""),8033)</f>
        <v>8033</v>
      </c>
      <c r="L21" s="12">
        <f ca="1">IFERROR(__xludf.DUMMYFUNCTION("""COMPUTED_VALUE"""),33964)</f>
        <v>33964</v>
      </c>
      <c r="M21" s="12">
        <f ca="1">IFERROR(__xludf.DUMMYFUNCTION("""COMPUTED_VALUE"""),87307)</f>
        <v>87307</v>
      </c>
      <c r="N21" s="12">
        <f ca="1">IFERROR(__xludf.DUMMYFUNCTION("""COMPUTED_VALUE"""),24917)</f>
        <v>24917</v>
      </c>
      <c r="O21" s="12">
        <f ca="1">IFERROR(__xludf.DUMMYFUNCTION("""COMPUTED_VALUE"""),38447)</f>
        <v>38447</v>
      </c>
      <c r="P21" s="12">
        <f ca="1">IFERROR(__xludf.DUMMYFUNCTION("""COMPUTED_VALUE"""),5079)</f>
        <v>5079</v>
      </c>
      <c r="Q21" s="12">
        <f ca="1">IFERROR(__xludf.DUMMYFUNCTION("""COMPUTED_VALUE"""),21090)</f>
        <v>21090</v>
      </c>
      <c r="R21" s="12">
        <f ca="1">IFERROR(__xludf.DUMMYFUNCTION("""COMPUTED_VALUE"""),13530)</f>
        <v>13530</v>
      </c>
      <c r="S21" s="12">
        <f ca="1">IFERROR(__xludf.DUMMYFUNCTION("""COMPUTED_VALUE"""),4740)</f>
        <v>4740</v>
      </c>
      <c r="T21" s="12">
        <f ca="1">IFERROR(__xludf.DUMMYFUNCTION("""COMPUTED_VALUE"""),26588)</f>
        <v>26588</v>
      </c>
      <c r="U21" s="12">
        <f ca="1">IFERROR(__xludf.DUMMYFUNCTION("""COMPUTED_VALUE"""),26268)</f>
        <v>26268</v>
      </c>
      <c r="V21" s="12">
        <f ca="1">IFERROR(__xludf.DUMMYFUNCTION("""COMPUTED_VALUE"""),15676)</f>
        <v>15676</v>
      </c>
      <c r="W21" s="12">
        <f ca="1">IFERROR(__xludf.DUMMYFUNCTION("""COMPUTED_VALUE"""),106181)</f>
        <v>106181</v>
      </c>
      <c r="X21" s="12">
        <f ca="1">IFERROR(__xludf.DUMMYFUNCTION("""COMPUTED_VALUE"""),124953)</f>
        <v>124953</v>
      </c>
      <c r="Y21" s="12">
        <f ca="1">IFERROR(__xludf.DUMMYFUNCTION("""COMPUTED_VALUE"""),34964)</f>
        <v>34964</v>
      </c>
      <c r="Z21" s="12">
        <f ca="1">IFERROR(__xludf.DUMMYFUNCTION("""COMPUTED_VALUE"""),71178)</f>
        <v>71178</v>
      </c>
      <c r="AA21" s="12">
        <f ca="1">IFERROR(__xludf.DUMMYFUNCTION("""COMPUTED_VALUE"""),14983)</f>
        <v>14983</v>
      </c>
      <c r="AB21" s="12">
        <f ca="1">IFERROR(__xludf.DUMMYFUNCTION("""COMPUTED_VALUE"""),24381)</f>
        <v>24381</v>
      </c>
      <c r="AC21" s="12">
        <f ca="1">IFERROR(__xludf.DUMMYFUNCTION("""COMPUTED_VALUE"""),48654)</f>
        <v>48654</v>
      </c>
      <c r="AD21" s="12">
        <f ca="1">IFERROR(__xludf.DUMMYFUNCTION("""COMPUTED_VALUE"""),60483)</f>
        <v>60483</v>
      </c>
      <c r="AE21" s="12">
        <f ca="1">IFERROR(__xludf.DUMMYFUNCTION("""COMPUTED_VALUE"""),58990)</f>
        <v>58990</v>
      </c>
      <c r="AF21" s="8">
        <f ca="1">IFERROR(__xludf.DUMMYFUNCTION("""COMPUTED_VALUE"""),128532)</f>
        <v>128532</v>
      </c>
      <c r="AG21" s="8">
        <f ca="1">IFERROR(__xludf.DUMMYFUNCTION("""COMPUTED_VALUE"""),17552)</f>
        <v>17552</v>
      </c>
      <c r="AH21" s="8">
        <f ca="1">IFERROR(__xludf.DUMMYFUNCTION("""COMPUTED_VALUE"""),76078)</f>
        <v>76078</v>
      </c>
      <c r="AI21" s="8">
        <f ca="1">IFERROR(__xludf.DUMMYFUNCTION("""COMPUTED_VALUE"""),68041)</f>
        <v>68041</v>
      </c>
      <c r="AJ21" s="8">
        <f ca="1">IFERROR(__xludf.DUMMYFUNCTION("""COMPUTED_VALUE"""),12024)</f>
        <v>12024</v>
      </c>
      <c r="AK21" s="8">
        <f ca="1">IFERROR(__xludf.DUMMYFUNCTION("""COMPUTED_VALUE"""),14757)</f>
        <v>14757</v>
      </c>
      <c r="AL21" s="8">
        <f ca="1">IFERROR(__xludf.DUMMYFUNCTION("""COMPUTED_VALUE"""),34186)</f>
        <v>34186</v>
      </c>
      <c r="AM21" s="8">
        <f ca="1">IFERROR(__xludf.DUMMYFUNCTION("""COMPUTED_VALUE"""),68290)</f>
        <v>68290</v>
      </c>
      <c r="AN21" s="8">
        <f ca="1">IFERROR(__xludf.DUMMYFUNCTION("""COMPUTED_VALUE"""),34058)</f>
        <v>34058</v>
      </c>
      <c r="AO21" s="8">
        <f ca="1">IFERROR(__xludf.DUMMYFUNCTION("""COMPUTED_VALUE"""),23713)</f>
        <v>23713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</row>
    <row r="22" spans="1:51" ht="15.75" customHeight="1" x14ac:dyDescent="0.25">
      <c r="A22" s="11" t="str">
        <f ca="1">IFERROR(__xludf.DUMMYFUNCTION("""COMPUTED_VALUE"""),"                  left Gustatory areas")</f>
        <v xml:space="preserve">                  left Gustatory areas</v>
      </c>
      <c r="B22" s="12">
        <f ca="1">IFERROR(__xludf.DUMMYFUNCTION("""COMPUTED_VALUE"""),1513)</f>
        <v>1513</v>
      </c>
      <c r="C22" s="12">
        <f ca="1">IFERROR(__xludf.DUMMYFUNCTION("""COMPUTED_VALUE"""),4010)</f>
        <v>4010</v>
      </c>
      <c r="D22" s="12">
        <f ca="1">IFERROR(__xludf.DUMMYFUNCTION("""COMPUTED_VALUE"""),9180)</f>
        <v>9180</v>
      </c>
      <c r="E22" s="12">
        <f ca="1">IFERROR(__xludf.DUMMYFUNCTION("""COMPUTED_VALUE"""),4058)</f>
        <v>4058</v>
      </c>
      <c r="F22" s="12">
        <f ca="1">IFERROR(__xludf.DUMMYFUNCTION("""COMPUTED_VALUE"""),6105)</f>
        <v>6105</v>
      </c>
      <c r="G22" s="12">
        <f ca="1">IFERROR(__xludf.DUMMYFUNCTION("""COMPUTED_VALUE"""),2466)</f>
        <v>2466</v>
      </c>
      <c r="H22" s="12">
        <f ca="1">IFERROR(__xludf.DUMMYFUNCTION("""COMPUTED_VALUE"""),3972)</f>
        <v>3972</v>
      </c>
      <c r="I22" s="12">
        <f ca="1">IFERROR(__xludf.DUMMYFUNCTION("""COMPUTED_VALUE"""),784)</f>
        <v>784</v>
      </c>
      <c r="J22" s="12">
        <f ca="1">IFERROR(__xludf.DUMMYFUNCTION("""COMPUTED_VALUE"""),822)</f>
        <v>822</v>
      </c>
      <c r="K22" s="12">
        <f ca="1">IFERROR(__xludf.DUMMYFUNCTION("""COMPUTED_VALUE"""),788)</f>
        <v>788</v>
      </c>
      <c r="L22" s="12">
        <f ca="1">IFERROR(__xludf.DUMMYFUNCTION("""COMPUTED_VALUE"""),7446)</f>
        <v>7446</v>
      </c>
      <c r="M22" s="12">
        <f ca="1">IFERROR(__xludf.DUMMYFUNCTION("""COMPUTED_VALUE"""),16123)</f>
        <v>16123</v>
      </c>
      <c r="N22" s="12">
        <f ca="1">IFERROR(__xludf.DUMMYFUNCTION("""COMPUTED_VALUE"""),5721)</f>
        <v>5721</v>
      </c>
      <c r="O22" s="12">
        <f ca="1">IFERROR(__xludf.DUMMYFUNCTION("""COMPUTED_VALUE"""),4334)</f>
        <v>4334</v>
      </c>
      <c r="P22" s="12">
        <f ca="1">IFERROR(__xludf.DUMMYFUNCTION("""COMPUTED_VALUE"""),1737)</f>
        <v>1737</v>
      </c>
      <c r="Q22" s="12">
        <f ca="1">IFERROR(__xludf.DUMMYFUNCTION("""COMPUTED_VALUE"""),500)</f>
        <v>500</v>
      </c>
      <c r="R22" s="12">
        <f ca="1">IFERROR(__xludf.DUMMYFUNCTION("""COMPUTED_VALUE"""),3695)</f>
        <v>3695</v>
      </c>
      <c r="S22" s="12">
        <f ca="1">IFERROR(__xludf.DUMMYFUNCTION("""COMPUTED_VALUE"""),798)</f>
        <v>798</v>
      </c>
      <c r="T22" s="12">
        <f ca="1">IFERROR(__xludf.DUMMYFUNCTION("""COMPUTED_VALUE"""),6247)</f>
        <v>6247</v>
      </c>
      <c r="U22" s="12">
        <f ca="1">IFERROR(__xludf.DUMMYFUNCTION("""COMPUTED_VALUE"""),5182)</f>
        <v>5182</v>
      </c>
      <c r="V22" s="12">
        <f ca="1">IFERROR(__xludf.DUMMYFUNCTION("""COMPUTED_VALUE"""),3381)</f>
        <v>3381</v>
      </c>
      <c r="W22" s="12">
        <f ca="1">IFERROR(__xludf.DUMMYFUNCTION("""COMPUTED_VALUE"""),28869)</f>
        <v>28869</v>
      </c>
      <c r="X22" s="12">
        <f ca="1">IFERROR(__xludf.DUMMYFUNCTION("""COMPUTED_VALUE"""),31305)</f>
        <v>31305</v>
      </c>
      <c r="Y22" s="12">
        <f ca="1">IFERROR(__xludf.DUMMYFUNCTION("""COMPUTED_VALUE"""),13877)</f>
        <v>13877</v>
      </c>
      <c r="Z22" s="12">
        <f ca="1">IFERROR(__xludf.DUMMYFUNCTION("""COMPUTED_VALUE"""),8616)</f>
        <v>8616</v>
      </c>
      <c r="AA22" s="12">
        <f ca="1">IFERROR(__xludf.DUMMYFUNCTION("""COMPUTED_VALUE"""),5011)</f>
        <v>5011</v>
      </c>
      <c r="AB22" s="12">
        <f ca="1">IFERROR(__xludf.DUMMYFUNCTION("""COMPUTED_VALUE"""),8563)</f>
        <v>8563</v>
      </c>
      <c r="AC22" s="12">
        <f ca="1">IFERROR(__xludf.DUMMYFUNCTION("""COMPUTED_VALUE"""),5695)</f>
        <v>5695</v>
      </c>
      <c r="AD22" s="12">
        <f ca="1">IFERROR(__xludf.DUMMYFUNCTION("""COMPUTED_VALUE"""),14258)</f>
        <v>14258</v>
      </c>
      <c r="AE22" s="12">
        <f ca="1">IFERROR(__xludf.DUMMYFUNCTION("""COMPUTED_VALUE"""),8041)</f>
        <v>8041</v>
      </c>
      <c r="AF22" s="8">
        <f ca="1">IFERROR(__xludf.DUMMYFUNCTION("""COMPUTED_VALUE"""),19626)</f>
        <v>19626</v>
      </c>
      <c r="AG22" s="8">
        <f ca="1">IFERROR(__xludf.DUMMYFUNCTION("""COMPUTED_VALUE"""),5611)</f>
        <v>5611</v>
      </c>
      <c r="AH22" s="8">
        <f ca="1">IFERROR(__xludf.DUMMYFUNCTION("""COMPUTED_VALUE"""),8709)</f>
        <v>8709</v>
      </c>
      <c r="AI22" s="8">
        <f ca="1">IFERROR(__xludf.DUMMYFUNCTION("""COMPUTED_VALUE"""),9643)</f>
        <v>9643</v>
      </c>
      <c r="AJ22" s="8">
        <f ca="1">IFERROR(__xludf.DUMMYFUNCTION("""COMPUTED_VALUE"""),2367)</f>
        <v>2367</v>
      </c>
      <c r="AK22" s="8">
        <f ca="1">IFERROR(__xludf.DUMMYFUNCTION("""COMPUTED_VALUE"""),1932)</f>
        <v>1932</v>
      </c>
      <c r="AL22" s="8">
        <f ca="1">IFERROR(__xludf.DUMMYFUNCTION("""COMPUTED_VALUE"""),4802)</f>
        <v>4802</v>
      </c>
      <c r="AM22" s="8">
        <f ca="1">IFERROR(__xludf.DUMMYFUNCTION("""COMPUTED_VALUE"""),17993)</f>
        <v>17993</v>
      </c>
      <c r="AN22" s="8">
        <f ca="1">IFERROR(__xludf.DUMMYFUNCTION("""COMPUTED_VALUE"""),7658)</f>
        <v>7658</v>
      </c>
      <c r="AO22" s="8">
        <f ca="1">IFERROR(__xludf.DUMMYFUNCTION("""COMPUTED_VALUE"""),8160)</f>
        <v>8160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</row>
    <row r="23" spans="1:51" ht="15.75" customHeight="1" x14ac:dyDescent="0.25">
      <c r="A23" s="11" t="str">
        <f ca="1">IFERROR(__xludf.DUMMYFUNCTION("""COMPUTED_VALUE"""),"                  left Visceral area")</f>
        <v xml:space="preserve">                  left Visceral area</v>
      </c>
      <c r="B23" s="12">
        <f ca="1">IFERROR(__xludf.DUMMYFUNCTION("""COMPUTED_VALUE"""),2073)</f>
        <v>2073</v>
      </c>
      <c r="C23" s="12">
        <f ca="1">IFERROR(__xludf.DUMMYFUNCTION("""COMPUTED_VALUE"""),2645)</f>
        <v>2645</v>
      </c>
      <c r="D23" s="12">
        <f ca="1">IFERROR(__xludf.DUMMYFUNCTION("""COMPUTED_VALUE"""),7761)</f>
        <v>7761</v>
      </c>
      <c r="E23" s="12">
        <f ca="1">IFERROR(__xludf.DUMMYFUNCTION("""COMPUTED_VALUE"""),6447)</f>
        <v>6447</v>
      </c>
      <c r="F23" s="12">
        <f ca="1">IFERROR(__xludf.DUMMYFUNCTION("""COMPUTED_VALUE"""),10523)</f>
        <v>10523</v>
      </c>
      <c r="G23" s="12">
        <f ca="1">IFERROR(__xludf.DUMMYFUNCTION("""COMPUTED_VALUE"""),2935)</f>
        <v>2935</v>
      </c>
      <c r="H23" s="12">
        <f ca="1">IFERROR(__xludf.DUMMYFUNCTION("""COMPUTED_VALUE"""),5408)</f>
        <v>5408</v>
      </c>
      <c r="I23" s="12">
        <f ca="1">IFERROR(__xludf.DUMMYFUNCTION("""COMPUTED_VALUE"""),645)</f>
        <v>645</v>
      </c>
      <c r="J23" s="12">
        <f ca="1">IFERROR(__xludf.DUMMYFUNCTION("""COMPUTED_VALUE"""),1030)</f>
        <v>1030</v>
      </c>
      <c r="K23" s="12">
        <f ca="1">IFERROR(__xludf.DUMMYFUNCTION("""COMPUTED_VALUE"""),1992)</f>
        <v>1992</v>
      </c>
      <c r="L23" s="12">
        <f ca="1">IFERROR(__xludf.DUMMYFUNCTION("""COMPUTED_VALUE"""),7283)</f>
        <v>7283</v>
      </c>
      <c r="M23" s="12">
        <f ca="1">IFERROR(__xludf.DUMMYFUNCTION("""COMPUTED_VALUE"""),20958)</f>
        <v>20958</v>
      </c>
      <c r="N23" s="12">
        <f ca="1">IFERROR(__xludf.DUMMYFUNCTION("""COMPUTED_VALUE"""),2677)</f>
        <v>2677</v>
      </c>
      <c r="O23" s="12">
        <f ca="1">IFERROR(__xludf.DUMMYFUNCTION("""COMPUTED_VALUE"""),6946)</f>
        <v>6946</v>
      </c>
      <c r="P23" s="12">
        <f ca="1">IFERROR(__xludf.DUMMYFUNCTION("""COMPUTED_VALUE"""),1829)</f>
        <v>1829</v>
      </c>
      <c r="Q23" s="12">
        <f ca="1">IFERROR(__xludf.DUMMYFUNCTION("""COMPUTED_VALUE"""),2231)</f>
        <v>2231</v>
      </c>
      <c r="R23" s="12">
        <f ca="1">IFERROR(__xludf.DUMMYFUNCTION("""COMPUTED_VALUE"""),3256)</f>
        <v>3256</v>
      </c>
      <c r="S23" s="12">
        <f ca="1">IFERROR(__xludf.DUMMYFUNCTION("""COMPUTED_VALUE"""),993)</f>
        <v>993</v>
      </c>
      <c r="T23" s="12">
        <f ca="1">IFERROR(__xludf.DUMMYFUNCTION("""COMPUTED_VALUE"""),4563)</f>
        <v>4563</v>
      </c>
      <c r="U23" s="12">
        <f ca="1">IFERROR(__xludf.DUMMYFUNCTION("""COMPUTED_VALUE"""),8659)</f>
        <v>8659</v>
      </c>
      <c r="V23" s="12">
        <f ca="1">IFERROR(__xludf.DUMMYFUNCTION("""COMPUTED_VALUE"""),4747)</f>
        <v>4747</v>
      </c>
      <c r="W23" s="12">
        <f ca="1">IFERROR(__xludf.DUMMYFUNCTION("""COMPUTED_VALUE"""),30478)</f>
        <v>30478</v>
      </c>
      <c r="X23" s="12">
        <f ca="1">IFERROR(__xludf.DUMMYFUNCTION("""COMPUTED_VALUE"""),31607)</f>
        <v>31607</v>
      </c>
      <c r="Y23" s="12">
        <f ca="1">IFERROR(__xludf.DUMMYFUNCTION("""COMPUTED_VALUE"""),12640)</f>
        <v>12640</v>
      </c>
      <c r="Z23" s="12">
        <f ca="1">IFERROR(__xludf.DUMMYFUNCTION("""COMPUTED_VALUE"""),12473)</f>
        <v>12473</v>
      </c>
      <c r="AA23" s="12">
        <f ca="1">IFERROR(__xludf.DUMMYFUNCTION("""COMPUTED_VALUE"""),6153)</f>
        <v>6153</v>
      </c>
      <c r="AB23" s="12">
        <f ca="1">IFERROR(__xludf.DUMMYFUNCTION("""COMPUTED_VALUE"""),12570)</f>
        <v>12570</v>
      </c>
      <c r="AC23" s="12">
        <f ca="1">IFERROR(__xludf.DUMMYFUNCTION("""COMPUTED_VALUE"""),8324)</f>
        <v>8324</v>
      </c>
      <c r="AD23" s="12">
        <f ca="1">IFERROR(__xludf.DUMMYFUNCTION("""COMPUTED_VALUE"""),12975)</f>
        <v>12975</v>
      </c>
      <c r="AE23" s="12">
        <f ca="1">IFERROR(__xludf.DUMMYFUNCTION("""COMPUTED_VALUE"""),13635)</f>
        <v>13635</v>
      </c>
      <c r="AF23" s="8">
        <f ca="1">IFERROR(__xludf.DUMMYFUNCTION("""COMPUTED_VALUE"""),28884)</f>
        <v>28884</v>
      </c>
      <c r="AG23" s="8">
        <f ca="1">IFERROR(__xludf.DUMMYFUNCTION("""COMPUTED_VALUE"""),8306)</f>
        <v>8306</v>
      </c>
      <c r="AH23" s="8">
        <f ca="1">IFERROR(__xludf.DUMMYFUNCTION("""COMPUTED_VALUE"""),14081)</f>
        <v>14081</v>
      </c>
      <c r="AI23" s="8">
        <f ca="1">IFERROR(__xludf.DUMMYFUNCTION("""COMPUTED_VALUE"""),16457)</f>
        <v>16457</v>
      </c>
      <c r="AJ23" s="8">
        <f ca="1">IFERROR(__xludf.DUMMYFUNCTION("""COMPUTED_VALUE"""),4318)</f>
        <v>4318</v>
      </c>
      <c r="AK23" s="8">
        <f ca="1">IFERROR(__xludf.DUMMYFUNCTION("""COMPUTED_VALUE"""),1944)</f>
        <v>1944</v>
      </c>
      <c r="AL23" s="8">
        <f ca="1">IFERROR(__xludf.DUMMYFUNCTION("""COMPUTED_VALUE"""),8068)</f>
        <v>8068</v>
      </c>
      <c r="AM23" s="8">
        <f ca="1">IFERROR(__xludf.DUMMYFUNCTION("""COMPUTED_VALUE"""),17818)</f>
        <v>17818</v>
      </c>
      <c r="AN23" s="8">
        <f ca="1">IFERROR(__xludf.DUMMYFUNCTION("""COMPUTED_VALUE"""),7784)</f>
        <v>7784</v>
      </c>
      <c r="AO23" s="8">
        <f ca="1">IFERROR(__xludf.DUMMYFUNCTION("""COMPUTED_VALUE"""),10710)</f>
        <v>10710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</row>
    <row r="24" spans="1:51" ht="15.75" customHeight="1" x14ac:dyDescent="0.25">
      <c r="A24" s="11" t="str">
        <f ca="1">IFERROR(__xludf.DUMMYFUNCTION("""COMPUTED_VALUE"""),"                  left Auditory areas")</f>
        <v xml:space="preserve">                  left Auditory areas</v>
      </c>
      <c r="B24" s="12">
        <f ca="1">IFERROR(__xludf.DUMMYFUNCTION("""COMPUTED_VALUE"""),46620)</f>
        <v>46620</v>
      </c>
      <c r="C24" s="12">
        <f ca="1">IFERROR(__xludf.DUMMYFUNCTION("""COMPUTED_VALUE"""),48533)</f>
        <v>48533</v>
      </c>
      <c r="D24" s="12">
        <f ca="1">IFERROR(__xludf.DUMMYFUNCTION("""COMPUTED_VALUE"""),54524)</f>
        <v>54524</v>
      </c>
      <c r="E24" s="12">
        <f ca="1">IFERROR(__xludf.DUMMYFUNCTION("""COMPUTED_VALUE"""),54056)</f>
        <v>54056</v>
      </c>
      <c r="F24" s="12">
        <f ca="1">IFERROR(__xludf.DUMMYFUNCTION("""COMPUTED_VALUE"""),46809)</f>
        <v>46809</v>
      </c>
      <c r="G24" s="12">
        <f ca="1">IFERROR(__xludf.DUMMYFUNCTION("""COMPUTED_VALUE"""),12121)</f>
        <v>12121</v>
      </c>
      <c r="H24" s="12">
        <f ca="1">IFERROR(__xludf.DUMMYFUNCTION("""COMPUTED_VALUE"""),27581)</f>
        <v>27581</v>
      </c>
      <c r="I24" s="12">
        <f ca="1">IFERROR(__xludf.DUMMYFUNCTION("""COMPUTED_VALUE"""),10254)</f>
        <v>10254</v>
      </c>
      <c r="J24" s="12">
        <f ca="1">IFERROR(__xludf.DUMMYFUNCTION("""COMPUTED_VALUE"""),15698)</f>
        <v>15698</v>
      </c>
      <c r="K24" s="12">
        <f ca="1">IFERROR(__xludf.DUMMYFUNCTION("""COMPUTED_VALUE"""),16021)</f>
        <v>16021</v>
      </c>
      <c r="L24" s="12">
        <f ca="1">IFERROR(__xludf.DUMMYFUNCTION("""COMPUTED_VALUE"""),37223)</f>
        <v>37223</v>
      </c>
      <c r="M24" s="12">
        <f ca="1">IFERROR(__xludf.DUMMYFUNCTION("""COMPUTED_VALUE"""),68708)</f>
        <v>68708</v>
      </c>
      <c r="N24" s="12">
        <f ca="1">IFERROR(__xludf.DUMMYFUNCTION("""COMPUTED_VALUE"""),15996)</f>
        <v>15996</v>
      </c>
      <c r="O24" s="12">
        <f ca="1">IFERROR(__xludf.DUMMYFUNCTION("""COMPUTED_VALUE"""),58718)</f>
        <v>58718</v>
      </c>
      <c r="P24" s="12">
        <f ca="1">IFERROR(__xludf.DUMMYFUNCTION("""COMPUTED_VALUE"""),13893)</f>
        <v>13893</v>
      </c>
      <c r="Q24" s="12">
        <f ca="1">IFERROR(__xludf.DUMMYFUNCTION("""COMPUTED_VALUE"""),33122)</f>
        <v>33122</v>
      </c>
      <c r="R24" s="12">
        <f ca="1">IFERROR(__xludf.DUMMYFUNCTION("""COMPUTED_VALUE"""),23436)</f>
        <v>23436</v>
      </c>
      <c r="S24" s="12">
        <f ca="1">IFERROR(__xludf.DUMMYFUNCTION("""COMPUTED_VALUE"""),5293)</f>
        <v>5293</v>
      </c>
      <c r="T24" s="12">
        <f ca="1">IFERROR(__xludf.DUMMYFUNCTION("""COMPUTED_VALUE"""),39420)</f>
        <v>39420</v>
      </c>
      <c r="U24" s="12">
        <f ca="1">IFERROR(__xludf.DUMMYFUNCTION("""COMPUTED_VALUE"""),33234)</f>
        <v>33234</v>
      </c>
      <c r="V24" s="12">
        <f ca="1">IFERROR(__xludf.DUMMYFUNCTION("""COMPUTED_VALUE"""),23592)</f>
        <v>23592</v>
      </c>
      <c r="W24" s="12">
        <f ca="1">IFERROR(__xludf.DUMMYFUNCTION("""COMPUTED_VALUE"""),68123)</f>
        <v>68123</v>
      </c>
      <c r="X24" s="12">
        <f ca="1">IFERROR(__xludf.DUMMYFUNCTION("""COMPUTED_VALUE"""),84173)</f>
        <v>84173</v>
      </c>
      <c r="Y24" s="12">
        <f ca="1">IFERROR(__xludf.DUMMYFUNCTION("""COMPUTED_VALUE"""),52680)</f>
        <v>52680</v>
      </c>
      <c r="Z24" s="12">
        <f ca="1">IFERROR(__xludf.DUMMYFUNCTION("""COMPUTED_VALUE"""),83013)</f>
        <v>83013</v>
      </c>
      <c r="AA24" s="12">
        <f ca="1">IFERROR(__xludf.DUMMYFUNCTION("""COMPUTED_VALUE"""),75656)</f>
        <v>75656</v>
      </c>
      <c r="AB24" s="12">
        <f ca="1">IFERROR(__xludf.DUMMYFUNCTION("""COMPUTED_VALUE"""),53366)</f>
        <v>53366</v>
      </c>
      <c r="AC24" s="12">
        <f ca="1">IFERROR(__xludf.DUMMYFUNCTION("""COMPUTED_VALUE"""),70864)</f>
        <v>70864</v>
      </c>
      <c r="AD24" s="12">
        <f ca="1">IFERROR(__xludf.DUMMYFUNCTION("""COMPUTED_VALUE"""),74366)</f>
        <v>74366</v>
      </c>
      <c r="AE24" s="12">
        <f ca="1">IFERROR(__xludf.DUMMYFUNCTION("""COMPUTED_VALUE"""),77240)</f>
        <v>77240</v>
      </c>
      <c r="AF24" s="8">
        <f ca="1">IFERROR(__xludf.DUMMYFUNCTION("""COMPUTED_VALUE"""),127532)</f>
        <v>127532</v>
      </c>
      <c r="AG24" s="8">
        <f ca="1">IFERROR(__xludf.DUMMYFUNCTION("""COMPUTED_VALUE"""),29443)</f>
        <v>29443</v>
      </c>
      <c r="AH24" s="8">
        <f ca="1">IFERROR(__xludf.DUMMYFUNCTION("""COMPUTED_VALUE"""),70001)</f>
        <v>70001</v>
      </c>
      <c r="AI24" s="8">
        <f ca="1">IFERROR(__xludf.DUMMYFUNCTION("""COMPUTED_VALUE"""),69137)</f>
        <v>69137</v>
      </c>
      <c r="AJ24" s="8">
        <f ca="1">IFERROR(__xludf.DUMMYFUNCTION("""COMPUTED_VALUE"""),25395)</f>
        <v>25395</v>
      </c>
      <c r="AK24" s="8">
        <f ca="1">IFERROR(__xludf.DUMMYFUNCTION("""COMPUTED_VALUE"""),10279)</f>
        <v>10279</v>
      </c>
      <c r="AL24" s="8">
        <f ca="1">IFERROR(__xludf.DUMMYFUNCTION("""COMPUTED_VALUE"""),30036)</f>
        <v>30036</v>
      </c>
      <c r="AM24" s="8">
        <f ca="1">IFERROR(__xludf.DUMMYFUNCTION("""COMPUTED_VALUE"""),42414)</f>
        <v>42414</v>
      </c>
      <c r="AN24" s="8">
        <f ca="1">IFERROR(__xludf.DUMMYFUNCTION("""COMPUTED_VALUE"""),31017)</f>
        <v>31017</v>
      </c>
      <c r="AO24" s="8">
        <f ca="1">IFERROR(__xludf.DUMMYFUNCTION("""COMPUTED_VALUE"""),16515)</f>
        <v>16515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</row>
    <row r="25" spans="1:51" ht="15.75" customHeight="1" x14ac:dyDescent="0.25">
      <c r="A25" s="11" t="str">
        <f ca="1">IFERROR(__xludf.DUMMYFUNCTION("""COMPUTED_VALUE"""),"                     left Dorsal auditory area")</f>
        <v xml:space="preserve">                     left Dorsal auditory area</v>
      </c>
      <c r="B25" s="12">
        <f ca="1">IFERROR(__xludf.DUMMYFUNCTION("""COMPUTED_VALUE"""),6952)</f>
        <v>6952</v>
      </c>
      <c r="C25" s="12">
        <f ca="1">IFERROR(__xludf.DUMMYFUNCTION("""COMPUTED_VALUE"""),7584)</f>
        <v>7584</v>
      </c>
      <c r="D25" s="12">
        <f ca="1">IFERROR(__xludf.DUMMYFUNCTION("""COMPUTED_VALUE"""),9067)</f>
        <v>9067</v>
      </c>
      <c r="E25" s="12">
        <f ca="1">IFERROR(__xludf.DUMMYFUNCTION("""COMPUTED_VALUE"""),7561)</f>
        <v>7561</v>
      </c>
      <c r="F25" s="12">
        <f ca="1">IFERROR(__xludf.DUMMYFUNCTION("""COMPUTED_VALUE"""),10650)</f>
        <v>10650</v>
      </c>
      <c r="G25" s="12">
        <f ca="1">IFERROR(__xludf.DUMMYFUNCTION("""COMPUTED_VALUE"""),2844)</f>
        <v>2844</v>
      </c>
      <c r="H25" s="12">
        <f ca="1">IFERROR(__xludf.DUMMYFUNCTION("""COMPUTED_VALUE"""),7097)</f>
        <v>7097</v>
      </c>
      <c r="I25" s="12">
        <f ca="1">IFERROR(__xludf.DUMMYFUNCTION("""COMPUTED_VALUE"""),2317)</f>
        <v>2317</v>
      </c>
      <c r="J25" s="12">
        <f ca="1">IFERROR(__xludf.DUMMYFUNCTION("""COMPUTED_VALUE"""),2145)</f>
        <v>2145</v>
      </c>
      <c r="K25" s="12">
        <f ca="1">IFERROR(__xludf.DUMMYFUNCTION("""COMPUTED_VALUE"""),3174)</f>
        <v>3174</v>
      </c>
      <c r="L25" s="12">
        <f ca="1">IFERROR(__xludf.DUMMYFUNCTION("""COMPUTED_VALUE"""),6605)</f>
        <v>6605</v>
      </c>
      <c r="M25" s="12">
        <f ca="1">IFERROR(__xludf.DUMMYFUNCTION("""COMPUTED_VALUE"""),12367)</f>
        <v>12367</v>
      </c>
      <c r="N25" s="12">
        <f ca="1">IFERROR(__xludf.DUMMYFUNCTION("""COMPUTED_VALUE"""),3115)</f>
        <v>3115</v>
      </c>
      <c r="O25" s="12">
        <f ca="1">IFERROR(__xludf.DUMMYFUNCTION("""COMPUTED_VALUE"""),11619)</f>
        <v>11619</v>
      </c>
      <c r="P25" s="12">
        <f ca="1">IFERROR(__xludf.DUMMYFUNCTION("""COMPUTED_VALUE"""),732)</f>
        <v>732</v>
      </c>
      <c r="Q25" s="12">
        <f ca="1">IFERROR(__xludf.DUMMYFUNCTION("""COMPUTED_VALUE"""),8463)</f>
        <v>8463</v>
      </c>
      <c r="R25" s="12">
        <f ca="1">IFERROR(__xludf.DUMMYFUNCTION("""COMPUTED_VALUE"""),3819)</f>
        <v>3819</v>
      </c>
      <c r="S25" s="12">
        <f ca="1">IFERROR(__xludf.DUMMYFUNCTION("""COMPUTED_VALUE"""),666)</f>
        <v>666</v>
      </c>
      <c r="T25" s="12">
        <f ca="1">IFERROR(__xludf.DUMMYFUNCTION("""COMPUTED_VALUE"""),5825)</f>
        <v>5825</v>
      </c>
      <c r="U25" s="12">
        <f ca="1">IFERROR(__xludf.DUMMYFUNCTION("""COMPUTED_VALUE"""),4589)</f>
        <v>4589</v>
      </c>
      <c r="V25" s="12">
        <f ca="1">IFERROR(__xludf.DUMMYFUNCTION("""COMPUTED_VALUE"""),1591)</f>
        <v>1591</v>
      </c>
      <c r="W25" s="12">
        <f ca="1">IFERROR(__xludf.DUMMYFUNCTION("""COMPUTED_VALUE"""),6867)</f>
        <v>6867</v>
      </c>
      <c r="X25" s="12">
        <f ca="1">IFERROR(__xludf.DUMMYFUNCTION("""COMPUTED_VALUE"""),13916)</f>
        <v>13916</v>
      </c>
      <c r="Y25" s="12">
        <f ca="1">IFERROR(__xludf.DUMMYFUNCTION("""COMPUTED_VALUE"""),6966)</f>
        <v>6966</v>
      </c>
      <c r="Z25" s="12">
        <f ca="1">IFERROR(__xludf.DUMMYFUNCTION("""COMPUTED_VALUE"""),12607)</f>
        <v>12607</v>
      </c>
      <c r="AA25" s="12">
        <f ca="1">IFERROR(__xludf.DUMMYFUNCTION("""COMPUTED_VALUE"""),5447)</f>
        <v>5447</v>
      </c>
      <c r="AB25" s="12">
        <f ca="1">IFERROR(__xludf.DUMMYFUNCTION("""COMPUTED_VALUE"""),5190)</f>
        <v>5190</v>
      </c>
      <c r="AC25" s="12">
        <f ca="1">IFERROR(__xludf.DUMMYFUNCTION("""COMPUTED_VALUE"""),9295)</f>
        <v>9295</v>
      </c>
      <c r="AD25" s="12">
        <f ca="1">IFERROR(__xludf.DUMMYFUNCTION("""COMPUTED_VALUE"""),8566)</f>
        <v>8566</v>
      </c>
      <c r="AE25" s="12">
        <f ca="1">IFERROR(__xludf.DUMMYFUNCTION("""COMPUTED_VALUE"""),16411)</f>
        <v>16411</v>
      </c>
      <c r="AF25" s="8">
        <f ca="1">IFERROR(__xludf.DUMMYFUNCTION("""COMPUTED_VALUE"""),19064)</f>
        <v>19064</v>
      </c>
      <c r="AG25" s="8">
        <f ca="1">IFERROR(__xludf.DUMMYFUNCTION("""COMPUTED_VALUE"""),4846)</f>
        <v>4846</v>
      </c>
      <c r="AH25" s="8">
        <f ca="1">IFERROR(__xludf.DUMMYFUNCTION("""COMPUTED_VALUE"""),13292)</f>
        <v>13292</v>
      </c>
      <c r="AI25" s="8">
        <f ca="1">IFERROR(__xludf.DUMMYFUNCTION("""COMPUTED_VALUE"""),13034)</f>
        <v>13034</v>
      </c>
      <c r="AJ25" s="8">
        <f ca="1">IFERROR(__xludf.DUMMYFUNCTION("""COMPUTED_VALUE"""),2654)</f>
        <v>2654</v>
      </c>
      <c r="AK25" s="8">
        <f ca="1">IFERROR(__xludf.DUMMYFUNCTION("""COMPUTED_VALUE"""),2087)</f>
        <v>2087</v>
      </c>
      <c r="AL25" s="8">
        <f ca="1">IFERROR(__xludf.DUMMYFUNCTION("""COMPUTED_VALUE"""),4367)</f>
        <v>4367</v>
      </c>
      <c r="AM25" s="8">
        <f ca="1">IFERROR(__xludf.DUMMYFUNCTION("""COMPUTED_VALUE"""),5296)</f>
        <v>5296</v>
      </c>
      <c r="AN25" s="8">
        <f ca="1">IFERROR(__xludf.DUMMYFUNCTION("""COMPUTED_VALUE"""),5474)</f>
        <v>5474</v>
      </c>
      <c r="AO25" s="8">
        <f ca="1">IFERROR(__xludf.DUMMYFUNCTION("""COMPUTED_VALUE"""),2732)</f>
        <v>2732</v>
      </c>
      <c r="AP25" s="8"/>
      <c r="AQ25" s="8"/>
      <c r="AR25" s="8"/>
      <c r="AS25" s="8"/>
      <c r="AT25" s="8"/>
      <c r="AU25" s="8"/>
      <c r="AV25" s="8"/>
      <c r="AW25" s="8"/>
      <c r="AX25" s="8"/>
      <c r="AY25" s="8"/>
    </row>
    <row r="26" spans="1:51" ht="15.75" customHeight="1" x14ac:dyDescent="0.25">
      <c r="A26" s="11" t="str">
        <f ca="1">IFERROR(__xludf.DUMMYFUNCTION("""COMPUTED_VALUE"""),"                     left Primary auditory area")</f>
        <v xml:space="preserve">                     left Primary auditory area</v>
      </c>
      <c r="B26" s="12">
        <f ca="1">IFERROR(__xludf.DUMMYFUNCTION("""COMPUTED_VALUE"""),19938)</f>
        <v>19938</v>
      </c>
      <c r="C26" s="12">
        <f ca="1">IFERROR(__xludf.DUMMYFUNCTION("""COMPUTED_VALUE"""),21795)</f>
        <v>21795</v>
      </c>
      <c r="D26" s="12">
        <f ca="1">IFERROR(__xludf.DUMMYFUNCTION("""COMPUTED_VALUE"""),19831)</f>
        <v>19831</v>
      </c>
      <c r="E26" s="12">
        <f ca="1">IFERROR(__xludf.DUMMYFUNCTION("""COMPUTED_VALUE"""),20741)</f>
        <v>20741</v>
      </c>
      <c r="F26" s="12">
        <f ca="1">IFERROR(__xludf.DUMMYFUNCTION("""COMPUTED_VALUE"""),17539)</f>
        <v>17539</v>
      </c>
      <c r="G26" s="12">
        <f ca="1">IFERROR(__xludf.DUMMYFUNCTION("""COMPUTED_VALUE"""),4313)</f>
        <v>4313</v>
      </c>
      <c r="H26" s="12">
        <f ca="1">IFERROR(__xludf.DUMMYFUNCTION("""COMPUTED_VALUE"""),9509)</f>
        <v>9509</v>
      </c>
      <c r="I26" s="12">
        <f ca="1">IFERROR(__xludf.DUMMYFUNCTION("""COMPUTED_VALUE"""),3631)</f>
        <v>3631</v>
      </c>
      <c r="J26" s="12">
        <f ca="1">IFERROR(__xludf.DUMMYFUNCTION("""COMPUTED_VALUE"""),6120)</f>
        <v>6120</v>
      </c>
      <c r="K26" s="12">
        <f ca="1">IFERROR(__xludf.DUMMYFUNCTION("""COMPUTED_VALUE"""),6673)</f>
        <v>6673</v>
      </c>
      <c r="L26" s="12">
        <f ca="1">IFERROR(__xludf.DUMMYFUNCTION("""COMPUTED_VALUE"""),14867)</f>
        <v>14867</v>
      </c>
      <c r="M26" s="12">
        <f ca="1">IFERROR(__xludf.DUMMYFUNCTION("""COMPUTED_VALUE"""),28577)</f>
        <v>28577</v>
      </c>
      <c r="N26" s="12">
        <f ca="1">IFERROR(__xludf.DUMMYFUNCTION("""COMPUTED_VALUE"""),6762)</f>
        <v>6762</v>
      </c>
      <c r="O26" s="12">
        <f ca="1">IFERROR(__xludf.DUMMYFUNCTION("""COMPUTED_VALUE"""),22756)</f>
        <v>22756</v>
      </c>
      <c r="P26" s="12">
        <f ca="1">IFERROR(__xludf.DUMMYFUNCTION("""COMPUTED_VALUE"""),4599)</f>
        <v>4599</v>
      </c>
      <c r="Q26" s="12">
        <f ca="1">IFERROR(__xludf.DUMMYFUNCTION("""COMPUTED_VALUE"""),12035)</f>
        <v>12035</v>
      </c>
      <c r="R26" s="12">
        <f ca="1">IFERROR(__xludf.DUMMYFUNCTION("""COMPUTED_VALUE"""),9862)</f>
        <v>9862</v>
      </c>
      <c r="S26" s="12">
        <f ca="1">IFERROR(__xludf.DUMMYFUNCTION("""COMPUTED_VALUE"""),1790)</f>
        <v>1790</v>
      </c>
      <c r="T26" s="12">
        <f ca="1">IFERROR(__xludf.DUMMYFUNCTION("""COMPUTED_VALUE"""),16842)</f>
        <v>16842</v>
      </c>
      <c r="U26" s="12">
        <f ca="1">IFERROR(__xludf.DUMMYFUNCTION("""COMPUTED_VALUE"""),10951)</f>
        <v>10951</v>
      </c>
      <c r="V26" s="12">
        <f ca="1">IFERROR(__xludf.DUMMYFUNCTION("""COMPUTED_VALUE"""),7572)</f>
        <v>7572</v>
      </c>
      <c r="W26" s="12">
        <f ca="1">IFERROR(__xludf.DUMMYFUNCTION("""COMPUTED_VALUE"""),29665)</f>
        <v>29665</v>
      </c>
      <c r="X26" s="12">
        <f ca="1">IFERROR(__xludf.DUMMYFUNCTION("""COMPUTED_VALUE"""),30734)</f>
        <v>30734</v>
      </c>
      <c r="Y26" s="12">
        <f ca="1">IFERROR(__xludf.DUMMYFUNCTION("""COMPUTED_VALUE"""),19970)</f>
        <v>19970</v>
      </c>
      <c r="Z26" s="12">
        <f ca="1">IFERROR(__xludf.DUMMYFUNCTION("""COMPUTED_VALUE"""),26462)</f>
        <v>26462</v>
      </c>
      <c r="AA26" s="12">
        <f ca="1">IFERROR(__xludf.DUMMYFUNCTION("""COMPUTED_VALUE"""),31531)</f>
        <v>31531</v>
      </c>
      <c r="AB26" s="12">
        <f ca="1">IFERROR(__xludf.DUMMYFUNCTION("""COMPUTED_VALUE"""),19565)</f>
        <v>19565</v>
      </c>
      <c r="AC26" s="12">
        <f ca="1">IFERROR(__xludf.DUMMYFUNCTION("""COMPUTED_VALUE"""),29726)</f>
        <v>29726</v>
      </c>
      <c r="AD26" s="12">
        <f ca="1">IFERROR(__xludf.DUMMYFUNCTION("""COMPUTED_VALUE"""),31347)</f>
        <v>31347</v>
      </c>
      <c r="AE26" s="12">
        <f ca="1">IFERROR(__xludf.DUMMYFUNCTION("""COMPUTED_VALUE"""),30655)</f>
        <v>30655</v>
      </c>
      <c r="AF26" s="8">
        <f ca="1">IFERROR(__xludf.DUMMYFUNCTION("""COMPUTED_VALUE"""),51712)</f>
        <v>51712</v>
      </c>
      <c r="AG26" s="8">
        <f ca="1">IFERROR(__xludf.DUMMYFUNCTION("""COMPUTED_VALUE"""),11996)</f>
        <v>11996</v>
      </c>
      <c r="AH26" s="8">
        <f ca="1">IFERROR(__xludf.DUMMYFUNCTION("""COMPUTED_VALUE"""),26146)</f>
        <v>26146</v>
      </c>
      <c r="AI26" s="8">
        <f ca="1">IFERROR(__xludf.DUMMYFUNCTION("""COMPUTED_VALUE"""),23219)</f>
        <v>23219</v>
      </c>
      <c r="AJ26" s="8">
        <f ca="1">IFERROR(__xludf.DUMMYFUNCTION("""COMPUTED_VALUE"""),11978)</f>
        <v>11978</v>
      </c>
      <c r="AK26" s="8">
        <f ca="1">IFERROR(__xludf.DUMMYFUNCTION("""COMPUTED_VALUE"""),4091)</f>
        <v>4091</v>
      </c>
      <c r="AL26" s="8">
        <f ca="1">IFERROR(__xludf.DUMMYFUNCTION("""COMPUTED_VALUE"""),11203)</f>
        <v>11203</v>
      </c>
      <c r="AM26" s="8">
        <f ca="1">IFERROR(__xludf.DUMMYFUNCTION("""COMPUTED_VALUE"""),13553)</f>
        <v>13553</v>
      </c>
      <c r="AN26" s="8">
        <f ca="1">IFERROR(__xludf.DUMMYFUNCTION("""COMPUTED_VALUE"""),12363)</f>
        <v>12363</v>
      </c>
      <c r="AO26" s="8">
        <f ca="1">IFERROR(__xludf.DUMMYFUNCTION("""COMPUTED_VALUE"""),6408)</f>
        <v>6408</v>
      </c>
      <c r="AP26" s="8"/>
      <c r="AQ26" s="8"/>
      <c r="AR26" s="8"/>
      <c r="AS26" s="8"/>
      <c r="AT26" s="8"/>
      <c r="AU26" s="8"/>
      <c r="AV26" s="8"/>
      <c r="AW26" s="8"/>
      <c r="AX26" s="8"/>
      <c r="AY26" s="8"/>
    </row>
    <row r="27" spans="1:51" ht="15.75" customHeight="1" x14ac:dyDescent="0.25">
      <c r="A27" s="11" t="str">
        <f ca="1">IFERROR(__xludf.DUMMYFUNCTION("""COMPUTED_VALUE"""),"                     left Posterior auditory area")</f>
        <v xml:space="preserve">                     left Posterior auditory area</v>
      </c>
      <c r="B27" s="12">
        <f ca="1">IFERROR(__xludf.DUMMYFUNCTION("""COMPUTED_VALUE"""),5372)</f>
        <v>5372</v>
      </c>
      <c r="C27" s="12">
        <f ca="1">IFERROR(__xludf.DUMMYFUNCTION("""COMPUTED_VALUE"""),5621)</f>
        <v>5621</v>
      </c>
      <c r="D27" s="12">
        <f ca="1">IFERROR(__xludf.DUMMYFUNCTION("""COMPUTED_VALUE"""),4832)</f>
        <v>4832</v>
      </c>
      <c r="E27" s="12">
        <f ca="1">IFERROR(__xludf.DUMMYFUNCTION("""COMPUTED_VALUE"""),7717)</f>
        <v>7717</v>
      </c>
      <c r="F27" s="12">
        <f ca="1">IFERROR(__xludf.DUMMYFUNCTION("""COMPUTED_VALUE"""),4215)</f>
        <v>4215</v>
      </c>
      <c r="G27" s="12">
        <f ca="1">IFERROR(__xludf.DUMMYFUNCTION("""COMPUTED_VALUE"""),993)</f>
        <v>993</v>
      </c>
      <c r="H27" s="12">
        <f ca="1">IFERROR(__xludf.DUMMYFUNCTION("""COMPUTED_VALUE"""),1801)</f>
        <v>1801</v>
      </c>
      <c r="I27" s="12">
        <f ca="1">IFERROR(__xludf.DUMMYFUNCTION("""COMPUTED_VALUE"""),1861)</f>
        <v>1861</v>
      </c>
      <c r="J27" s="12">
        <f ca="1">IFERROR(__xludf.DUMMYFUNCTION("""COMPUTED_VALUE"""),1525)</f>
        <v>1525</v>
      </c>
      <c r="K27" s="12">
        <f ca="1">IFERROR(__xludf.DUMMYFUNCTION("""COMPUTED_VALUE"""),1147)</f>
        <v>1147</v>
      </c>
      <c r="L27" s="12">
        <f ca="1">IFERROR(__xludf.DUMMYFUNCTION("""COMPUTED_VALUE"""),3446)</f>
        <v>3446</v>
      </c>
      <c r="M27" s="12">
        <f ca="1">IFERROR(__xludf.DUMMYFUNCTION("""COMPUTED_VALUE"""),7466)</f>
        <v>7466</v>
      </c>
      <c r="N27" s="12">
        <f ca="1">IFERROR(__xludf.DUMMYFUNCTION("""COMPUTED_VALUE"""),1239)</f>
        <v>1239</v>
      </c>
      <c r="O27" s="12">
        <f ca="1">IFERROR(__xludf.DUMMYFUNCTION("""COMPUTED_VALUE"""),7657)</f>
        <v>7657</v>
      </c>
      <c r="P27" s="12">
        <f ca="1">IFERROR(__xludf.DUMMYFUNCTION("""COMPUTED_VALUE"""),1417)</f>
        <v>1417</v>
      </c>
      <c r="Q27" s="12">
        <f ca="1">IFERROR(__xludf.DUMMYFUNCTION("""COMPUTED_VALUE"""),2982)</f>
        <v>2982</v>
      </c>
      <c r="R27" s="12">
        <f ca="1">IFERROR(__xludf.DUMMYFUNCTION("""COMPUTED_VALUE"""),3693)</f>
        <v>3693</v>
      </c>
      <c r="S27" s="12">
        <f ca="1">IFERROR(__xludf.DUMMYFUNCTION("""COMPUTED_VALUE"""),370)</f>
        <v>370</v>
      </c>
      <c r="T27" s="12">
        <f ca="1">IFERROR(__xludf.DUMMYFUNCTION("""COMPUTED_VALUE"""),4112)</f>
        <v>4112</v>
      </c>
      <c r="U27" s="12">
        <f ca="1">IFERROR(__xludf.DUMMYFUNCTION("""COMPUTED_VALUE"""),2654)</f>
        <v>2654</v>
      </c>
      <c r="V27" s="12">
        <f ca="1">IFERROR(__xludf.DUMMYFUNCTION("""COMPUTED_VALUE"""),4846)</f>
        <v>4846</v>
      </c>
      <c r="W27" s="12">
        <f ca="1">IFERROR(__xludf.DUMMYFUNCTION("""COMPUTED_VALUE"""),3031)</f>
        <v>3031</v>
      </c>
      <c r="X27" s="12">
        <f ca="1">IFERROR(__xludf.DUMMYFUNCTION("""COMPUTED_VALUE"""),11850)</f>
        <v>11850</v>
      </c>
      <c r="Y27" s="12">
        <f ca="1">IFERROR(__xludf.DUMMYFUNCTION("""COMPUTED_VALUE"""),4993)</f>
        <v>4993</v>
      </c>
      <c r="Z27" s="12">
        <f ca="1">IFERROR(__xludf.DUMMYFUNCTION("""COMPUTED_VALUE"""),6513)</f>
        <v>6513</v>
      </c>
      <c r="AA27" s="12">
        <f ca="1">IFERROR(__xludf.DUMMYFUNCTION("""COMPUTED_VALUE"""),5674)</f>
        <v>5674</v>
      </c>
      <c r="AB27" s="12">
        <f ca="1">IFERROR(__xludf.DUMMYFUNCTION("""COMPUTED_VALUE"""),8095)</f>
        <v>8095</v>
      </c>
      <c r="AC27" s="12">
        <f ca="1">IFERROR(__xludf.DUMMYFUNCTION("""COMPUTED_VALUE"""),6498)</f>
        <v>6498</v>
      </c>
      <c r="AD27" s="12">
        <f ca="1">IFERROR(__xludf.DUMMYFUNCTION("""COMPUTED_VALUE"""),8231)</f>
        <v>8231</v>
      </c>
      <c r="AE27" s="12">
        <f ca="1">IFERROR(__xludf.DUMMYFUNCTION("""COMPUTED_VALUE"""),8615)</f>
        <v>8615</v>
      </c>
      <c r="AF27" s="8">
        <f ca="1">IFERROR(__xludf.DUMMYFUNCTION("""COMPUTED_VALUE"""),13684)</f>
        <v>13684</v>
      </c>
      <c r="AG27" s="8">
        <f ca="1">IFERROR(__xludf.DUMMYFUNCTION("""COMPUTED_VALUE"""),2754)</f>
        <v>2754</v>
      </c>
      <c r="AH27" s="8">
        <f ca="1">IFERROR(__xludf.DUMMYFUNCTION("""COMPUTED_VALUE"""),8632)</f>
        <v>8632</v>
      </c>
      <c r="AI27" s="8">
        <f ca="1">IFERROR(__xludf.DUMMYFUNCTION("""COMPUTED_VALUE"""),4786)</f>
        <v>4786</v>
      </c>
      <c r="AJ27" s="8">
        <f ca="1">IFERROR(__xludf.DUMMYFUNCTION("""COMPUTED_VALUE"""),4153)</f>
        <v>4153</v>
      </c>
      <c r="AK27" s="8">
        <f ca="1">IFERROR(__xludf.DUMMYFUNCTION("""COMPUTED_VALUE"""),299)</f>
        <v>299</v>
      </c>
      <c r="AL27" s="8">
        <f ca="1">IFERROR(__xludf.DUMMYFUNCTION("""COMPUTED_VALUE"""),3144)</f>
        <v>3144</v>
      </c>
      <c r="AM27" s="8">
        <f ca="1">IFERROR(__xludf.DUMMYFUNCTION("""COMPUTED_VALUE"""),3220)</f>
        <v>3220</v>
      </c>
      <c r="AN27" s="8">
        <f ca="1">IFERROR(__xludf.DUMMYFUNCTION("""COMPUTED_VALUE"""),3220)</f>
        <v>3220</v>
      </c>
      <c r="AO27" s="8">
        <f ca="1">IFERROR(__xludf.DUMMYFUNCTION("""COMPUTED_VALUE"""),704)</f>
        <v>704</v>
      </c>
      <c r="AP27" s="8"/>
      <c r="AQ27" s="8"/>
      <c r="AR27" s="8"/>
      <c r="AS27" s="8"/>
      <c r="AT27" s="8"/>
      <c r="AU27" s="8"/>
      <c r="AV27" s="8"/>
      <c r="AW27" s="8"/>
      <c r="AX27" s="8"/>
      <c r="AY27" s="8"/>
    </row>
    <row r="28" spans="1:51" ht="15.75" customHeight="1" x14ac:dyDescent="0.25">
      <c r="A28" s="11" t="str">
        <f ca="1">IFERROR(__xludf.DUMMYFUNCTION("""COMPUTED_VALUE"""),"                     left Ventral auditory area")</f>
        <v xml:space="preserve">                     left Ventral auditory area</v>
      </c>
      <c r="B28" s="12">
        <f ca="1">IFERROR(__xludf.DUMMYFUNCTION("""COMPUTED_VALUE"""),14358)</f>
        <v>14358</v>
      </c>
      <c r="C28" s="12">
        <f ca="1">IFERROR(__xludf.DUMMYFUNCTION("""COMPUTED_VALUE"""),13533)</f>
        <v>13533</v>
      </c>
      <c r="D28" s="12">
        <f ca="1">IFERROR(__xludf.DUMMYFUNCTION("""COMPUTED_VALUE"""),20794)</f>
        <v>20794</v>
      </c>
      <c r="E28" s="12">
        <f ca="1">IFERROR(__xludf.DUMMYFUNCTION("""COMPUTED_VALUE"""),18037)</f>
        <v>18037</v>
      </c>
      <c r="F28" s="12">
        <f ca="1">IFERROR(__xludf.DUMMYFUNCTION("""COMPUTED_VALUE"""),14405)</f>
        <v>14405</v>
      </c>
      <c r="G28" s="12">
        <f ca="1">IFERROR(__xludf.DUMMYFUNCTION("""COMPUTED_VALUE"""),3971)</f>
        <v>3971</v>
      </c>
      <c r="H28" s="12">
        <f ca="1">IFERROR(__xludf.DUMMYFUNCTION("""COMPUTED_VALUE"""),9174)</f>
        <v>9174</v>
      </c>
      <c r="I28" s="12">
        <f ca="1">IFERROR(__xludf.DUMMYFUNCTION("""COMPUTED_VALUE"""),2445)</f>
        <v>2445</v>
      </c>
      <c r="J28" s="12">
        <f ca="1">IFERROR(__xludf.DUMMYFUNCTION("""COMPUTED_VALUE"""),5908)</f>
        <v>5908</v>
      </c>
      <c r="K28" s="12">
        <f ca="1">IFERROR(__xludf.DUMMYFUNCTION("""COMPUTED_VALUE"""),5027)</f>
        <v>5027</v>
      </c>
      <c r="L28" s="12">
        <f ca="1">IFERROR(__xludf.DUMMYFUNCTION("""COMPUTED_VALUE"""),12305)</f>
        <v>12305</v>
      </c>
      <c r="M28" s="12">
        <f ca="1">IFERROR(__xludf.DUMMYFUNCTION("""COMPUTED_VALUE"""),20298)</f>
        <v>20298</v>
      </c>
      <c r="N28" s="12">
        <f ca="1">IFERROR(__xludf.DUMMYFUNCTION("""COMPUTED_VALUE"""),4880)</f>
        <v>4880</v>
      </c>
      <c r="O28" s="12">
        <f ca="1">IFERROR(__xludf.DUMMYFUNCTION("""COMPUTED_VALUE"""),16686)</f>
        <v>16686</v>
      </c>
      <c r="P28" s="12">
        <f ca="1">IFERROR(__xludf.DUMMYFUNCTION("""COMPUTED_VALUE"""),7145)</f>
        <v>7145</v>
      </c>
      <c r="Q28" s="12">
        <f ca="1">IFERROR(__xludf.DUMMYFUNCTION("""COMPUTED_VALUE"""),9642)</f>
        <v>9642</v>
      </c>
      <c r="R28" s="12">
        <f ca="1">IFERROR(__xludf.DUMMYFUNCTION("""COMPUTED_VALUE"""),6062)</f>
        <v>6062</v>
      </c>
      <c r="S28" s="12">
        <f ca="1">IFERROR(__xludf.DUMMYFUNCTION("""COMPUTED_VALUE"""),2467)</f>
        <v>2467</v>
      </c>
      <c r="T28" s="12">
        <f ca="1">IFERROR(__xludf.DUMMYFUNCTION("""COMPUTED_VALUE"""),12641)</f>
        <v>12641</v>
      </c>
      <c r="U28" s="12">
        <f ca="1">IFERROR(__xludf.DUMMYFUNCTION("""COMPUTED_VALUE"""),15040)</f>
        <v>15040</v>
      </c>
      <c r="V28" s="12">
        <f ca="1">IFERROR(__xludf.DUMMYFUNCTION("""COMPUTED_VALUE"""),9583)</f>
        <v>9583</v>
      </c>
      <c r="W28" s="12">
        <f ca="1">IFERROR(__xludf.DUMMYFUNCTION("""COMPUTED_VALUE"""),28560)</f>
        <v>28560</v>
      </c>
      <c r="X28" s="12">
        <f ca="1">IFERROR(__xludf.DUMMYFUNCTION("""COMPUTED_VALUE"""),27673)</f>
        <v>27673</v>
      </c>
      <c r="Y28" s="12">
        <f ca="1">IFERROR(__xludf.DUMMYFUNCTION("""COMPUTED_VALUE"""),20751)</f>
        <v>20751</v>
      </c>
      <c r="Z28" s="12">
        <f ca="1">IFERROR(__xludf.DUMMYFUNCTION("""COMPUTED_VALUE"""),37431)</f>
        <v>37431</v>
      </c>
      <c r="AA28" s="12">
        <f ca="1">IFERROR(__xludf.DUMMYFUNCTION("""COMPUTED_VALUE"""),33004)</f>
        <v>33004</v>
      </c>
      <c r="AB28" s="12">
        <f ca="1">IFERROR(__xludf.DUMMYFUNCTION("""COMPUTED_VALUE"""),20516)</f>
        <v>20516</v>
      </c>
      <c r="AC28" s="12">
        <f ca="1">IFERROR(__xludf.DUMMYFUNCTION("""COMPUTED_VALUE"""),25345)</f>
        <v>25345</v>
      </c>
      <c r="AD28" s="12">
        <f ca="1">IFERROR(__xludf.DUMMYFUNCTION("""COMPUTED_VALUE"""),26222)</f>
        <v>26222</v>
      </c>
      <c r="AE28" s="12">
        <f ca="1">IFERROR(__xludf.DUMMYFUNCTION("""COMPUTED_VALUE"""),21559)</f>
        <v>21559</v>
      </c>
      <c r="AF28" s="8">
        <f ca="1">IFERROR(__xludf.DUMMYFUNCTION("""COMPUTED_VALUE"""),43072)</f>
        <v>43072</v>
      </c>
      <c r="AG28" s="8">
        <f ca="1">IFERROR(__xludf.DUMMYFUNCTION("""COMPUTED_VALUE"""),9847)</f>
        <v>9847</v>
      </c>
      <c r="AH28" s="8">
        <f ca="1">IFERROR(__xludf.DUMMYFUNCTION("""COMPUTED_VALUE"""),21931)</f>
        <v>21931</v>
      </c>
      <c r="AI28" s="8">
        <f ca="1">IFERROR(__xludf.DUMMYFUNCTION("""COMPUTED_VALUE"""),28098)</f>
        <v>28098</v>
      </c>
      <c r="AJ28" s="8">
        <f ca="1">IFERROR(__xludf.DUMMYFUNCTION("""COMPUTED_VALUE"""),6610)</f>
        <v>6610</v>
      </c>
      <c r="AK28" s="8">
        <f ca="1">IFERROR(__xludf.DUMMYFUNCTION("""COMPUTED_VALUE"""),3802)</f>
        <v>3802</v>
      </c>
      <c r="AL28" s="8">
        <f ca="1">IFERROR(__xludf.DUMMYFUNCTION("""COMPUTED_VALUE"""),11322)</f>
        <v>11322</v>
      </c>
      <c r="AM28" s="8">
        <f ca="1">IFERROR(__xludf.DUMMYFUNCTION("""COMPUTED_VALUE"""),20345)</f>
        <v>20345</v>
      </c>
      <c r="AN28" s="8">
        <f ca="1">IFERROR(__xludf.DUMMYFUNCTION("""COMPUTED_VALUE"""),9960)</f>
        <v>9960</v>
      </c>
      <c r="AO28" s="8">
        <f ca="1">IFERROR(__xludf.DUMMYFUNCTION("""COMPUTED_VALUE"""),6671)</f>
        <v>6671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</row>
    <row r="29" spans="1:51" ht="15.75" customHeight="1" x14ac:dyDescent="0.25">
      <c r="A29" s="11" t="str">
        <f ca="1">IFERROR(__xludf.DUMMYFUNCTION("""COMPUTED_VALUE"""),"                  left Visual areas")</f>
        <v xml:space="preserve">                  left Visual areas</v>
      </c>
      <c r="B29" s="12">
        <f ca="1">IFERROR(__xludf.DUMMYFUNCTION("""COMPUTED_VALUE"""),80402)</f>
        <v>80402</v>
      </c>
      <c r="C29" s="12">
        <f ca="1">IFERROR(__xludf.DUMMYFUNCTION("""COMPUTED_VALUE"""),87158)</f>
        <v>87158</v>
      </c>
      <c r="D29" s="12">
        <f ca="1">IFERROR(__xludf.DUMMYFUNCTION("""COMPUTED_VALUE"""),58535)</f>
        <v>58535</v>
      </c>
      <c r="E29" s="12">
        <f ca="1">IFERROR(__xludf.DUMMYFUNCTION("""COMPUTED_VALUE"""),118539)</f>
        <v>118539</v>
      </c>
      <c r="F29" s="12">
        <f ca="1">IFERROR(__xludf.DUMMYFUNCTION("""COMPUTED_VALUE"""),62682)</f>
        <v>62682</v>
      </c>
      <c r="G29" s="12">
        <f ca="1">IFERROR(__xludf.DUMMYFUNCTION("""COMPUTED_VALUE"""),35574)</f>
        <v>35574</v>
      </c>
      <c r="H29" s="12">
        <f ca="1">IFERROR(__xludf.DUMMYFUNCTION("""COMPUTED_VALUE"""),70988)</f>
        <v>70988</v>
      </c>
      <c r="I29" s="12">
        <f ca="1">IFERROR(__xludf.DUMMYFUNCTION("""COMPUTED_VALUE"""),51705)</f>
        <v>51705</v>
      </c>
      <c r="J29" s="12">
        <f ca="1">IFERROR(__xludf.DUMMYFUNCTION("""COMPUTED_VALUE"""),32615)</f>
        <v>32615</v>
      </c>
      <c r="K29" s="12">
        <f ca="1">IFERROR(__xludf.DUMMYFUNCTION("""COMPUTED_VALUE"""),48977)</f>
        <v>48977</v>
      </c>
      <c r="L29" s="12">
        <f ca="1">IFERROR(__xludf.DUMMYFUNCTION("""COMPUTED_VALUE"""),29481)</f>
        <v>29481</v>
      </c>
      <c r="M29" s="12">
        <f ca="1">IFERROR(__xludf.DUMMYFUNCTION("""COMPUTED_VALUE"""),98476)</f>
        <v>98476</v>
      </c>
      <c r="N29" s="12">
        <f ca="1">IFERROR(__xludf.DUMMYFUNCTION("""COMPUTED_VALUE"""),14507)</f>
        <v>14507</v>
      </c>
      <c r="O29" s="12">
        <f ca="1">IFERROR(__xludf.DUMMYFUNCTION("""COMPUTED_VALUE"""),123203)</f>
        <v>123203</v>
      </c>
      <c r="P29" s="12">
        <f ca="1">IFERROR(__xludf.DUMMYFUNCTION("""COMPUTED_VALUE"""),26007)</f>
        <v>26007</v>
      </c>
      <c r="Q29" s="12">
        <f ca="1">IFERROR(__xludf.DUMMYFUNCTION("""COMPUTED_VALUE"""),109055)</f>
        <v>109055</v>
      </c>
      <c r="R29" s="12">
        <f ca="1">IFERROR(__xludf.DUMMYFUNCTION("""COMPUTED_VALUE"""),55188)</f>
        <v>55188</v>
      </c>
      <c r="S29" s="12">
        <f ca="1">IFERROR(__xludf.DUMMYFUNCTION("""COMPUTED_VALUE"""),37550)</f>
        <v>37550</v>
      </c>
      <c r="T29" s="12">
        <f ca="1">IFERROR(__xludf.DUMMYFUNCTION("""COMPUTED_VALUE"""),139914)</f>
        <v>139914</v>
      </c>
      <c r="U29" s="12">
        <f ca="1">IFERROR(__xludf.DUMMYFUNCTION("""COMPUTED_VALUE"""),132359)</f>
        <v>132359</v>
      </c>
      <c r="V29" s="12">
        <f ca="1">IFERROR(__xludf.DUMMYFUNCTION("""COMPUTED_VALUE"""),90189)</f>
        <v>90189</v>
      </c>
      <c r="W29" s="12">
        <f ca="1">IFERROR(__xludf.DUMMYFUNCTION("""COMPUTED_VALUE"""),132992)</f>
        <v>132992</v>
      </c>
      <c r="X29" s="12">
        <f ca="1">IFERROR(__xludf.DUMMYFUNCTION("""COMPUTED_VALUE"""),144393)</f>
        <v>144393</v>
      </c>
      <c r="Y29" s="12">
        <f ca="1">IFERROR(__xludf.DUMMYFUNCTION("""COMPUTED_VALUE"""),118430)</f>
        <v>118430</v>
      </c>
      <c r="Z29" s="12">
        <f ca="1">IFERROR(__xludf.DUMMYFUNCTION("""COMPUTED_VALUE"""),52806)</f>
        <v>52806</v>
      </c>
      <c r="AA29" s="12">
        <f ca="1">IFERROR(__xludf.DUMMYFUNCTION("""COMPUTED_VALUE"""),60141)</f>
        <v>60141</v>
      </c>
      <c r="AB29" s="12">
        <f ca="1">IFERROR(__xludf.DUMMYFUNCTION("""COMPUTED_VALUE"""),111580)</f>
        <v>111580</v>
      </c>
      <c r="AC29" s="12">
        <f ca="1">IFERROR(__xludf.DUMMYFUNCTION("""COMPUTED_VALUE"""),174760)</f>
        <v>174760</v>
      </c>
      <c r="AD29" s="12">
        <f ca="1">IFERROR(__xludf.DUMMYFUNCTION("""COMPUTED_VALUE"""),157862)</f>
        <v>157862</v>
      </c>
      <c r="AE29" s="12">
        <f ca="1">IFERROR(__xludf.DUMMYFUNCTION("""COMPUTED_VALUE"""),206007)</f>
        <v>206007</v>
      </c>
      <c r="AF29" s="8">
        <f ca="1">IFERROR(__xludf.DUMMYFUNCTION("""COMPUTED_VALUE"""),237556)</f>
        <v>237556</v>
      </c>
      <c r="AG29" s="8">
        <f ca="1">IFERROR(__xludf.DUMMYFUNCTION("""COMPUTED_VALUE"""),26871)</f>
        <v>26871</v>
      </c>
      <c r="AH29" s="8">
        <f ca="1">IFERROR(__xludf.DUMMYFUNCTION("""COMPUTED_VALUE"""),105333)</f>
        <v>105333</v>
      </c>
      <c r="AI29" s="8">
        <f ca="1">IFERROR(__xludf.DUMMYFUNCTION("""COMPUTED_VALUE"""),126937)</f>
        <v>126937</v>
      </c>
      <c r="AJ29" s="8">
        <f ca="1">IFERROR(__xludf.DUMMYFUNCTION("""COMPUTED_VALUE"""),98838)</f>
        <v>98838</v>
      </c>
      <c r="AK29" s="8">
        <f ca="1">IFERROR(__xludf.DUMMYFUNCTION("""COMPUTED_VALUE"""),30860)</f>
        <v>30860</v>
      </c>
      <c r="AL29" s="8">
        <f ca="1">IFERROR(__xludf.DUMMYFUNCTION("""COMPUTED_VALUE"""),93248)</f>
        <v>93248</v>
      </c>
      <c r="AM29" s="8">
        <f ca="1">IFERROR(__xludf.DUMMYFUNCTION("""COMPUTED_VALUE"""),149084)</f>
        <v>149084</v>
      </c>
      <c r="AN29" s="8">
        <f ca="1">IFERROR(__xludf.DUMMYFUNCTION("""COMPUTED_VALUE"""),99817)</f>
        <v>99817</v>
      </c>
      <c r="AO29" s="8">
        <f ca="1">IFERROR(__xludf.DUMMYFUNCTION("""COMPUTED_VALUE"""),35930)</f>
        <v>35930</v>
      </c>
      <c r="AP29" s="8"/>
      <c r="AQ29" s="8"/>
      <c r="AR29" s="8"/>
      <c r="AS29" s="8"/>
      <c r="AT29" s="8"/>
      <c r="AU29" s="8"/>
      <c r="AV29" s="8"/>
      <c r="AW29" s="8"/>
      <c r="AX29" s="8"/>
      <c r="AY29" s="8"/>
    </row>
    <row r="30" spans="1:51" ht="15.75" customHeight="1" x14ac:dyDescent="0.25">
      <c r="A30" s="11" t="str">
        <f ca="1">IFERROR(__xludf.DUMMYFUNCTION("""COMPUTED_VALUE"""),"                     left Anterolateral visual area")</f>
        <v xml:space="preserve">                     left Anterolateral visual area</v>
      </c>
      <c r="B30" s="12">
        <f ca="1">IFERROR(__xludf.DUMMYFUNCTION("""COMPUTED_VALUE"""),4191)</f>
        <v>4191</v>
      </c>
      <c r="C30" s="12">
        <f ca="1">IFERROR(__xludf.DUMMYFUNCTION("""COMPUTED_VALUE"""),3278)</f>
        <v>3278</v>
      </c>
      <c r="D30" s="12">
        <f ca="1">IFERROR(__xludf.DUMMYFUNCTION("""COMPUTED_VALUE"""),3403)</f>
        <v>3403</v>
      </c>
      <c r="E30" s="12">
        <f ca="1">IFERROR(__xludf.DUMMYFUNCTION("""COMPUTED_VALUE"""),7647)</f>
        <v>7647</v>
      </c>
      <c r="F30" s="12">
        <f ca="1">IFERROR(__xludf.DUMMYFUNCTION("""COMPUTED_VALUE"""),5353)</f>
        <v>5353</v>
      </c>
      <c r="G30" s="12">
        <f ca="1">IFERROR(__xludf.DUMMYFUNCTION("""COMPUTED_VALUE"""),2786)</f>
        <v>2786</v>
      </c>
      <c r="H30" s="12">
        <f ca="1">IFERROR(__xludf.DUMMYFUNCTION("""COMPUTED_VALUE"""),3481)</f>
        <v>3481</v>
      </c>
      <c r="I30" s="12">
        <f ca="1">IFERROR(__xludf.DUMMYFUNCTION("""COMPUTED_VALUE"""),2730)</f>
        <v>2730</v>
      </c>
      <c r="J30" s="12">
        <f ca="1">IFERROR(__xludf.DUMMYFUNCTION("""COMPUTED_VALUE"""),1409)</f>
        <v>1409</v>
      </c>
      <c r="K30" s="12">
        <f ca="1">IFERROR(__xludf.DUMMYFUNCTION("""COMPUTED_VALUE"""),1543)</f>
        <v>1543</v>
      </c>
      <c r="L30" s="12">
        <f ca="1">IFERROR(__xludf.DUMMYFUNCTION("""COMPUTED_VALUE"""),2366)</f>
        <v>2366</v>
      </c>
      <c r="M30" s="12">
        <f ca="1">IFERROR(__xludf.DUMMYFUNCTION("""COMPUTED_VALUE"""),5526)</f>
        <v>5526</v>
      </c>
      <c r="N30" s="12">
        <f ca="1">IFERROR(__xludf.DUMMYFUNCTION("""COMPUTED_VALUE"""),1080)</f>
        <v>1080</v>
      </c>
      <c r="O30" s="12">
        <f ca="1">IFERROR(__xludf.DUMMYFUNCTION("""COMPUTED_VALUE"""),7448)</f>
        <v>7448</v>
      </c>
      <c r="P30" s="12">
        <f ca="1">IFERROR(__xludf.DUMMYFUNCTION("""COMPUTED_VALUE"""),2642)</f>
        <v>2642</v>
      </c>
      <c r="Q30" s="12">
        <f ca="1">IFERROR(__xludf.DUMMYFUNCTION("""COMPUTED_VALUE"""),6837)</f>
        <v>6837</v>
      </c>
      <c r="R30" s="12">
        <f ca="1">IFERROR(__xludf.DUMMYFUNCTION("""COMPUTED_VALUE"""),4259)</f>
        <v>4259</v>
      </c>
      <c r="S30" s="12">
        <f ca="1">IFERROR(__xludf.DUMMYFUNCTION("""COMPUTED_VALUE"""),490)</f>
        <v>490</v>
      </c>
      <c r="T30" s="12">
        <f ca="1">IFERROR(__xludf.DUMMYFUNCTION("""COMPUTED_VALUE"""),4361)</f>
        <v>4361</v>
      </c>
      <c r="U30" s="12">
        <f ca="1">IFERROR(__xludf.DUMMYFUNCTION("""COMPUTED_VALUE"""),3599)</f>
        <v>3599</v>
      </c>
      <c r="V30" s="12">
        <f ca="1">IFERROR(__xludf.DUMMYFUNCTION("""COMPUTED_VALUE"""),3278)</f>
        <v>3278</v>
      </c>
      <c r="W30" s="12">
        <f ca="1">IFERROR(__xludf.DUMMYFUNCTION("""COMPUTED_VALUE"""),771)</f>
        <v>771</v>
      </c>
      <c r="X30" s="12">
        <f ca="1">IFERROR(__xludf.DUMMYFUNCTION("""COMPUTED_VALUE"""),15737)</f>
        <v>15737</v>
      </c>
      <c r="Y30" s="12">
        <f ca="1">IFERROR(__xludf.DUMMYFUNCTION("""COMPUTED_VALUE"""),3498)</f>
        <v>3498</v>
      </c>
      <c r="Z30" s="12">
        <f ca="1">IFERROR(__xludf.DUMMYFUNCTION("""COMPUTED_VALUE"""),7316)</f>
        <v>7316</v>
      </c>
      <c r="AA30" s="12">
        <f ca="1">IFERROR(__xludf.DUMMYFUNCTION("""COMPUTED_VALUE"""),1642)</f>
        <v>1642</v>
      </c>
      <c r="AB30" s="12">
        <f ca="1">IFERROR(__xludf.DUMMYFUNCTION("""COMPUTED_VALUE"""),6240)</f>
        <v>6240</v>
      </c>
      <c r="AC30" s="12">
        <f ca="1">IFERROR(__xludf.DUMMYFUNCTION("""COMPUTED_VALUE"""),8193)</f>
        <v>8193</v>
      </c>
      <c r="AD30" s="12">
        <f ca="1">IFERROR(__xludf.DUMMYFUNCTION("""COMPUTED_VALUE"""),8255)</f>
        <v>8255</v>
      </c>
      <c r="AE30" s="12">
        <f ca="1">IFERROR(__xludf.DUMMYFUNCTION("""COMPUTED_VALUE"""),12812)</f>
        <v>12812</v>
      </c>
      <c r="AF30" s="8">
        <f ca="1">IFERROR(__xludf.DUMMYFUNCTION("""COMPUTED_VALUE"""),14706)</f>
        <v>14706</v>
      </c>
      <c r="AG30" s="8">
        <f ca="1">IFERROR(__xludf.DUMMYFUNCTION("""COMPUTED_VALUE"""),2225)</f>
        <v>2225</v>
      </c>
      <c r="AH30" s="8">
        <f ca="1">IFERROR(__xludf.DUMMYFUNCTION("""COMPUTED_VALUE"""),9821)</f>
        <v>9821</v>
      </c>
      <c r="AI30" s="8">
        <f ca="1">IFERROR(__xludf.DUMMYFUNCTION("""COMPUTED_VALUE"""),3895)</f>
        <v>3895</v>
      </c>
      <c r="AJ30" s="8">
        <f ca="1">IFERROR(__xludf.DUMMYFUNCTION("""COMPUTED_VALUE"""),4069)</f>
        <v>4069</v>
      </c>
      <c r="AK30" s="8">
        <f ca="1">IFERROR(__xludf.DUMMYFUNCTION("""COMPUTED_VALUE"""),247)</f>
        <v>247</v>
      </c>
      <c r="AL30" s="8">
        <f ca="1">IFERROR(__xludf.DUMMYFUNCTION("""COMPUTED_VALUE"""),3798)</f>
        <v>3798</v>
      </c>
      <c r="AM30" s="8">
        <f ca="1">IFERROR(__xludf.DUMMYFUNCTION("""COMPUTED_VALUE"""),3378)</f>
        <v>3378</v>
      </c>
      <c r="AN30" s="8">
        <f ca="1">IFERROR(__xludf.DUMMYFUNCTION("""COMPUTED_VALUE"""),3130)</f>
        <v>3130</v>
      </c>
      <c r="AO30" s="8">
        <f ca="1">IFERROR(__xludf.DUMMYFUNCTION("""COMPUTED_VALUE"""),350)</f>
        <v>350</v>
      </c>
      <c r="AP30" s="8"/>
      <c r="AQ30" s="8"/>
      <c r="AR30" s="8"/>
      <c r="AS30" s="8"/>
      <c r="AT30" s="8"/>
      <c r="AU30" s="8"/>
      <c r="AV30" s="8"/>
      <c r="AW30" s="8"/>
      <c r="AX30" s="8"/>
      <c r="AY30" s="8"/>
    </row>
    <row r="31" spans="1:51" ht="15.75" customHeight="1" x14ac:dyDescent="0.25">
      <c r="A31" s="11" t="str">
        <f ca="1">IFERROR(__xludf.DUMMYFUNCTION("""COMPUTED_VALUE"""),"                     left Anteromedial visual area")</f>
        <v xml:space="preserve">                     left Anteromedial visual area</v>
      </c>
      <c r="B31" s="12">
        <f ca="1">IFERROR(__xludf.DUMMYFUNCTION("""COMPUTED_VALUE"""),1724)</f>
        <v>1724</v>
      </c>
      <c r="C31" s="12">
        <f ca="1">IFERROR(__xludf.DUMMYFUNCTION("""COMPUTED_VALUE"""),7179)</f>
        <v>7179</v>
      </c>
      <c r="D31" s="12">
        <f ca="1">IFERROR(__xludf.DUMMYFUNCTION("""COMPUTED_VALUE"""),2378)</f>
        <v>2378</v>
      </c>
      <c r="E31" s="12">
        <f ca="1">IFERROR(__xludf.DUMMYFUNCTION("""COMPUTED_VALUE"""),4653)</f>
        <v>4653</v>
      </c>
      <c r="F31" s="12">
        <f ca="1">IFERROR(__xludf.DUMMYFUNCTION("""COMPUTED_VALUE"""),5464)</f>
        <v>5464</v>
      </c>
      <c r="G31" s="12">
        <f ca="1">IFERROR(__xludf.DUMMYFUNCTION("""COMPUTED_VALUE"""),3526)</f>
        <v>3526</v>
      </c>
      <c r="H31" s="12">
        <f ca="1">IFERROR(__xludf.DUMMYFUNCTION("""COMPUTED_VALUE"""),4868)</f>
        <v>4868</v>
      </c>
      <c r="I31" s="12">
        <f ca="1">IFERROR(__xludf.DUMMYFUNCTION("""COMPUTED_VALUE"""),2435)</f>
        <v>2435</v>
      </c>
      <c r="J31" s="12">
        <f ca="1">IFERROR(__xludf.DUMMYFUNCTION("""COMPUTED_VALUE"""),1911)</f>
        <v>1911</v>
      </c>
      <c r="K31" s="12">
        <f ca="1">IFERROR(__xludf.DUMMYFUNCTION("""COMPUTED_VALUE"""),2683)</f>
        <v>2683</v>
      </c>
      <c r="L31" s="12">
        <f ca="1">IFERROR(__xludf.DUMMYFUNCTION("""COMPUTED_VALUE"""),1050)</f>
        <v>1050</v>
      </c>
      <c r="M31" s="12">
        <f ca="1">IFERROR(__xludf.DUMMYFUNCTION("""COMPUTED_VALUE"""),5413)</f>
        <v>5413</v>
      </c>
      <c r="N31" s="12">
        <f ca="1">IFERROR(__xludf.DUMMYFUNCTION("""COMPUTED_VALUE"""),433)</f>
        <v>433</v>
      </c>
      <c r="O31" s="12">
        <f ca="1">IFERROR(__xludf.DUMMYFUNCTION("""COMPUTED_VALUE"""),5393)</f>
        <v>5393</v>
      </c>
      <c r="P31" s="12">
        <f ca="1">IFERROR(__xludf.DUMMYFUNCTION("""COMPUTED_VALUE"""),411)</f>
        <v>411</v>
      </c>
      <c r="Q31" s="12">
        <f ca="1">IFERROR(__xludf.DUMMYFUNCTION("""COMPUTED_VALUE"""),5357)</f>
        <v>5357</v>
      </c>
      <c r="R31" s="12">
        <f ca="1">IFERROR(__xludf.DUMMYFUNCTION("""COMPUTED_VALUE"""),1089)</f>
        <v>1089</v>
      </c>
      <c r="S31" s="12">
        <f ca="1">IFERROR(__xludf.DUMMYFUNCTION("""COMPUTED_VALUE"""),2921)</f>
        <v>2921</v>
      </c>
      <c r="T31" s="12">
        <f ca="1">IFERROR(__xludf.DUMMYFUNCTION("""COMPUTED_VALUE"""),8147)</f>
        <v>8147</v>
      </c>
      <c r="U31" s="12">
        <f ca="1">IFERROR(__xludf.DUMMYFUNCTION("""COMPUTED_VALUE"""),5075)</f>
        <v>5075</v>
      </c>
      <c r="V31" s="12">
        <f ca="1">IFERROR(__xludf.DUMMYFUNCTION("""COMPUTED_VALUE"""),6166)</f>
        <v>6166</v>
      </c>
      <c r="W31" s="12">
        <f ca="1">IFERROR(__xludf.DUMMYFUNCTION("""COMPUTED_VALUE"""),4436)</f>
        <v>4436</v>
      </c>
      <c r="X31" s="12">
        <f ca="1">IFERROR(__xludf.DUMMYFUNCTION("""COMPUTED_VALUE"""),6188)</f>
        <v>6188</v>
      </c>
      <c r="Y31" s="12">
        <f ca="1">IFERROR(__xludf.DUMMYFUNCTION("""COMPUTED_VALUE"""),3494)</f>
        <v>3494</v>
      </c>
      <c r="Z31" s="12">
        <f ca="1">IFERROR(__xludf.DUMMYFUNCTION("""COMPUTED_VALUE"""),632)</f>
        <v>632</v>
      </c>
      <c r="AA31" s="12">
        <f ca="1">IFERROR(__xludf.DUMMYFUNCTION("""COMPUTED_VALUE"""),4514)</f>
        <v>4514</v>
      </c>
      <c r="AB31" s="12">
        <f ca="1">IFERROR(__xludf.DUMMYFUNCTION("""COMPUTED_VALUE"""),3507)</f>
        <v>3507</v>
      </c>
      <c r="AC31" s="12">
        <f ca="1">IFERROR(__xludf.DUMMYFUNCTION("""COMPUTED_VALUE"""),6519)</f>
        <v>6519</v>
      </c>
      <c r="AD31" s="12">
        <f ca="1">IFERROR(__xludf.DUMMYFUNCTION("""COMPUTED_VALUE"""),5375)</f>
        <v>5375</v>
      </c>
      <c r="AE31" s="12">
        <f ca="1">IFERROR(__xludf.DUMMYFUNCTION("""COMPUTED_VALUE"""),7067)</f>
        <v>7067</v>
      </c>
      <c r="AF31" s="8">
        <f ca="1">IFERROR(__xludf.DUMMYFUNCTION("""COMPUTED_VALUE"""),7477)</f>
        <v>7477</v>
      </c>
      <c r="AG31" s="8">
        <f ca="1">IFERROR(__xludf.DUMMYFUNCTION("""COMPUTED_VALUE"""),694)</f>
        <v>694</v>
      </c>
      <c r="AH31" s="8">
        <f ca="1">IFERROR(__xludf.DUMMYFUNCTION("""COMPUTED_VALUE"""),5154)</f>
        <v>5154</v>
      </c>
      <c r="AI31" s="8">
        <f ca="1">IFERROR(__xludf.DUMMYFUNCTION("""COMPUTED_VALUE"""),4382)</f>
        <v>4382</v>
      </c>
      <c r="AJ31" s="8">
        <f ca="1">IFERROR(__xludf.DUMMYFUNCTION("""COMPUTED_VALUE"""),1207)</f>
        <v>1207</v>
      </c>
      <c r="AK31" s="8">
        <f ca="1">IFERROR(__xludf.DUMMYFUNCTION("""COMPUTED_VALUE"""),106)</f>
        <v>106</v>
      </c>
      <c r="AL31" s="8">
        <f ca="1">IFERROR(__xludf.DUMMYFUNCTION("""COMPUTED_VALUE"""),2138)</f>
        <v>2138</v>
      </c>
      <c r="AM31" s="8">
        <f ca="1">IFERROR(__xludf.DUMMYFUNCTION("""COMPUTED_VALUE"""),6015)</f>
        <v>6015</v>
      </c>
      <c r="AN31" s="8">
        <f ca="1">IFERROR(__xludf.DUMMYFUNCTION("""COMPUTED_VALUE"""),890)</f>
        <v>890</v>
      </c>
      <c r="AO31" s="8">
        <f ca="1">IFERROR(__xludf.DUMMYFUNCTION("""COMPUTED_VALUE"""),2035)</f>
        <v>2035</v>
      </c>
      <c r="AP31" s="8"/>
      <c r="AQ31" s="8"/>
      <c r="AR31" s="8"/>
      <c r="AS31" s="8"/>
      <c r="AT31" s="8"/>
      <c r="AU31" s="8"/>
      <c r="AV31" s="8"/>
      <c r="AW31" s="8"/>
      <c r="AX31" s="8"/>
      <c r="AY31" s="8"/>
    </row>
    <row r="32" spans="1:51" ht="15.75" customHeight="1" x14ac:dyDescent="0.25">
      <c r="A32" s="11" t="str">
        <f ca="1">IFERROR(__xludf.DUMMYFUNCTION("""COMPUTED_VALUE"""),"                     left Lateral visual area")</f>
        <v xml:space="preserve">                     left Lateral visual area</v>
      </c>
      <c r="B32" s="12">
        <f ca="1">IFERROR(__xludf.DUMMYFUNCTION("""COMPUTED_VALUE"""),9788)</f>
        <v>9788</v>
      </c>
      <c r="C32" s="12">
        <f ca="1">IFERROR(__xludf.DUMMYFUNCTION("""COMPUTED_VALUE"""),10126)</f>
        <v>10126</v>
      </c>
      <c r="D32" s="12">
        <f ca="1">IFERROR(__xludf.DUMMYFUNCTION("""COMPUTED_VALUE"""),6861)</f>
        <v>6861</v>
      </c>
      <c r="E32" s="12">
        <f ca="1">IFERROR(__xludf.DUMMYFUNCTION("""COMPUTED_VALUE"""),16394)</f>
        <v>16394</v>
      </c>
      <c r="F32" s="12">
        <f ca="1">IFERROR(__xludf.DUMMYFUNCTION("""COMPUTED_VALUE"""),5028)</f>
        <v>5028</v>
      </c>
      <c r="G32" s="12">
        <f ca="1">IFERROR(__xludf.DUMMYFUNCTION("""COMPUTED_VALUE"""),2598)</f>
        <v>2598</v>
      </c>
      <c r="H32" s="12">
        <f ca="1">IFERROR(__xludf.DUMMYFUNCTION("""COMPUTED_VALUE"""),6543)</f>
        <v>6543</v>
      </c>
      <c r="I32" s="12">
        <f ca="1">IFERROR(__xludf.DUMMYFUNCTION("""COMPUTED_VALUE"""),5048)</f>
        <v>5048</v>
      </c>
      <c r="J32" s="12">
        <f ca="1">IFERROR(__xludf.DUMMYFUNCTION("""COMPUTED_VALUE"""),3203)</f>
        <v>3203</v>
      </c>
      <c r="K32" s="12">
        <f ca="1">IFERROR(__xludf.DUMMYFUNCTION("""COMPUTED_VALUE"""),4207)</f>
        <v>4207</v>
      </c>
      <c r="L32" s="12">
        <f ca="1">IFERROR(__xludf.DUMMYFUNCTION("""COMPUTED_VALUE"""),3511)</f>
        <v>3511</v>
      </c>
      <c r="M32" s="12">
        <f ca="1">IFERROR(__xludf.DUMMYFUNCTION("""COMPUTED_VALUE"""),10294)</f>
        <v>10294</v>
      </c>
      <c r="N32" s="12">
        <f ca="1">IFERROR(__xludf.DUMMYFUNCTION("""COMPUTED_VALUE"""),1914)</f>
        <v>1914</v>
      </c>
      <c r="O32" s="12">
        <f ca="1">IFERROR(__xludf.DUMMYFUNCTION("""COMPUTED_VALUE"""),12320)</f>
        <v>12320</v>
      </c>
      <c r="P32" s="12">
        <f ca="1">IFERROR(__xludf.DUMMYFUNCTION("""COMPUTED_VALUE"""),3610)</f>
        <v>3610</v>
      </c>
      <c r="Q32" s="12">
        <f ca="1">IFERROR(__xludf.DUMMYFUNCTION("""COMPUTED_VALUE"""),16039)</f>
        <v>16039</v>
      </c>
      <c r="R32" s="12">
        <f ca="1">IFERROR(__xludf.DUMMYFUNCTION("""COMPUTED_VALUE"""),9376)</f>
        <v>9376</v>
      </c>
      <c r="S32" s="12">
        <f ca="1">IFERROR(__xludf.DUMMYFUNCTION("""COMPUTED_VALUE"""),3119)</f>
        <v>3119</v>
      </c>
      <c r="T32" s="12">
        <f ca="1">IFERROR(__xludf.DUMMYFUNCTION("""COMPUTED_VALUE"""),10128)</f>
        <v>10128</v>
      </c>
      <c r="U32" s="12">
        <f ca="1">IFERROR(__xludf.DUMMYFUNCTION("""COMPUTED_VALUE"""),10629)</f>
        <v>10629</v>
      </c>
      <c r="V32" s="12">
        <f ca="1">IFERROR(__xludf.DUMMYFUNCTION("""COMPUTED_VALUE"""),10573)</f>
        <v>10573</v>
      </c>
      <c r="W32" s="12">
        <f ca="1">IFERROR(__xludf.DUMMYFUNCTION("""COMPUTED_VALUE"""),23353)</f>
        <v>23353</v>
      </c>
      <c r="X32" s="12">
        <f ca="1">IFERROR(__xludf.DUMMYFUNCTION("""COMPUTED_VALUE"""),10586)</f>
        <v>10586</v>
      </c>
      <c r="Y32" s="12">
        <f ca="1">IFERROR(__xludf.DUMMYFUNCTION("""COMPUTED_VALUE"""),13802)</f>
        <v>13802</v>
      </c>
      <c r="Z32" s="12">
        <f ca="1">IFERROR(__xludf.DUMMYFUNCTION("""COMPUTED_VALUE"""),7799)</f>
        <v>7799</v>
      </c>
      <c r="AA32" s="12">
        <f ca="1">IFERROR(__xludf.DUMMYFUNCTION("""COMPUTED_VALUE"""),5884)</f>
        <v>5884</v>
      </c>
      <c r="AB32" s="12">
        <f ca="1">IFERROR(__xludf.DUMMYFUNCTION("""COMPUTED_VALUE"""),15694)</f>
        <v>15694</v>
      </c>
      <c r="AC32" s="12">
        <f ca="1">IFERROR(__xludf.DUMMYFUNCTION("""COMPUTED_VALUE"""),11594)</f>
        <v>11594</v>
      </c>
      <c r="AD32" s="12">
        <f ca="1">IFERROR(__xludf.DUMMYFUNCTION("""COMPUTED_VALUE"""),15381)</f>
        <v>15381</v>
      </c>
      <c r="AE32" s="12">
        <f ca="1">IFERROR(__xludf.DUMMYFUNCTION("""COMPUTED_VALUE"""),26406)</f>
        <v>26406</v>
      </c>
      <c r="AF32" s="8">
        <f ca="1">IFERROR(__xludf.DUMMYFUNCTION("""COMPUTED_VALUE"""),34122)</f>
        <v>34122</v>
      </c>
      <c r="AG32" s="8">
        <f ca="1">IFERROR(__xludf.DUMMYFUNCTION("""COMPUTED_VALUE"""),2832)</f>
        <v>2832</v>
      </c>
      <c r="AH32" s="8">
        <f ca="1">IFERROR(__xludf.DUMMYFUNCTION("""COMPUTED_VALUE"""),12613)</f>
        <v>12613</v>
      </c>
      <c r="AI32" s="8">
        <f ca="1">IFERROR(__xludf.DUMMYFUNCTION("""COMPUTED_VALUE"""),17284)</f>
        <v>17284</v>
      </c>
      <c r="AJ32" s="8">
        <f ca="1">IFERROR(__xludf.DUMMYFUNCTION("""COMPUTED_VALUE"""),10304)</f>
        <v>10304</v>
      </c>
      <c r="AK32" s="8">
        <f ca="1">IFERROR(__xludf.DUMMYFUNCTION("""COMPUTED_VALUE"""),3590)</f>
        <v>3590</v>
      </c>
      <c r="AL32" s="8">
        <f ca="1">IFERROR(__xludf.DUMMYFUNCTION("""COMPUTED_VALUE"""),8457)</f>
        <v>8457</v>
      </c>
      <c r="AM32" s="8">
        <f ca="1">IFERROR(__xludf.DUMMYFUNCTION("""COMPUTED_VALUE"""),11166)</f>
        <v>11166</v>
      </c>
      <c r="AN32" s="8">
        <f ca="1">IFERROR(__xludf.DUMMYFUNCTION("""COMPUTED_VALUE"""),16096)</f>
        <v>16096</v>
      </c>
      <c r="AO32" s="8">
        <f ca="1">IFERROR(__xludf.DUMMYFUNCTION("""COMPUTED_VALUE"""),2037)</f>
        <v>2037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</row>
    <row r="33" spans="1:51" ht="15.75" customHeight="1" x14ac:dyDescent="0.25">
      <c r="A33" s="11" t="str">
        <f ca="1">IFERROR(__xludf.DUMMYFUNCTION("""COMPUTED_VALUE"""),"                     left Primary visual area")</f>
        <v xml:space="preserve">                     left Primary visual area</v>
      </c>
      <c r="B33" s="12">
        <f ca="1">IFERROR(__xludf.DUMMYFUNCTION("""COMPUTED_VALUE"""),39184)</f>
        <v>39184</v>
      </c>
      <c r="C33" s="12">
        <f ca="1">IFERROR(__xludf.DUMMYFUNCTION("""COMPUTED_VALUE"""),43062)</f>
        <v>43062</v>
      </c>
      <c r="D33" s="12">
        <f ca="1">IFERROR(__xludf.DUMMYFUNCTION("""COMPUTED_VALUE"""),21409)</f>
        <v>21409</v>
      </c>
      <c r="E33" s="12">
        <f ca="1">IFERROR(__xludf.DUMMYFUNCTION("""COMPUTED_VALUE"""),58001)</f>
        <v>58001</v>
      </c>
      <c r="F33" s="12">
        <f ca="1">IFERROR(__xludf.DUMMYFUNCTION("""COMPUTED_VALUE"""),25385)</f>
        <v>25385</v>
      </c>
      <c r="G33" s="12">
        <f ca="1">IFERROR(__xludf.DUMMYFUNCTION("""COMPUTED_VALUE"""),16667)</f>
        <v>16667</v>
      </c>
      <c r="H33" s="12">
        <f ca="1">IFERROR(__xludf.DUMMYFUNCTION("""COMPUTED_VALUE"""),37512)</f>
        <v>37512</v>
      </c>
      <c r="I33" s="12">
        <f ca="1">IFERROR(__xludf.DUMMYFUNCTION("""COMPUTED_VALUE"""),31315)</f>
        <v>31315</v>
      </c>
      <c r="J33" s="12">
        <f ca="1">IFERROR(__xludf.DUMMYFUNCTION("""COMPUTED_VALUE"""),16917)</f>
        <v>16917</v>
      </c>
      <c r="K33" s="12">
        <f ca="1">IFERROR(__xludf.DUMMYFUNCTION("""COMPUTED_VALUE"""),27170)</f>
        <v>27170</v>
      </c>
      <c r="L33" s="12">
        <f ca="1">IFERROR(__xludf.DUMMYFUNCTION("""COMPUTED_VALUE"""),11354)</f>
        <v>11354</v>
      </c>
      <c r="M33" s="12">
        <f ca="1">IFERROR(__xludf.DUMMYFUNCTION("""COMPUTED_VALUE"""),54944)</f>
        <v>54944</v>
      </c>
      <c r="N33" s="12">
        <f ca="1">IFERROR(__xludf.DUMMYFUNCTION("""COMPUTED_VALUE"""),7717)</f>
        <v>7717</v>
      </c>
      <c r="O33" s="12">
        <f ca="1">IFERROR(__xludf.DUMMYFUNCTION("""COMPUTED_VALUE"""),72607)</f>
        <v>72607</v>
      </c>
      <c r="P33" s="12">
        <f ca="1">IFERROR(__xludf.DUMMYFUNCTION("""COMPUTED_VALUE"""),9618)</f>
        <v>9618</v>
      </c>
      <c r="Q33" s="12">
        <f ca="1">IFERROR(__xludf.DUMMYFUNCTION("""COMPUTED_VALUE"""),53185)</f>
        <v>53185</v>
      </c>
      <c r="R33" s="12">
        <f ca="1">IFERROR(__xludf.DUMMYFUNCTION("""COMPUTED_VALUE"""),26150)</f>
        <v>26150</v>
      </c>
      <c r="S33" s="12">
        <f ca="1">IFERROR(__xludf.DUMMYFUNCTION("""COMPUTED_VALUE"""),20991)</f>
        <v>20991</v>
      </c>
      <c r="T33" s="12">
        <f ca="1">IFERROR(__xludf.DUMMYFUNCTION("""COMPUTED_VALUE"""),90206)</f>
        <v>90206</v>
      </c>
      <c r="U33" s="12">
        <f ca="1">IFERROR(__xludf.DUMMYFUNCTION("""COMPUTED_VALUE"""),85877)</f>
        <v>85877</v>
      </c>
      <c r="V33" s="12">
        <f ca="1">IFERROR(__xludf.DUMMYFUNCTION("""COMPUTED_VALUE"""),41597)</f>
        <v>41597</v>
      </c>
      <c r="W33" s="12">
        <f ca="1">IFERROR(__xludf.DUMMYFUNCTION("""COMPUTED_VALUE"""),75479)</f>
        <v>75479</v>
      </c>
      <c r="X33" s="12">
        <f ca="1">IFERROR(__xludf.DUMMYFUNCTION("""COMPUTED_VALUE"""),81797)</f>
        <v>81797</v>
      </c>
      <c r="Y33" s="12">
        <f ca="1">IFERROR(__xludf.DUMMYFUNCTION("""COMPUTED_VALUE"""),56064)</f>
        <v>56064</v>
      </c>
      <c r="Z33" s="12">
        <f ca="1">IFERROR(__xludf.DUMMYFUNCTION("""COMPUTED_VALUE"""),20984)</f>
        <v>20984</v>
      </c>
      <c r="AA33" s="12">
        <f ca="1">IFERROR(__xludf.DUMMYFUNCTION("""COMPUTED_VALUE"""),27383)</f>
        <v>27383</v>
      </c>
      <c r="AB33" s="12">
        <f ca="1">IFERROR(__xludf.DUMMYFUNCTION("""COMPUTED_VALUE"""),60794)</f>
        <v>60794</v>
      </c>
      <c r="AC33" s="12">
        <f ca="1">IFERROR(__xludf.DUMMYFUNCTION("""COMPUTED_VALUE"""),96139)</f>
        <v>96139</v>
      </c>
      <c r="AD33" s="12">
        <f ca="1">IFERROR(__xludf.DUMMYFUNCTION("""COMPUTED_VALUE"""),89325)</f>
        <v>89325</v>
      </c>
      <c r="AE33" s="12">
        <f ca="1">IFERROR(__xludf.DUMMYFUNCTION("""COMPUTED_VALUE"""),100915)</f>
        <v>100915</v>
      </c>
      <c r="AF33" s="8">
        <f ca="1">IFERROR(__xludf.DUMMYFUNCTION("""COMPUTED_VALUE"""),105949)</f>
        <v>105949</v>
      </c>
      <c r="AG33" s="8">
        <f ca="1">IFERROR(__xludf.DUMMYFUNCTION("""COMPUTED_VALUE"""),15827)</f>
        <v>15827</v>
      </c>
      <c r="AH33" s="8">
        <f ca="1">IFERROR(__xludf.DUMMYFUNCTION("""COMPUTED_VALUE"""),56392)</f>
        <v>56392</v>
      </c>
      <c r="AI33" s="8">
        <f ca="1">IFERROR(__xludf.DUMMYFUNCTION("""COMPUTED_VALUE"""),59463)</f>
        <v>59463</v>
      </c>
      <c r="AJ33" s="8">
        <f ca="1">IFERROR(__xludf.DUMMYFUNCTION("""COMPUTED_VALUE"""),58275)</f>
        <v>58275</v>
      </c>
      <c r="AK33" s="8">
        <f ca="1">IFERROR(__xludf.DUMMYFUNCTION("""COMPUTED_VALUE"""),13603)</f>
        <v>13603</v>
      </c>
      <c r="AL33" s="8">
        <f ca="1">IFERROR(__xludf.DUMMYFUNCTION("""COMPUTED_VALUE"""),47830)</f>
        <v>47830</v>
      </c>
      <c r="AM33" s="8">
        <f ca="1">IFERROR(__xludf.DUMMYFUNCTION("""COMPUTED_VALUE"""),86702)</f>
        <v>86702</v>
      </c>
      <c r="AN33" s="8">
        <f ca="1">IFERROR(__xludf.DUMMYFUNCTION("""COMPUTED_VALUE"""),53729)</f>
        <v>53729</v>
      </c>
      <c r="AO33" s="8">
        <f ca="1">IFERROR(__xludf.DUMMYFUNCTION("""COMPUTED_VALUE"""),18875)</f>
        <v>18875</v>
      </c>
      <c r="AP33" s="8"/>
      <c r="AQ33" s="8"/>
      <c r="AR33" s="8"/>
      <c r="AS33" s="8"/>
      <c r="AT33" s="8"/>
      <c r="AU33" s="8"/>
      <c r="AV33" s="8"/>
      <c r="AW33" s="8"/>
      <c r="AX33" s="8"/>
      <c r="AY33" s="8"/>
    </row>
    <row r="34" spans="1:51" ht="15.75" customHeight="1" x14ac:dyDescent="0.25">
      <c r="A34" s="11" t="str">
        <f ca="1">IFERROR(__xludf.DUMMYFUNCTION("""COMPUTED_VALUE"""),"                     left Posterolateral visual area")</f>
        <v xml:space="preserve">                     left Posterolateral visual area</v>
      </c>
      <c r="B34" s="12">
        <f ca="1">IFERROR(__xludf.DUMMYFUNCTION("""COMPUTED_VALUE"""),6892)</f>
        <v>6892</v>
      </c>
      <c r="C34" s="12">
        <f ca="1">IFERROR(__xludf.DUMMYFUNCTION("""COMPUTED_VALUE"""),4332)</f>
        <v>4332</v>
      </c>
      <c r="D34" s="12">
        <f ca="1">IFERROR(__xludf.DUMMYFUNCTION("""COMPUTED_VALUE"""),3613)</f>
        <v>3613</v>
      </c>
      <c r="E34" s="12">
        <f ca="1">IFERROR(__xludf.DUMMYFUNCTION("""COMPUTED_VALUE"""),6563)</f>
        <v>6563</v>
      </c>
      <c r="F34" s="12">
        <f ca="1">IFERROR(__xludf.DUMMYFUNCTION("""COMPUTED_VALUE"""),3680)</f>
        <v>3680</v>
      </c>
      <c r="G34" s="12">
        <f ca="1">IFERROR(__xludf.DUMMYFUNCTION("""COMPUTED_VALUE"""),2635)</f>
        <v>2635</v>
      </c>
      <c r="H34" s="12">
        <f ca="1">IFERROR(__xludf.DUMMYFUNCTION("""COMPUTED_VALUE"""),4381)</f>
        <v>4381</v>
      </c>
      <c r="I34" s="12">
        <f ca="1">IFERROR(__xludf.DUMMYFUNCTION("""COMPUTED_VALUE"""),3297)</f>
        <v>3297</v>
      </c>
      <c r="J34" s="12">
        <f ca="1">IFERROR(__xludf.DUMMYFUNCTION("""COMPUTED_VALUE"""),1760)</f>
        <v>1760</v>
      </c>
      <c r="K34" s="12">
        <f ca="1">IFERROR(__xludf.DUMMYFUNCTION("""COMPUTED_VALUE"""),4085)</f>
        <v>4085</v>
      </c>
      <c r="L34" s="12">
        <f ca="1">IFERROR(__xludf.DUMMYFUNCTION("""COMPUTED_VALUE"""),1816)</f>
        <v>1816</v>
      </c>
      <c r="M34" s="12">
        <f ca="1">IFERROR(__xludf.DUMMYFUNCTION("""COMPUTED_VALUE"""),3087)</f>
        <v>3087</v>
      </c>
      <c r="N34" s="12">
        <f ca="1">IFERROR(__xludf.DUMMYFUNCTION("""COMPUTED_VALUE"""),472)</f>
        <v>472</v>
      </c>
      <c r="O34" s="12">
        <f ca="1">IFERROR(__xludf.DUMMYFUNCTION("""COMPUTED_VALUE"""),5620)</f>
        <v>5620</v>
      </c>
      <c r="P34" s="12">
        <f ca="1">IFERROR(__xludf.DUMMYFUNCTION("""COMPUTED_VALUE"""),2342)</f>
        <v>2342</v>
      </c>
      <c r="Q34" s="12">
        <f ca="1">IFERROR(__xludf.DUMMYFUNCTION("""COMPUTED_VALUE"""),6485)</f>
        <v>6485</v>
      </c>
      <c r="R34" s="12">
        <f ca="1">IFERROR(__xludf.DUMMYFUNCTION("""COMPUTED_VALUE"""),2817)</f>
        <v>2817</v>
      </c>
      <c r="S34" s="12">
        <f ca="1">IFERROR(__xludf.DUMMYFUNCTION("""COMPUTED_VALUE"""),1470)</f>
        <v>1470</v>
      </c>
      <c r="T34" s="12">
        <f ca="1">IFERROR(__xludf.DUMMYFUNCTION("""COMPUTED_VALUE"""),6632)</f>
        <v>6632</v>
      </c>
      <c r="U34" s="12">
        <f ca="1">IFERROR(__xludf.DUMMYFUNCTION("""COMPUTED_VALUE"""),6293)</f>
        <v>6293</v>
      </c>
      <c r="V34" s="12">
        <f ca="1">IFERROR(__xludf.DUMMYFUNCTION("""COMPUTED_VALUE"""),6882)</f>
        <v>6882</v>
      </c>
      <c r="W34" s="12">
        <f ca="1">IFERROR(__xludf.DUMMYFUNCTION("""COMPUTED_VALUE"""),5973)</f>
        <v>5973</v>
      </c>
      <c r="X34" s="12">
        <f ca="1">IFERROR(__xludf.DUMMYFUNCTION("""COMPUTED_VALUE"""),5926)</f>
        <v>5926</v>
      </c>
      <c r="Y34" s="12">
        <f ca="1">IFERROR(__xludf.DUMMYFUNCTION("""COMPUTED_VALUE"""),9851)</f>
        <v>9851</v>
      </c>
      <c r="Z34" s="12">
        <f ca="1">IFERROR(__xludf.DUMMYFUNCTION("""COMPUTED_VALUE"""),942)</f>
        <v>942</v>
      </c>
      <c r="AA34" s="12">
        <f ca="1">IFERROR(__xludf.DUMMYFUNCTION("""COMPUTED_VALUE"""),7366)</f>
        <v>7366</v>
      </c>
      <c r="AB34" s="12">
        <f ca="1">IFERROR(__xludf.DUMMYFUNCTION("""COMPUTED_VALUE"""),1747)</f>
        <v>1747</v>
      </c>
      <c r="AC34" s="12">
        <f ca="1">IFERROR(__xludf.DUMMYFUNCTION("""COMPUTED_VALUE"""),12857)</f>
        <v>12857</v>
      </c>
      <c r="AD34" s="12">
        <f ca="1">IFERROR(__xludf.DUMMYFUNCTION("""COMPUTED_VALUE"""),4764)</f>
        <v>4764</v>
      </c>
      <c r="AE34" s="12">
        <f ca="1">IFERROR(__xludf.DUMMYFUNCTION("""COMPUTED_VALUE"""),10748)</f>
        <v>10748</v>
      </c>
      <c r="AF34" s="8">
        <f ca="1">IFERROR(__xludf.DUMMYFUNCTION("""COMPUTED_VALUE"""),15723)</f>
        <v>15723</v>
      </c>
      <c r="AG34" s="8">
        <f ca="1">IFERROR(__xludf.DUMMYFUNCTION("""COMPUTED_VALUE"""),216)</f>
        <v>216</v>
      </c>
      <c r="AH34" s="8">
        <f ca="1">IFERROR(__xludf.DUMMYFUNCTION("""COMPUTED_VALUE"""),1260)</f>
        <v>1260</v>
      </c>
      <c r="AI34" s="8">
        <f ca="1">IFERROR(__xludf.DUMMYFUNCTION("""COMPUTED_VALUE"""),6395)</f>
        <v>6395</v>
      </c>
      <c r="AJ34" s="8">
        <f ca="1">IFERROR(__xludf.DUMMYFUNCTION("""COMPUTED_VALUE"""),7634)</f>
        <v>7634</v>
      </c>
      <c r="AK34" s="8">
        <f ca="1">IFERROR(__xludf.DUMMYFUNCTION("""COMPUTED_VALUE"""),6674)</f>
        <v>6674</v>
      </c>
      <c r="AL34" s="8">
        <f ca="1">IFERROR(__xludf.DUMMYFUNCTION("""COMPUTED_VALUE"""),8375)</f>
        <v>8375</v>
      </c>
      <c r="AM34" s="8">
        <f ca="1">IFERROR(__xludf.DUMMYFUNCTION("""COMPUTED_VALUE"""),6797)</f>
        <v>6797</v>
      </c>
      <c r="AN34" s="8">
        <f ca="1">IFERROR(__xludf.DUMMYFUNCTION("""COMPUTED_VALUE"""),5450)</f>
        <v>5450</v>
      </c>
      <c r="AO34" s="8">
        <f ca="1">IFERROR(__xludf.DUMMYFUNCTION("""COMPUTED_VALUE"""),4728)</f>
        <v>4728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</row>
    <row r="35" spans="1:51" ht="15.75" customHeight="1" x14ac:dyDescent="0.25">
      <c r="A35" s="11" t="str">
        <f ca="1">IFERROR(__xludf.DUMMYFUNCTION("""COMPUTED_VALUE"""),"                     left posteromedial visual area")</f>
        <v xml:space="preserve">                     left posteromedial visual area</v>
      </c>
      <c r="B35" s="12">
        <f ca="1">IFERROR(__xludf.DUMMYFUNCTION("""COMPUTED_VALUE"""),4189)</f>
        <v>4189</v>
      </c>
      <c r="C35" s="12">
        <f ca="1">IFERROR(__xludf.DUMMYFUNCTION("""COMPUTED_VALUE"""),8028)</f>
        <v>8028</v>
      </c>
      <c r="D35" s="12">
        <f ca="1">IFERROR(__xludf.DUMMYFUNCTION("""COMPUTED_VALUE"""),7035)</f>
        <v>7035</v>
      </c>
      <c r="E35" s="12">
        <f ca="1">IFERROR(__xludf.DUMMYFUNCTION("""COMPUTED_VALUE"""),7245)</f>
        <v>7245</v>
      </c>
      <c r="F35" s="12">
        <f ca="1">IFERROR(__xludf.DUMMYFUNCTION("""COMPUTED_VALUE"""),6037)</f>
        <v>6037</v>
      </c>
      <c r="G35" s="12">
        <f ca="1">IFERROR(__xludf.DUMMYFUNCTION("""COMPUTED_VALUE"""),4908)</f>
        <v>4908</v>
      </c>
      <c r="H35" s="12">
        <f ca="1">IFERROR(__xludf.DUMMYFUNCTION("""COMPUTED_VALUE"""),6897)</f>
        <v>6897</v>
      </c>
      <c r="I35" s="12">
        <f ca="1">IFERROR(__xludf.DUMMYFUNCTION("""COMPUTED_VALUE"""),4079)</f>
        <v>4079</v>
      </c>
      <c r="J35" s="12">
        <f ca="1">IFERROR(__xludf.DUMMYFUNCTION("""COMPUTED_VALUE"""),4064)</f>
        <v>4064</v>
      </c>
      <c r="K35" s="12">
        <f ca="1">IFERROR(__xludf.DUMMYFUNCTION("""COMPUTED_VALUE"""),4179)</f>
        <v>4179</v>
      </c>
      <c r="L35" s="12">
        <f ca="1">IFERROR(__xludf.DUMMYFUNCTION("""COMPUTED_VALUE"""),1482)</f>
        <v>1482</v>
      </c>
      <c r="M35" s="12">
        <f ca="1">IFERROR(__xludf.DUMMYFUNCTION("""COMPUTED_VALUE"""),10108)</f>
        <v>10108</v>
      </c>
      <c r="N35" s="12">
        <f ca="1">IFERROR(__xludf.DUMMYFUNCTION("""COMPUTED_VALUE"""),475)</f>
        <v>475</v>
      </c>
      <c r="O35" s="12">
        <f ca="1">IFERROR(__xludf.DUMMYFUNCTION("""COMPUTED_VALUE"""),6614)</f>
        <v>6614</v>
      </c>
      <c r="P35" s="12">
        <f ca="1">IFERROR(__xludf.DUMMYFUNCTION("""COMPUTED_VALUE"""),1746)</f>
        <v>1746</v>
      </c>
      <c r="Q35" s="12">
        <f ca="1">IFERROR(__xludf.DUMMYFUNCTION("""COMPUTED_VALUE"""),8740)</f>
        <v>8740</v>
      </c>
      <c r="R35" s="12">
        <f ca="1">IFERROR(__xludf.DUMMYFUNCTION("""COMPUTED_VALUE"""),3288)</f>
        <v>3288</v>
      </c>
      <c r="S35" s="12">
        <f ca="1">IFERROR(__xludf.DUMMYFUNCTION("""COMPUTED_VALUE"""),4846)</f>
        <v>4846</v>
      </c>
      <c r="T35" s="12">
        <f ca="1">IFERROR(__xludf.DUMMYFUNCTION("""COMPUTED_VALUE"""),10833)</f>
        <v>10833</v>
      </c>
      <c r="U35" s="12">
        <f ca="1">IFERROR(__xludf.DUMMYFUNCTION("""COMPUTED_VALUE"""),7086)</f>
        <v>7086</v>
      </c>
      <c r="V35" s="12">
        <f ca="1">IFERROR(__xludf.DUMMYFUNCTION("""COMPUTED_VALUE"""),6713)</f>
        <v>6713</v>
      </c>
      <c r="W35" s="12">
        <f ca="1">IFERROR(__xludf.DUMMYFUNCTION("""COMPUTED_VALUE"""),3467)</f>
        <v>3467</v>
      </c>
      <c r="X35" s="12">
        <f ca="1">IFERROR(__xludf.DUMMYFUNCTION("""COMPUTED_VALUE"""),9854)</f>
        <v>9854</v>
      </c>
      <c r="Y35" s="12">
        <f ca="1">IFERROR(__xludf.DUMMYFUNCTION("""COMPUTED_VALUE"""),3353)</f>
        <v>3353</v>
      </c>
      <c r="Z35" s="12">
        <f ca="1">IFERROR(__xludf.DUMMYFUNCTION("""COMPUTED_VALUE"""),1744)</f>
        <v>1744</v>
      </c>
      <c r="AA35" s="12">
        <f ca="1">IFERROR(__xludf.DUMMYFUNCTION("""COMPUTED_VALUE"""),2643)</f>
        <v>2643</v>
      </c>
      <c r="AB35" s="12">
        <f ca="1">IFERROR(__xludf.DUMMYFUNCTION("""COMPUTED_VALUE"""),6314)</f>
        <v>6314</v>
      </c>
      <c r="AC35" s="12">
        <f ca="1">IFERROR(__xludf.DUMMYFUNCTION("""COMPUTED_VALUE"""),11112)</f>
        <v>11112</v>
      </c>
      <c r="AD35" s="12">
        <f ca="1">IFERROR(__xludf.DUMMYFUNCTION("""COMPUTED_VALUE"""),7628)</f>
        <v>7628</v>
      </c>
      <c r="AE35" s="12">
        <f ca="1">IFERROR(__xludf.DUMMYFUNCTION("""COMPUTED_VALUE"""),13302)</f>
        <v>13302</v>
      </c>
      <c r="AF35" s="8">
        <f ca="1">IFERROR(__xludf.DUMMYFUNCTION("""COMPUTED_VALUE"""),12374)</f>
        <v>12374</v>
      </c>
      <c r="AG35" s="8">
        <f ca="1">IFERROR(__xludf.DUMMYFUNCTION("""COMPUTED_VALUE"""),2614)</f>
        <v>2614</v>
      </c>
      <c r="AH35" s="8">
        <f ca="1">IFERROR(__xludf.DUMMYFUNCTION("""COMPUTED_VALUE"""),8456)</f>
        <v>8456</v>
      </c>
      <c r="AI35" s="8">
        <f ca="1">IFERROR(__xludf.DUMMYFUNCTION("""COMPUTED_VALUE"""),6579)</f>
        <v>6579</v>
      </c>
      <c r="AJ35" s="8">
        <f ca="1">IFERROR(__xludf.DUMMYFUNCTION("""COMPUTED_VALUE"""),4672)</f>
        <v>4672</v>
      </c>
      <c r="AK35" s="8">
        <f ca="1">IFERROR(__xludf.DUMMYFUNCTION("""COMPUTED_VALUE"""),1875)</f>
        <v>1875</v>
      </c>
      <c r="AL35" s="8">
        <f ca="1">IFERROR(__xludf.DUMMYFUNCTION("""COMPUTED_VALUE"""),4844)</f>
        <v>4844</v>
      </c>
      <c r="AM35" s="8">
        <f ca="1">IFERROR(__xludf.DUMMYFUNCTION("""COMPUTED_VALUE"""),11764)</f>
        <v>11764</v>
      </c>
      <c r="AN35" s="8">
        <f ca="1">IFERROR(__xludf.DUMMYFUNCTION("""COMPUTED_VALUE"""),3947)</f>
        <v>3947</v>
      </c>
      <c r="AO35" s="8">
        <f ca="1">IFERROR(__xludf.DUMMYFUNCTION("""COMPUTED_VALUE"""),3336)</f>
        <v>3336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</row>
    <row r="36" spans="1:51" ht="15.75" customHeight="1" x14ac:dyDescent="0.25">
      <c r="A36" s="11" t="str">
        <f ca="1">IFERROR(__xludf.DUMMYFUNCTION("""COMPUTED_VALUE"""),"                     left Laterointermediate area")</f>
        <v xml:space="preserve">                     left Laterointermediate area</v>
      </c>
      <c r="B36" s="12">
        <f ca="1">IFERROR(__xludf.DUMMYFUNCTION("""COMPUTED_VALUE"""),4505)</f>
        <v>4505</v>
      </c>
      <c r="C36" s="12">
        <f ca="1">IFERROR(__xludf.DUMMYFUNCTION("""COMPUTED_VALUE"""),4372)</f>
        <v>4372</v>
      </c>
      <c r="D36" s="12">
        <f ca="1">IFERROR(__xludf.DUMMYFUNCTION("""COMPUTED_VALUE"""),3396)</f>
        <v>3396</v>
      </c>
      <c r="E36" s="12">
        <f ca="1">IFERROR(__xludf.DUMMYFUNCTION("""COMPUTED_VALUE"""),6107)</f>
        <v>6107</v>
      </c>
      <c r="F36" s="12">
        <f ca="1">IFERROR(__xludf.DUMMYFUNCTION("""COMPUTED_VALUE"""),3123)</f>
        <v>3123</v>
      </c>
      <c r="G36" s="12">
        <f ca="1">IFERROR(__xludf.DUMMYFUNCTION("""COMPUTED_VALUE"""),553)</f>
        <v>553</v>
      </c>
      <c r="H36" s="12">
        <f ca="1">IFERROR(__xludf.DUMMYFUNCTION("""COMPUTED_VALUE"""),1849)</f>
        <v>1849</v>
      </c>
      <c r="I36" s="12">
        <f ca="1">IFERROR(__xludf.DUMMYFUNCTION("""COMPUTED_VALUE"""),1067)</f>
        <v>1067</v>
      </c>
      <c r="J36" s="12">
        <f ca="1">IFERROR(__xludf.DUMMYFUNCTION("""COMPUTED_VALUE"""),1448)</f>
        <v>1448</v>
      </c>
      <c r="K36" s="12">
        <f ca="1">IFERROR(__xludf.DUMMYFUNCTION("""COMPUTED_VALUE"""),1124)</f>
        <v>1124</v>
      </c>
      <c r="L36" s="12">
        <f ca="1">IFERROR(__xludf.DUMMYFUNCTION("""COMPUTED_VALUE"""),2219)</f>
        <v>2219</v>
      </c>
      <c r="M36" s="12">
        <f ca="1">IFERROR(__xludf.DUMMYFUNCTION("""COMPUTED_VALUE"""),4191)</f>
        <v>4191</v>
      </c>
      <c r="N36" s="12">
        <f ca="1">IFERROR(__xludf.DUMMYFUNCTION("""COMPUTED_VALUE"""),790)</f>
        <v>790</v>
      </c>
      <c r="O36" s="12">
        <f ca="1">IFERROR(__xludf.DUMMYFUNCTION("""COMPUTED_VALUE"""),5398)</f>
        <v>5398</v>
      </c>
      <c r="P36" s="12">
        <f ca="1">IFERROR(__xludf.DUMMYFUNCTION("""COMPUTED_VALUE"""),1757)</f>
        <v>1757</v>
      </c>
      <c r="Q36" s="12">
        <f ca="1">IFERROR(__xludf.DUMMYFUNCTION("""COMPUTED_VALUE"""),4596)</f>
        <v>4596</v>
      </c>
      <c r="R36" s="12">
        <f ca="1">IFERROR(__xludf.DUMMYFUNCTION("""COMPUTED_VALUE"""),3530)</f>
        <v>3530</v>
      </c>
      <c r="S36" s="12">
        <f ca="1">IFERROR(__xludf.DUMMYFUNCTION("""COMPUTED_VALUE"""),838)</f>
        <v>838</v>
      </c>
      <c r="T36" s="12">
        <f ca="1">IFERROR(__xludf.DUMMYFUNCTION("""COMPUTED_VALUE"""),3661)</f>
        <v>3661</v>
      </c>
      <c r="U36" s="12">
        <f ca="1">IFERROR(__xludf.DUMMYFUNCTION("""COMPUTED_VALUE"""),3643)</f>
        <v>3643</v>
      </c>
      <c r="V36" s="12">
        <f ca="1">IFERROR(__xludf.DUMMYFUNCTION("""COMPUTED_VALUE"""),4829)</f>
        <v>4829</v>
      </c>
      <c r="W36" s="12">
        <f ca="1">IFERROR(__xludf.DUMMYFUNCTION("""COMPUTED_VALUE"""),9056)</f>
        <v>9056</v>
      </c>
      <c r="X36" s="12">
        <f ca="1">IFERROR(__xludf.DUMMYFUNCTION("""COMPUTED_VALUE"""),4967)</f>
        <v>4967</v>
      </c>
      <c r="Y36" s="12">
        <f ca="1">IFERROR(__xludf.DUMMYFUNCTION("""COMPUTED_VALUE"""),6570)</f>
        <v>6570</v>
      </c>
      <c r="Z36" s="12">
        <f ca="1">IFERROR(__xludf.DUMMYFUNCTION("""COMPUTED_VALUE"""),4847)</f>
        <v>4847</v>
      </c>
      <c r="AA36" s="12">
        <f ca="1">IFERROR(__xludf.DUMMYFUNCTION("""COMPUTED_VALUE"""),3312)</f>
        <v>3312</v>
      </c>
      <c r="AB36" s="12">
        <f ca="1">IFERROR(__xludf.DUMMYFUNCTION("""COMPUTED_VALUE"""),8075)</f>
        <v>8075</v>
      </c>
      <c r="AC36" s="12">
        <f ca="1">IFERROR(__xludf.DUMMYFUNCTION("""COMPUTED_VALUE"""),6939)</f>
        <v>6939</v>
      </c>
      <c r="AD36" s="12">
        <f ca="1">IFERROR(__xludf.DUMMYFUNCTION("""COMPUTED_VALUE"""),7199)</f>
        <v>7199</v>
      </c>
      <c r="AE36" s="12">
        <f ca="1">IFERROR(__xludf.DUMMYFUNCTION("""COMPUTED_VALUE"""),9425)</f>
        <v>9425</v>
      </c>
      <c r="AF36" s="8">
        <f ca="1">IFERROR(__xludf.DUMMYFUNCTION("""COMPUTED_VALUE"""),14735)</f>
        <v>14735</v>
      </c>
      <c r="AG36" s="8">
        <f ca="1">IFERROR(__xludf.DUMMYFUNCTION("""COMPUTED_VALUE"""),1196)</f>
        <v>1196</v>
      </c>
      <c r="AH36" s="8">
        <f ca="1">IFERROR(__xludf.DUMMYFUNCTION("""COMPUTED_VALUE"""),5443)</f>
        <v>5443</v>
      </c>
      <c r="AI36" s="8">
        <f ca="1">IFERROR(__xludf.DUMMYFUNCTION("""COMPUTED_VALUE"""),6104)</f>
        <v>6104</v>
      </c>
      <c r="AJ36" s="8">
        <f ca="1">IFERROR(__xludf.DUMMYFUNCTION("""COMPUTED_VALUE"""),3757)</f>
        <v>3757</v>
      </c>
      <c r="AK36" s="8">
        <f ca="1">IFERROR(__xludf.DUMMYFUNCTION("""COMPUTED_VALUE"""),801)</f>
        <v>801</v>
      </c>
      <c r="AL36" s="8">
        <f ca="1">IFERROR(__xludf.DUMMYFUNCTION("""COMPUTED_VALUE"""),3950)</f>
        <v>3950</v>
      </c>
      <c r="AM36" s="8">
        <f ca="1">IFERROR(__xludf.DUMMYFUNCTION("""COMPUTED_VALUE"""),5646)</f>
        <v>5646</v>
      </c>
      <c r="AN36" s="8">
        <f ca="1">IFERROR(__xludf.DUMMYFUNCTION("""COMPUTED_VALUE"""),4864)</f>
        <v>4864</v>
      </c>
      <c r="AO36" s="8">
        <f ca="1">IFERROR(__xludf.DUMMYFUNCTION("""COMPUTED_VALUE"""),600)</f>
        <v>600</v>
      </c>
      <c r="AP36" s="8"/>
      <c r="AQ36" s="8"/>
      <c r="AR36" s="8"/>
      <c r="AS36" s="8"/>
      <c r="AT36" s="8"/>
      <c r="AU36" s="8"/>
      <c r="AV36" s="8"/>
      <c r="AW36" s="8"/>
      <c r="AX36" s="8"/>
      <c r="AY36" s="8"/>
    </row>
    <row r="37" spans="1:51" ht="15.75" customHeight="1" x14ac:dyDescent="0.25">
      <c r="A37" s="11" t="str">
        <f ca="1">IFERROR(__xludf.DUMMYFUNCTION("""COMPUTED_VALUE"""),"                     left Postrhinal area")</f>
        <v xml:space="preserve">                     left Postrhinal area</v>
      </c>
      <c r="B37" s="12">
        <f ca="1">IFERROR(__xludf.DUMMYFUNCTION("""COMPUTED_VALUE"""),9929)</f>
        <v>9929</v>
      </c>
      <c r="C37" s="12">
        <f ca="1">IFERROR(__xludf.DUMMYFUNCTION("""COMPUTED_VALUE"""),6781)</f>
        <v>6781</v>
      </c>
      <c r="D37" s="12">
        <f ca="1">IFERROR(__xludf.DUMMYFUNCTION("""COMPUTED_VALUE"""),10440)</f>
        <v>10440</v>
      </c>
      <c r="E37" s="12">
        <f ca="1">IFERROR(__xludf.DUMMYFUNCTION("""COMPUTED_VALUE"""),11929)</f>
        <v>11929</v>
      </c>
      <c r="F37" s="12">
        <f ca="1">IFERROR(__xludf.DUMMYFUNCTION("""COMPUTED_VALUE"""),8612)</f>
        <v>8612</v>
      </c>
      <c r="G37" s="12">
        <f ca="1">IFERROR(__xludf.DUMMYFUNCTION("""COMPUTED_VALUE"""),1901)</f>
        <v>1901</v>
      </c>
      <c r="H37" s="12">
        <f ca="1">IFERROR(__xludf.DUMMYFUNCTION("""COMPUTED_VALUE"""),5457)</f>
        <v>5457</v>
      </c>
      <c r="I37" s="12">
        <f ca="1">IFERROR(__xludf.DUMMYFUNCTION("""COMPUTED_VALUE"""),1734)</f>
        <v>1734</v>
      </c>
      <c r="J37" s="12">
        <f ca="1">IFERROR(__xludf.DUMMYFUNCTION("""COMPUTED_VALUE"""),1903)</f>
        <v>1903</v>
      </c>
      <c r="K37" s="12">
        <f ca="1">IFERROR(__xludf.DUMMYFUNCTION("""COMPUTED_VALUE"""),3986)</f>
        <v>3986</v>
      </c>
      <c r="L37" s="12">
        <f ca="1">IFERROR(__xludf.DUMMYFUNCTION("""COMPUTED_VALUE"""),5683)</f>
        <v>5683</v>
      </c>
      <c r="M37" s="12">
        <f ca="1">IFERROR(__xludf.DUMMYFUNCTION("""COMPUTED_VALUE"""),4913)</f>
        <v>4913</v>
      </c>
      <c r="N37" s="12">
        <f ca="1">IFERROR(__xludf.DUMMYFUNCTION("""COMPUTED_VALUE"""),1626)</f>
        <v>1626</v>
      </c>
      <c r="O37" s="12">
        <f ca="1">IFERROR(__xludf.DUMMYFUNCTION("""COMPUTED_VALUE"""),7803)</f>
        <v>7803</v>
      </c>
      <c r="P37" s="12">
        <f ca="1">IFERROR(__xludf.DUMMYFUNCTION("""COMPUTED_VALUE"""),3881)</f>
        <v>3881</v>
      </c>
      <c r="Q37" s="12">
        <f ca="1">IFERROR(__xludf.DUMMYFUNCTION("""COMPUTED_VALUE"""),7816)</f>
        <v>7816</v>
      </c>
      <c r="R37" s="12">
        <f ca="1">IFERROR(__xludf.DUMMYFUNCTION("""COMPUTED_VALUE"""),4679)</f>
        <v>4679</v>
      </c>
      <c r="S37" s="12">
        <f ca="1">IFERROR(__xludf.DUMMYFUNCTION("""COMPUTED_VALUE"""),2875)</f>
        <v>2875</v>
      </c>
      <c r="T37" s="12">
        <f ca="1">IFERROR(__xludf.DUMMYFUNCTION("""COMPUTED_VALUE"""),5946)</f>
        <v>5946</v>
      </c>
      <c r="U37" s="12">
        <f ca="1">IFERROR(__xludf.DUMMYFUNCTION("""COMPUTED_VALUE"""),10157)</f>
        <v>10157</v>
      </c>
      <c r="V37" s="12">
        <f ca="1">IFERROR(__xludf.DUMMYFUNCTION("""COMPUTED_VALUE"""),10151)</f>
        <v>10151</v>
      </c>
      <c r="W37" s="12">
        <f ca="1">IFERROR(__xludf.DUMMYFUNCTION("""COMPUTED_VALUE"""),10457)</f>
        <v>10457</v>
      </c>
      <c r="X37" s="12">
        <f ca="1">IFERROR(__xludf.DUMMYFUNCTION("""COMPUTED_VALUE"""),9338)</f>
        <v>9338</v>
      </c>
      <c r="Y37" s="12">
        <f ca="1">IFERROR(__xludf.DUMMYFUNCTION("""COMPUTED_VALUE"""),21798)</f>
        <v>21798</v>
      </c>
      <c r="Z37" s="12">
        <f ca="1">IFERROR(__xludf.DUMMYFUNCTION("""COMPUTED_VALUE"""),8542)</f>
        <v>8542</v>
      </c>
      <c r="AA37" s="12">
        <f ca="1">IFERROR(__xludf.DUMMYFUNCTION("""COMPUTED_VALUE"""),7397)</f>
        <v>7397</v>
      </c>
      <c r="AB37" s="12">
        <f ca="1">IFERROR(__xludf.DUMMYFUNCTION("""COMPUTED_VALUE"""),9209)</f>
        <v>9209</v>
      </c>
      <c r="AC37" s="12">
        <f ca="1">IFERROR(__xludf.DUMMYFUNCTION("""COMPUTED_VALUE"""),21407)</f>
        <v>21407</v>
      </c>
      <c r="AD37" s="12">
        <f ca="1">IFERROR(__xludf.DUMMYFUNCTION("""COMPUTED_VALUE"""),19935)</f>
        <v>19935</v>
      </c>
      <c r="AE37" s="12">
        <f ca="1">IFERROR(__xludf.DUMMYFUNCTION("""COMPUTED_VALUE"""),25332)</f>
        <v>25332</v>
      </c>
      <c r="AF37" s="8">
        <f ca="1">IFERROR(__xludf.DUMMYFUNCTION("""COMPUTED_VALUE"""),32470)</f>
        <v>32470</v>
      </c>
      <c r="AG37" s="8">
        <f ca="1">IFERROR(__xludf.DUMMYFUNCTION("""COMPUTED_VALUE"""),1267)</f>
        <v>1267</v>
      </c>
      <c r="AH37" s="8">
        <f ca="1">IFERROR(__xludf.DUMMYFUNCTION("""COMPUTED_VALUE"""),6194)</f>
        <v>6194</v>
      </c>
      <c r="AI37" s="8">
        <f ca="1">IFERROR(__xludf.DUMMYFUNCTION("""COMPUTED_VALUE"""),22835)</f>
        <v>22835</v>
      </c>
      <c r="AJ37" s="8">
        <f ca="1">IFERROR(__xludf.DUMMYFUNCTION("""COMPUTED_VALUE"""),8920)</f>
        <v>8920</v>
      </c>
      <c r="AK37" s="8">
        <f ca="1">IFERROR(__xludf.DUMMYFUNCTION("""COMPUTED_VALUE"""),3964)</f>
        <v>3964</v>
      </c>
      <c r="AL37" s="8">
        <f ca="1">IFERROR(__xludf.DUMMYFUNCTION("""COMPUTED_VALUE"""),13856)</f>
        <v>13856</v>
      </c>
      <c r="AM37" s="8">
        <f ca="1">IFERROR(__xludf.DUMMYFUNCTION("""COMPUTED_VALUE"""),17616)</f>
        <v>17616</v>
      </c>
      <c r="AN37" s="8">
        <f ca="1">IFERROR(__xludf.DUMMYFUNCTION("""COMPUTED_VALUE"""),11711)</f>
        <v>11711</v>
      </c>
      <c r="AO37" s="8">
        <f ca="1">IFERROR(__xludf.DUMMYFUNCTION("""COMPUTED_VALUE"""),3969)</f>
        <v>3969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</row>
    <row r="38" spans="1:51" ht="15.75" customHeight="1" x14ac:dyDescent="0.25">
      <c r="A38" s="11" t="str">
        <f ca="1">IFERROR(__xludf.DUMMYFUNCTION("""COMPUTED_VALUE"""),"                  left Anterior cingulate area")</f>
        <v xml:space="preserve">                  left Anterior cingulate area</v>
      </c>
      <c r="B38" s="12">
        <f ca="1">IFERROR(__xludf.DUMMYFUNCTION("""COMPUTED_VALUE"""),13580)</f>
        <v>13580</v>
      </c>
      <c r="C38" s="12">
        <f ca="1">IFERROR(__xludf.DUMMYFUNCTION("""COMPUTED_VALUE"""),40331)</f>
        <v>40331</v>
      </c>
      <c r="D38" s="12">
        <f ca="1">IFERROR(__xludf.DUMMYFUNCTION("""COMPUTED_VALUE"""),35658)</f>
        <v>35658</v>
      </c>
      <c r="E38" s="12">
        <f ca="1">IFERROR(__xludf.DUMMYFUNCTION("""COMPUTED_VALUE"""),44525)</f>
        <v>44525</v>
      </c>
      <c r="F38" s="12">
        <f ca="1">IFERROR(__xludf.DUMMYFUNCTION("""COMPUTED_VALUE"""),33951)</f>
        <v>33951</v>
      </c>
      <c r="G38" s="12">
        <f ca="1">IFERROR(__xludf.DUMMYFUNCTION("""COMPUTED_VALUE"""),24269)</f>
        <v>24269</v>
      </c>
      <c r="H38" s="12">
        <f ca="1">IFERROR(__xludf.DUMMYFUNCTION("""COMPUTED_VALUE"""),37605)</f>
        <v>37605</v>
      </c>
      <c r="I38" s="12">
        <f ca="1">IFERROR(__xludf.DUMMYFUNCTION("""COMPUTED_VALUE"""),24472)</f>
        <v>24472</v>
      </c>
      <c r="J38" s="12">
        <f ca="1">IFERROR(__xludf.DUMMYFUNCTION("""COMPUTED_VALUE"""),19169)</f>
        <v>19169</v>
      </c>
      <c r="K38" s="12">
        <f ca="1">IFERROR(__xludf.DUMMYFUNCTION("""COMPUTED_VALUE"""),27966)</f>
        <v>27966</v>
      </c>
      <c r="L38" s="12">
        <f ca="1">IFERROR(__xludf.DUMMYFUNCTION("""COMPUTED_VALUE"""),33478)</f>
        <v>33478</v>
      </c>
      <c r="M38" s="12">
        <f ca="1">IFERROR(__xludf.DUMMYFUNCTION("""COMPUTED_VALUE"""),31407)</f>
        <v>31407</v>
      </c>
      <c r="N38" s="12">
        <f ca="1">IFERROR(__xludf.DUMMYFUNCTION("""COMPUTED_VALUE"""),14691)</f>
        <v>14691</v>
      </c>
      <c r="O38" s="12">
        <f ca="1">IFERROR(__xludf.DUMMYFUNCTION("""COMPUTED_VALUE"""),34904)</f>
        <v>34904</v>
      </c>
      <c r="P38" s="12">
        <f ca="1">IFERROR(__xludf.DUMMYFUNCTION("""COMPUTED_VALUE"""),14830)</f>
        <v>14830</v>
      </c>
      <c r="Q38" s="12">
        <f ca="1">IFERROR(__xludf.DUMMYFUNCTION("""COMPUTED_VALUE"""),36681)</f>
        <v>36681</v>
      </c>
      <c r="R38" s="12">
        <f ca="1">IFERROR(__xludf.DUMMYFUNCTION("""COMPUTED_VALUE"""),9266)</f>
        <v>9266</v>
      </c>
      <c r="S38" s="12">
        <f ca="1">IFERROR(__xludf.DUMMYFUNCTION("""COMPUTED_VALUE"""),24524)</f>
        <v>24524</v>
      </c>
      <c r="T38" s="12">
        <f ca="1">IFERROR(__xludf.DUMMYFUNCTION("""COMPUTED_VALUE"""),25184)</f>
        <v>25184</v>
      </c>
      <c r="U38" s="12">
        <f ca="1">IFERROR(__xludf.DUMMYFUNCTION("""COMPUTED_VALUE"""),21349)</f>
        <v>21349</v>
      </c>
      <c r="V38" s="12">
        <f ca="1">IFERROR(__xludf.DUMMYFUNCTION("""COMPUTED_VALUE"""),36815)</f>
        <v>36815</v>
      </c>
      <c r="W38" s="12">
        <f ca="1">IFERROR(__xludf.DUMMYFUNCTION("""COMPUTED_VALUE"""),53350)</f>
        <v>53350</v>
      </c>
      <c r="X38" s="12">
        <f ca="1">IFERROR(__xludf.DUMMYFUNCTION("""COMPUTED_VALUE"""),46794)</f>
        <v>46794</v>
      </c>
      <c r="Y38" s="12">
        <f ca="1">IFERROR(__xludf.DUMMYFUNCTION("""COMPUTED_VALUE"""),21195)</f>
        <v>21195</v>
      </c>
      <c r="Z38" s="12">
        <f ca="1">IFERROR(__xludf.DUMMYFUNCTION("""COMPUTED_VALUE"""),19691)</f>
        <v>19691</v>
      </c>
      <c r="AA38" s="12">
        <f ca="1">IFERROR(__xludf.DUMMYFUNCTION("""COMPUTED_VALUE"""),22015)</f>
        <v>22015</v>
      </c>
      <c r="AB38" s="12">
        <f ca="1">IFERROR(__xludf.DUMMYFUNCTION("""COMPUTED_VALUE"""),20401)</f>
        <v>20401</v>
      </c>
      <c r="AC38" s="12">
        <f ca="1">IFERROR(__xludf.DUMMYFUNCTION("""COMPUTED_VALUE"""),34468)</f>
        <v>34468</v>
      </c>
      <c r="AD38" s="12">
        <f ca="1">IFERROR(__xludf.DUMMYFUNCTION("""COMPUTED_VALUE"""),22563)</f>
        <v>22563</v>
      </c>
      <c r="AE38" s="12">
        <f ca="1">IFERROR(__xludf.DUMMYFUNCTION("""COMPUTED_VALUE"""),26332)</f>
        <v>26332</v>
      </c>
      <c r="AF38" s="8">
        <f ca="1">IFERROR(__xludf.DUMMYFUNCTION("""COMPUTED_VALUE"""),71042)</f>
        <v>71042</v>
      </c>
      <c r="AG38" s="8">
        <f ca="1">IFERROR(__xludf.DUMMYFUNCTION("""COMPUTED_VALUE"""),21475)</f>
        <v>21475</v>
      </c>
      <c r="AH38" s="8">
        <f ca="1">IFERROR(__xludf.DUMMYFUNCTION("""COMPUTED_VALUE"""),16219)</f>
        <v>16219</v>
      </c>
      <c r="AI38" s="8">
        <f ca="1">IFERROR(__xludf.DUMMYFUNCTION("""COMPUTED_VALUE"""),7600)</f>
        <v>7600</v>
      </c>
      <c r="AJ38" s="8">
        <f ca="1">IFERROR(__xludf.DUMMYFUNCTION("""COMPUTED_VALUE"""),13352)</f>
        <v>13352</v>
      </c>
      <c r="AK38" s="8">
        <f ca="1">IFERROR(__xludf.DUMMYFUNCTION("""COMPUTED_VALUE"""),14856)</f>
        <v>14856</v>
      </c>
      <c r="AL38" s="8">
        <f ca="1">IFERROR(__xludf.DUMMYFUNCTION("""COMPUTED_VALUE"""),5733)</f>
        <v>5733</v>
      </c>
      <c r="AM38" s="8">
        <f ca="1">IFERROR(__xludf.DUMMYFUNCTION("""COMPUTED_VALUE"""),43465)</f>
        <v>43465</v>
      </c>
      <c r="AN38" s="8">
        <f ca="1">IFERROR(__xludf.DUMMYFUNCTION("""COMPUTED_VALUE"""),27382)</f>
        <v>27382</v>
      </c>
      <c r="AO38" s="8">
        <f ca="1">IFERROR(__xludf.DUMMYFUNCTION("""COMPUTED_VALUE"""),25767)</f>
        <v>25767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</row>
    <row r="39" spans="1:51" ht="15.75" customHeight="1" x14ac:dyDescent="0.25">
      <c r="A39" s="11" t="str">
        <f ca="1">IFERROR(__xludf.DUMMYFUNCTION("""COMPUTED_VALUE"""),"                     left Anterior cingulate area, dorsal part")</f>
        <v xml:space="preserve">                     left Anterior cingulate area, dorsal part</v>
      </c>
      <c r="B39" s="12">
        <f ca="1">IFERROR(__xludf.DUMMYFUNCTION("""COMPUTED_VALUE"""),5930)</f>
        <v>5930</v>
      </c>
      <c r="C39" s="12">
        <f ca="1">IFERROR(__xludf.DUMMYFUNCTION("""COMPUTED_VALUE"""),20299)</f>
        <v>20299</v>
      </c>
      <c r="D39" s="12">
        <f ca="1">IFERROR(__xludf.DUMMYFUNCTION("""COMPUTED_VALUE"""),22332)</f>
        <v>22332</v>
      </c>
      <c r="E39" s="12">
        <f ca="1">IFERROR(__xludf.DUMMYFUNCTION("""COMPUTED_VALUE"""),20173)</f>
        <v>20173</v>
      </c>
      <c r="F39" s="12">
        <f ca="1">IFERROR(__xludf.DUMMYFUNCTION("""COMPUTED_VALUE"""),19124)</f>
        <v>19124</v>
      </c>
      <c r="G39" s="12">
        <f ca="1">IFERROR(__xludf.DUMMYFUNCTION("""COMPUTED_VALUE"""),12501)</f>
        <v>12501</v>
      </c>
      <c r="H39" s="12">
        <f ca="1">IFERROR(__xludf.DUMMYFUNCTION("""COMPUTED_VALUE"""),18361)</f>
        <v>18361</v>
      </c>
      <c r="I39" s="12">
        <f ca="1">IFERROR(__xludf.DUMMYFUNCTION("""COMPUTED_VALUE"""),10426)</f>
        <v>10426</v>
      </c>
      <c r="J39" s="12">
        <f ca="1">IFERROR(__xludf.DUMMYFUNCTION("""COMPUTED_VALUE"""),7026)</f>
        <v>7026</v>
      </c>
      <c r="K39" s="12">
        <f ca="1">IFERROR(__xludf.DUMMYFUNCTION("""COMPUTED_VALUE"""),13301)</f>
        <v>13301</v>
      </c>
      <c r="L39" s="12">
        <f ca="1">IFERROR(__xludf.DUMMYFUNCTION("""COMPUTED_VALUE"""),16546)</f>
        <v>16546</v>
      </c>
      <c r="M39" s="12">
        <f ca="1">IFERROR(__xludf.DUMMYFUNCTION("""COMPUTED_VALUE"""),13818)</f>
        <v>13818</v>
      </c>
      <c r="N39" s="12">
        <f ca="1">IFERROR(__xludf.DUMMYFUNCTION("""COMPUTED_VALUE"""),6548)</f>
        <v>6548</v>
      </c>
      <c r="O39" s="12">
        <f ca="1">IFERROR(__xludf.DUMMYFUNCTION("""COMPUTED_VALUE"""),15395)</f>
        <v>15395</v>
      </c>
      <c r="P39" s="12">
        <f ca="1">IFERROR(__xludf.DUMMYFUNCTION("""COMPUTED_VALUE"""),6338)</f>
        <v>6338</v>
      </c>
      <c r="Q39" s="12">
        <f ca="1">IFERROR(__xludf.DUMMYFUNCTION("""COMPUTED_VALUE"""),16226)</f>
        <v>16226</v>
      </c>
      <c r="R39" s="12">
        <f ca="1">IFERROR(__xludf.DUMMYFUNCTION("""COMPUTED_VALUE"""),3058)</f>
        <v>3058</v>
      </c>
      <c r="S39" s="12">
        <f ca="1">IFERROR(__xludf.DUMMYFUNCTION("""COMPUTED_VALUE"""),13731)</f>
        <v>13731</v>
      </c>
      <c r="T39" s="12">
        <f ca="1">IFERROR(__xludf.DUMMYFUNCTION("""COMPUTED_VALUE"""),13689)</f>
        <v>13689</v>
      </c>
      <c r="U39" s="12">
        <f ca="1">IFERROR(__xludf.DUMMYFUNCTION("""COMPUTED_VALUE"""),12671)</f>
        <v>12671</v>
      </c>
      <c r="V39" s="12">
        <f ca="1">IFERROR(__xludf.DUMMYFUNCTION("""COMPUTED_VALUE"""),17954)</f>
        <v>17954</v>
      </c>
      <c r="W39" s="12">
        <f ca="1">IFERROR(__xludf.DUMMYFUNCTION("""COMPUTED_VALUE"""),29248)</f>
        <v>29248</v>
      </c>
      <c r="X39" s="12">
        <f ca="1">IFERROR(__xludf.DUMMYFUNCTION("""COMPUTED_VALUE"""),27405)</f>
        <v>27405</v>
      </c>
      <c r="Y39" s="12">
        <f ca="1">IFERROR(__xludf.DUMMYFUNCTION("""COMPUTED_VALUE"""),11576)</f>
        <v>11576</v>
      </c>
      <c r="Z39" s="12">
        <f ca="1">IFERROR(__xludf.DUMMYFUNCTION("""COMPUTED_VALUE"""),10275)</f>
        <v>10275</v>
      </c>
      <c r="AA39" s="12">
        <f ca="1">IFERROR(__xludf.DUMMYFUNCTION("""COMPUTED_VALUE"""),8133)</f>
        <v>8133</v>
      </c>
      <c r="AB39" s="12">
        <f ca="1">IFERROR(__xludf.DUMMYFUNCTION("""COMPUTED_VALUE"""),14167)</f>
        <v>14167</v>
      </c>
      <c r="AC39" s="12">
        <f ca="1">IFERROR(__xludf.DUMMYFUNCTION("""COMPUTED_VALUE"""),19671)</f>
        <v>19671</v>
      </c>
      <c r="AD39" s="12">
        <f ca="1">IFERROR(__xludf.DUMMYFUNCTION("""COMPUTED_VALUE"""),12904)</f>
        <v>12904</v>
      </c>
      <c r="AE39" s="12">
        <f ca="1">IFERROR(__xludf.DUMMYFUNCTION("""COMPUTED_VALUE"""),22404)</f>
        <v>22404</v>
      </c>
      <c r="AF39" s="8">
        <f ca="1">IFERROR(__xludf.DUMMYFUNCTION("""COMPUTED_VALUE"""),36164)</f>
        <v>36164</v>
      </c>
      <c r="AG39" s="8">
        <f ca="1">IFERROR(__xludf.DUMMYFUNCTION("""COMPUTED_VALUE"""),10719)</f>
        <v>10719</v>
      </c>
      <c r="AH39" s="8">
        <f ca="1">IFERROR(__xludf.DUMMYFUNCTION("""COMPUTED_VALUE"""),8559)</f>
        <v>8559</v>
      </c>
      <c r="AI39" s="8">
        <f ca="1">IFERROR(__xludf.DUMMYFUNCTION("""COMPUTED_VALUE"""),3860)</f>
        <v>3860</v>
      </c>
      <c r="AJ39" s="8">
        <f ca="1">IFERROR(__xludf.DUMMYFUNCTION("""COMPUTED_VALUE"""),6656)</f>
        <v>6656</v>
      </c>
      <c r="AK39" s="8">
        <f ca="1">IFERROR(__xludf.DUMMYFUNCTION("""COMPUTED_VALUE"""),8252)</f>
        <v>8252</v>
      </c>
      <c r="AL39" s="8">
        <f ca="1">IFERROR(__xludf.DUMMYFUNCTION("""COMPUTED_VALUE"""),3062)</f>
        <v>3062</v>
      </c>
      <c r="AM39" s="8">
        <f ca="1">IFERROR(__xludf.DUMMYFUNCTION("""COMPUTED_VALUE"""),26654)</f>
        <v>26654</v>
      </c>
      <c r="AN39" s="8">
        <f ca="1">IFERROR(__xludf.DUMMYFUNCTION("""COMPUTED_VALUE"""),13954)</f>
        <v>13954</v>
      </c>
      <c r="AO39" s="8">
        <f ca="1">IFERROR(__xludf.DUMMYFUNCTION("""COMPUTED_VALUE"""),15012)</f>
        <v>15012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spans="1:51" ht="13.2" x14ac:dyDescent="0.25">
      <c r="A40" s="11" t="str">
        <f ca="1">IFERROR(__xludf.DUMMYFUNCTION("""COMPUTED_VALUE"""),"                     left Anterior cingulate area, ventral part")</f>
        <v xml:space="preserve">                     left Anterior cingulate area, ventral part</v>
      </c>
      <c r="B40" s="12">
        <f ca="1">IFERROR(__xludf.DUMMYFUNCTION("""COMPUTED_VALUE"""),7650)</f>
        <v>7650</v>
      </c>
      <c r="C40" s="12">
        <f ca="1">IFERROR(__xludf.DUMMYFUNCTION("""COMPUTED_VALUE"""),20032)</f>
        <v>20032</v>
      </c>
      <c r="D40" s="12">
        <f ca="1">IFERROR(__xludf.DUMMYFUNCTION("""COMPUTED_VALUE"""),13326)</f>
        <v>13326</v>
      </c>
      <c r="E40" s="12">
        <f ca="1">IFERROR(__xludf.DUMMYFUNCTION("""COMPUTED_VALUE"""),24352)</f>
        <v>24352</v>
      </c>
      <c r="F40" s="12">
        <f ca="1">IFERROR(__xludf.DUMMYFUNCTION("""COMPUTED_VALUE"""),14827)</f>
        <v>14827</v>
      </c>
      <c r="G40" s="12">
        <f ca="1">IFERROR(__xludf.DUMMYFUNCTION("""COMPUTED_VALUE"""),11768)</f>
        <v>11768</v>
      </c>
      <c r="H40" s="12">
        <f ca="1">IFERROR(__xludf.DUMMYFUNCTION("""COMPUTED_VALUE"""),19244)</f>
        <v>19244</v>
      </c>
      <c r="I40" s="12">
        <f ca="1">IFERROR(__xludf.DUMMYFUNCTION("""COMPUTED_VALUE"""),14046)</f>
        <v>14046</v>
      </c>
      <c r="J40" s="12">
        <f ca="1">IFERROR(__xludf.DUMMYFUNCTION("""COMPUTED_VALUE"""),12143)</f>
        <v>12143</v>
      </c>
      <c r="K40" s="12">
        <f ca="1">IFERROR(__xludf.DUMMYFUNCTION("""COMPUTED_VALUE"""),14665)</f>
        <v>14665</v>
      </c>
      <c r="L40" s="12">
        <f ca="1">IFERROR(__xludf.DUMMYFUNCTION("""COMPUTED_VALUE"""),16932)</f>
        <v>16932</v>
      </c>
      <c r="M40" s="12">
        <f ca="1">IFERROR(__xludf.DUMMYFUNCTION("""COMPUTED_VALUE"""),17589)</f>
        <v>17589</v>
      </c>
      <c r="N40" s="12">
        <f ca="1">IFERROR(__xludf.DUMMYFUNCTION("""COMPUTED_VALUE"""),8143)</f>
        <v>8143</v>
      </c>
      <c r="O40" s="12">
        <f ca="1">IFERROR(__xludf.DUMMYFUNCTION("""COMPUTED_VALUE"""),19509)</f>
        <v>19509</v>
      </c>
      <c r="P40" s="12">
        <f ca="1">IFERROR(__xludf.DUMMYFUNCTION("""COMPUTED_VALUE"""),8492)</f>
        <v>8492</v>
      </c>
      <c r="Q40" s="12">
        <f ca="1">IFERROR(__xludf.DUMMYFUNCTION("""COMPUTED_VALUE"""),20455)</f>
        <v>20455</v>
      </c>
      <c r="R40" s="12">
        <f ca="1">IFERROR(__xludf.DUMMYFUNCTION("""COMPUTED_VALUE"""),6208)</f>
        <v>6208</v>
      </c>
      <c r="S40" s="12">
        <f ca="1">IFERROR(__xludf.DUMMYFUNCTION("""COMPUTED_VALUE"""),10793)</f>
        <v>10793</v>
      </c>
      <c r="T40" s="12">
        <f ca="1">IFERROR(__xludf.DUMMYFUNCTION("""COMPUTED_VALUE"""),11495)</f>
        <v>11495</v>
      </c>
      <c r="U40" s="12">
        <f ca="1">IFERROR(__xludf.DUMMYFUNCTION("""COMPUTED_VALUE"""),8678)</f>
        <v>8678</v>
      </c>
      <c r="V40" s="12">
        <f ca="1">IFERROR(__xludf.DUMMYFUNCTION("""COMPUTED_VALUE"""),18861)</f>
        <v>18861</v>
      </c>
      <c r="W40" s="12">
        <f ca="1">IFERROR(__xludf.DUMMYFUNCTION("""COMPUTED_VALUE"""),24102)</f>
        <v>24102</v>
      </c>
      <c r="X40" s="12">
        <f ca="1">IFERROR(__xludf.DUMMYFUNCTION("""COMPUTED_VALUE"""),19389)</f>
        <v>19389</v>
      </c>
      <c r="Y40" s="12">
        <f ca="1">IFERROR(__xludf.DUMMYFUNCTION("""COMPUTED_VALUE"""),9619)</f>
        <v>9619</v>
      </c>
      <c r="Z40" s="12">
        <f ca="1">IFERROR(__xludf.DUMMYFUNCTION("""COMPUTED_VALUE"""),9416)</f>
        <v>9416</v>
      </c>
      <c r="AA40" s="12">
        <f ca="1">IFERROR(__xludf.DUMMYFUNCTION("""COMPUTED_VALUE"""),13882)</f>
        <v>13882</v>
      </c>
      <c r="AB40" s="12">
        <f ca="1">IFERROR(__xludf.DUMMYFUNCTION("""COMPUTED_VALUE"""),6234)</f>
        <v>6234</v>
      </c>
      <c r="AC40" s="12">
        <f ca="1">IFERROR(__xludf.DUMMYFUNCTION("""COMPUTED_VALUE"""),14797)</f>
        <v>14797</v>
      </c>
      <c r="AD40" s="12">
        <f ca="1">IFERROR(__xludf.DUMMYFUNCTION("""COMPUTED_VALUE"""),9659)</f>
        <v>9659</v>
      </c>
      <c r="AE40" s="12">
        <f ca="1">IFERROR(__xludf.DUMMYFUNCTION("""COMPUTED_VALUE"""),3928)</f>
        <v>3928</v>
      </c>
      <c r="AF40" s="8">
        <f ca="1">IFERROR(__xludf.DUMMYFUNCTION("""COMPUTED_VALUE"""),34878)</f>
        <v>34878</v>
      </c>
      <c r="AG40" s="8">
        <f ca="1">IFERROR(__xludf.DUMMYFUNCTION("""COMPUTED_VALUE"""),10756)</f>
        <v>10756</v>
      </c>
      <c r="AH40" s="8">
        <f ca="1">IFERROR(__xludf.DUMMYFUNCTION("""COMPUTED_VALUE"""),7660)</f>
        <v>7660</v>
      </c>
      <c r="AI40" s="8">
        <f ca="1">IFERROR(__xludf.DUMMYFUNCTION("""COMPUTED_VALUE"""),3740)</f>
        <v>3740</v>
      </c>
      <c r="AJ40" s="8">
        <f ca="1">IFERROR(__xludf.DUMMYFUNCTION("""COMPUTED_VALUE"""),6696)</f>
        <v>6696</v>
      </c>
      <c r="AK40" s="8">
        <f ca="1">IFERROR(__xludf.DUMMYFUNCTION("""COMPUTED_VALUE"""),6604)</f>
        <v>6604</v>
      </c>
      <c r="AL40" s="8">
        <f ca="1">IFERROR(__xludf.DUMMYFUNCTION("""COMPUTED_VALUE"""),2671)</f>
        <v>2671</v>
      </c>
      <c r="AM40" s="8">
        <f ca="1">IFERROR(__xludf.DUMMYFUNCTION("""COMPUTED_VALUE"""),16811)</f>
        <v>16811</v>
      </c>
      <c r="AN40" s="8">
        <f ca="1">IFERROR(__xludf.DUMMYFUNCTION("""COMPUTED_VALUE"""),13428)</f>
        <v>13428</v>
      </c>
      <c r="AO40" s="8">
        <f ca="1">IFERROR(__xludf.DUMMYFUNCTION("""COMPUTED_VALUE"""),10755)</f>
        <v>10755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1" ht="13.2" x14ac:dyDescent="0.25">
      <c r="A41" s="11" t="str">
        <f ca="1">IFERROR(__xludf.DUMMYFUNCTION("""COMPUTED_VALUE"""),"                  left Prelimbic area")</f>
        <v xml:space="preserve">                  left Prelimbic area</v>
      </c>
      <c r="B41" s="12">
        <f ca="1">IFERROR(__xludf.DUMMYFUNCTION("""COMPUTED_VALUE"""),5058)</f>
        <v>5058</v>
      </c>
      <c r="C41" s="12">
        <f ca="1">IFERROR(__xludf.DUMMYFUNCTION("""COMPUTED_VALUE"""),15653)</f>
        <v>15653</v>
      </c>
      <c r="D41" s="12">
        <f ca="1">IFERROR(__xludf.DUMMYFUNCTION("""COMPUTED_VALUE"""),15106)</f>
        <v>15106</v>
      </c>
      <c r="E41" s="12">
        <f ca="1">IFERROR(__xludf.DUMMYFUNCTION("""COMPUTED_VALUE"""),15224)</f>
        <v>15224</v>
      </c>
      <c r="F41" s="12">
        <f ca="1">IFERROR(__xludf.DUMMYFUNCTION("""COMPUTED_VALUE"""),18062)</f>
        <v>18062</v>
      </c>
      <c r="G41" s="12">
        <f ca="1">IFERROR(__xludf.DUMMYFUNCTION("""COMPUTED_VALUE"""),12112)</f>
        <v>12112</v>
      </c>
      <c r="H41" s="12">
        <f ca="1">IFERROR(__xludf.DUMMYFUNCTION("""COMPUTED_VALUE"""),11666)</f>
        <v>11666</v>
      </c>
      <c r="I41" s="12">
        <f ca="1">IFERROR(__xludf.DUMMYFUNCTION("""COMPUTED_VALUE"""),9658)</f>
        <v>9658</v>
      </c>
      <c r="J41" s="12">
        <f ca="1">IFERROR(__xludf.DUMMYFUNCTION("""COMPUTED_VALUE"""),8358)</f>
        <v>8358</v>
      </c>
      <c r="K41" s="12">
        <f ca="1">IFERROR(__xludf.DUMMYFUNCTION("""COMPUTED_VALUE"""),11050)</f>
        <v>11050</v>
      </c>
      <c r="L41" s="12">
        <f ca="1">IFERROR(__xludf.DUMMYFUNCTION("""COMPUTED_VALUE"""),12560)</f>
        <v>12560</v>
      </c>
      <c r="M41" s="12">
        <f ca="1">IFERROR(__xludf.DUMMYFUNCTION("""COMPUTED_VALUE"""),11086)</f>
        <v>11086</v>
      </c>
      <c r="N41" s="12">
        <f ca="1">IFERROR(__xludf.DUMMYFUNCTION("""COMPUTED_VALUE"""),7062)</f>
        <v>7062</v>
      </c>
      <c r="O41" s="12">
        <f ca="1">IFERROR(__xludf.DUMMYFUNCTION("""COMPUTED_VALUE"""),16718)</f>
        <v>16718</v>
      </c>
      <c r="P41" s="12">
        <f ca="1">IFERROR(__xludf.DUMMYFUNCTION("""COMPUTED_VALUE"""),4944)</f>
        <v>4944</v>
      </c>
      <c r="Q41" s="12">
        <f ca="1">IFERROR(__xludf.DUMMYFUNCTION("""COMPUTED_VALUE"""),10398)</f>
        <v>10398</v>
      </c>
      <c r="R41" s="12">
        <f ca="1">IFERROR(__xludf.DUMMYFUNCTION("""COMPUTED_VALUE"""),4577)</f>
        <v>4577</v>
      </c>
      <c r="S41" s="12">
        <f ca="1">IFERROR(__xludf.DUMMYFUNCTION("""COMPUTED_VALUE"""),8537)</f>
        <v>8537</v>
      </c>
      <c r="T41" s="12">
        <f ca="1">IFERROR(__xludf.DUMMYFUNCTION("""COMPUTED_VALUE"""),17931)</f>
        <v>17931</v>
      </c>
      <c r="U41" s="12">
        <f ca="1">IFERROR(__xludf.DUMMYFUNCTION("""COMPUTED_VALUE"""),9507)</f>
        <v>9507</v>
      </c>
      <c r="V41" s="12">
        <f ca="1">IFERROR(__xludf.DUMMYFUNCTION("""COMPUTED_VALUE"""),18131)</f>
        <v>18131</v>
      </c>
      <c r="W41" s="12">
        <f ca="1">IFERROR(__xludf.DUMMYFUNCTION("""COMPUTED_VALUE"""),27839)</f>
        <v>27839</v>
      </c>
      <c r="X41" s="12">
        <f ca="1">IFERROR(__xludf.DUMMYFUNCTION("""COMPUTED_VALUE"""),30365)</f>
        <v>30365</v>
      </c>
      <c r="Y41" s="12">
        <f ca="1">IFERROR(__xludf.DUMMYFUNCTION("""COMPUTED_VALUE"""),10766)</f>
        <v>10766</v>
      </c>
      <c r="Z41" s="12">
        <f ca="1">IFERROR(__xludf.DUMMYFUNCTION("""COMPUTED_VALUE"""),9929)</f>
        <v>9929</v>
      </c>
      <c r="AA41" s="12">
        <f ca="1">IFERROR(__xludf.DUMMYFUNCTION("""COMPUTED_VALUE"""),10603)</f>
        <v>10603</v>
      </c>
      <c r="AB41" s="12">
        <f ca="1">IFERROR(__xludf.DUMMYFUNCTION("""COMPUTED_VALUE"""),14030)</f>
        <v>14030</v>
      </c>
      <c r="AC41" s="12">
        <f ca="1">IFERROR(__xludf.DUMMYFUNCTION("""COMPUTED_VALUE"""),12853)</f>
        <v>12853</v>
      </c>
      <c r="AD41" s="12">
        <f ca="1">IFERROR(__xludf.DUMMYFUNCTION("""COMPUTED_VALUE"""),16375)</f>
        <v>16375</v>
      </c>
      <c r="AE41" s="12">
        <f ca="1">IFERROR(__xludf.DUMMYFUNCTION("""COMPUTED_VALUE"""),13787)</f>
        <v>13787</v>
      </c>
      <c r="AF41" s="8">
        <f ca="1">IFERROR(__xludf.DUMMYFUNCTION("""COMPUTED_VALUE"""),32270)</f>
        <v>32270</v>
      </c>
      <c r="AG41" s="8">
        <f ca="1">IFERROR(__xludf.DUMMYFUNCTION("""COMPUTED_VALUE"""),11539)</f>
        <v>11539</v>
      </c>
      <c r="AH41" s="8">
        <f ca="1">IFERROR(__xludf.DUMMYFUNCTION("""COMPUTED_VALUE"""),14980)</f>
        <v>14980</v>
      </c>
      <c r="AI41" s="8">
        <f ca="1">IFERROR(__xludf.DUMMYFUNCTION("""COMPUTED_VALUE"""),3038)</f>
        <v>3038</v>
      </c>
      <c r="AJ41" s="8">
        <f ca="1">IFERROR(__xludf.DUMMYFUNCTION("""COMPUTED_VALUE"""),4558)</f>
        <v>4558</v>
      </c>
      <c r="AK41" s="8">
        <f ca="1">IFERROR(__xludf.DUMMYFUNCTION("""COMPUTED_VALUE"""),7707)</f>
        <v>7707</v>
      </c>
      <c r="AL41" s="8">
        <f ca="1">IFERROR(__xludf.DUMMYFUNCTION("""COMPUTED_VALUE"""),6813)</f>
        <v>6813</v>
      </c>
      <c r="AM41" s="8">
        <f ca="1">IFERROR(__xludf.DUMMYFUNCTION("""COMPUTED_VALUE"""),21584)</f>
        <v>21584</v>
      </c>
      <c r="AN41" s="8">
        <f ca="1">IFERROR(__xludf.DUMMYFUNCTION("""COMPUTED_VALUE"""),8898)</f>
        <v>8898</v>
      </c>
      <c r="AO41" s="8">
        <f ca="1">IFERROR(__xludf.DUMMYFUNCTION("""COMPUTED_VALUE"""),11260)</f>
        <v>11260</v>
      </c>
      <c r="AP41" s="8"/>
      <c r="AQ41" s="8"/>
      <c r="AR41" s="8"/>
      <c r="AS41" s="8"/>
      <c r="AT41" s="8"/>
      <c r="AU41" s="8"/>
      <c r="AV41" s="8"/>
      <c r="AW41" s="8"/>
      <c r="AX41" s="8"/>
      <c r="AY41" s="8"/>
    </row>
    <row r="42" spans="1:51" ht="13.2" x14ac:dyDescent="0.25">
      <c r="A42" s="11" t="str">
        <f ca="1">IFERROR(__xludf.DUMMYFUNCTION("""COMPUTED_VALUE"""),"                  left Infralimbic area")</f>
        <v xml:space="preserve">                  left Infralimbic area</v>
      </c>
      <c r="B42" s="12">
        <f ca="1">IFERROR(__xludf.DUMMYFUNCTION("""COMPUTED_VALUE"""),2340)</f>
        <v>2340</v>
      </c>
      <c r="C42" s="12">
        <f ca="1">IFERROR(__xludf.DUMMYFUNCTION("""COMPUTED_VALUE"""),7444)</f>
        <v>7444</v>
      </c>
      <c r="D42" s="12">
        <f ca="1">IFERROR(__xludf.DUMMYFUNCTION("""COMPUTED_VALUE"""),3834)</f>
        <v>3834</v>
      </c>
      <c r="E42" s="12">
        <f ca="1">IFERROR(__xludf.DUMMYFUNCTION("""COMPUTED_VALUE"""),7025)</f>
        <v>7025</v>
      </c>
      <c r="F42" s="12">
        <f ca="1">IFERROR(__xludf.DUMMYFUNCTION("""COMPUTED_VALUE"""),5472)</f>
        <v>5472</v>
      </c>
      <c r="G42" s="12">
        <f ca="1">IFERROR(__xludf.DUMMYFUNCTION("""COMPUTED_VALUE"""),4228)</f>
        <v>4228</v>
      </c>
      <c r="H42" s="12">
        <f ca="1">IFERROR(__xludf.DUMMYFUNCTION("""COMPUTED_VALUE"""),4426)</f>
        <v>4426</v>
      </c>
      <c r="I42" s="12">
        <f ca="1">IFERROR(__xludf.DUMMYFUNCTION("""COMPUTED_VALUE"""),4391)</f>
        <v>4391</v>
      </c>
      <c r="J42" s="12">
        <f ca="1">IFERROR(__xludf.DUMMYFUNCTION("""COMPUTED_VALUE"""),3602)</f>
        <v>3602</v>
      </c>
      <c r="K42" s="12">
        <f ca="1">IFERROR(__xludf.DUMMYFUNCTION("""COMPUTED_VALUE"""),3564)</f>
        <v>3564</v>
      </c>
      <c r="L42" s="12">
        <f ca="1">IFERROR(__xludf.DUMMYFUNCTION("""COMPUTED_VALUE"""),6935)</f>
        <v>6935</v>
      </c>
      <c r="M42" s="12">
        <f ca="1">IFERROR(__xludf.DUMMYFUNCTION("""COMPUTED_VALUE"""),5373)</f>
        <v>5373</v>
      </c>
      <c r="N42" s="12">
        <f ca="1">IFERROR(__xludf.DUMMYFUNCTION("""COMPUTED_VALUE"""),4351)</f>
        <v>4351</v>
      </c>
      <c r="O42" s="12">
        <f ca="1">IFERROR(__xludf.DUMMYFUNCTION("""COMPUTED_VALUE"""),6545)</f>
        <v>6545</v>
      </c>
      <c r="P42" s="12">
        <f ca="1">IFERROR(__xludf.DUMMYFUNCTION("""COMPUTED_VALUE"""),1984)</f>
        <v>1984</v>
      </c>
      <c r="Q42" s="12">
        <f ca="1">IFERROR(__xludf.DUMMYFUNCTION("""COMPUTED_VALUE"""),4853)</f>
        <v>4853</v>
      </c>
      <c r="R42" s="12">
        <f ca="1">IFERROR(__xludf.DUMMYFUNCTION("""COMPUTED_VALUE"""),2266)</f>
        <v>2266</v>
      </c>
      <c r="S42" s="12">
        <f ca="1">IFERROR(__xludf.DUMMYFUNCTION("""COMPUTED_VALUE"""),1978)</f>
        <v>1978</v>
      </c>
      <c r="T42" s="12">
        <f ca="1">IFERROR(__xludf.DUMMYFUNCTION("""COMPUTED_VALUE"""),7578)</f>
        <v>7578</v>
      </c>
      <c r="U42" s="12">
        <f ca="1">IFERROR(__xludf.DUMMYFUNCTION("""COMPUTED_VALUE"""),2354)</f>
        <v>2354</v>
      </c>
      <c r="V42" s="12">
        <f ca="1">IFERROR(__xludf.DUMMYFUNCTION("""COMPUTED_VALUE"""),8090)</f>
        <v>8090</v>
      </c>
      <c r="W42" s="12">
        <f ca="1">IFERROR(__xludf.DUMMYFUNCTION("""COMPUTED_VALUE"""),7649)</f>
        <v>7649</v>
      </c>
      <c r="X42" s="12">
        <f ca="1">IFERROR(__xludf.DUMMYFUNCTION("""COMPUTED_VALUE"""),12941)</f>
        <v>12941</v>
      </c>
      <c r="Y42" s="12">
        <f ca="1">IFERROR(__xludf.DUMMYFUNCTION("""COMPUTED_VALUE"""),3227)</f>
        <v>3227</v>
      </c>
      <c r="Z42" s="12">
        <f ca="1">IFERROR(__xludf.DUMMYFUNCTION("""COMPUTED_VALUE"""),3369)</f>
        <v>3369</v>
      </c>
      <c r="AA42" s="12">
        <f ca="1">IFERROR(__xludf.DUMMYFUNCTION("""COMPUTED_VALUE"""),6582)</f>
        <v>6582</v>
      </c>
      <c r="AB42" s="12">
        <f ca="1">IFERROR(__xludf.DUMMYFUNCTION("""COMPUTED_VALUE"""),2565)</f>
        <v>2565</v>
      </c>
      <c r="AC42" s="12">
        <f ca="1">IFERROR(__xludf.DUMMYFUNCTION("""COMPUTED_VALUE"""),4696)</f>
        <v>4696</v>
      </c>
      <c r="AD42" s="12">
        <f ca="1">IFERROR(__xludf.DUMMYFUNCTION("""COMPUTED_VALUE"""),4565)</f>
        <v>4565</v>
      </c>
      <c r="AE42" s="12">
        <f ca="1">IFERROR(__xludf.DUMMYFUNCTION("""COMPUTED_VALUE"""),2631)</f>
        <v>2631</v>
      </c>
      <c r="AF42" s="8">
        <f ca="1">IFERROR(__xludf.DUMMYFUNCTION("""COMPUTED_VALUE"""),10306)</f>
        <v>10306</v>
      </c>
      <c r="AG42" s="8">
        <f ca="1">IFERROR(__xludf.DUMMYFUNCTION("""COMPUTED_VALUE"""),4347)</f>
        <v>4347</v>
      </c>
      <c r="AH42" s="8">
        <f ca="1">IFERROR(__xludf.DUMMYFUNCTION("""COMPUTED_VALUE"""),8878)</f>
        <v>8878</v>
      </c>
      <c r="AI42" s="8">
        <f ca="1">IFERROR(__xludf.DUMMYFUNCTION("""COMPUTED_VALUE"""),986)</f>
        <v>986</v>
      </c>
      <c r="AJ42" s="8">
        <f ca="1">IFERROR(__xludf.DUMMYFUNCTION("""COMPUTED_VALUE"""),1681)</f>
        <v>1681</v>
      </c>
      <c r="AK42" s="8">
        <f ca="1">IFERROR(__xludf.DUMMYFUNCTION("""COMPUTED_VALUE"""),1662)</f>
        <v>1662</v>
      </c>
      <c r="AL42" s="8">
        <f ca="1">IFERROR(__xludf.DUMMYFUNCTION("""COMPUTED_VALUE"""),2046)</f>
        <v>2046</v>
      </c>
      <c r="AM42" s="8">
        <f ca="1">IFERROR(__xludf.DUMMYFUNCTION("""COMPUTED_VALUE"""),5554)</f>
        <v>5554</v>
      </c>
      <c r="AN42" s="8">
        <f ca="1">IFERROR(__xludf.DUMMYFUNCTION("""COMPUTED_VALUE"""),2557)</f>
        <v>2557</v>
      </c>
      <c r="AO42" s="8">
        <f ca="1">IFERROR(__xludf.DUMMYFUNCTION("""COMPUTED_VALUE"""),2571)</f>
        <v>2571</v>
      </c>
      <c r="AP42" s="8"/>
      <c r="AQ42" s="8"/>
      <c r="AR42" s="8"/>
      <c r="AS42" s="8"/>
      <c r="AT42" s="8"/>
      <c r="AU42" s="8"/>
      <c r="AV42" s="8"/>
      <c r="AW42" s="8"/>
      <c r="AX42" s="8"/>
      <c r="AY42" s="8"/>
    </row>
    <row r="43" spans="1:51" ht="13.2" x14ac:dyDescent="0.25">
      <c r="A43" s="11" t="str">
        <f ca="1">IFERROR(__xludf.DUMMYFUNCTION("""COMPUTED_VALUE"""),"                  left Orbital area")</f>
        <v xml:space="preserve">                  left Orbital area</v>
      </c>
      <c r="B43" s="12">
        <f ca="1">IFERROR(__xludf.DUMMYFUNCTION("""COMPUTED_VALUE"""),12790)</f>
        <v>12790</v>
      </c>
      <c r="C43" s="12">
        <f ca="1">IFERROR(__xludf.DUMMYFUNCTION("""COMPUTED_VALUE"""),51513)</f>
        <v>51513</v>
      </c>
      <c r="D43" s="12">
        <f ca="1">IFERROR(__xludf.DUMMYFUNCTION("""COMPUTED_VALUE"""),53236)</f>
        <v>53236</v>
      </c>
      <c r="E43" s="12">
        <f ca="1">IFERROR(__xludf.DUMMYFUNCTION("""COMPUTED_VALUE"""),35753)</f>
        <v>35753</v>
      </c>
      <c r="F43" s="12">
        <f ca="1">IFERROR(__xludf.DUMMYFUNCTION("""COMPUTED_VALUE"""),52628)</f>
        <v>52628</v>
      </c>
      <c r="G43" s="12">
        <f ca="1">IFERROR(__xludf.DUMMYFUNCTION("""COMPUTED_VALUE"""),15296)</f>
        <v>15296</v>
      </c>
      <c r="H43" s="12">
        <f ca="1">IFERROR(__xludf.DUMMYFUNCTION("""COMPUTED_VALUE"""),32462)</f>
        <v>32462</v>
      </c>
      <c r="I43" s="12">
        <f ca="1">IFERROR(__xludf.DUMMYFUNCTION("""COMPUTED_VALUE"""),16741)</f>
        <v>16741</v>
      </c>
      <c r="J43" s="12">
        <f ca="1">IFERROR(__xludf.DUMMYFUNCTION("""COMPUTED_VALUE"""),20118)</f>
        <v>20118</v>
      </c>
      <c r="K43" s="12">
        <f ca="1">IFERROR(__xludf.DUMMYFUNCTION("""COMPUTED_VALUE"""),22028)</f>
        <v>22028</v>
      </c>
      <c r="L43" s="12">
        <f ca="1">IFERROR(__xludf.DUMMYFUNCTION("""COMPUTED_VALUE"""),29205)</f>
        <v>29205</v>
      </c>
      <c r="M43" s="12">
        <f ca="1">IFERROR(__xludf.DUMMYFUNCTION("""COMPUTED_VALUE"""),52074)</f>
        <v>52074</v>
      </c>
      <c r="N43" s="12">
        <f ca="1">IFERROR(__xludf.DUMMYFUNCTION("""COMPUTED_VALUE"""),24213)</f>
        <v>24213</v>
      </c>
      <c r="O43" s="12">
        <f ca="1">IFERROR(__xludf.DUMMYFUNCTION("""COMPUTED_VALUE"""),51036)</f>
        <v>51036</v>
      </c>
      <c r="P43" s="12">
        <f ca="1">IFERROR(__xludf.DUMMYFUNCTION("""COMPUTED_VALUE"""),5404)</f>
        <v>5404</v>
      </c>
      <c r="Q43" s="12">
        <f ca="1">IFERROR(__xludf.DUMMYFUNCTION("""COMPUTED_VALUE"""),36892)</f>
        <v>36892</v>
      </c>
      <c r="R43" s="12">
        <f ca="1">IFERROR(__xludf.DUMMYFUNCTION("""COMPUTED_VALUE"""),8784)</f>
        <v>8784</v>
      </c>
      <c r="S43" s="12">
        <f ca="1">IFERROR(__xludf.DUMMYFUNCTION("""COMPUTED_VALUE"""),24260)</f>
        <v>24260</v>
      </c>
      <c r="T43" s="12">
        <f ca="1">IFERROR(__xludf.DUMMYFUNCTION("""COMPUTED_VALUE"""),47483)</f>
        <v>47483</v>
      </c>
      <c r="U43" s="12">
        <f ca="1">IFERROR(__xludf.DUMMYFUNCTION("""COMPUTED_VALUE"""),29861)</f>
        <v>29861</v>
      </c>
      <c r="V43" s="12">
        <f ca="1">IFERROR(__xludf.DUMMYFUNCTION("""COMPUTED_VALUE"""),20320)</f>
        <v>20320</v>
      </c>
      <c r="W43" s="12">
        <f ca="1">IFERROR(__xludf.DUMMYFUNCTION("""COMPUTED_VALUE"""),79792)</f>
        <v>79792</v>
      </c>
      <c r="X43" s="12">
        <f ca="1">IFERROR(__xludf.DUMMYFUNCTION("""COMPUTED_VALUE"""),112085)</f>
        <v>112085</v>
      </c>
      <c r="Y43" s="12">
        <f ca="1">IFERROR(__xludf.DUMMYFUNCTION("""COMPUTED_VALUE"""),28533)</f>
        <v>28533</v>
      </c>
      <c r="Z43" s="12">
        <f ca="1">IFERROR(__xludf.DUMMYFUNCTION("""COMPUTED_VALUE"""),34545)</f>
        <v>34545</v>
      </c>
      <c r="AA43" s="12">
        <f ca="1">IFERROR(__xludf.DUMMYFUNCTION("""COMPUTED_VALUE"""),26500)</f>
        <v>26500</v>
      </c>
      <c r="AB43" s="12">
        <f ca="1">IFERROR(__xludf.DUMMYFUNCTION("""COMPUTED_VALUE"""),15709)</f>
        <v>15709</v>
      </c>
      <c r="AC43" s="12">
        <f ca="1">IFERROR(__xludf.DUMMYFUNCTION("""COMPUTED_VALUE"""),22583)</f>
        <v>22583</v>
      </c>
      <c r="AD43" s="12">
        <f ca="1">IFERROR(__xludf.DUMMYFUNCTION("""COMPUTED_VALUE"""),38389)</f>
        <v>38389</v>
      </c>
      <c r="AE43" s="12">
        <f ca="1">IFERROR(__xludf.DUMMYFUNCTION("""COMPUTED_VALUE"""),23468)</f>
        <v>23468</v>
      </c>
      <c r="AF43" s="8">
        <f ca="1">IFERROR(__xludf.DUMMYFUNCTION("""COMPUTED_VALUE"""),77601)</f>
        <v>77601</v>
      </c>
      <c r="AG43" s="8">
        <f ca="1">IFERROR(__xludf.DUMMYFUNCTION("""COMPUTED_VALUE"""),17852)</f>
        <v>17852</v>
      </c>
      <c r="AH43" s="8">
        <f ca="1">IFERROR(__xludf.DUMMYFUNCTION("""COMPUTED_VALUE"""),60886)</f>
        <v>60886</v>
      </c>
      <c r="AI43" s="8">
        <f ca="1">IFERROR(__xludf.DUMMYFUNCTION("""COMPUTED_VALUE"""),38502)</f>
        <v>38502</v>
      </c>
      <c r="AJ43" s="8">
        <f ca="1">IFERROR(__xludf.DUMMYFUNCTION("""COMPUTED_VALUE"""),15920)</f>
        <v>15920</v>
      </c>
      <c r="AK43" s="8">
        <f ca="1">IFERROR(__xludf.DUMMYFUNCTION("""COMPUTED_VALUE"""),10994)</f>
        <v>10994</v>
      </c>
      <c r="AL43" s="8">
        <f ca="1">IFERROR(__xludf.DUMMYFUNCTION("""COMPUTED_VALUE"""),11032)</f>
        <v>11032</v>
      </c>
      <c r="AM43" s="8">
        <f ca="1">IFERROR(__xludf.DUMMYFUNCTION("""COMPUTED_VALUE"""),33991)</f>
        <v>33991</v>
      </c>
      <c r="AN43" s="8">
        <f ca="1">IFERROR(__xludf.DUMMYFUNCTION("""COMPUTED_VALUE"""),19508)</f>
        <v>19508</v>
      </c>
      <c r="AO43" s="8">
        <f ca="1">IFERROR(__xludf.DUMMYFUNCTION("""COMPUTED_VALUE"""),22695)</f>
        <v>22695</v>
      </c>
      <c r="AP43" s="8"/>
      <c r="AQ43" s="8"/>
      <c r="AR43" s="8"/>
      <c r="AS43" s="8"/>
      <c r="AT43" s="8"/>
      <c r="AU43" s="8"/>
      <c r="AV43" s="8"/>
      <c r="AW43" s="8"/>
      <c r="AX43" s="8"/>
      <c r="AY43" s="8"/>
    </row>
    <row r="44" spans="1:51" ht="13.2" x14ac:dyDescent="0.25">
      <c r="A44" s="11" t="str">
        <f ca="1">IFERROR(__xludf.DUMMYFUNCTION("""COMPUTED_VALUE"""),"                     left Orbital area, lateral part")</f>
        <v xml:space="preserve">                     left Orbital area, lateral part</v>
      </c>
      <c r="B44" s="12">
        <f ca="1">IFERROR(__xludf.DUMMYFUNCTION("""COMPUTED_VALUE"""),4562)</f>
        <v>4562</v>
      </c>
      <c r="C44" s="12">
        <f ca="1">IFERROR(__xludf.DUMMYFUNCTION("""COMPUTED_VALUE"""),15624)</f>
        <v>15624</v>
      </c>
      <c r="D44" s="12">
        <f ca="1">IFERROR(__xludf.DUMMYFUNCTION("""COMPUTED_VALUE"""),31671)</f>
        <v>31671</v>
      </c>
      <c r="E44" s="12">
        <f ca="1">IFERROR(__xludf.DUMMYFUNCTION("""COMPUTED_VALUE"""),15268)</f>
        <v>15268</v>
      </c>
      <c r="F44" s="12">
        <f ca="1">IFERROR(__xludf.DUMMYFUNCTION("""COMPUTED_VALUE"""),24566)</f>
        <v>24566</v>
      </c>
      <c r="G44" s="12">
        <f ca="1">IFERROR(__xludf.DUMMYFUNCTION("""COMPUTED_VALUE"""),6397)</f>
        <v>6397</v>
      </c>
      <c r="H44" s="12">
        <f ca="1">IFERROR(__xludf.DUMMYFUNCTION("""COMPUTED_VALUE"""),15134)</f>
        <v>15134</v>
      </c>
      <c r="I44" s="12">
        <f ca="1">IFERROR(__xludf.DUMMYFUNCTION("""COMPUTED_VALUE"""),4609)</f>
        <v>4609</v>
      </c>
      <c r="J44" s="12">
        <f ca="1">IFERROR(__xludf.DUMMYFUNCTION("""COMPUTED_VALUE"""),7215)</f>
        <v>7215</v>
      </c>
      <c r="K44" s="12">
        <f ca="1">IFERROR(__xludf.DUMMYFUNCTION("""COMPUTED_VALUE"""),6521)</f>
        <v>6521</v>
      </c>
      <c r="L44" s="12">
        <f ca="1">IFERROR(__xludf.DUMMYFUNCTION("""COMPUTED_VALUE"""),14580)</f>
        <v>14580</v>
      </c>
      <c r="M44" s="12">
        <f ca="1">IFERROR(__xludf.DUMMYFUNCTION("""COMPUTED_VALUE"""),25854)</f>
        <v>25854</v>
      </c>
      <c r="N44" s="12">
        <f ca="1">IFERROR(__xludf.DUMMYFUNCTION("""COMPUTED_VALUE"""),12147)</f>
        <v>12147</v>
      </c>
      <c r="O44" s="12">
        <f ca="1">IFERROR(__xludf.DUMMYFUNCTION("""COMPUTED_VALUE"""),22658)</f>
        <v>22658</v>
      </c>
      <c r="P44" s="12">
        <f ca="1">IFERROR(__xludf.DUMMYFUNCTION("""COMPUTED_VALUE"""),1228)</f>
        <v>1228</v>
      </c>
      <c r="Q44" s="12">
        <f ca="1">IFERROR(__xludf.DUMMYFUNCTION("""COMPUTED_VALUE"""),11702)</f>
        <v>11702</v>
      </c>
      <c r="R44" s="12">
        <f ca="1">IFERROR(__xludf.DUMMYFUNCTION("""COMPUTED_VALUE"""),2252)</f>
        <v>2252</v>
      </c>
      <c r="S44" s="12">
        <f ca="1">IFERROR(__xludf.DUMMYFUNCTION("""COMPUTED_VALUE"""),8060)</f>
        <v>8060</v>
      </c>
      <c r="T44" s="12">
        <f ca="1">IFERROR(__xludf.DUMMYFUNCTION("""COMPUTED_VALUE"""),21977)</f>
        <v>21977</v>
      </c>
      <c r="U44" s="12">
        <f ca="1">IFERROR(__xludf.DUMMYFUNCTION("""COMPUTED_VALUE"""),14729)</f>
        <v>14729</v>
      </c>
      <c r="V44" s="12">
        <f ca="1">IFERROR(__xludf.DUMMYFUNCTION("""COMPUTED_VALUE"""),6283)</f>
        <v>6283</v>
      </c>
      <c r="W44" s="12">
        <f ca="1">IFERROR(__xludf.DUMMYFUNCTION("""COMPUTED_VALUE"""),46672)</f>
        <v>46672</v>
      </c>
      <c r="X44" s="12">
        <f ca="1">IFERROR(__xludf.DUMMYFUNCTION("""COMPUTED_VALUE"""),64703)</f>
        <v>64703</v>
      </c>
      <c r="Y44" s="12">
        <f ca="1">IFERROR(__xludf.DUMMYFUNCTION("""COMPUTED_VALUE"""),16769)</f>
        <v>16769</v>
      </c>
      <c r="Z44" s="12">
        <f ca="1">IFERROR(__xludf.DUMMYFUNCTION("""COMPUTED_VALUE"""),17768)</f>
        <v>17768</v>
      </c>
      <c r="AA44" s="12">
        <f ca="1">IFERROR(__xludf.DUMMYFUNCTION("""COMPUTED_VALUE"""),11358)</f>
        <v>11358</v>
      </c>
      <c r="AB44" s="12">
        <f ca="1">IFERROR(__xludf.DUMMYFUNCTION("""COMPUTED_VALUE"""),8328)</f>
        <v>8328</v>
      </c>
      <c r="AC44" s="12">
        <f ca="1">IFERROR(__xludf.DUMMYFUNCTION("""COMPUTED_VALUE"""),8793)</f>
        <v>8793</v>
      </c>
      <c r="AD44" s="12">
        <f ca="1">IFERROR(__xludf.DUMMYFUNCTION("""COMPUTED_VALUE"""),22035)</f>
        <v>22035</v>
      </c>
      <c r="AE44" s="12">
        <f ca="1">IFERROR(__xludf.DUMMYFUNCTION("""COMPUTED_VALUE"""),13130)</f>
        <v>13130</v>
      </c>
      <c r="AF44" s="8">
        <f ca="1">IFERROR(__xludf.DUMMYFUNCTION("""COMPUTED_VALUE"""),44057)</f>
        <v>44057</v>
      </c>
      <c r="AG44" s="8">
        <f ca="1">IFERROR(__xludf.DUMMYFUNCTION("""COMPUTED_VALUE"""),8633)</f>
        <v>8633</v>
      </c>
      <c r="AH44" s="8">
        <f ca="1">IFERROR(__xludf.DUMMYFUNCTION("""COMPUTED_VALUE"""),36778)</f>
        <v>36778</v>
      </c>
      <c r="AI44" s="8">
        <f ca="1">IFERROR(__xludf.DUMMYFUNCTION("""COMPUTED_VALUE"""),22454)</f>
        <v>22454</v>
      </c>
      <c r="AJ44" s="8">
        <f ca="1">IFERROR(__xludf.DUMMYFUNCTION("""COMPUTED_VALUE"""),5126)</f>
        <v>5126</v>
      </c>
      <c r="AK44" s="8">
        <f ca="1">IFERROR(__xludf.DUMMYFUNCTION("""COMPUTED_VALUE"""),6066)</f>
        <v>6066</v>
      </c>
      <c r="AL44" s="8">
        <f ca="1">IFERROR(__xludf.DUMMYFUNCTION("""COMPUTED_VALUE"""),7652)</f>
        <v>7652</v>
      </c>
      <c r="AM44" s="8">
        <f ca="1">IFERROR(__xludf.DUMMYFUNCTION("""COMPUTED_VALUE"""),19782)</f>
        <v>19782</v>
      </c>
      <c r="AN44" s="8">
        <f ca="1">IFERROR(__xludf.DUMMYFUNCTION("""COMPUTED_VALUE"""),10646)</f>
        <v>10646</v>
      </c>
      <c r="AO44" s="8">
        <f ca="1">IFERROR(__xludf.DUMMYFUNCTION("""COMPUTED_VALUE"""),9388)</f>
        <v>9388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</row>
    <row r="45" spans="1:51" ht="13.2" x14ac:dyDescent="0.25">
      <c r="A45" s="11" t="str">
        <f ca="1">IFERROR(__xludf.DUMMYFUNCTION("""COMPUTED_VALUE"""),"                     left Orbital area, medial part")</f>
        <v xml:space="preserve">                     left Orbital area, medial part</v>
      </c>
      <c r="B45" s="12">
        <f ca="1">IFERROR(__xludf.DUMMYFUNCTION("""COMPUTED_VALUE"""),3545)</f>
        <v>3545</v>
      </c>
      <c r="C45" s="12">
        <f ca="1">IFERROR(__xludf.DUMMYFUNCTION("""COMPUTED_VALUE"""),11670)</f>
        <v>11670</v>
      </c>
      <c r="D45" s="12">
        <f ca="1">IFERROR(__xludf.DUMMYFUNCTION("""COMPUTED_VALUE"""),5749)</f>
        <v>5749</v>
      </c>
      <c r="E45" s="12">
        <f ca="1">IFERROR(__xludf.DUMMYFUNCTION("""COMPUTED_VALUE"""),8218)</f>
        <v>8218</v>
      </c>
      <c r="F45" s="12">
        <f ca="1">IFERROR(__xludf.DUMMYFUNCTION("""COMPUTED_VALUE"""),9528)</f>
        <v>9528</v>
      </c>
      <c r="G45" s="12">
        <f ca="1">IFERROR(__xludf.DUMMYFUNCTION("""COMPUTED_VALUE"""),3326)</f>
        <v>3326</v>
      </c>
      <c r="H45" s="12">
        <f ca="1">IFERROR(__xludf.DUMMYFUNCTION("""COMPUTED_VALUE"""),6104)</f>
        <v>6104</v>
      </c>
      <c r="I45" s="12">
        <f ca="1">IFERROR(__xludf.DUMMYFUNCTION("""COMPUTED_VALUE"""),3877)</f>
        <v>3877</v>
      </c>
      <c r="J45" s="12">
        <f ca="1">IFERROR(__xludf.DUMMYFUNCTION("""COMPUTED_VALUE"""),3624)</f>
        <v>3624</v>
      </c>
      <c r="K45" s="12">
        <f ca="1">IFERROR(__xludf.DUMMYFUNCTION("""COMPUTED_VALUE"""),6542)</f>
        <v>6542</v>
      </c>
      <c r="L45" s="12">
        <f ca="1">IFERROR(__xludf.DUMMYFUNCTION("""COMPUTED_VALUE"""),5616)</f>
        <v>5616</v>
      </c>
      <c r="M45" s="12">
        <f ca="1">IFERROR(__xludf.DUMMYFUNCTION("""COMPUTED_VALUE"""),8082)</f>
        <v>8082</v>
      </c>
      <c r="N45" s="12">
        <f ca="1">IFERROR(__xludf.DUMMYFUNCTION("""COMPUTED_VALUE"""),5268)</f>
        <v>5268</v>
      </c>
      <c r="O45" s="12">
        <f ca="1">IFERROR(__xludf.DUMMYFUNCTION("""COMPUTED_VALUE"""),8358)</f>
        <v>8358</v>
      </c>
      <c r="P45" s="12">
        <f ca="1">IFERROR(__xludf.DUMMYFUNCTION("""COMPUTED_VALUE"""),1796)</f>
        <v>1796</v>
      </c>
      <c r="Q45" s="12">
        <f ca="1">IFERROR(__xludf.DUMMYFUNCTION("""COMPUTED_VALUE"""),8842)</f>
        <v>8842</v>
      </c>
      <c r="R45" s="12">
        <f ca="1">IFERROR(__xludf.DUMMYFUNCTION("""COMPUTED_VALUE"""),3036)</f>
        <v>3036</v>
      </c>
      <c r="S45" s="12">
        <f ca="1">IFERROR(__xludf.DUMMYFUNCTION("""COMPUTED_VALUE"""),3723)</f>
        <v>3723</v>
      </c>
      <c r="T45" s="12">
        <f ca="1">IFERROR(__xludf.DUMMYFUNCTION("""COMPUTED_VALUE"""),11656)</f>
        <v>11656</v>
      </c>
      <c r="U45" s="12">
        <f ca="1">IFERROR(__xludf.DUMMYFUNCTION("""COMPUTED_VALUE"""),5866)</f>
        <v>5866</v>
      </c>
      <c r="V45" s="12">
        <f ca="1">IFERROR(__xludf.DUMMYFUNCTION("""COMPUTED_VALUE"""),7327)</f>
        <v>7327</v>
      </c>
      <c r="W45" s="12">
        <f ca="1">IFERROR(__xludf.DUMMYFUNCTION("""COMPUTED_VALUE"""),13527)</f>
        <v>13527</v>
      </c>
      <c r="X45" s="12">
        <f ca="1">IFERROR(__xludf.DUMMYFUNCTION("""COMPUTED_VALUE"""),16903)</f>
        <v>16903</v>
      </c>
      <c r="Y45" s="12">
        <f ca="1">IFERROR(__xludf.DUMMYFUNCTION("""COMPUTED_VALUE"""),4404)</f>
        <v>4404</v>
      </c>
      <c r="Z45" s="12">
        <f ca="1">IFERROR(__xludf.DUMMYFUNCTION("""COMPUTED_VALUE"""),5366)</f>
        <v>5366</v>
      </c>
      <c r="AA45" s="12">
        <f ca="1">IFERROR(__xludf.DUMMYFUNCTION("""COMPUTED_VALUE"""),6779)</f>
        <v>6779</v>
      </c>
      <c r="AB45" s="12">
        <f ca="1">IFERROR(__xludf.DUMMYFUNCTION("""COMPUTED_VALUE"""),2939)</f>
        <v>2939</v>
      </c>
      <c r="AC45" s="12">
        <f ca="1">IFERROR(__xludf.DUMMYFUNCTION("""COMPUTED_VALUE"""),7256)</f>
        <v>7256</v>
      </c>
      <c r="AD45" s="12">
        <f ca="1">IFERROR(__xludf.DUMMYFUNCTION("""COMPUTED_VALUE"""),6648)</f>
        <v>6648</v>
      </c>
      <c r="AE45" s="12">
        <f ca="1">IFERROR(__xludf.DUMMYFUNCTION("""COMPUTED_VALUE"""),4047)</f>
        <v>4047</v>
      </c>
      <c r="AF45" s="8">
        <f ca="1">IFERROR(__xludf.DUMMYFUNCTION("""COMPUTED_VALUE"""),13614)</f>
        <v>13614</v>
      </c>
      <c r="AG45" s="8">
        <f ca="1">IFERROR(__xludf.DUMMYFUNCTION("""COMPUTED_VALUE"""),4047)</f>
        <v>4047</v>
      </c>
      <c r="AH45" s="8">
        <f ca="1">IFERROR(__xludf.DUMMYFUNCTION("""COMPUTED_VALUE"""),9247)</f>
        <v>9247</v>
      </c>
      <c r="AI45" s="8">
        <f ca="1">IFERROR(__xludf.DUMMYFUNCTION("""COMPUTED_VALUE"""),2790)</f>
        <v>2790</v>
      </c>
      <c r="AJ45" s="8">
        <f ca="1">IFERROR(__xludf.DUMMYFUNCTION("""COMPUTED_VALUE"""),2587)</f>
        <v>2587</v>
      </c>
      <c r="AK45" s="8">
        <f ca="1">IFERROR(__xludf.DUMMYFUNCTION("""COMPUTED_VALUE"""),1447)</f>
        <v>1447</v>
      </c>
      <c r="AL45" s="8">
        <f ca="1">IFERROR(__xludf.DUMMYFUNCTION("""COMPUTED_VALUE"""),1658)</f>
        <v>1658</v>
      </c>
      <c r="AM45" s="8">
        <f ca="1">IFERROR(__xludf.DUMMYFUNCTION("""COMPUTED_VALUE"""),4205)</f>
        <v>4205</v>
      </c>
      <c r="AN45" s="8">
        <f ca="1">IFERROR(__xludf.DUMMYFUNCTION("""COMPUTED_VALUE"""),2033)</f>
        <v>2033</v>
      </c>
      <c r="AO45" s="8">
        <f ca="1">IFERROR(__xludf.DUMMYFUNCTION("""COMPUTED_VALUE"""),5131)</f>
        <v>5131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</row>
    <row r="46" spans="1:51" ht="13.2" x14ac:dyDescent="0.25">
      <c r="A46" s="11" t="str">
        <f ca="1">IFERROR(__xludf.DUMMYFUNCTION("""COMPUTED_VALUE"""),"                     left Orbital area, ventrolateral part")</f>
        <v xml:space="preserve">                     left Orbital area, ventrolateral part</v>
      </c>
      <c r="B46" s="12">
        <f ca="1">IFERROR(__xludf.DUMMYFUNCTION("""COMPUTED_VALUE"""),4683)</f>
        <v>4683</v>
      </c>
      <c r="C46" s="12">
        <f ca="1">IFERROR(__xludf.DUMMYFUNCTION("""COMPUTED_VALUE"""),24219)</f>
        <v>24219</v>
      </c>
      <c r="D46" s="12">
        <f ca="1">IFERROR(__xludf.DUMMYFUNCTION("""COMPUTED_VALUE"""),15816)</f>
        <v>15816</v>
      </c>
      <c r="E46" s="12">
        <f ca="1">IFERROR(__xludf.DUMMYFUNCTION("""COMPUTED_VALUE"""),12267)</f>
        <v>12267</v>
      </c>
      <c r="F46" s="12">
        <f ca="1">IFERROR(__xludf.DUMMYFUNCTION("""COMPUTED_VALUE"""),18534)</f>
        <v>18534</v>
      </c>
      <c r="G46" s="12">
        <f ca="1">IFERROR(__xludf.DUMMYFUNCTION("""COMPUTED_VALUE"""),5573)</f>
        <v>5573</v>
      </c>
      <c r="H46" s="12">
        <f ca="1">IFERROR(__xludf.DUMMYFUNCTION("""COMPUTED_VALUE"""),11224)</f>
        <v>11224</v>
      </c>
      <c r="I46" s="12">
        <f ca="1">IFERROR(__xludf.DUMMYFUNCTION("""COMPUTED_VALUE"""),8255)</f>
        <v>8255</v>
      </c>
      <c r="J46" s="12">
        <f ca="1">IFERROR(__xludf.DUMMYFUNCTION("""COMPUTED_VALUE"""),9279)</f>
        <v>9279</v>
      </c>
      <c r="K46" s="12">
        <f ca="1">IFERROR(__xludf.DUMMYFUNCTION("""COMPUTED_VALUE"""),8965)</f>
        <v>8965</v>
      </c>
      <c r="L46" s="12">
        <f ca="1">IFERROR(__xludf.DUMMYFUNCTION("""COMPUTED_VALUE"""),9009)</f>
        <v>9009</v>
      </c>
      <c r="M46" s="12">
        <f ca="1">IFERROR(__xludf.DUMMYFUNCTION("""COMPUTED_VALUE"""),18138)</f>
        <v>18138</v>
      </c>
      <c r="N46" s="12">
        <f ca="1">IFERROR(__xludf.DUMMYFUNCTION("""COMPUTED_VALUE"""),6798)</f>
        <v>6798</v>
      </c>
      <c r="O46" s="12">
        <f ca="1">IFERROR(__xludf.DUMMYFUNCTION("""COMPUTED_VALUE"""),20020)</f>
        <v>20020</v>
      </c>
      <c r="P46" s="12">
        <f ca="1">IFERROR(__xludf.DUMMYFUNCTION("""COMPUTED_VALUE"""),2380)</f>
        <v>2380</v>
      </c>
      <c r="Q46" s="12">
        <f ca="1">IFERROR(__xludf.DUMMYFUNCTION("""COMPUTED_VALUE"""),16348)</f>
        <v>16348</v>
      </c>
      <c r="R46" s="12">
        <f ca="1">IFERROR(__xludf.DUMMYFUNCTION("""COMPUTED_VALUE"""),3496)</f>
        <v>3496</v>
      </c>
      <c r="S46" s="12">
        <f ca="1">IFERROR(__xludf.DUMMYFUNCTION("""COMPUTED_VALUE"""),12477)</f>
        <v>12477</v>
      </c>
      <c r="T46" s="12">
        <f ca="1">IFERROR(__xludf.DUMMYFUNCTION("""COMPUTED_VALUE"""),13850)</f>
        <v>13850</v>
      </c>
      <c r="U46" s="12">
        <f ca="1">IFERROR(__xludf.DUMMYFUNCTION("""COMPUTED_VALUE"""),9266)</f>
        <v>9266</v>
      </c>
      <c r="V46" s="12">
        <f ca="1">IFERROR(__xludf.DUMMYFUNCTION("""COMPUTED_VALUE"""),6710)</f>
        <v>6710</v>
      </c>
      <c r="W46" s="12">
        <f ca="1">IFERROR(__xludf.DUMMYFUNCTION("""COMPUTED_VALUE"""),19593)</f>
        <v>19593</v>
      </c>
      <c r="X46" s="12">
        <f ca="1">IFERROR(__xludf.DUMMYFUNCTION("""COMPUTED_VALUE"""),30479)</f>
        <v>30479</v>
      </c>
      <c r="Y46" s="12">
        <f ca="1">IFERROR(__xludf.DUMMYFUNCTION("""COMPUTED_VALUE"""),7360)</f>
        <v>7360</v>
      </c>
      <c r="Z46" s="12">
        <f ca="1">IFERROR(__xludf.DUMMYFUNCTION("""COMPUTED_VALUE"""),11411)</f>
        <v>11411</v>
      </c>
      <c r="AA46" s="12">
        <f ca="1">IFERROR(__xludf.DUMMYFUNCTION("""COMPUTED_VALUE"""),8363)</f>
        <v>8363</v>
      </c>
      <c r="AB46" s="12">
        <f ca="1">IFERROR(__xludf.DUMMYFUNCTION("""COMPUTED_VALUE"""),4442)</f>
        <v>4442</v>
      </c>
      <c r="AC46" s="12">
        <f ca="1">IFERROR(__xludf.DUMMYFUNCTION("""COMPUTED_VALUE"""),6534)</f>
        <v>6534</v>
      </c>
      <c r="AD46" s="12">
        <f ca="1">IFERROR(__xludf.DUMMYFUNCTION("""COMPUTED_VALUE"""),9706)</f>
        <v>9706</v>
      </c>
      <c r="AE46" s="12">
        <f ca="1">IFERROR(__xludf.DUMMYFUNCTION("""COMPUTED_VALUE"""),6291)</f>
        <v>6291</v>
      </c>
      <c r="AF46" s="8">
        <f ca="1">IFERROR(__xludf.DUMMYFUNCTION("""COMPUTED_VALUE"""),19930)</f>
        <v>19930</v>
      </c>
      <c r="AG46" s="8">
        <f ca="1">IFERROR(__xludf.DUMMYFUNCTION("""COMPUTED_VALUE"""),5172)</f>
        <v>5172</v>
      </c>
      <c r="AH46" s="8">
        <f ca="1">IFERROR(__xludf.DUMMYFUNCTION("""COMPUTED_VALUE"""),14861)</f>
        <v>14861</v>
      </c>
      <c r="AI46" s="8">
        <f ca="1">IFERROR(__xludf.DUMMYFUNCTION("""COMPUTED_VALUE"""),13258)</f>
        <v>13258</v>
      </c>
      <c r="AJ46" s="8">
        <f ca="1">IFERROR(__xludf.DUMMYFUNCTION("""COMPUTED_VALUE"""),8207)</f>
        <v>8207</v>
      </c>
      <c r="AK46" s="8">
        <f ca="1">IFERROR(__xludf.DUMMYFUNCTION("""COMPUTED_VALUE"""),3481)</f>
        <v>3481</v>
      </c>
      <c r="AL46" s="8">
        <f ca="1">IFERROR(__xludf.DUMMYFUNCTION("""COMPUTED_VALUE"""),1722)</f>
        <v>1722</v>
      </c>
      <c r="AM46" s="8">
        <f ca="1">IFERROR(__xludf.DUMMYFUNCTION("""COMPUTED_VALUE"""),10004)</f>
        <v>10004</v>
      </c>
      <c r="AN46" s="8">
        <f ca="1">IFERROR(__xludf.DUMMYFUNCTION("""COMPUTED_VALUE"""),6829)</f>
        <v>6829</v>
      </c>
      <c r="AO46" s="8">
        <f ca="1">IFERROR(__xludf.DUMMYFUNCTION("""COMPUTED_VALUE"""),8176)</f>
        <v>8176</v>
      </c>
      <c r="AP46" s="8"/>
      <c r="AQ46" s="8"/>
      <c r="AR46" s="8"/>
      <c r="AS46" s="8"/>
      <c r="AT46" s="8"/>
      <c r="AU46" s="8"/>
      <c r="AV46" s="8"/>
      <c r="AW46" s="8"/>
      <c r="AX46" s="8"/>
      <c r="AY46" s="8"/>
    </row>
    <row r="47" spans="1:51" ht="13.2" x14ac:dyDescent="0.25">
      <c r="A47" s="11" t="str">
        <f ca="1">IFERROR(__xludf.DUMMYFUNCTION("""COMPUTED_VALUE"""),"                  left Agranular insular area")</f>
        <v xml:space="preserve">                  left Agranular insular area</v>
      </c>
      <c r="B47" s="12">
        <f ca="1">IFERROR(__xludf.DUMMYFUNCTION("""COMPUTED_VALUE"""),7830)</f>
        <v>7830</v>
      </c>
      <c r="C47" s="12">
        <f ca="1">IFERROR(__xludf.DUMMYFUNCTION("""COMPUTED_VALUE"""),12174)</f>
        <v>12174</v>
      </c>
      <c r="D47" s="12">
        <f ca="1">IFERROR(__xludf.DUMMYFUNCTION("""COMPUTED_VALUE"""),31363)</f>
        <v>31363</v>
      </c>
      <c r="E47" s="12">
        <f ca="1">IFERROR(__xludf.DUMMYFUNCTION("""COMPUTED_VALUE"""),21462)</f>
        <v>21462</v>
      </c>
      <c r="F47" s="12">
        <f ca="1">IFERROR(__xludf.DUMMYFUNCTION("""COMPUTED_VALUE"""),22090)</f>
        <v>22090</v>
      </c>
      <c r="G47" s="12">
        <f ca="1">IFERROR(__xludf.DUMMYFUNCTION("""COMPUTED_VALUE"""),9494)</f>
        <v>9494</v>
      </c>
      <c r="H47" s="12">
        <f ca="1">IFERROR(__xludf.DUMMYFUNCTION("""COMPUTED_VALUE"""),17314)</f>
        <v>17314</v>
      </c>
      <c r="I47" s="12">
        <f ca="1">IFERROR(__xludf.DUMMYFUNCTION("""COMPUTED_VALUE"""),3774)</f>
        <v>3774</v>
      </c>
      <c r="J47" s="12">
        <f ca="1">IFERROR(__xludf.DUMMYFUNCTION("""COMPUTED_VALUE"""),5803)</f>
        <v>5803</v>
      </c>
      <c r="K47" s="12">
        <f ca="1">IFERROR(__xludf.DUMMYFUNCTION("""COMPUTED_VALUE"""),9130)</f>
        <v>9130</v>
      </c>
      <c r="L47" s="12">
        <f ca="1">IFERROR(__xludf.DUMMYFUNCTION("""COMPUTED_VALUE"""),22663)</f>
        <v>22663</v>
      </c>
      <c r="M47" s="12">
        <f ca="1">IFERROR(__xludf.DUMMYFUNCTION("""COMPUTED_VALUE"""),44656)</f>
        <v>44656</v>
      </c>
      <c r="N47" s="12">
        <f ca="1">IFERROR(__xludf.DUMMYFUNCTION("""COMPUTED_VALUE"""),23830)</f>
        <v>23830</v>
      </c>
      <c r="O47" s="12">
        <f ca="1">IFERROR(__xludf.DUMMYFUNCTION("""COMPUTED_VALUE"""),20988)</f>
        <v>20988</v>
      </c>
      <c r="P47" s="12">
        <f ca="1">IFERROR(__xludf.DUMMYFUNCTION("""COMPUTED_VALUE"""),7250)</f>
        <v>7250</v>
      </c>
      <c r="Q47" s="12">
        <f ca="1">IFERROR(__xludf.DUMMYFUNCTION("""COMPUTED_VALUE"""),8290)</f>
        <v>8290</v>
      </c>
      <c r="R47" s="12">
        <f ca="1">IFERROR(__xludf.DUMMYFUNCTION("""COMPUTED_VALUE"""),12431)</f>
        <v>12431</v>
      </c>
      <c r="S47" s="12">
        <f ca="1">IFERROR(__xludf.DUMMYFUNCTION("""COMPUTED_VALUE"""),8835)</f>
        <v>8835</v>
      </c>
      <c r="T47" s="12">
        <f ca="1">IFERROR(__xludf.DUMMYFUNCTION("""COMPUTED_VALUE"""),35518)</f>
        <v>35518</v>
      </c>
      <c r="U47" s="12">
        <f ca="1">IFERROR(__xludf.DUMMYFUNCTION("""COMPUTED_VALUE"""),26978)</f>
        <v>26978</v>
      </c>
      <c r="V47" s="12">
        <f ca="1">IFERROR(__xludf.DUMMYFUNCTION("""COMPUTED_VALUE"""),20735)</f>
        <v>20735</v>
      </c>
      <c r="W47" s="12">
        <f ca="1">IFERROR(__xludf.DUMMYFUNCTION("""COMPUTED_VALUE"""),101293)</f>
        <v>101293</v>
      </c>
      <c r="X47" s="12">
        <f ca="1">IFERROR(__xludf.DUMMYFUNCTION("""COMPUTED_VALUE"""),134928)</f>
        <v>134928</v>
      </c>
      <c r="Y47" s="12">
        <f ca="1">IFERROR(__xludf.DUMMYFUNCTION("""COMPUTED_VALUE"""),44525)</f>
        <v>44525</v>
      </c>
      <c r="Z47" s="12">
        <f ca="1">IFERROR(__xludf.DUMMYFUNCTION("""COMPUTED_VALUE"""),36497)</f>
        <v>36497</v>
      </c>
      <c r="AA47" s="12">
        <f ca="1">IFERROR(__xludf.DUMMYFUNCTION("""COMPUTED_VALUE"""),34576)</f>
        <v>34576</v>
      </c>
      <c r="AB47" s="12">
        <f ca="1">IFERROR(__xludf.DUMMYFUNCTION("""COMPUTED_VALUE"""),30966)</f>
        <v>30966</v>
      </c>
      <c r="AC47" s="12">
        <f ca="1">IFERROR(__xludf.DUMMYFUNCTION("""COMPUTED_VALUE"""),23982)</f>
        <v>23982</v>
      </c>
      <c r="AD47" s="12">
        <f ca="1">IFERROR(__xludf.DUMMYFUNCTION("""COMPUTED_VALUE"""),54865)</f>
        <v>54865</v>
      </c>
      <c r="AE47" s="12">
        <f ca="1">IFERROR(__xludf.DUMMYFUNCTION("""COMPUTED_VALUE"""),45188)</f>
        <v>45188</v>
      </c>
      <c r="AF47" s="8">
        <f ca="1">IFERROR(__xludf.DUMMYFUNCTION("""COMPUTED_VALUE"""),75610)</f>
        <v>75610</v>
      </c>
      <c r="AG47" s="8">
        <f ca="1">IFERROR(__xludf.DUMMYFUNCTION("""COMPUTED_VALUE"""),24283)</f>
        <v>24283</v>
      </c>
      <c r="AH47" s="8">
        <f ca="1">IFERROR(__xludf.DUMMYFUNCTION("""COMPUTED_VALUE"""),55948)</f>
        <v>55948</v>
      </c>
      <c r="AI47" s="8">
        <f ca="1">IFERROR(__xludf.DUMMYFUNCTION("""COMPUTED_VALUE"""),44277)</f>
        <v>44277</v>
      </c>
      <c r="AJ47" s="8">
        <f ca="1">IFERROR(__xludf.DUMMYFUNCTION("""COMPUTED_VALUE"""),10997)</f>
        <v>10997</v>
      </c>
      <c r="AK47" s="8">
        <f ca="1">IFERROR(__xludf.DUMMYFUNCTION("""COMPUTED_VALUE"""),15956)</f>
        <v>15956</v>
      </c>
      <c r="AL47" s="8">
        <f ca="1">IFERROR(__xludf.DUMMYFUNCTION("""COMPUTED_VALUE"""),28302)</f>
        <v>28302</v>
      </c>
      <c r="AM47" s="8">
        <f ca="1">IFERROR(__xludf.DUMMYFUNCTION("""COMPUTED_VALUE"""),47182)</f>
        <v>47182</v>
      </c>
      <c r="AN47" s="8">
        <f ca="1">IFERROR(__xludf.DUMMYFUNCTION("""COMPUTED_VALUE"""),28706)</f>
        <v>28706</v>
      </c>
      <c r="AO47" s="8">
        <f ca="1">IFERROR(__xludf.DUMMYFUNCTION("""COMPUTED_VALUE"""),22243)</f>
        <v>22243</v>
      </c>
      <c r="AP47" s="8"/>
      <c r="AQ47" s="8"/>
      <c r="AR47" s="8"/>
      <c r="AS47" s="8"/>
      <c r="AT47" s="8"/>
      <c r="AU47" s="8"/>
      <c r="AV47" s="8"/>
      <c r="AW47" s="8"/>
      <c r="AX47" s="8"/>
      <c r="AY47" s="8"/>
    </row>
    <row r="48" spans="1:51" ht="13.2" x14ac:dyDescent="0.25">
      <c r="A48" s="11" t="str">
        <f ca="1">IFERROR(__xludf.DUMMYFUNCTION("""COMPUTED_VALUE"""),"                     left Agranular insular area, dorsal part")</f>
        <v xml:space="preserve">                     left Agranular insular area, dorsal part</v>
      </c>
      <c r="B48" s="12">
        <f ca="1">IFERROR(__xludf.DUMMYFUNCTION("""COMPUTED_VALUE"""),2351)</f>
        <v>2351</v>
      </c>
      <c r="C48" s="12">
        <f ca="1">IFERROR(__xludf.DUMMYFUNCTION("""COMPUTED_VALUE"""),4668)</f>
        <v>4668</v>
      </c>
      <c r="D48" s="12">
        <f ca="1">IFERROR(__xludf.DUMMYFUNCTION("""COMPUTED_VALUE"""),19170)</f>
        <v>19170</v>
      </c>
      <c r="E48" s="12">
        <f ca="1">IFERROR(__xludf.DUMMYFUNCTION("""COMPUTED_VALUE"""),6584)</f>
        <v>6584</v>
      </c>
      <c r="F48" s="12">
        <f ca="1">IFERROR(__xludf.DUMMYFUNCTION("""COMPUTED_VALUE"""),10877)</f>
        <v>10877</v>
      </c>
      <c r="G48" s="12">
        <f ca="1">IFERROR(__xludf.DUMMYFUNCTION("""COMPUTED_VALUE"""),5246)</f>
        <v>5246</v>
      </c>
      <c r="H48" s="12">
        <f ca="1">IFERROR(__xludf.DUMMYFUNCTION("""COMPUTED_VALUE"""),7368)</f>
        <v>7368</v>
      </c>
      <c r="I48" s="12">
        <f ca="1">IFERROR(__xludf.DUMMYFUNCTION("""COMPUTED_VALUE"""),1094)</f>
        <v>1094</v>
      </c>
      <c r="J48" s="12">
        <f ca="1">IFERROR(__xludf.DUMMYFUNCTION("""COMPUTED_VALUE"""),1668)</f>
        <v>1668</v>
      </c>
      <c r="K48" s="12">
        <f ca="1">IFERROR(__xludf.DUMMYFUNCTION("""COMPUTED_VALUE"""),3130)</f>
        <v>3130</v>
      </c>
      <c r="L48" s="12">
        <f ca="1">IFERROR(__xludf.DUMMYFUNCTION("""COMPUTED_VALUE"""),12438)</f>
        <v>12438</v>
      </c>
      <c r="M48" s="12">
        <f ca="1">IFERROR(__xludf.DUMMYFUNCTION("""COMPUTED_VALUE"""),21951)</f>
        <v>21951</v>
      </c>
      <c r="N48" s="12">
        <f ca="1">IFERROR(__xludf.DUMMYFUNCTION("""COMPUTED_VALUE"""),14247)</f>
        <v>14247</v>
      </c>
      <c r="O48" s="12">
        <f ca="1">IFERROR(__xludf.DUMMYFUNCTION("""COMPUTED_VALUE"""),6439)</f>
        <v>6439</v>
      </c>
      <c r="P48" s="12">
        <f ca="1">IFERROR(__xludf.DUMMYFUNCTION("""COMPUTED_VALUE"""),2082)</f>
        <v>2082</v>
      </c>
      <c r="Q48" s="12">
        <f ca="1">IFERROR(__xludf.DUMMYFUNCTION("""COMPUTED_VALUE"""),2699)</f>
        <v>2699</v>
      </c>
      <c r="R48" s="12">
        <f ca="1">IFERROR(__xludf.DUMMYFUNCTION("""COMPUTED_VALUE"""),4863)</f>
        <v>4863</v>
      </c>
      <c r="S48" s="12">
        <f ca="1">IFERROR(__xludf.DUMMYFUNCTION("""COMPUTED_VALUE"""),1954)</f>
        <v>1954</v>
      </c>
      <c r="T48" s="12">
        <f ca="1">IFERROR(__xludf.DUMMYFUNCTION("""COMPUTED_VALUE"""),18691)</f>
        <v>18691</v>
      </c>
      <c r="U48" s="12">
        <f ca="1">IFERROR(__xludf.DUMMYFUNCTION("""COMPUTED_VALUE"""),14974)</f>
        <v>14974</v>
      </c>
      <c r="V48" s="12">
        <f ca="1">IFERROR(__xludf.DUMMYFUNCTION("""COMPUTED_VALUE"""),7581)</f>
        <v>7581</v>
      </c>
      <c r="W48" s="12">
        <f ca="1">IFERROR(__xludf.DUMMYFUNCTION("""COMPUTED_VALUE"""),62001)</f>
        <v>62001</v>
      </c>
      <c r="X48" s="12">
        <f ca="1">IFERROR(__xludf.DUMMYFUNCTION("""COMPUTED_VALUE"""),80278)</f>
        <v>80278</v>
      </c>
      <c r="Y48" s="12">
        <f ca="1">IFERROR(__xludf.DUMMYFUNCTION("""COMPUTED_VALUE"""),24210)</f>
        <v>24210</v>
      </c>
      <c r="Z48" s="12">
        <f ca="1">IFERROR(__xludf.DUMMYFUNCTION("""COMPUTED_VALUE"""),16619)</f>
        <v>16619</v>
      </c>
      <c r="AA48" s="12">
        <f ca="1">IFERROR(__xludf.DUMMYFUNCTION("""COMPUTED_VALUE"""),12497)</f>
        <v>12497</v>
      </c>
      <c r="AB48" s="12">
        <f ca="1">IFERROR(__xludf.DUMMYFUNCTION("""COMPUTED_VALUE"""),14198)</f>
        <v>14198</v>
      </c>
      <c r="AC48" s="12">
        <f ca="1">IFERROR(__xludf.DUMMYFUNCTION("""COMPUTED_VALUE"""),7878)</f>
        <v>7878</v>
      </c>
      <c r="AD48" s="12">
        <f ca="1">IFERROR(__xludf.DUMMYFUNCTION("""COMPUTED_VALUE"""),34307)</f>
        <v>34307</v>
      </c>
      <c r="AE48" s="12">
        <f ca="1">IFERROR(__xludf.DUMMYFUNCTION("""COMPUTED_VALUE"""),19238)</f>
        <v>19238</v>
      </c>
      <c r="AF48" s="8">
        <f ca="1">IFERROR(__xludf.DUMMYFUNCTION("""COMPUTED_VALUE"""),37036)</f>
        <v>37036</v>
      </c>
      <c r="AG48" s="8">
        <f ca="1">IFERROR(__xludf.DUMMYFUNCTION("""COMPUTED_VALUE"""),8453)</f>
        <v>8453</v>
      </c>
      <c r="AH48" s="8">
        <f ca="1">IFERROR(__xludf.DUMMYFUNCTION("""COMPUTED_VALUE"""),32913)</f>
        <v>32913</v>
      </c>
      <c r="AI48" s="8">
        <f ca="1">IFERROR(__xludf.DUMMYFUNCTION("""COMPUTED_VALUE"""),23529)</f>
        <v>23529</v>
      </c>
      <c r="AJ48" s="8">
        <f ca="1">IFERROR(__xludf.DUMMYFUNCTION("""COMPUTED_VALUE"""),3435)</f>
        <v>3435</v>
      </c>
      <c r="AK48" s="8">
        <f ca="1">IFERROR(__xludf.DUMMYFUNCTION("""COMPUTED_VALUE"""),6645)</f>
        <v>6645</v>
      </c>
      <c r="AL48" s="8">
        <f ca="1">IFERROR(__xludf.DUMMYFUNCTION("""COMPUTED_VALUE"""),16157)</f>
        <v>16157</v>
      </c>
      <c r="AM48" s="8">
        <f ca="1">IFERROR(__xludf.DUMMYFUNCTION("""COMPUTED_VALUE"""),23338)</f>
        <v>23338</v>
      </c>
      <c r="AN48" s="8">
        <f ca="1">IFERROR(__xludf.DUMMYFUNCTION("""COMPUTED_VALUE"""),13483)</f>
        <v>13483</v>
      </c>
      <c r="AO48" s="8">
        <f ca="1">IFERROR(__xludf.DUMMYFUNCTION("""COMPUTED_VALUE"""),10713)</f>
        <v>10713</v>
      </c>
      <c r="AP48" s="8"/>
      <c r="AQ48" s="8"/>
      <c r="AR48" s="8"/>
      <c r="AS48" s="8"/>
      <c r="AT48" s="8"/>
      <c r="AU48" s="8"/>
      <c r="AV48" s="8"/>
      <c r="AW48" s="8"/>
      <c r="AX48" s="8"/>
      <c r="AY48" s="8"/>
    </row>
    <row r="49" spans="1:51" ht="13.2" x14ac:dyDescent="0.25">
      <c r="A49" s="11" t="str">
        <f ca="1">IFERROR(__xludf.DUMMYFUNCTION("""COMPUTED_VALUE"""),"                     left Agranular insular area, posterior part")</f>
        <v xml:space="preserve">                     left Agranular insular area, posterior part</v>
      </c>
      <c r="B49" s="12">
        <f ca="1">IFERROR(__xludf.DUMMYFUNCTION("""COMPUTED_VALUE"""),2751)</f>
        <v>2751</v>
      </c>
      <c r="C49" s="12">
        <f ca="1">IFERROR(__xludf.DUMMYFUNCTION("""COMPUTED_VALUE"""),3002)</f>
        <v>3002</v>
      </c>
      <c r="D49" s="12">
        <f ca="1">IFERROR(__xludf.DUMMYFUNCTION("""COMPUTED_VALUE"""),4043)</f>
        <v>4043</v>
      </c>
      <c r="E49" s="12">
        <f ca="1">IFERROR(__xludf.DUMMYFUNCTION("""COMPUTED_VALUE"""),5706)</f>
        <v>5706</v>
      </c>
      <c r="F49" s="12">
        <f ca="1">IFERROR(__xludf.DUMMYFUNCTION("""COMPUTED_VALUE"""),6703)</f>
        <v>6703</v>
      </c>
      <c r="G49" s="12">
        <f ca="1">IFERROR(__xludf.DUMMYFUNCTION("""COMPUTED_VALUE"""),2387)</f>
        <v>2387</v>
      </c>
      <c r="H49" s="12">
        <f ca="1">IFERROR(__xludf.DUMMYFUNCTION("""COMPUTED_VALUE"""),3803)</f>
        <v>3803</v>
      </c>
      <c r="I49" s="12">
        <f ca="1">IFERROR(__xludf.DUMMYFUNCTION("""COMPUTED_VALUE"""),1049)</f>
        <v>1049</v>
      </c>
      <c r="J49" s="12">
        <f ca="1">IFERROR(__xludf.DUMMYFUNCTION("""COMPUTED_VALUE"""),1164)</f>
        <v>1164</v>
      </c>
      <c r="K49" s="12">
        <f ca="1">IFERROR(__xludf.DUMMYFUNCTION("""COMPUTED_VALUE"""),1989)</f>
        <v>1989</v>
      </c>
      <c r="L49" s="12">
        <f ca="1">IFERROR(__xludf.DUMMYFUNCTION("""COMPUTED_VALUE"""),3763)</f>
        <v>3763</v>
      </c>
      <c r="M49" s="12">
        <f ca="1">IFERROR(__xludf.DUMMYFUNCTION("""COMPUTED_VALUE"""),12393)</f>
        <v>12393</v>
      </c>
      <c r="N49" s="12">
        <f ca="1">IFERROR(__xludf.DUMMYFUNCTION("""COMPUTED_VALUE"""),2960)</f>
        <v>2960</v>
      </c>
      <c r="O49" s="12">
        <f ca="1">IFERROR(__xludf.DUMMYFUNCTION("""COMPUTED_VALUE"""),6382)</f>
        <v>6382</v>
      </c>
      <c r="P49" s="12">
        <f ca="1">IFERROR(__xludf.DUMMYFUNCTION("""COMPUTED_VALUE"""),2438)</f>
        <v>2438</v>
      </c>
      <c r="Q49" s="12">
        <f ca="1">IFERROR(__xludf.DUMMYFUNCTION("""COMPUTED_VALUE"""),1917)</f>
        <v>1917</v>
      </c>
      <c r="R49" s="12">
        <f ca="1">IFERROR(__xludf.DUMMYFUNCTION("""COMPUTED_VALUE"""),3253)</f>
        <v>3253</v>
      </c>
      <c r="S49" s="12">
        <f ca="1">IFERROR(__xludf.DUMMYFUNCTION("""COMPUTED_VALUE"""),2469)</f>
        <v>2469</v>
      </c>
      <c r="T49" s="12">
        <f ca="1">IFERROR(__xludf.DUMMYFUNCTION("""COMPUTED_VALUE"""),6345)</f>
        <v>6345</v>
      </c>
      <c r="U49" s="12">
        <f ca="1">IFERROR(__xludf.DUMMYFUNCTION("""COMPUTED_VALUE"""),4153)</f>
        <v>4153</v>
      </c>
      <c r="V49" s="12">
        <f ca="1">IFERROR(__xludf.DUMMYFUNCTION("""COMPUTED_VALUE"""),6499)</f>
        <v>6499</v>
      </c>
      <c r="W49" s="12">
        <f ca="1">IFERROR(__xludf.DUMMYFUNCTION("""COMPUTED_VALUE"""),18704)</f>
        <v>18704</v>
      </c>
      <c r="X49" s="12">
        <f ca="1">IFERROR(__xludf.DUMMYFUNCTION("""COMPUTED_VALUE"""),19492)</f>
        <v>19492</v>
      </c>
      <c r="Y49" s="12">
        <f ca="1">IFERROR(__xludf.DUMMYFUNCTION("""COMPUTED_VALUE"""),10876)</f>
        <v>10876</v>
      </c>
      <c r="Z49" s="12">
        <f ca="1">IFERROR(__xludf.DUMMYFUNCTION("""COMPUTED_VALUE"""),9469)</f>
        <v>9469</v>
      </c>
      <c r="AA49" s="12">
        <f ca="1">IFERROR(__xludf.DUMMYFUNCTION("""COMPUTED_VALUE"""),10564)</f>
        <v>10564</v>
      </c>
      <c r="AB49" s="12">
        <f ca="1">IFERROR(__xludf.DUMMYFUNCTION("""COMPUTED_VALUE"""),9558)</f>
        <v>9558</v>
      </c>
      <c r="AC49" s="12">
        <f ca="1">IFERROR(__xludf.DUMMYFUNCTION("""COMPUTED_VALUE"""),7267)</f>
        <v>7267</v>
      </c>
      <c r="AD49" s="12">
        <f ca="1">IFERROR(__xludf.DUMMYFUNCTION("""COMPUTED_VALUE"""),7143)</f>
        <v>7143</v>
      </c>
      <c r="AE49" s="12">
        <f ca="1">IFERROR(__xludf.DUMMYFUNCTION("""COMPUTED_VALUE"""),15965)</f>
        <v>15965</v>
      </c>
      <c r="AF49" s="8">
        <f ca="1">IFERROR(__xludf.DUMMYFUNCTION("""COMPUTED_VALUE"""),20108)</f>
        <v>20108</v>
      </c>
      <c r="AG49" s="8">
        <f ca="1">IFERROR(__xludf.DUMMYFUNCTION("""COMPUTED_VALUE"""),9133)</f>
        <v>9133</v>
      </c>
      <c r="AH49" s="8">
        <f ca="1">IFERROR(__xludf.DUMMYFUNCTION("""COMPUTED_VALUE"""),8596)</f>
        <v>8596</v>
      </c>
      <c r="AI49" s="8">
        <f ca="1">IFERROR(__xludf.DUMMYFUNCTION("""COMPUTED_VALUE"""),9755)</f>
        <v>9755</v>
      </c>
      <c r="AJ49" s="8">
        <f ca="1">IFERROR(__xludf.DUMMYFUNCTION("""COMPUTED_VALUE"""),5622)</f>
        <v>5622</v>
      </c>
      <c r="AK49" s="8">
        <f ca="1">IFERROR(__xludf.DUMMYFUNCTION("""COMPUTED_VALUE"""),5914)</f>
        <v>5914</v>
      </c>
      <c r="AL49" s="8">
        <f ca="1">IFERROR(__xludf.DUMMYFUNCTION("""COMPUTED_VALUE"""),5356)</f>
        <v>5356</v>
      </c>
      <c r="AM49" s="8">
        <f ca="1">IFERROR(__xludf.DUMMYFUNCTION("""COMPUTED_VALUE"""),13254)</f>
        <v>13254</v>
      </c>
      <c r="AN49" s="8">
        <f ca="1">IFERROR(__xludf.DUMMYFUNCTION("""COMPUTED_VALUE"""),7807)</f>
        <v>7807</v>
      </c>
      <c r="AO49" s="8">
        <f ca="1">IFERROR(__xludf.DUMMYFUNCTION("""COMPUTED_VALUE"""),7255)</f>
        <v>7255</v>
      </c>
      <c r="AP49" s="8"/>
      <c r="AQ49" s="8"/>
      <c r="AR49" s="8"/>
      <c r="AS49" s="8"/>
      <c r="AT49" s="8"/>
      <c r="AU49" s="8"/>
      <c r="AV49" s="8"/>
      <c r="AW49" s="8"/>
      <c r="AX49" s="8"/>
      <c r="AY49" s="8"/>
    </row>
    <row r="50" spans="1:51" ht="13.2" x14ac:dyDescent="0.25">
      <c r="A50" s="11" t="str">
        <f ca="1">IFERROR(__xludf.DUMMYFUNCTION("""COMPUTED_VALUE"""),"                     left Agranular insular area, ventral part")</f>
        <v xml:space="preserve">                     left Agranular insular area, ventral part</v>
      </c>
      <c r="B50" s="12">
        <f ca="1">IFERROR(__xludf.DUMMYFUNCTION("""COMPUTED_VALUE"""),2728)</f>
        <v>2728</v>
      </c>
      <c r="C50" s="12">
        <f ca="1">IFERROR(__xludf.DUMMYFUNCTION("""COMPUTED_VALUE"""),4504)</f>
        <v>4504</v>
      </c>
      <c r="D50" s="12">
        <f ca="1">IFERROR(__xludf.DUMMYFUNCTION("""COMPUTED_VALUE"""),8150)</f>
        <v>8150</v>
      </c>
      <c r="E50" s="12">
        <f ca="1">IFERROR(__xludf.DUMMYFUNCTION("""COMPUTED_VALUE"""),9172)</f>
        <v>9172</v>
      </c>
      <c r="F50" s="12">
        <f ca="1">IFERROR(__xludf.DUMMYFUNCTION("""COMPUTED_VALUE"""),4510)</f>
        <v>4510</v>
      </c>
      <c r="G50" s="12">
        <f ca="1">IFERROR(__xludf.DUMMYFUNCTION("""COMPUTED_VALUE"""),1861)</f>
        <v>1861</v>
      </c>
      <c r="H50" s="12">
        <f ca="1">IFERROR(__xludf.DUMMYFUNCTION("""COMPUTED_VALUE"""),6143)</f>
        <v>6143</v>
      </c>
      <c r="I50" s="12">
        <f ca="1">IFERROR(__xludf.DUMMYFUNCTION("""COMPUTED_VALUE"""),1631)</f>
        <v>1631</v>
      </c>
      <c r="J50" s="12">
        <f ca="1">IFERROR(__xludf.DUMMYFUNCTION("""COMPUTED_VALUE"""),2971)</f>
        <v>2971</v>
      </c>
      <c r="K50" s="12">
        <f ca="1">IFERROR(__xludf.DUMMYFUNCTION("""COMPUTED_VALUE"""),4011)</f>
        <v>4011</v>
      </c>
      <c r="L50" s="12">
        <f ca="1">IFERROR(__xludf.DUMMYFUNCTION("""COMPUTED_VALUE"""),6462)</f>
        <v>6462</v>
      </c>
      <c r="M50" s="12">
        <f ca="1">IFERROR(__xludf.DUMMYFUNCTION("""COMPUTED_VALUE"""),10312)</f>
        <v>10312</v>
      </c>
      <c r="N50" s="12">
        <f ca="1">IFERROR(__xludf.DUMMYFUNCTION("""COMPUTED_VALUE"""),6623)</f>
        <v>6623</v>
      </c>
      <c r="O50" s="12">
        <f ca="1">IFERROR(__xludf.DUMMYFUNCTION("""COMPUTED_VALUE"""),8167)</f>
        <v>8167</v>
      </c>
      <c r="P50" s="12">
        <f ca="1">IFERROR(__xludf.DUMMYFUNCTION("""COMPUTED_VALUE"""),2730)</f>
        <v>2730</v>
      </c>
      <c r="Q50" s="12">
        <f ca="1">IFERROR(__xludf.DUMMYFUNCTION("""COMPUTED_VALUE"""),3674)</f>
        <v>3674</v>
      </c>
      <c r="R50" s="12">
        <f ca="1">IFERROR(__xludf.DUMMYFUNCTION("""COMPUTED_VALUE"""),4315)</f>
        <v>4315</v>
      </c>
      <c r="S50" s="12">
        <f ca="1">IFERROR(__xludf.DUMMYFUNCTION("""COMPUTED_VALUE"""),4412)</f>
        <v>4412</v>
      </c>
      <c r="T50" s="12">
        <f ca="1">IFERROR(__xludf.DUMMYFUNCTION("""COMPUTED_VALUE"""),10482)</f>
        <v>10482</v>
      </c>
      <c r="U50" s="12">
        <f ca="1">IFERROR(__xludf.DUMMYFUNCTION("""COMPUTED_VALUE"""),7851)</f>
        <v>7851</v>
      </c>
      <c r="V50" s="12">
        <f ca="1">IFERROR(__xludf.DUMMYFUNCTION("""COMPUTED_VALUE"""),6655)</f>
        <v>6655</v>
      </c>
      <c r="W50" s="12">
        <f ca="1">IFERROR(__xludf.DUMMYFUNCTION("""COMPUTED_VALUE"""),20588)</f>
        <v>20588</v>
      </c>
      <c r="X50" s="12">
        <f ca="1">IFERROR(__xludf.DUMMYFUNCTION("""COMPUTED_VALUE"""),35158)</f>
        <v>35158</v>
      </c>
      <c r="Y50" s="12">
        <f ca="1">IFERROR(__xludf.DUMMYFUNCTION("""COMPUTED_VALUE"""),9439)</f>
        <v>9439</v>
      </c>
      <c r="Z50" s="12">
        <f ca="1">IFERROR(__xludf.DUMMYFUNCTION("""COMPUTED_VALUE"""),10409)</f>
        <v>10409</v>
      </c>
      <c r="AA50" s="12">
        <f ca="1">IFERROR(__xludf.DUMMYFUNCTION("""COMPUTED_VALUE"""),11515)</f>
        <v>11515</v>
      </c>
      <c r="AB50" s="12">
        <f ca="1">IFERROR(__xludf.DUMMYFUNCTION("""COMPUTED_VALUE"""),7210)</f>
        <v>7210</v>
      </c>
      <c r="AC50" s="12">
        <f ca="1">IFERROR(__xludf.DUMMYFUNCTION("""COMPUTED_VALUE"""),8837)</f>
        <v>8837</v>
      </c>
      <c r="AD50" s="12">
        <f ca="1">IFERROR(__xludf.DUMMYFUNCTION("""COMPUTED_VALUE"""),13415)</f>
        <v>13415</v>
      </c>
      <c r="AE50" s="12">
        <f ca="1">IFERROR(__xludf.DUMMYFUNCTION("""COMPUTED_VALUE"""),9985)</f>
        <v>9985</v>
      </c>
      <c r="AF50" s="8">
        <f ca="1">IFERROR(__xludf.DUMMYFUNCTION("""COMPUTED_VALUE"""),18466)</f>
        <v>18466</v>
      </c>
      <c r="AG50" s="8">
        <f ca="1">IFERROR(__xludf.DUMMYFUNCTION("""COMPUTED_VALUE"""),6697)</f>
        <v>6697</v>
      </c>
      <c r="AH50" s="8">
        <f ca="1">IFERROR(__xludf.DUMMYFUNCTION("""COMPUTED_VALUE"""),14439)</f>
        <v>14439</v>
      </c>
      <c r="AI50" s="8">
        <f ca="1">IFERROR(__xludf.DUMMYFUNCTION("""COMPUTED_VALUE"""),10993)</f>
        <v>10993</v>
      </c>
      <c r="AJ50" s="8">
        <f ca="1">IFERROR(__xludf.DUMMYFUNCTION("""COMPUTED_VALUE"""),1940)</f>
        <v>1940</v>
      </c>
      <c r="AK50" s="8">
        <f ca="1">IFERROR(__xludf.DUMMYFUNCTION("""COMPUTED_VALUE"""),3397)</f>
        <v>3397</v>
      </c>
      <c r="AL50" s="8">
        <f ca="1">IFERROR(__xludf.DUMMYFUNCTION("""COMPUTED_VALUE"""),6789)</f>
        <v>6789</v>
      </c>
      <c r="AM50" s="8">
        <f ca="1">IFERROR(__xludf.DUMMYFUNCTION("""COMPUTED_VALUE"""),10590)</f>
        <v>10590</v>
      </c>
      <c r="AN50" s="8">
        <f ca="1">IFERROR(__xludf.DUMMYFUNCTION("""COMPUTED_VALUE"""),7416)</f>
        <v>7416</v>
      </c>
      <c r="AO50" s="8">
        <f ca="1">IFERROR(__xludf.DUMMYFUNCTION("""COMPUTED_VALUE"""),4275)</f>
        <v>4275</v>
      </c>
      <c r="AP50" s="8"/>
      <c r="AQ50" s="8"/>
      <c r="AR50" s="8"/>
      <c r="AS50" s="8"/>
      <c r="AT50" s="8"/>
      <c r="AU50" s="8"/>
      <c r="AV50" s="8"/>
      <c r="AW50" s="8"/>
      <c r="AX50" s="8"/>
      <c r="AY50" s="8"/>
    </row>
    <row r="51" spans="1:51" ht="13.2" x14ac:dyDescent="0.25">
      <c r="A51" s="11" t="str">
        <f ca="1">IFERROR(__xludf.DUMMYFUNCTION("""COMPUTED_VALUE"""),"                  left Retrosplenial area")</f>
        <v xml:space="preserve">                  left Retrosplenial area</v>
      </c>
      <c r="B51" s="12">
        <f ca="1">IFERROR(__xludf.DUMMYFUNCTION("""COMPUTED_VALUE"""),25604)</f>
        <v>25604</v>
      </c>
      <c r="C51" s="12">
        <f ca="1">IFERROR(__xludf.DUMMYFUNCTION("""COMPUTED_VALUE"""),43795)</f>
        <v>43795</v>
      </c>
      <c r="D51" s="12">
        <f ca="1">IFERROR(__xludf.DUMMYFUNCTION("""COMPUTED_VALUE"""),16547)</f>
        <v>16547</v>
      </c>
      <c r="E51" s="12">
        <f ca="1">IFERROR(__xludf.DUMMYFUNCTION("""COMPUTED_VALUE"""),52623)</f>
        <v>52623</v>
      </c>
      <c r="F51" s="12">
        <f ca="1">IFERROR(__xludf.DUMMYFUNCTION("""COMPUTED_VALUE"""),32197)</f>
        <v>32197</v>
      </c>
      <c r="G51" s="12">
        <f ca="1">IFERROR(__xludf.DUMMYFUNCTION("""COMPUTED_VALUE"""),22290)</f>
        <v>22290</v>
      </c>
      <c r="H51" s="12">
        <f ca="1">IFERROR(__xludf.DUMMYFUNCTION("""COMPUTED_VALUE"""),29757)</f>
        <v>29757</v>
      </c>
      <c r="I51" s="12">
        <f ca="1">IFERROR(__xludf.DUMMYFUNCTION("""COMPUTED_VALUE"""),28149)</f>
        <v>28149</v>
      </c>
      <c r="J51" s="12">
        <f ca="1">IFERROR(__xludf.DUMMYFUNCTION("""COMPUTED_VALUE"""),15955)</f>
        <v>15955</v>
      </c>
      <c r="K51" s="12">
        <f ca="1">IFERROR(__xludf.DUMMYFUNCTION("""COMPUTED_VALUE"""),23533)</f>
        <v>23533</v>
      </c>
      <c r="L51" s="12">
        <f ca="1">IFERROR(__xludf.DUMMYFUNCTION("""COMPUTED_VALUE"""),12943)</f>
        <v>12943</v>
      </c>
      <c r="M51" s="12">
        <f ca="1">IFERROR(__xludf.DUMMYFUNCTION("""COMPUTED_VALUE"""),36933)</f>
        <v>36933</v>
      </c>
      <c r="N51" s="12">
        <f ca="1">IFERROR(__xludf.DUMMYFUNCTION("""COMPUTED_VALUE"""),11193)</f>
        <v>11193</v>
      </c>
      <c r="O51" s="12">
        <f ca="1">IFERROR(__xludf.DUMMYFUNCTION("""COMPUTED_VALUE"""),40947)</f>
        <v>40947</v>
      </c>
      <c r="P51" s="12">
        <f ca="1">IFERROR(__xludf.DUMMYFUNCTION("""COMPUTED_VALUE"""),11586)</f>
        <v>11586</v>
      </c>
      <c r="Q51" s="12">
        <f ca="1">IFERROR(__xludf.DUMMYFUNCTION("""COMPUTED_VALUE"""),42743)</f>
        <v>42743</v>
      </c>
      <c r="R51" s="12">
        <f ca="1">IFERROR(__xludf.DUMMYFUNCTION("""COMPUTED_VALUE"""),13050)</f>
        <v>13050</v>
      </c>
      <c r="S51" s="12">
        <f ca="1">IFERROR(__xludf.DUMMYFUNCTION("""COMPUTED_VALUE"""),27658)</f>
        <v>27658</v>
      </c>
      <c r="T51" s="12">
        <f ca="1">IFERROR(__xludf.DUMMYFUNCTION("""COMPUTED_VALUE"""),59652)</f>
        <v>59652</v>
      </c>
      <c r="U51" s="12">
        <f ca="1">IFERROR(__xludf.DUMMYFUNCTION("""COMPUTED_VALUE"""),39970)</f>
        <v>39970</v>
      </c>
      <c r="V51" s="12">
        <f ca="1">IFERROR(__xludf.DUMMYFUNCTION("""COMPUTED_VALUE"""),40242)</f>
        <v>40242</v>
      </c>
      <c r="W51" s="12">
        <f ca="1">IFERROR(__xludf.DUMMYFUNCTION("""COMPUTED_VALUE"""),35626)</f>
        <v>35626</v>
      </c>
      <c r="X51" s="12">
        <f ca="1">IFERROR(__xludf.DUMMYFUNCTION("""COMPUTED_VALUE"""),44094)</f>
        <v>44094</v>
      </c>
      <c r="Y51" s="12">
        <f ca="1">IFERROR(__xludf.DUMMYFUNCTION("""COMPUTED_VALUE"""),27768)</f>
        <v>27768</v>
      </c>
      <c r="Z51" s="12">
        <f ca="1">IFERROR(__xludf.DUMMYFUNCTION("""COMPUTED_VALUE"""),21196)</f>
        <v>21196</v>
      </c>
      <c r="AA51" s="12">
        <f ca="1">IFERROR(__xludf.DUMMYFUNCTION("""COMPUTED_VALUE"""),16476)</f>
        <v>16476</v>
      </c>
      <c r="AB51" s="12">
        <f ca="1">IFERROR(__xludf.DUMMYFUNCTION("""COMPUTED_VALUE"""),39944)</f>
        <v>39944</v>
      </c>
      <c r="AC51" s="12">
        <f ca="1">IFERROR(__xludf.DUMMYFUNCTION("""COMPUTED_VALUE"""),76031)</f>
        <v>76031</v>
      </c>
      <c r="AD51" s="12">
        <f ca="1">IFERROR(__xludf.DUMMYFUNCTION("""COMPUTED_VALUE"""),40631)</f>
        <v>40631</v>
      </c>
      <c r="AE51" s="12">
        <f ca="1">IFERROR(__xludf.DUMMYFUNCTION("""COMPUTED_VALUE"""),82324)</f>
        <v>82324</v>
      </c>
      <c r="AF51" s="8">
        <f ca="1">IFERROR(__xludf.DUMMYFUNCTION("""COMPUTED_VALUE"""),77515)</f>
        <v>77515</v>
      </c>
      <c r="AG51" s="8">
        <f ca="1">IFERROR(__xludf.DUMMYFUNCTION("""COMPUTED_VALUE"""),30361)</f>
        <v>30361</v>
      </c>
      <c r="AH51" s="8">
        <f ca="1">IFERROR(__xludf.DUMMYFUNCTION("""COMPUTED_VALUE"""),18912)</f>
        <v>18912</v>
      </c>
      <c r="AI51" s="8">
        <f ca="1">IFERROR(__xludf.DUMMYFUNCTION("""COMPUTED_VALUE"""),15485)</f>
        <v>15485</v>
      </c>
      <c r="AJ51" s="8">
        <f ca="1">IFERROR(__xludf.DUMMYFUNCTION("""COMPUTED_VALUE"""),38268)</f>
        <v>38268</v>
      </c>
      <c r="AK51" s="8">
        <f ca="1">IFERROR(__xludf.DUMMYFUNCTION("""COMPUTED_VALUE"""),11699)</f>
        <v>11699</v>
      </c>
      <c r="AL51" s="8">
        <f ca="1">IFERROR(__xludf.DUMMYFUNCTION("""COMPUTED_VALUE"""),9638)</f>
        <v>9638</v>
      </c>
      <c r="AM51" s="8">
        <f ca="1">IFERROR(__xludf.DUMMYFUNCTION("""COMPUTED_VALUE"""),55812)</f>
        <v>55812</v>
      </c>
      <c r="AN51" s="8">
        <f ca="1">IFERROR(__xludf.DUMMYFUNCTION("""COMPUTED_VALUE"""),20248)</f>
        <v>20248</v>
      </c>
      <c r="AO51" s="8">
        <f ca="1">IFERROR(__xludf.DUMMYFUNCTION("""COMPUTED_VALUE"""),40561)</f>
        <v>40561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</row>
    <row r="52" spans="1:51" ht="13.2" x14ac:dyDescent="0.25">
      <c r="A52" s="11" t="str">
        <f ca="1">IFERROR(__xludf.DUMMYFUNCTION("""COMPUTED_VALUE"""),"                     left Retrosplenial area, lateral agranular part")</f>
        <v xml:space="preserve">                     left Retrosplenial area, lateral agranular part</v>
      </c>
      <c r="B52" s="12">
        <f ca="1">IFERROR(__xludf.DUMMYFUNCTION("""COMPUTED_VALUE"""),8123)</f>
        <v>8123</v>
      </c>
      <c r="C52" s="12">
        <f ca="1">IFERROR(__xludf.DUMMYFUNCTION("""COMPUTED_VALUE"""),15030)</f>
        <v>15030</v>
      </c>
      <c r="D52" s="12">
        <f ca="1">IFERROR(__xludf.DUMMYFUNCTION("""COMPUTED_VALUE"""),5927)</f>
        <v>5927</v>
      </c>
      <c r="E52" s="12">
        <f ca="1">IFERROR(__xludf.DUMMYFUNCTION("""COMPUTED_VALUE"""),13323)</f>
        <v>13323</v>
      </c>
      <c r="F52" s="12">
        <f ca="1">IFERROR(__xludf.DUMMYFUNCTION("""COMPUTED_VALUE"""),12413)</f>
        <v>12413</v>
      </c>
      <c r="G52" s="12">
        <f ca="1">IFERROR(__xludf.DUMMYFUNCTION("""COMPUTED_VALUE"""),5027)</f>
        <v>5027</v>
      </c>
      <c r="H52" s="12">
        <f ca="1">IFERROR(__xludf.DUMMYFUNCTION("""COMPUTED_VALUE"""),7712)</f>
        <v>7712</v>
      </c>
      <c r="I52" s="12">
        <f ca="1">IFERROR(__xludf.DUMMYFUNCTION("""COMPUTED_VALUE"""),6342)</f>
        <v>6342</v>
      </c>
      <c r="J52" s="12">
        <f ca="1">IFERROR(__xludf.DUMMYFUNCTION("""COMPUTED_VALUE"""),3074)</f>
        <v>3074</v>
      </c>
      <c r="K52" s="12">
        <f ca="1">IFERROR(__xludf.DUMMYFUNCTION("""COMPUTED_VALUE"""),4169)</f>
        <v>4169</v>
      </c>
      <c r="L52" s="12">
        <f ca="1">IFERROR(__xludf.DUMMYFUNCTION("""COMPUTED_VALUE"""),3608)</f>
        <v>3608</v>
      </c>
      <c r="M52" s="12">
        <f ca="1">IFERROR(__xludf.DUMMYFUNCTION("""COMPUTED_VALUE"""),11980)</f>
        <v>11980</v>
      </c>
      <c r="N52" s="12">
        <f ca="1">IFERROR(__xludf.DUMMYFUNCTION("""COMPUTED_VALUE"""),2027)</f>
        <v>2027</v>
      </c>
      <c r="O52" s="12">
        <f ca="1">IFERROR(__xludf.DUMMYFUNCTION("""COMPUTED_VALUE"""),13368)</f>
        <v>13368</v>
      </c>
      <c r="P52" s="12">
        <f ca="1">IFERROR(__xludf.DUMMYFUNCTION("""COMPUTED_VALUE"""),2837)</f>
        <v>2837</v>
      </c>
      <c r="Q52" s="12">
        <f ca="1">IFERROR(__xludf.DUMMYFUNCTION("""COMPUTED_VALUE"""),8213)</f>
        <v>8213</v>
      </c>
      <c r="R52" s="12">
        <f ca="1">IFERROR(__xludf.DUMMYFUNCTION("""COMPUTED_VALUE"""),4478)</f>
        <v>4478</v>
      </c>
      <c r="S52" s="12">
        <f ca="1">IFERROR(__xludf.DUMMYFUNCTION("""COMPUTED_VALUE"""),7958)</f>
        <v>7958</v>
      </c>
      <c r="T52" s="12">
        <f ca="1">IFERROR(__xludf.DUMMYFUNCTION("""COMPUTED_VALUE"""),19906)</f>
        <v>19906</v>
      </c>
      <c r="U52" s="12">
        <f ca="1">IFERROR(__xludf.DUMMYFUNCTION("""COMPUTED_VALUE"""),12315)</f>
        <v>12315</v>
      </c>
      <c r="V52" s="12">
        <f ca="1">IFERROR(__xludf.DUMMYFUNCTION("""COMPUTED_VALUE"""),9104)</f>
        <v>9104</v>
      </c>
      <c r="W52" s="12">
        <f ca="1">IFERROR(__xludf.DUMMYFUNCTION("""COMPUTED_VALUE"""),9637)</f>
        <v>9637</v>
      </c>
      <c r="X52" s="12">
        <f ca="1">IFERROR(__xludf.DUMMYFUNCTION("""COMPUTED_VALUE"""),14524)</f>
        <v>14524</v>
      </c>
      <c r="Y52" s="12">
        <f ca="1">IFERROR(__xludf.DUMMYFUNCTION("""COMPUTED_VALUE"""),11254)</f>
        <v>11254</v>
      </c>
      <c r="Z52" s="12">
        <f ca="1">IFERROR(__xludf.DUMMYFUNCTION("""COMPUTED_VALUE"""),4608)</f>
        <v>4608</v>
      </c>
      <c r="AA52" s="12">
        <f ca="1">IFERROR(__xludf.DUMMYFUNCTION("""COMPUTED_VALUE"""),6521)</f>
        <v>6521</v>
      </c>
      <c r="AB52" s="12">
        <f ca="1">IFERROR(__xludf.DUMMYFUNCTION("""COMPUTED_VALUE"""),9255)</f>
        <v>9255</v>
      </c>
      <c r="AC52" s="12">
        <f ca="1">IFERROR(__xludf.DUMMYFUNCTION("""COMPUTED_VALUE"""),17223)</f>
        <v>17223</v>
      </c>
      <c r="AD52" s="12">
        <f ca="1">IFERROR(__xludf.DUMMYFUNCTION("""COMPUTED_VALUE"""),11177)</f>
        <v>11177</v>
      </c>
      <c r="AE52" s="12">
        <f ca="1">IFERROR(__xludf.DUMMYFUNCTION("""COMPUTED_VALUE"""),25603)</f>
        <v>25603</v>
      </c>
      <c r="AF52" s="8">
        <f ca="1">IFERROR(__xludf.DUMMYFUNCTION("""COMPUTED_VALUE"""),16770)</f>
        <v>16770</v>
      </c>
      <c r="AG52" s="8">
        <f ca="1">IFERROR(__xludf.DUMMYFUNCTION("""COMPUTED_VALUE"""),5223)</f>
        <v>5223</v>
      </c>
      <c r="AH52" s="8">
        <f ca="1">IFERROR(__xludf.DUMMYFUNCTION("""COMPUTED_VALUE"""),7688)</f>
        <v>7688</v>
      </c>
      <c r="AI52" s="8">
        <f ca="1">IFERROR(__xludf.DUMMYFUNCTION("""COMPUTED_VALUE"""),7633)</f>
        <v>7633</v>
      </c>
      <c r="AJ52" s="8">
        <f ca="1">IFERROR(__xludf.DUMMYFUNCTION("""COMPUTED_VALUE"""),8223)</f>
        <v>8223</v>
      </c>
      <c r="AK52" s="8">
        <f ca="1">IFERROR(__xludf.DUMMYFUNCTION("""COMPUTED_VALUE"""),4330)</f>
        <v>4330</v>
      </c>
      <c r="AL52" s="8">
        <f ca="1">IFERROR(__xludf.DUMMYFUNCTION("""COMPUTED_VALUE"""),3954)</f>
        <v>3954</v>
      </c>
      <c r="AM52" s="8">
        <f ca="1">IFERROR(__xludf.DUMMYFUNCTION("""COMPUTED_VALUE"""),15654)</f>
        <v>15654</v>
      </c>
      <c r="AN52" s="8">
        <f ca="1">IFERROR(__xludf.DUMMYFUNCTION("""COMPUTED_VALUE"""),7836)</f>
        <v>7836</v>
      </c>
      <c r="AO52" s="8">
        <f ca="1">IFERROR(__xludf.DUMMYFUNCTION("""COMPUTED_VALUE"""),6710)</f>
        <v>6710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</row>
    <row r="53" spans="1:51" ht="13.2" x14ac:dyDescent="0.25">
      <c r="A53" s="11" t="str">
        <f ca="1">IFERROR(__xludf.DUMMYFUNCTION("""COMPUTED_VALUE"""),"                     left Retrosplenial area, dorsal part")</f>
        <v xml:space="preserve">                     left Retrosplenial area, dorsal part</v>
      </c>
      <c r="B53" s="12">
        <f ca="1">IFERROR(__xludf.DUMMYFUNCTION("""COMPUTED_VALUE"""),9770)</f>
        <v>9770</v>
      </c>
      <c r="C53" s="12">
        <f ca="1">IFERROR(__xludf.DUMMYFUNCTION("""COMPUTED_VALUE"""),12984)</f>
        <v>12984</v>
      </c>
      <c r="D53" s="12">
        <f ca="1">IFERROR(__xludf.DUMMYFUNCTION("""COMPUTED_VALUE"""),5926)</f>
        <v>5926</v>
      </c>
      <c r="E53" s="12">
        <f ca="1">IFERROR(__xludf.DUMMYFUNCTION("""COMPUTED_VALUE"""),18039)</f>
        <v>18039</v>
      </c>
      <c r="F53" s="12">
        <f ca="1">IFERROR(__xludf.DUMMYFUNCTION("""COMPUTED_VALUE"""),10803)</f>
        <v>10803</v>
      </c>
      <c r="G53" s="12">
        <f ca="1">IFERROR(__xludf.DUMMYFUNCTION("""COMPUTED_VALUE"""),6131)</f>
        <v>6131</v>
      </c>
      <c r="H53" s="12">
        <f ca="1">IFERROR(__xludf.DUMMYFUNCTION("""COMPUTED_VALUE"""),6455)</f>
        <v>6455</v>
      </c>
      <c r="I53" s="12">
        <f ca="1">IFERROR(__xludf.DUMMYFUNCTION("""COMPUTED_VALUE"""),7833)</f>
        <v>7833</v>
      </c>
      <c r="J53" s="12">
        <f ca="1">IFERROR(__xludf.DUMMYFUNCTION("""COMPUTED_VALUE"""),2769)</f>
        <v>2769</v>
      </c>
      <c r="K53" s="12">
        <f ca="1">IFERROR(__xludf.DUMMYFUNCTION("""COMPUTED_VALUE"""),5475)</f>
        <v>5475</v>
      </c>
      <c r="L53" s="12">
        <f ca="1">IFERROR(__xludf.DUMMYFUNCTION("""COMPUTED_VALUE"""),3719)</f>
        <v>3719</v>
      </c>
      <c r="M53" s="12">
        <f ca="1">IFERROR(__xludf.DUMMYFUNCTION("""COMPUTED_VALUE"""),12954)</f>
        <v>12954</v>
      </c>
      <c r="N53" s="12">
        <f ca="1">IFERROR(__xludf.DUMMYFUNCTION("""COMPUTED_VALUE"""),2996)</f>
        <v>2996</v>
      </c>
      <c r="O53" s="12">
        <f ca="1">IFERROR(__xludf.DUMMYFUNCTION("""COMPUTED_VALUE"""),15470)</f>
        <v>15470</v>
      </c>
      <c r="P53" s="12">
        <f ca="1">IFERROR(__xludf.DUMMYFUNCTION("""COMPUTED_VALUE"""),3069)</f>
        <v>3069</v>
      </c>
      <c r="Q53" s="12">
        <f ca="1">IFERROR(__xludf.DUMMYFUNCTION("""COMPUTED_VALUE"""),13524)</f>
        <v>13524</v>
      </c>
      <c r="R53" s="12">
        <f ca="1">IFERROR(__xludf.DUMMYFUNCTION("""COMPUTED_VALUE"""),4716)</f>
        <v>4716</v>
      </c>
      <c r="S53" s="12">
        <f ca="1">IFERROR(__xludf.DUMMYFUNCTION("""COMPUTED_VALUE"""),9021)</f>
        <v>9021</v>
      </c>
      <c r="T53" s="12">
        <f ca="1">IFERROR(__xludf.DUMMYFUNCTION("""COMPUTED_VALUE"""),23862)</f>
        <v>23862</v>
      </c>
      <c r="U53" s="12">
        <f ca="1">IFERROR(__xludf.DUMMYFUNCTION("""COMPUTED_VALUE"""),13766)</f>
        <v>13766</v>
      </c>
      <c r="V53" s="12">
        <f ca="1">IFERROR(__xludf.DUMMYFUNCTION("""COMPUTED_VALUE"""),10927)</f>
        <v>10927</v>
      </c>
      <c r="W53" s="12">
        <f ca="1">IFERROR(__xludf.DUMMYFUNCTION("""COMPUTED_VALUE"""),15237)</f>
        <v>15237</v>
      </c>
      <c r="X53" s="12">
        <f ca="1">IFERROR(__xludf.DUMMYFUNCTION("""COMPUTED_VALUE"""),14480)</f>
        <v>14480</v>
      </c>
      <c r="Y53" s="12">
        <f ca="1">IFERROR(__xludf.DUMMYFUNCTION("""COMPUTED_VALUE"""),11432)</f>
        <v>11432</v>
      </c>
      <c r="Z53" s="12">
        <f ca="1">IFERROR(__xludf.DUMMYFUNCTION("""COMPUTED_VALUE"""),7863)</f>
        <v>7863</v>
      </c>
      <c r="AA53" s="12">
        <f ca="1">IFERROR(__xludf.DUMMYFUNCTION("""COMPUTED_VALUE"""),6409)</f>
        <v>6409</v>
      </c>
      <c r="AB53" s="12">
        <f ca="1">IFERROR(__xludf.DUMMYFUNCTION("""COMPUTED_VALUE"""),15734)</f>
        <v>15734</v>
      </c>
      <c r="AC53" s="12">
        <f ca="1">IFERROR(__xludf.DUMMYFUNCTION("""COMPUTED_VALUE"""),22639)</f>
        <v>22639</v>
      </c>
      <c r="AD53" s="12">
        <f ca="1">IFERROR(__xludf.DUMMYFUNCTION("""COMPUTED_VALUE"""),14085)</f>
        <v>14085</v>
      </c>
      <c r="AE53" s="12">
        <f ca="1">IFERROR(__xludf.DUMMYFUNCTION("""COMPUTED_VALUE"""),31173)</f>
        <v>31173</v>
      </c>
      <c r="AF53" s="8">
        <f ca="1">IFERROR(__xludf.DUMMYFUNCTION("""COMPUTED_VALUE"""),26277)</f>
        <v>26277</v>
      </c>
      <c r="AG53" s="8">
        <f ca="1">IFERROR(__xludf.DUMMYFUNCTION("""COMPUTED_VALUE"""),11610)</f>
        <v>11610</v>
      </c>
      <c r="AH53" s="8">
        <f ca="1">IFERROR(__xludf.DUMMYFUNCTION("""COMPUTED_VALUE"""),7368)</f>
        <v>7368</v>
      </c>
      <c r="AI53" s="8">
        <f ca="1">IFERROR(__xludf.DUMMYFUNCTION("""COMPUTED_VALUE"""),5495)</f>
        <v>5495</v>
      </c>
      <c r="AJ53" s="8">
        <f ca="1">IFERROR(__xludf.DUMMYFUNCTION("""COMPUTED_VALUE"""),12546)</f>
        <v>12546</v>
      </c>
      <c r="AK53" s="8">
        <f ca="1">IFERROR(__xludf.DUMMYFUNCTION("""COMPUTED_VALUE"""),4130)</f>
        <v>4130</v>
      </c>
      <c r="AL53" s="8">
        <f ca="1">IFERROR(__xludf.DUMMYFUNCTION("""COMPUTED_VALUE"""),2989)</f>
        <v>2989</v>
      </c>
      <c r="AM53" s="8">
        <f ca="1">IFERROR(__xludf.DUMMYFUNCTION("""COMPUTED_VALUE"""),22455)</f>
        <v>22455</v>
      </c>
      <c r="AN53" s="8">
        <f ca="1">IFERROR(__xludf.DUMMYFUNCTION("""COMPUTED_VALUE"""),9544)</f>
        <v>9544</v>
      </c>
      <c r="AO53" s="8">
        <f ca="1">IFERROR(__xludf.DUMMYFUNCTION("""COMPUTED_VALUE"""),13257)</f>
        <v>13257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</row>
    <row r="54" spans="1:51" ht="13.2" x14ac:dyDescent="0.25">
      <c r="A54" s="11" t="str">
        <f ca="1">IFERROR(__xludf.DUMMYFUNCTION("""COMPUTED_VALUE"""),"                     left Retrosplenial area, ventral part")</f>
        <v xml:space="preserve">                     left Retrosplenial area, ventral part</v>
      </c>
      <c r="B54" s="12">
        <f ca="1">IFERROR(__xludf.DUMMYFUNCTION("""COMPUTED_VALUE"""),7711)</f>
        <v>7711</v>
      </c>
      <c r="C54" s="12">
        <f ca="1">IFERROR(__xludf.DUMMYFUNCTION("""COMPUTED_VALUE"""),15781)</f>
        <v>15781</v>
      </c>
      <c r="D54" s="12">
        <f ca="1">IFERROR(__xludf.DUMMYFUNCTION("""COMPUTED_VALUE"""),4694)</f>
        <v>4694</v>
      </c>
      <c r="E54" s="12">
        <f ca="1">IFERROR(__xludf.DUMMYFUNCTION("""COMPUTED_VALUE"""),21261)</f>
        <v>21261</v>
      </c>
      <c r="F54" s="12">
        <f ca="1">IFERROR(__xludf.DUMMYFUNCTION("""COMPUTED_VALUE"""),8981)</f>
        <v>8981</v>
      </c>
      <c r="G54" s="12">
        <f ca="1">IFERROR(__xludf.DUMMYFUNCTION("""COMPUTED_VALUE"""),11132)</f>
        <v>11132</v>
      </c>
      <c r="H54" s="12">
        <f ca="1">IFERROR(__xludf.DUMMYFUNCTION("""COMPUTED_VALUE"""),15590)</f>
        <v>15590</v>
      </c>
      <c r="I54" s="12">
        <f ca="1">IFERROR(__xludf.DUMMYFUNCTION("""COMPUTED_VALUE"""),13974)</f>
        <v>13974</v>
      </c>
      <c r="J54" s="12">
        <f ca="1">IFERROR(__xludf.DUMMYFUNCTION("""COMPUTED_VALUE"""),10112)</f>
        <v>10112</v>
      </c>
      <c r="K54" s="12">
        <f ca="1">IFERROR(__xludf.DUMMYFUNCTION("""COMPUTED_VALUE"""),13889)</f>
        <v>13889</v>
      </c>
      <c r="L54" s="12">
        <f ca="1">IFERROR(__xludf.DUMMYFUNCTION("""COMPUTED_VALUE"""),5616)</f>
        <v>5616</v>
      </c>
      <c r="M54" s="12">
        <f ca="1">IFERROR(__xludf.DUMMYFUNCTION("""COMPUTED_VALUE"""),11999)</f>
        <v>11999</v>
      </c>
      <c r="N54" s="12">
        <f ca="1">IFERROR(__xludf.DUMMYFUNCTION("""COMPUTED_VALUE"""),6170)</f>
        <v>6170</v>
      </c>
      <c r="O54" s="12">
        <f ca="1">IFERROR(__xludf.DUMMYFUNCTION("""COMPUTED_VALUE"""),12109)</f>
        <v>12109</v>
      </c>
      <c r="P54" s="12">
        <f ca="1">IFERROR(__xludf.DUMMYFUNCTION("""COMPUTED_VALUE"""),5680)</f>
        <v>5680</v>
      </c>
      <c r="Q54" s="12">
        <f ca="1">IFERROR(__xludf.DUMMYFUNCTION("""COMPUTED_VALUE"""),21006)</f>
        <v>21006</v>
      </c>
      <c r="R54" s="12">
        <f ca="1">IFERROR(__xludf.DUMMYFUNCTION("""COMPUTED_VALUE"""),3856)</f>
        <v>3856</v>
      </c>
      <c r="S54" s="12">
        <f ca="1">IFERROR(__xludf.DUMMYFUNCTION("""COMPUTED_VALUE"""),10679)</f>
        <v>10679</v>
      </c>
      <c r="T54" s="12">
        <f ca="1">IFERROR(__xludf.DUMMYFUNCTION("""COMPUTED_VALUE"""),15884)</f>
        <v>15884</v>
      </c>
      <c r="U54" s="12">
        <f ca="1">IFERROR(__xludf.DUMMYFUNCTION("""COMPUTED_VALUE"""),13889)</f>
        <v>13889</v>
      </c>
      <c r="V54" s="12">
        <f ca="1">IFERROR(__xludf.DUMMYFUNCTION("""COMPUTED_VALUE"""),20211)</f>
        <v>20211</v>
      </c>
      <c r="W54" s="12">
        <f ca="1">IFERROR(__xludf.DUMMYFUNCTION("""COMPUTED_VALUE"""),10752)</f>
        <v>10752</v>
      </c>
      <c r="X54" s="12">
        <f ca="1">IFERROR(__xludf.DUMMYFUNCTION("""COMPUTED_VALUE"""),15090)</f>
        <v>15090</v>
      </c>
      <c r="Y54" s="12">
        <f ca="1">IFERROR(__xludf.DUMMYFUNCTION("""COMPUTED_VALUE"""),5082)</f>
        <v>5082</v>
      </c>
      <c r="Z54" s="12">
        <f ca="1">IFERROR(__xludf.DUMMYFUNCTION("""COMPUTED_VALUE"""),8725)</f>
        <v>8725</v>
      </c>
      <c r="AA54" s="12">
        <f ca="1">IFERROR(__xludf.DUMMYFUNCTION("""COMPUTED_VALUE"""),3546)</f>
        <v>3546</v>
      </c>
      <c r="AB54" s="12">
        <f ca="1">IFERROR(__xludf.DUMMYFUNCTION("""COMPUTED_VALUE"""),14955)</f>
        <v>14955</v>
      </c>
      <c r="AC54" s="12">
        <f ca="1">IFERROR(__xludf.DUMMYFUNCTION("""COMPUTED_VALUE"""),36169)</f>
        <v>36169</v>
      </c>
      <c r="AD54" s="12">
        <f ca="1">IFERROR(__xludf.DUMMYFUNCTION("""COMPUTED_VALUE"""),15369)</f>
        <v>15369</v>
      </c>
      <c r="AE54" s="12">
        <f ca="1">IFERROR(__xludf.DUMMYFUNCTION("""COMPUTED_VALUE"""),25548)</f>
        <v>25548</v>
      </c>
      <c r="AF54" s="8">
        <f ca="1">IFERROR(__xludf.DUMMYFUNCTION("""COMPUTED_VALUE"""),34468)</f>
        <v>34468</v>
      </c>
      <c r="AG54" s="8">
        <f ca="1">IFERROR(__xludf.DUMMYFUNCTION("""COMPUTED_VALUE"""),13528)</f>
        <v>13528</v>
      </c>
      <c r="AH54" s="8">
        <f ca="1">IFERROR(__xludf.DUMMYFUNCTION("""COMPUTED_VALUE"""),3856)</f>
        <v>3856</v>
      </c>
      <c r="AI54" s="8">
        <f ca="1">IFERROR(__xludf.DUMMYFUNCTION("""COMPUTED_VALUE"""),2357)</f>
        <v>2357</v>
      </c>
      <c r="AJ54" s="8">
        <f ca="1">IFERROR(__xludf.DUMMYFUNCTION("""COMPUTED_VALUE"""),17499)</f>
        <v>17499</v>
      </c>
      <c r="AK54" s="8">
        <f ca="1">IFERROR(__xludf.DUMMYFUNCTION("""COMPUTED_VALUE"""),3239)</f>
        <v>3239</v>
      </c>
      <c r="AL54" s="8">
        <f ca="1">IFERROR(__xludf.DUMMYFUNCTION("""COMPUTED_VALUE"""),2695)</f>
        <v>2695</v>
      </c>
      <c r="AM54" s="8">
        <f ca="1">IFERROR(__xludf.DUMMYFUNCTION("""COMPUTED_VALUE"""),17703)</f>
        <v>17703</v>
      </c>
      <c r="AN54" s="8">
        <f ca="1">IFERROR(__xludf.DUMMYFUNCTION("""COMPUTED_VALUE"""),2868)</f>
        <v>2868</v>
      </c>
      <c r="AO54" s="8">
        <f ca="1">IFERROR(__xludf.DUMMYFUNCTION("""COMPUTED_VALUE"""),20594)</f>
        <v>20594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</row>
    <row r="55" spans="1:51" ht="13.2" x14ac:dyDescent="0.25">
      <c r="A55" s="11" t="str">
        <f ca="1">IFERROR(__xludf.DUMMYFUNCTION("""COMPUTED_VALUE"""),"                  left Posterior parietal association areas")</f>
        <v xml:space="preserve">                  left Posterior parietal association areas</v>
      </c>
      <c r="B55" s="12">
        <f ca="1">IFERROR(__xludf.DUMMYFUNCTION("""COMPUTED_VALUE"""),6520)</f>
        <v>6520</v>
      </c>
      <c r="C55" s="12">
        <f ca="1">IFERROR(__xludf.DUMMYFUNCTION("""COMPUTED_VALUE"""),17678)</f>
        <v>17678</v>
      </c>
      <c r="D55" s="12">
        <f ca="1">IFERROR(__xludf.DUMMYFUNCTION("""COMPUTED_VALUE"""),9210)</f>
        <v>9210</v>
      </c>
      <c r="E55" s="12">
        <f ca="1">IFERROR(__xludf.DUMMYFUNCTION("""COMPUTED_VALUE"""),10943)</f>
        <v>10943</v>
      </c>
      <c r="F55" s="12">
        <f ca="1">IFERROR(__xludf.DUMMYFUNCTION("""COMPUTED_VALUE"""),12961)</f>
        <v>12961</v>
      </c>
      <c r="G55" s="12">
        <f ca="1">IFERROR(__xludf.DUMMYFUNCTION("""COMPUTED_VALUE"""),5837)</f>
        <v>5837</v>
      </c>
      <c r="H55" s="12">
        <f ca="1">IFERROR(__xludf.DUMMYFUNCTION("""COMPUTED_VALUE"""),12999)</f>
        <v>12999</v>
      </c>
      <c r="I55" s="12">
        <f ca="1">IFERROR(__xludf.DUMMYFUNCTION("""COMPUTED_VALUE"""),7337)</f>
        <v>7337</v>
      </c>
      <c r="J55" s="12">
        <f ca="1">IFERROR(__xludf.DUMMYFUNCTION("""COMPUTED_VALUE"""),8660)</f>
        <v>8660</v>
      </c>
      <c r="K55" s="12">
        <f ca="1">IFERROR(__xludf.DUMMYFUNCTION("""COMPUTED_VALUE"""),6798)</f>
        <v>6798</v>
      </c>
      <c r="L55" s="12">
        <f ca="1">IFERROR(__xludf.DUMMYFUNCTION("""COMPUTED_VALUE"""),4896)</f>
        <v>4896</v>
      </c>
      <c r="M55" s="12">
        <f ca="1">IFERROR(__xludf.DUMMYFUNCTION("""COMPUTED_VALUE"""),17735)</f>
        <v>17735</v>
      </c>
      <c r="N55" s="12">
        <f ca="1">IFERROR(__xludf.DUMMYFUNCTION("""COMPUTED_VALUE"""),2566)</f>
        <v>2566</v>
      </c>
      <c r="O55" s="12">
        <f ca="1">IFERROR(__xludf.DUMMYFUNCTION("""COMPUTED_VALUE"""),16372)</f>
        <v>16372</v>
      </c>
      <c r="P55" s="12">
        <f ca="1">IFERROR(__xludf.DUMMYFUNCTION("""COMPUTED_VALUE"""),963)</f>
        <v>963</v>
      </c>
      <c r="Q55" s="12">
        <f ca="1">IFERROR(__xludf.DUMMYFUNCTION("""COMPUTED_VALUE"""),12490)</f>
        <v>12490</v>
      </c>
      <c r="R55" s="12">
        <f ca="1">IFERROR(__xludf.DUMMYFUNCTION("""COMPUTED_VALUE"""),5914)</f>
        <v>5914</v>
      </c>
      <c r="S55" s="12">
        <f ca="1">IFERROR(__xludf.DUMMYFUNCTION("""COMPUTED_VALUE"""),7819)</f>
        <v>7819</v>
      </c>
      <c r="T55" s="12">
        <f ca="1">IFERROR(__xludf.DUMMYFUNCTION("""COMPUTED_VALUE"""),15528)</f>
        <v>15528</v>
      </c>
      <c r="U55" s="12">
        <f ca="1">IFERROR(__xludf.DUMMYFUNCTION("""COMPUTED_VALUE"""),20338)</f>
        <v>20338</v>
      </c>
      <c r="V55" s="12">
        <f ca="1">IFERROR(__xludf.DUMMYFUNCTION("""COMPUTED_VALUE"""),10113)</f>
        <v>10113</v>
      </c>
      <c r="W55" s="12">
        <f ca="1">IFERROR(__xludf.DUMMYFUNCTION("""COMPUTED_VALUE"""),9818)</f>
        <v>9818</v>
      </c>
      <c r="X55" s="12">
        <f ca="1">IFERROR(__xludf.DUMMYFUNCTION("""COMPUTED_VALUE"""),40300)</f>
        <v>40300</v>
      </c>
      <c r="Y55" s="12">
        <f ca="1">IFERROR(__xludf.DUMMYFUNCTION("""COMPUTED_VALUE"""),12105)</f>
        <v>12105</v>
      </c>
      <c r="Z55" s="12">
        <f ca="1">IFERROR(__xludf.DUMMYFUNCTION("""COMPUTED_VALUE"""),9154)</f>
        <v>9154</v>
      </c>
      <c r="AA55" s="12">
        <f ca="1">IFERROR(__xludf.DUMMYFUNCTION("""COMPUTED_VALUE"""),10385)</f>
        <v>10385</v>
      </c>
      <c r="AB55" s="12">
        <f ca="1">IFERROR(__xludf.DUMMYFUNCTION("""COMPUTED_VALUE"""),10615)</f>
        <v>10615</v>
      </c>
      <c r="AC55" s="12">
        <f ca="1">IFERROR(__xludf.DUMMYFUNCTION("""COMPUTED_VALUE"""),17504)</f>
        <v>17504</v>
      </c>
      <c r="AD55" s="12">
        <f ca="1">IFERROR(__xludf.DUMMYFUNCTION("""COMPUTED_VALUE"""),18415)</f>
        <v>18415</v>
      </c>
      <c r="AE55" s="12">
        <f ca="1">IFERROR(__xludf.DUMMYFUNCTION("""COMPUTED_VALUE"""),29268)</f>
        <v>29268</v>
      </c>
      <c r="AF55" s="8">
        <f ca="1">IFERROR(__xludf.DUMMYFUNCTION("""COMPUTED_VALUE"""),31449)</f>
        <v>31449</v>
      </c>
      <c r="AG55" s="8">
        <f ca="1">IFERROR(__xludf.DUMMYFUNCTION("""COMPUTED_VALUE"""),1966)</f>
        <v>1966</v>
      </c>
      <c r="AH55" s="8">
        <f ca="1">IFERROR(__xludf.DUMMYFUNCTION("""COMPUTED_VALUE"""),23066)</f>
        <v>23066</v>
      </c>
      <c r="AI55" s="8">
        <f ca="1">IFERROR(__xludf.DUMMYFUNCTION("""COMPUTED_VALUE"""),19454)</f>
        <v>19454</v>
      </c>
      <c r="AJ55" s="8">
        <f ca="1">IFERROR(__xludf.DUMMYFUNCTION("""COMPUTED_VALUE"""),3949)</f>
        <v>3949</v>
      </c>
      <c r="AK55" s="8">
        <f ca="1">IFERROR(__xludf.DUMMYFUNCTION("""COMPUTED_VALUE"""),312)</f>
        <v>312</v>
      </c>
      <c r="AL55" s="8">
        <f ca="1">IFERROR(__xludf.DUMMYFUNCTION("""COMPUTED_VALUE"""),8404)</f>
        <v>8404</v>
      </c>
      <c r="AM55" s="8">
        <f ca="1">IFERROR(__xludf.DUMMYFUNCTION("""COMPUTED_VALUE"""),13608)</f>
        <v>13608</v>
      </c>
      <c r="AN55" s="8">
        <f ca="1">IFERROR(__xludf.DUMMYFUNCTION("""COMPUTED_VALUE"""),6096)</f>
        <v>6096</v>
      </c>
      <c r="AO55" s="8">
        <f ca="1">IFERROR(__xludf.DUMMYFUNCTION("""COMPUTED_VALUE"""),2955)</f>
        <v>2955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</row>
    <row r="56" spans="1:51" ht="13.2" x14ac:dyDescent="0.25">
      <c r="A56" s="11" t="str">
        <f ca="1">IFERROR(__xludf.DUMMYFUNCTION("""COMPUTED_VALUE"""),"                     left Anterior area")</f>
        <v xml:space="preserve">                     left Anterior area</v>
      </c>
      <c r="B56" s="12">
        <f ca="1">IFERROR(__xludf.DUMMYFUNCTION("""COMPUTED_VALUE"""),1725)</f>
        <v>1725</v>
      </c>
      <c r="C56" s="12">
        <f ca="1">IFERROR(__xludf.DUMMYFUNCTION("""COMPUTED_VALUE"""),12169)</f>
        <v>12169</v>
      </c>
      <c r="D56" s="12">
        <f ca="1">IFERROR(__xludf.DUMMYFUNCTION("""COMPUTED_VALUE"""),5614)</f>
        <v>5614</v>
      </c>
      <c r="E56" s="12">
        <f ca="1">IFERROR(__xludf.DUMMYFUNCTION("""COMPUTED_VALUE"""),5292)</f>
        <v>5292</v>
      </c>
      <c r="F56" s="12">
        <f ca="1">IFERROR(__xludf.DUMMYFUNCTION("""COMPUTED_VALUE"""),7291)</f>
        <v>7291</v>
      </c>
      <c r="G56" s="12">
        <f ca="1">IFERROR(__xludf.DUMMYFUNCTION("""COMPUTED_VALUE"""),2616)</f>
        <v>2616</v>
      </c>
      <c r="H56" s="12">
        <f ca="1">IFERROR(__xludf.DUMMYFUNCTION("""COMPUTED_VALUE"""),7395)</f>
        <v>7395</v>
      </c>
      <c r="I56" s="12">
        <f ca="1">IFERROR(__xludf.DUMMYFUNCTION("""COMPUTED_VALUE"""),3707)</f>
        <v>3707</v>
      </c>
      <c r="J56" s="12">
        <f ca="1">IFERROR(__xludf.DUMMYFUNCTION("""COMPUTED_VALUE"""),5277)</f>
        <v>5277</v>
      </c>
      <c r="K56" s="12">
        <f ca="1">IFERROR(__xludf.DUMMYFUNCTION("""COMPUTED_VALUE"""),2951)</f>
        <v>2951</v>
      </c>
      <c r="L56" s="12">
        <f ca="1">IFERROR(__xludf.DUMMYFUNCTION("""COMPUTED_VALUE"""),2652)</f>
        <v>2652</v>
      </c>
      <c r="M56" s="12">
        <f ca="1">IFERROR(__xludf.DUMMYFUNCTION("""COMPUTED_VALUE"""),8399)</f>
        <v>8399</v>
      </c>
      <c r="N56" s="12">
        <f ca="1">IFERROR(__xludf.DUMMYFUNCTION("""COMPUTED_VALUE"""),1149)</f>
        <v>1149</v>
      </c>
      <c r="O56" s="12">
        <f ca="1">IFERROR(__xludf.DUMMYFUNCTION("""COMPUTED_VALUE"""),8262)</f>
        <v>8262</v>
      </c>
      <c r="P56" s="12">
        <f ca="1">IFERROR(__xludf.DUMMYFUNCTION("""COMPUTED_VALUE"""),267)</f>
        <v>267</v>
      </c>
      <c r="Q56" s="12">
        <f ca="1">IFERROR(__xludf.DUMMYFUNCTION("""COMPUTED_VALUE"""),5667)</f>
        <v>5667</v>
      </c>
      <c r="R56" s="12">
        <f ca="1">IFERROR(__xludf.DUMMYFUNCTION("""COMPUTED_VALUE"""),2093)</f>
        <v>2093</v>
      </c>
      <c r="S56" s="12">
        <f ca="1">IFERROR(__xludf.DUMMYFUNCTION("""COMPUTED_VALUE"""),5671)</f>
        <v>5671</v>
      </c>
      <c r="T56" s="12">
        <f ca="1">IFERROR(__xludf.DUMMYFUNCTION("""COMPUTED_VALUE"""),9554)</f>
        <v>9554</v>
      </c>
      <c r="U56" s="12">
        <f ca="1">IFERROR(__xludf.DUMMYFUNCTION("""COMPUTED_VALUE"""),7047)</f>
        <v>7047</v>
      </c>
      <c r="V56" s="12">
        <f ca="1">IFERROR(__xludf.DUMMYFUNCTION("""COMPUTED_VALUE"""),3913)</f>
        <v>3913</v>
      </c>
      <c r="W56" s="12">
        <f ca="1">IFERROR(__xludf.DUMMYFUNCTION("""COMPUTED_VALUE"""),6267)</f>
        <v>6267</v>
      </c>
      <c r="X56" s="12">
        <f ca="1">IFERROR(__xludf.DUMMYFUNCTION("""COMPUTED_VALUE"""),10301)</f>
        <v>10301</v>
      </c>
      <c r="Y56" s="12">
        <f ca="1">IFERROR(__xludf.DUMMYFUNCTION("""COMPUTED_VALUE"""),6242)</f>
        <v>6242</v>
      </c>
      <c r="Z56" s="12">
        <f ca="1">IFERROR(__xludf.DUMMYFUNCTION("""COMPUTED_VALUE"""),2784)</f>
        <v>2784</v>
      </c>
      <c r="AA56" s="12">
        <f ca="1">IFERROR(__xludf.DUMMYFUNCTION("""COMPUTED_VALUE"""),7544)</f>
        <v>7544</v>
      </c>
      <c r="AB56" s="12">
        <f ca="1">IFERROR(__xludf.DUMMYFUNCTION("""COMPUTED_VALUE"""),4870)</f>
        <v>4870</v>
      </c>
      <c r="AC56" s="12">
        <f ca="1">IFERROR(__xludf.DUMMYFUNCTION("""COMPUTED_VALUE"""),8526)</f>
        <v>8526</v>
      </c>
      <c r="AD56" s="12">
        <f ca="1">IFERROR(__xludf.DUMMYFUNCTION("""COMPUTED_VALUE"""),8224)</f>
        <v>8224</v>
      </c>
      <c r="AE56" s="12">
        <f ca="1">IFERROR(__xludf.DUMMYFUNCTION("""COMPUTED_VALUE"""),14236)</f>
        <v>14236</v>
      </c>
      <c r="AF56" s="8">
        <f ca="1">IFERROR(__xludf.DUMMYFUNCTION("""COMPUTED_VALUE"""),8095)</f>
        <v>8095</v>
      </c>
      <c r="AG56" s="8">
        <f ca="1">IFERROR(__xludf.DUMMYFUNCTION("""COMPUTED_VALUE"""),518)</f>
        <v>518</v>
      </c>
      <c r="AH56" s="8">
        <f ca="1">IFERROR(__xludf.DUMMYFUNCTION("""COMPUTED_VALUE"""),11463)</f>
        <v>11463</v>
      </c>
      <c r="AI56" s="8">
        <f ca="1">IFERROR(__xludf.DUMMYFUNCTION("""COMPUTED_VALUE"""),9163)</f>
        <v>9163</v>
      </c>
      <c r="AJ56" s="8">
        <f ca="1">IFERROR(__xludf.DUMMYFUNCTION("""COMPUTED_VALUE"""),1421)</f>
        <v>1421</v>
      </c>
      <c r="AK56" s="8">
        <f ca="1">IFERROR(__xludf.DUMMYFUNCTION("""COMPUTED_VALUE"""),145)</f>
        <v>145</v>
      </c>
      <c r="AL56" s="8">
        <f ca="1">IFERROR(__xludf.DUMMYFUNCTION("""COMPUTED_VALUE"""),1981)</f>
        <v>1981</v>
      </c>
      <c r="AM56" s="8">
        <f ca="1">IFERROR(__xludf.DUMMYFUNCTION("""COMPUTED_VALUE"""),7144)</f>
        <v>7144</v>
      </c>
      <c r="AN56" s="8">
        <f ca="1">IFERROR(__xludf.DUMMYFUNCTION("""COMPUTED_VALUE"""),1538)</f>
        <v>1538</v>
      </c>
      <c r="AO56" s="8">
        <f ca="1">IFERROR(__xludf.DUMMYFUNCTION("""COMPUTED_VALUE"""),1456)</f>
        <v>1456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</row>
    <row r="57" spans="1:51" ht="13.2" x14ac:dyDescent="0.25">
      <c r="A57" s="11" t="str">
        <f ca="1">IFERROR(__xludf.DUMMYFUNCTION("""COMPUTED_VALUE"""),"                     left Rostrolateral visual area")</f>
        <v xml:space="preserve">                     left Rostrolateral visual area</v>
      </c>
      <c r="B57" s="12">
        <f ca="1">IFERROR(__xludf.DUMMYFUNCTION("""COMPUTED_VALUE"""),4795)</f>
        <v>4795</v>
      </c>
      <c r="C57" s="12">
        <f ca="1">IFERROR(__xludf.DUMMYFUNCTION("""COMPUTED_VALUE"""),5509)</f>
        <v>5509</v>
      </c>
      <c r="D57" s="12">
        <f ca="1">IFERROR(__xludf.DUMMYFUNCTION("""COMPUTED_VALUE"""),3596)</f>
        <v>3596</v>
      </c>
      <c r="E57" s="12">
        <f ca="1">IFERROR(__xludf.DUMMYFUNCTION("""COMPUTED_VALUE"""),5651)</f>
        <v>5651</v>
      </c>
      <c r="F57" s="12">
        <f ca="1">IFERROR(__xludf.DUMMYFUNCTION("""COMPUTED_VALUE"""),5670)</f>
        <v>5670</v>
      </c>
      <c r="G57" s="12">
        <f ca="1">IFERROR(__xludf.DUMMYFUNCTION("""COMPUTED_VALUE"""),3221)</f>
        <v>3221</v>
      </c>
      <c r="H57" s="12">
        <f ca="1">IFERROR(__xludf.DUMMYFUNCTION("""COMPUTED_VALUE"""),5604)</f>
        <v>5604</v>
      </c>
      <c r="I57" s="12">
        <f ca="1">IFERROR(__xludf.DUMMYFUNCTION("""COMPUTED_VALUE"""),3630)</f>
        <v>3630</v>
      </c>
      <c r="J57" s="12">
        <f ca="1">IFERROR(__xludf.DUMMYFUNCTION("""COMPUTED_VALUE"""),3383)</f>
        <v>3383</v>
      </c>
      <c r="K57" s="12">
        <f ca="1">IFERROR(__xludf.DUMMYFUNCTION("""COMPUTED_VALUE"""),3847)</f>
        <v>3847</v>
      </c>
      <c r="L57" s="12">
        <f ca="1">IFERROR(__xludf.DUMMYFUNCTION("""COMPUTED_VALUE"""),2244)</f>
        <v>2244</v>
      </c>
      <c r="M57" s="12">
        <f ca="1">IFERROR(__xludf.DUMMYFUNCTION("""COMPUTED_VALUE"""),9336)</f>
        <v>9336</v>
      </c>
      <c r="N57" s="12">
        <f ca="1">IFERROR(__xludf.DUMMYFUNCTION("""COMPUTED_VALUE"""),1417)</f>
        <v>1417</v>
      </c>
      <c r="O57" s="12">
        <f ca="1">IFERROR(__xludf.DUMMYFUNCTION("""COMPUTED_VALUE"""),8110)</f>
        <v>8110</v>
      </c>
      <c r="P57" s="12">
        <f ca="1">IFERROR(__xludf.DUMMYFUNCTION("""COMPUTED_VALUE"""),696)</f>
        <v>696</v>
      </c>
      <c r="Q57" s="12">
        <f ca="1">IFERROR(__xludf.DUMMYFUNCTION("""COMPUTED_VALUE"""),6823)</f>
        <v>6823</v>
      </c>
      <c r="R57" s="12">
        <f ca="1">IFERROR(__xludf.DUMMYFUNCTION("""COMPUTED_VALUE"""),3821)</f>
        <v>3821</v>
      </c>
      <c r="S57" s="12">
        <f ca="1">IFERROR(__xludf.DUMMYFUNCTION("""COMPUTED_VALUE"""),2148)</f>
        <v>2148</v>
      </c>
      <c r="T57" s="12">
        <f ca="1">IFERROR(__xludf.DUMMYFUNCTION("""COMPUTED_VALUE"""),5974)</f>
        <v>5974</v>
      </c>
      <c r="U57" s="12">
        <f ca="1">IFERROR(__xludf.DUMMYFUNCTION("""COMPUTED_VALUE"""),13291)</f>
        <v>13291</v>
      </c>
      <c r="V57" s="12">
        <f ca="1">IFERROR(__xludf.DUMMYFUNCTION("""COMPUTED_VALUE"""),6200)</f>
        <v>6200</v>
      </c>
      <c r="W57" s="12">
        <f ca="1">IFERROR(__xludf.DUMMYFUNCTION("""COMPUTED_VALUE"""),3551)</f>
        <v>3551</v>
      </c>
      <c r="X57" s="12">
        <f ca="1">IFERROR(__xludf.DUMMYFUNCTION("""COMPUTED_VALUE"""),29999)</f>
        <v>29999</v>
      </c>
      <c r="Y57" s="12">
        <f ca="1">IFERROR(__xludf.DUMMYFUNCTION("""COMPUTED_VALUE"""),5863)</f>
        <v>5863</v>
      </c>
      <c r="Z57" s="12">
        <f ca="1">IFERROR(__xludf.DUMMYFUNCTION("""COMPUTED_VALUE"""),6370)</f>
        <v>6370</v>
      </c>
      <c r="AA57" s="12">
        <f ca="1">IFERROR(__xludf.DUMMYFUNCTION("""COMPUTED_VALUE"""),2841)</f>
        <v>2841</v>
      </c>
      <c r="AB57" s="12">
        <f ca="1">IFERROR(__xludf.DUMMYFUNCTION("""COMPUTED_VALUE"""),5745)</f>
        <v>5745</v>
      </c>
      <c r="AC57" s="12">
        <f ca="1">IFERROR(__xludf.DUMMYFUNCTION("""COMPUTED_VALUE"""),8978)</f>
        <v>8978</v>
      </c>
      <c r="AD57" s="12">
        <f ca="1">IFERROR(__xludf.DUMMYFUNCTION("""COMPUTED_VALUE"""),10191)</f>
        <v>10191</v>
      </c>
      <c r="AE57" s="12">
        <f ca="1">IFERROR(__xludf.DUMMYFUNCTION("""COMPUTED_VALUE"""),15032)</f>
        <v>15032</v>
      </c>
      <c r="AF57" s="8">
        <f ca="1">IFERROR(__xludf.DUMMYFUNCTION("""COMPUTED_VALUE"""),23354)</f>
        <v>23354</v>
      </c>
      <c r="AG57" s="8">
        <f ca="1">IFERROR(__xludf.DUMMYFUNCTION("""COMPUTED_VALUE"""),1448)</f>
        <v>1448</v>
      </c>
      <c r="AH57" s="8">
        <f ca="1">IFERROR(__xludf.DUMMYFUNCTION("""COMPUTED_VALUE"""),11603)</f>
        <v>11603</v>
      </c>
      <c r="AI57" s="8">
        <f ca="1">IFERROR(__xludf.DUMMYFUNCTION("""COMPUTED_VALUE"""),10291)</f>
        <v>10291</v>
      </c>
      <c r="AJ57" s="8">
        <f ca="1">IFERROR(__xludf.DUMMYFUNCTION("""COMPUTED_VALUE"""),2528)</f>
        <v>2528</v>
      </c>
      <c r="AK57" s="8">
        <f ca="1">IFERROR(__xludf.DUMMYFUNCTION("""COMPUTED_VALUE"""),167)</f>
        <v>167</v>
      </c>
      <c r="AL57" s="8">
        <f ca="1">IFERROR(__xludf.DUMMYFUNCTION("""COMPUTED_VALUE"""),6423)</f>
        <v>6423</v>
      </c>
      <c r="AM57" s="8">
        <f ca="1">IFERROR(__xludf.DUMMYFUNCTION("""COMPUTED_VALUE"""),6464)</f>
        <v>6464</v>
      </c>
      <c r="AN57" s="8">
        <f ca="1">IFERROR(__xludf.DUMMYFUNCTION("""COMPUTED_VALUE"""),4558)</f>
        <v>4558</v>
      </c>
      <c r="AO57" s="8">
        <f ca="1">IFERROR(__xludf.DUMMYFUNCTION("""COMPUTED_VALUE"""),1499)</f>
        <v>1499</v>
      </c>
      <c r="AP57" s="8"/>
      <c r="AQ57" s="8"/>
      <c r="AR57" s="8"/>
      <c r="AS57" s="8"/>
      <c r="AT57" s="8"/>
      <c r="AU57" s="8"/>
      <c r="AV57" s="8"/>
      <c r="AW57" s="8"/>
      <c r="AX57" s="8"/>
      <c r="AY57" s="8"/>
    </row>
    <row r="58" spans="1:51" ht="13.2" x14ac:dyDescent="0.25">
      <c r="A58" s="11" t="str">
        <f ca="1">IFERROR(__xludf.DUMMYFUNCTION("""COMPUTED_VALUE"""),"                  left Temporal association areas")</f>
        <v xml:space="preserve">                  left Temporal association areas</v>
      </c>
      <c r="B58" s="12">
        <f ca="1">IFERROR(__xludf.DUMMYFUNCTION("""COMPUTED_VALUE"""),21525)</f>
        <v>21525</v>
      </c>
      <c r="C58" s="12">
        <f ca="1">IFERROR(__xludf.DUMMYFUNCTION("""COMPUTED_VALUE"""),21172)</f>
        <v>21172</v>
      </c>
      <c r="D58" s="12">
        <f ca="1">IFERROR(__xludf.DUMMYFUNCTION("""COMPUTED_VALUE"""),34411)</f>
        <v>34411</v>
      </c>
      <c r="E58" s="12">
        <f ca="1">IFERROR(__xludf.DUMMYFUNCTION("""COMPUTED_VALUE"""),30386)</f>
        <v>30386</v>
      </c>
      <c r="F58" s="12">
        <f ca="1">IFERROR(__xludf.DUMMYFUNCTION("""COMPUTED_VALUE"""),22249)</f>
        <v>22249</v>
      </c>
      <c r="G58" s="12">
        <f ca="1">IFERROR(__xludf.DUMMYFUNCTION("""COMPUTED_VALUE"""),4261)</f>
        <v>4261</v>
      </c>
      <c r="H58" s="12">
        <f ca="1">IFERROR(__xludf.DUMMYFUNCTION("""COMPUTED_VALUE"""),13513)</f>
        <v>13513</v>
      </c>
      <c r="I58" s="12">
        <f ca="1">IFERROR(__xludf.DUMMYFUNCTION("""COMPUTED_VALUE"""),5010)</f>
        <v>5010</v>
      </c>
      <c r="J58" s="12">
        <f ca="1">IFERROR(__xludf.DUMMYFUNCTION("""COMPUTED_VALUE"""),8183)</f>
        <v>8183</v>
      </c>
      <c r="K58" s="12">
        <f ca="1">IFERROR(__xludf.DUMMYFUNCTION("""COMPUTED_VALUE"""),5996)</f>
        <v>5996</v>
      </c>
      <c r="L58" s="12">
        <f ca="1">IFERROR(__xludf.DUMMYFUNCTION("""COMPUTED_VALUE"""),18597)</f>
        <v>18597</v>
      </c>
      <c r="M58" s="12">
        <f ca="1">IFERROR(__xludf.DUMMYFUNCTION("""COMPUTED_VALUE"""),28267)</f>
        <v>28267</v>
      </c>
      <c r="N58" s="12">
        <f ca="1">IFERROR(__xludf.DUMMYFUNCTION("""COMPUTED_VALUE"""),4974)</f>
        <v>4974</v>
      </c>
      <c r="O58" s="12">
        <f ca="1">IFERROR(__xludf.DUMMYFUNCTION("""COMPUTED_VALUE"""),24358)</f>
        <v>24358</v>
      </c>
      <c r="P58" s="12">
        <f ca="1">IFERROR(__xludf.DUMMYFUNCTION("""COMPUTED_VALUE"""),11821)</f>
        <v>11821</v>
      </c>
      <c r="Q58" s="12">
        <f ca="1">IFERROR(__xludf.DUMMYFUNCTION("""COMPUTED_VALUE"""),14069)</f>
        <v>14069</v>
      </c>
      <c r="R58" s="12">
        <f ca="1">IFERROR(__xludf.DUMMYFUNCTION("""COMPUTED_VALUE"""),10840)</f>
        <v>10840</v>
      </c>
      <c r="S58" s="12">
        <f ca="1">IFERROR(__xludf.DUMMYFUNCTION("""COMPUTED_VALUE"""),5453)</f>
        <v>5453</v>
      </c>
      <c r="T58" s="12">
        <f ca="1">IFERROR(__xludf.DUMMYFUNCTION("""COMPUTED_VALUE"""),19233)</f>
        <v>19233</v>
      </c>
      <c r="U58" s="12">
        <f ca="1">IFERROR(__xludf.DUMMYFUNCTION("""COMPUTED_VALUE"""),27108)</f>
        <v>27108</v>
      </c>
      <c r="V58" s="12">
        <f ca="1">IFERROR(__xludf.DUMMYFUNCTION("""COMPUTED_VALUE"""),23355)</f>
        <v>23355</v>
      </c>
      <c r="W58" s="12">
        <f ca="1">IFERROR(__xludf.DUMMYFUNCTION("""COMPUTED_VALUE"""),43453)</f>
        <v>43453</v>
      </c>
      <c r="X58" s="12">
        <f ca="1">IFERROR(__xludf.DUMMYFUNCTION("""COMPUTED_VALUE"""),52733)</f>
        <v>52733</v>
      </c>
      <c r="Y58" s="12">
        <f ca="1">IFERROR(__xludf.DUMMYFUNCTION("""COMPUTED_VALUE"""),46025)</f>
        <v>46025</v>
      </c>
      <c r="Z58" s="12">
        <f ca="1">IFERROR(__xludf.DUMMYFUNCTION("""COMPUTED_VALUE"""),66323)</f>
        <v>66323</v>
      </c>
      <c r="AA58" s="12">
        <f ca="1">IFERROR(__xludf.DUMMYFUNCTION("""COMPUTED_VALUE"""),39341)</f>
        <v>39341</v>
      </c>
      <c r="AB58" s="12">
        <f ca="1">IFERROR(__xludf.DUMMYFUNCTION("""COMPUTED_VALUE"""),46443)</f>
        <v>46443</v>
      </c>
      <c r="AC58" s="12">
        <f ca="1">IFERROR(__xludf.DUMMYFUNCTION("""COMPUTED_VALUE"""),43507)</f>
        <v>43507</v>
      </c>
      <c r="AD58" s="12">
        <f ca="1">IFERROR(__xludf.DUMMYFUNCTION("""COMPUTED_VALUE"""),43416)</f>
        <v>43416</v>
      </c>
      <c r="AE58" s="12">
        <f ca="1">IFERROR(__xludf.DUMMYFUNCTION("""COMPUTED_VALUE"""),38323)</f>
        <v>38323</v>
      </c>
      <c r="AF58" s="8">
        <f ca="1">IFERROR(__xludf.DUMMYFUNCTION("""COMPUTED_VALUE"""),74400)</f>
        <v>74400</v>
      </c>
      <c r="AG58" s="8">
        <f ca="1">IFERROR(__xludf.DUMMYFUNCTION("""COMPUTED_VALUE"""),15512)</f>
        <v>15512</v>
      </c>
      <c r="AH58" s="8">
        <f ca="1">IFERROR(__xludf.DUMMYFUNCTION("""COMPUTED_VALUE"""),30543)</f>
        <v>30543</v>
      </c>
      <c r="AI58" s="8">
        <f ca="1">IFERROR(__xludf.DUMMYFUNCTION("""COMPUTED_VALUE"""),43062)</f>
        <v>43062</v>
      </c>
      <c r="AJ58" s="8">
        <f ca="1">IFERROR(__xludf.DUMMYFUNCTION("""COMPUTED_VALUE"""),11640)</f>
        <v>11640</v>
      </c>
      <c r="AK58" s="8">
        <f ca="1">IFERROR(__xludf.DUMMYFUNCTION("""COMPUTED_VALUE"""),7153)</f>
        <v>7153</v>
      </c>
      <c r="AL58" s="8">
        <f ca="1">IFERROR(__xludf.DUMMYFUNCTION("""COMPUTED_VALUE"""),25442)</f>
        <v>25442</v>
      </c>
      <c r="AM58" s="8">
        <f ca="1">IFERROR(__xludf.DUMMYFUNCTION("""COMPUTED_VALUE"""),35079)</f>
        <v>35079</v>
      </c>
      <c r="AN58" s="8">
        <f ca="1">IFERROR(__xludf.DUMMYFUNCTION("""COMPUTED_VALUE"""),22148)</f>
        <v>22148</v>
      </c>
      <c r="AO58" s="8">
        <f ca="1">IFERROR(__xludf.DUMMYFUNCTION("""COMPUTED_VALUE"""),11263)</f>
        <v>11263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</row>
    <row r="59" spans="1:51" ht="13.2" x14ac:dyDescent="0.25">
      <c r="A59" s="11" t="str">
        <f ca="1">IFERROR(__xludf.DUMMYFUNCTION("""COMPUTED_VALUE"""),"                  left Perirhinal area")</f>
        <v xml:space="preserve">                  left Perirhinal area</v>
      </c>
      <c r="B59" s="12">
        <f ca="1">IFERROR(__xludf.DUMMYFUNCTION("""COMPUTED_VALUE"""),1331)</f>
        <v>1331</v>
      </c>
      <c r="C59" s="12">
        <f ca="1">IFERROR(__xludf.DUMMYFUNCTION("""COMPUTED_VALUE"""),770)</f>
        <v>770</v>
      </c>
      <c r="D59" s="12">
        <f ca="1">IFERROR(__xludf.DUMMYFUNCTION("""COMPUTED_VALUE"""),2760)</f>
        <v>2760</v>
      </c>
      <c r="E59" s="12">
        <f ca="1">IFERROR(__xludf.DUMMYFUNCTION("""COMPUTED_VALUE"""),1964)</f>
        <v>1964</v>
      </c>
      <c r="F59" s="12">
        <f ca="1">IFERROR(__xludf.DUMMYFUNCTION("""COMPUTED_VALUE"""),1397)</f>
        <v>1397</v>
      </c>
      <c r="G59" s="12">
        <f ca="1">IFERROR(__xludf.DUMMYFUNCTION("""COMPUTED_VALUE"""),659)</f>
        <v>659</v>
      </c>
      <c r="H59" s="12">
        <f ca="1">IFERROR(__xludf.DUMMYFUNCTION("""COMPUTED_VALUE"""),2319)</f>
        <v>2319</v>
      </c>
      <c r="I59" s="12">
        <f ca="1">IFERROR(__xludf.DUMMYFUNCTION("""COMPUTED_VALUE"""),313)</f>
        <v>313</v>
      </c>
      <c r="J59" s="12">
        <f ca="1">IFERROR(__xludf.DUMMYFUNCTION("""COMPUTED_VALUE"""),245)</f>
        <v>245</v>
      </c>
      <c r="K59" s="12">
        <f ca="1">IFERROR(__xludf.DUMMYFUNCTION("""COMPUTED_VALUE"""),410)</f>
        <v>410</v>
      </c>
      <c r="L59" s="12">
        <f ca="1">IFERROR(__xludf.DUMMYFUNCTION("""COMPUTED_VALUE"""),2282)</f>
        <v>2282</v>
      </c>
      <c r="M59" s="12">
        <f ca="1">IFERROR(__xludf.DUMMYFUNCTION("""COMPUTED_VALUE"""),2886)</f>
        <v>2886</v>
      </c>
      <c r="N59" s="12">
        <f ca="1">IFERROR(__xludf.DUMMYFUNCTION("""COMPUTED_VALUE"""),656)</f>
        <v>656</v>
      </c>
      <c r="O59" s="12">
        <f ca="1">IFERROR(__xludf.DUMMYFUNCTION("""COMPUTED_VALUE"""),2107)</f>
        <v>2107</v>
      </c>
      <c r="P59" s="12">
        <f ca="1">IFERROR(__xludf.DUMMYFUNCTION("""COMPUTED_VALUE"""),929)</f>
        <v>929</v>
      </c>
      <c r="Q59" s="12">
        <f ca="1">IFERROR(__xludf.DUMMYFUNCTION("""COMPUTED_VALUE"""),931)</f>
        <v>931</v>
      </c>
      <c r="R59" s="12">
        <f ca="1">IFERROR(__xludf.DUMMYFUNCTION("""COMPUTED_VALUE"""),532)</f>
        <v>532</v>
      </c>
      <c r="S59" s="12">
        <f ca="1">IFERROR(__xludf.DUMMYFUNCTION("""COMPUTED_VALUE"""),1089)</f>
        <v>1089</v>
      </c>
      <c r="T59" s="12">
        <f ca="1">IFERROR(__xludf.DUMMYFUNCTION("""COMPUTED_VALUE"""),2513)</f>
        <v>2513</v>
      </c>
      <c r="U59" s="12">
        <f ca="1">IFERROR(__xludf.DUMMYFUNCTION("""COMPUTED_VALUE"""),3288)</f>
        <v>3288</v>
      </c>
      <c r="V59" s="12">
        <f ca="1">IFERROR(__xludf.DUMMYFUNCTION("""COMPUTED_VALUE"""),3513)</f>
        <v>3513</v>
      </c>
      <c r="W59" s="12">
        <f ca="1">IFERROR(__xludf.DUMMYFUNCTION("""COMPUTED_VALUE"""),4213)</f>
        <v>4213</v>
      </c>
      <c r="X59" s="12">
        <f ca="1">IFERROR(__xludf.DUMMYFUNCTION("""COMPUTED_VALUE"""),10597)</f>
        <v>10597</v>
      </c>
      <c r="Y59" s="12">
        <f ca="1">IFERROR(__xludf.DUMMYFUNCTION("""COMPUTED_VALUE"""),7283)</f>
        <v>7283</v>
      </c>
      <c r="Z59" s="12">
        <f ca="1">IFERROR(__xludf.DUMMYFUNCTION("""COMPUTED_VALUE"""),11305)</f>
        <v>11305</v>
      </c>
      <c r="AA59" s="12">
        <f ca="1">IFERROR(__xludf.DUMMYFUNCTION("""COMPUTED_VALUE"""),2837)</f>
        <v>2837</v>
      </c>
      <c r="AB59" s="12">
        <f ca="1">IFERROR(__xludf.DUMMYFUNCTION("""COMPUTED_VALUE"""),6936)</f>
        <v>6936</v>
      </c>
      <c r="AC59" s="12">
        <f ca="1">IFERROR(__xludf.DUMMYFUNCTION("""COMPUTED_VALUE"""),6188)</f>
        <v>6188</v>
      </c>
      <c r="AD59" s="12">
        <f ca="1">IFERROR(__xludf.DUMMYFUNCTION("""COMPUTED_VALUE"""),6946)</f>
        <v>6946</v>
      </c>
      <c r="AE59" s="12">
        <f ca="1">IFERROR(__xludf.DUMMYFUNCTION("""COMPUTED_VALUE"""),8685)</f>
        <v>8685</v>
      </c>
      <c r="AF59" s="8">
        <f ca="1">IFERROR(__xludf.DUMMYFUNCTION("""COMPUTED_VALUE"""),11620)</f>
        <v>11620</v>
      </c>
      <c r="AG59" s="8">
        <f ca="1">IFERROR(__xludf.DUMMYFUNCTION("""COMPUTED_VALUE"""),1931)</f>
        <v>1931</v>
      </c>
      <c r="AH59" s="8">
        <f ca="1">IFERROR(__xludf.DUMMYFUNCTION("""COMPUTED_VALUE"""),5905)</f>
        <v>5905</v>
      </c>
      <c r="AI59" s="8">
        <f ca="1">IFERROR(__xludf.DUMMYFUNCTION("""COMPUTED_VALUE"""),4630)</f>
        <v>4630</v>
      </c>
      <c r="AJ59" s="8">
        <f ca="1">IFERROR(__xludf.DUMMYFUNCTION("""COMPUTED_VALUE"""),2040)</f>
        <v>2040</v>
      </c>
      <c r="AK59" s="8">
        <f ca="1">IFERROR(__xludf.DUMMYFUNCTION("""COMPUTED_VALUE"""),3854)</f>
        <v>3854</v>
      </c>
      <c r="AL59" s="8">
        <f ca="1">IFERROR(__xludf.DUMMYFUNCTION("""COMPUTED_VALUE"""),4339)</f>
        <v>4339</v>
      </c>
      <c r="AM59" s="8">
        <f ca="1">IFERROR(__xludf.DUMMYFUNCTION("""COMPUTED_VALUE"""),6682)</f>
        <v>6682</v>
      </c>
      <c r="AN59" s="8">
        <f ca="1">IFERROR(__xludf.DUMMYFUNCTION("""COMPUTED_VALUE"""),5190)</f>
        <v>5190</v>
      </c>
      <c r="AO59" s="8">
        <f ca="1">IFERROR(__xludf.DUMMYFUNCTION("""COMPUTED_VALUE"""),5284)</f>
        <v>5284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</row>
    <row r="60" spans="1:51" ht="13.2" x14ac:dyDescent="0.25">
      <c r="A60" s="11" t="str">
        <f ca="1">IFERROR(__xludf.DUMMYFUNCTION("""COMPUTED_VALUE"""),"                  left Ectorhinal area")</f>
        <v xml:space="preserve">                  left Ectorhinal area</v>
      </c>
      <c r="B60" s="12">
        <f ca="1">IFERROR(__xludf.DUMMYFUNCTION("""COMPUTED_VALUE"""),3865)</f>
        <v>3865</v>
      </c>
      <c r="C60" s="12">
        <f ca="1">IFERROR(__xludf.DUMMYFUNCTION("""COMPUTED_VALUE"""),7407)</f>
        <v>7407</v>
      </c>
      <c r="D60" s="12">
        <f ca="1">IFERROR(__xludf.DUMMYFUNCTION("""COMPUTED_VALUE"""),12540)</f>
        <v>12540</v>
      </c>
      <c r="E60" s="12">
        <f ca="1">IFERROR(__xludf.DUMMYFUNCTION("""COMPUTED_VALUE"""),10170)</f>
        <v>10170</v>
      </c>
      <c r="F60" s="12">
        <f ca="1">IFERROR(__xludf.DUMMYFUNCTION("""COMPUTED_VALUE"""),8653)</f>
        <v>8653</v>
      </c>
      <c r="G60" s="12">
        <f ca="1">IFERROR(__xludf.DUMMYFUNCTION("""COMPUTED_VALUE"""),3351)</f>
        <v>3351</v>
      </c>
      <c r="H60" s="12">
        <f ca="1">IFERROR(__xludf.DUMMYFUNCTION("""COMPUTED_VALUE"""),7890)</f>
        <v>7890</v>
      </c>
      <c r="I60" s="12">
        <f ca="1">IFERROR(__xludf.DUMMYFUNCTION("""COMPUTED_VALUE"""),1487)</f>
        <v>1487</v>
      </c>
      <c r="J60" s="12">
        <f ca="1">IFERROR(__xludf.DUMMYFUNCTION("""COMPUTED_VALUE"""),2001)</f>
        <v>2001</v>
      </c>
      <c r="K60" s="12">
        <f ca="1">IFERROR(__xludf.DUMMYFUNCTION("""COMPUTED_VALUE"""),3147)</f>
        <v>3147</v>
      </c>
      <c r="L60" s="12">
        <f ca="1">IFERROR(__xludf.DUMMYFUNCTION("""COMPUTED_VALUE"""),8006)</f>
        <v>8006</v>
      </c>
      <c r="M60" s="12">
        <f ca="1">IFERROR(__xludf.DUMMYFUNCTION("""COMPUTED_VALUE"""),11891)</f>
        <v>11891</v>
      </c>
      <c r="N60" s="12">
        <f ca="1">IFERROR(__xludf.DUMMYFUNCTION("""COMPUTED_VALUE"""),1755)</f>
        <v>1755</v>
      </c>
      <c r="O60" s="12">
        <f ca="1">IFERROR(__xludf.DUMMYFUNCTION("""COMPUTED_VALUE"""),7310)</f>
        <v>7310</v>
      </c>
      <c r="P60" s="12">
        <f ca="1">IFERROR(__xludf.DUMMYFUNCTION("""COMPUTED_VALUE"""),2950)</f>
        <v>2950</v>
      </c>
      <c r="Q60" s="12">
        <f ca="1">IFERROR(__xludf.DUMMYFUNCTION("""COMPUTED_VALUE"""),5291)</f>
        <v>5291</v>
      </c>
      <c r="R60" s="12">
        <f ca="1">IFERROR(__xludf.DUMMYFUNCTION("""COMPUTED_VALUE"""),2766)</f>
        <v>2766</v>
      </c>
      <c r="S60" s="12">
        <f ca="1">IFERROR(__xludf.DUMMYFUNCTION("""COMPUTED_VALUE"""),2340)</f>
        <v>2340</v>
      </c>
      <c r="T60" s="12">
        <f ca="1">IFERROR(__xludf.DUMMYFUNCTION("""COMPUTED_VALUE"""),9892)</f>
        <v>9892</v>
      </c>
      <c r="U60" s="12">
        <f ca="1">IFERROR(__xludf.DUMMYFUNCTION("""COMPUTED_VALUE"""),13840)</f>
        <v>13840</v>
      </c>
      <c r="V60" s="12">
        <f ca="1">IFERROR(__xludf.DUMMYFUNCTION("""COMPUTED_VALUE"""),8180)</f>
        <v>8180</v>
      </c>
      <c r="W60" s="12">
        <f ca="1">IFERROR(__xludf.DUMMYFUNCTION("""COMPUTED_VALUE"""),18292)</f>
        <v>18292</v>
      </c>
      <c r="X60" s="12">
        <f ca="1">IFERROR(__xludf.DUMMYFUNCTION("""COMPUTED_VALUE"""),34072)</f>
        <v>34072</v>
      </c>
      <c r="Y60" s="12">
        <f ca="1">IFERROR(__xludf.DUMMYFUNCTION("""COMPUTED_VALUE"""),20509)</f>
        <v>20509</v>
      </c>
      <c r="Z60" s="12">
        <f ca="1">IFERROR(__xludf.DUMMYFUNCTION("""COMPUTED_VALUE"""),31377)</f>
        <v>31377</v>
      </c>
      <c r="AA60" s="12">
        <f ca="1">IFERROR(__xludf.DUMMYFUNCTION("""COMPUTED_VALUE"""),13761)</f>
        <v>13761</v>
      </c>
      <c r="AB60" s="12">
        <f ca="1">IFERROR(__xludf.DUMMYFUNCTION("""COMPUTED_VALUE"""),18175)</f>
        <v>18175</v>
      </c>
      <c r="AC60" s="12">
        <f ca="1">IFERROR(__xludf.DUMMYFUNCTION("""COMPUTED_VALUE"""),23117)</f>
        <v>23117</v>
      </c>
      <c r="AD60" s="12">
        <f ca="1">IFERROR(__xludf.DUMMYFUNCTION("""COMPUTED_VALUE"""),15435)</f>
        <v>15435</v>
      </c>
      <c r="AE60" s="12">
        <f ca="1">IFERROR(__xludf.DUMMYFUNCTION("""COMPUTED_VALUE"""),20747)</f>
        <v>20747</v>
      </c>
      <c r="AF60" s="8">
        <f ca="1">IFERROR(__xludf.DUMMYFUNCTION("""COMPUTED_VALUE"""),36255)</f>
        <v>36255</v>
      </c>
      <c r="AG60" s="8">
        <f ca="1">IFERROR(__xludf.DUMMYFUNCTION("""COMPUTED_VALUE"""),7119)</f>
        <v>7119</v>
      </c>
      <c r="AH60" s="8">
        <f ca="1">IFERROR(__xludf.DUMMYFUNCTION("""COMPUTED_VALUE"""),11585)</f>
        <v>11585</v>
      </c>
      <c r="AI60" s="8">
        <f ca="1">IFERROR(__xludf.DUMMYFUNCTION("""COMPUTED_VALUE"""),18419)</f>
        <v>18419</v>
      </c>
      <c r="AJ60" s="8">
        <f ca="1">IFERROR(__xludf.DUMMYFUNCTION("""COMPUTED_VALUE"""),4326)</f>
        <v>4326</v>
      </c>
      <c r="AK60" s="8">
        <f ca="1">IFERROR(__xludf.DUMMYFUNCTION("""COMPUTED_VALUE"""),6360)</f>
        <v>6360</v>
      </c>
      <c r="AL60" s="8">
        <f ca="1">IFERROR(__xludf.DUMMYFUNCTION("""COMPUTED_VALUE"""),13389)</f>
        <v>13389</v>
      </c>
      <c r="AM60" s="8">
        <f ca="1">IFERROR(__xludf.DUMMYFUNCTION("""COMPUTED_VALUE"""),19596)</f>
        <v>19596</v>
      </c>
      <c r="AN60" s="8">
        <f ca="1">IFERROR(__xludf.DUMMYFUNCTION("""COMPUTED_VALUE"""),11805)</f>
        <v>11805</v>
      </c>
      <c r="AO60" s="8">
        <f ca="1">IFERROR(__xludf.DUMMYFUNCTION("""COMPUTED_VALUE"""),8230)</f>
        <v>8230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</row>
    <row r="61" spans="1:51" ht="13.2" x14ac:dyDescent="0.25">
      <c r="A61" s="11" t="str">
        <f ca="1">IFERROR(__xludf.DUMMYFUNCTION("""COMPUTED_VALUE"""),"               left Olfactory areas")</f>
        <v xml:space="preserve">               left Olfactory areas</v>
      </c>
      <c r="B61" s="12">
        <f ca="1">IFERROR(__xludf.DUMMYFUNCTION("""COMPUTED_VALUE"""),120679)</f>
        <v>120679</v>
      </c>
      <c r="C61" s="12">
        <f ca="1">IFERROR(__xludf.DUMMYFUNCTION("""COMPUTED_VALUE"""),131617)</f>
        <v>131617</v>
      </c>
      <c r="D61" s="12">
        <f ca="1">IFERROR(__xludf.DUMMYFUNCTION("""COMPUTED_VALUE"""),180807)</f>
        <v>180807</v>
      </c>
      <c r="E61" s="12">
        <f ca="1">IFERROR(__xludf.DUMMYFUNCTION("""COMPUTED_VALUE"""),202909)</f>
        <v>202909</v>
      </c>
      <c r="F61" s="12">
        <f ca="1">IFERROR(__xludf.DUMMYFUNCTION("""COMPUTED_VALUE"""),116479)</f>
        <v>116479</v>
      </c>
      <c r="G61" s="12">
        <f ca="1">IFERROR(__xludf.DUMMYFUNCTION("""COMPUTED_VALUE"""),57603)</f>
        <v>57603</v>
      </c>
      <c r="H61" s="12">
        <f ca="1">IFERROR(__xludf.DUMMYFUNCTION("""COMPUTED_VALUE"""),79298)</f>
        <v>79298</v>
      </c>
      <c r="I61" s="12">
        <f ca="1">IFERROR(__xludf.DUMMYFUNCTION("""COMPUTED_VALUE"""),38836)</f>
        <v>38836</v>
      </c>
      <c r="J61" s="12">
        <f ca="1">IFERROR(__xludf.DUMMYFUNCTION("""COMPUTED_VALUE"""),56990)</f>
        <v>56990</v>
      </c>
      <c r="K61" s="12">
        <f ca="1">IFERROR(__xludf.DUMMYFUNCTION("""COMPUTED_VALUE"""),95330)</f>
        <v>95330</v>
      </c>
      <c r="L61" s="12">
        <f ca="1">IFERROR(__xludf.DUMMYFUNCTION("""COMPUTED_VALUE"""),173449)</f>
        <v>173449</v>
      </c>
      <c r="M61" s="12">
        <f ca="1">IFERROR(__xludf.DUMMYFUNCTION("""COMPUTED_VALUE"""),209580)</f>
        <v>209580</v>
      </c>
      <c r="N61" s="12">
        <f ca="1">IFERROR(__xludf.DUMMYFUNCTION("""COMPUTED_VALUE"""),101536)</f>
        <v>101536</v>
      </c>
      <c r="O61" s="12">
        <f ca="1">IFERROR(__xludf.DUMMYFUNCTION("""COMPUTED_VALUE"""),179314)</f>
        <v>179314</v>
      </c>
      <c r="P61" s="12">
        <f ca="1">IFERROR(__xludf.DUMMYFUNCTION("""COMPUTED_VALUE"""),58058)</f>
        <v>58058</v>
      </c>
      <c r="Q61" s="12">
        <f ca="1">IFERROR(__xludf.DUMMYFUNCTION("""COMPUTED_VALUE"""),115798)</f>
        <v>115798</v>
      </c>
      <c r="R61" s="12">
        <f ca="1">IFERROR(__xludf.DUMMYFUNCTION("""COMPUTED_VALUE"""),96749)</f>
        <v>96749</v>
      </c>
      <c r="S61" s="12">
        <f ca="1">IFERROR(__xludf.DUMMYFUNCTION("""COMPUTED_VALUE"""),133803)</f>
        <v>133803</v>
      </c>
      <c r="T61" s="12">
        <f ca="1">IFERROR(__xludf.DUMMYFUNCTION("""COMPUTED_VALUE"""),168107)</f>
        <v>168107</v>
      </c>
      <c r="U61" s="12">
        <f ca="1">IFERROR(__xludf.DUMMYFUNCTION("""COMPUTED_VALUE"""),133897)</f>
        <v>133897</v>
      </c>
      <c r="V61" s="12">
        <f ca="1">IFERROR(__xludf.DUMMYFUNCTION("""COMPUTED_VALUE"""),227881)</f>
        <v>227881</v>
      </c>
      <c r="W61" s="12">
        <f ca="1">IFERROR(__xludf.DUMMYFUNCTION("""COMPUTED_VALUE"""),373719)</f>
        <v>373719</v>
      </c>
      <c r="X61" s="12">
        <f ca="1">IFERROR(__xludf.DUMMYFUNCTION("""COMPUTED_VALUE"""),447243)</f>
        <v>447243</v>
      </c>
      <c r="Y61" s="12">
        <f ca="1">IFERROR(__xludf.DUMMYFUNCTION("""COMPUTED_VALUE"""),116998)</f>
        <v>116998</v>
      </c>
      <c r="Z61" s="12">
        <f ca="1">IFERROR(__xludf.DUMMYFUNCTION("""COMPUTED_VALUE"""),309426)</f>
        <v>309426</v>
      </c>
      <c r="AA61" s="12">
        <f ca="1">IFERROR(__xludf.DUMMYFUNCTION("""COMPUTED_VALUE"""),223237)</f>
        <v>223237</v>
      </c>
      <c r="AB61" s="12">
        <f ca="1">IFERROR(__xludf.DUMMYFUNCTION("""COMPUTED_VALUE"""),133821)</f>
        <v>133821</v>
      </c>
      <c r="AC61" s="12">
        <f ca="1">IFERROR(__xludf.DUMMYFUNCTION("""COMPUTED_VALUE"""),144072)</f>
        <v>144072</v>
      </c>
      <c r="AD61" s="12">
        <f ca="1">IFERROR(__xludf.DUMMYFUNCTION("""COMPUTED_VALUE"""),212300)</f>
        <v>212300</v>
      </c>
      <c r="AE61" s="12">
        <f ca="1">IFERROR(__xludf.DUMMYFUNCTION("""COMPUTED_VALUE"""),207031)</f>
        <v>207031</v>
      </c>
      <c r="AF61" s="8">
        <f ca="1">IFERROR(__xludf.DUMMYFUNCTION("""COMPUTED_VALUE"""),338099)</f>
        <v>338099</v>
      </c>
      <c r="AG61" s="8">
        <f ca="1">IFERROR(__xludf.DUMMYFUNCTION("""COMPUTED_VALUE"""),194475)</f>
        <v>194475</v>
      </c>
      <c r="AH61" s="8">
        <f ca="1">IFERROR(__xludf.DUMMYFUNCTION("""COMPUTED_VALUE"""),198717)</f>
        <v>198717</v>
      </c>
      <c r="AI61" s="8">
        <f ca="1">IFERROR(__xludf.DUMMYFUNCTION("""COMPUTED_VALUE"""),125828)</f>
        <v>125828</v>
      </c>
      <c r="AJ61" s="8">
        <f ca="1">IFERROR(__xludf.DUMMYFUNCTION("""COMPUTED_VALUE"""),106235)</f>
        <v>106235</v>
      </c>
      <c r="AK61" s="8">
        <f ca="1">IFERROR(__xludf.DUMMYFUNCTION("""COMPUTED_VALUE"""),63515)</f>
        <v>63515</v>
      </c>
      <c r="AL61" s="8">
        <f ca="1">IFERROR(__xludf.DUMMYFUNCTION("""COMPUTED_VALUE"""),118448)</f>
        <v>118448</v>
      </c>
      <c r="AM61" s="8">
        <f ca="1">IFERROR(__xludf.DUMMYFUNCTION("""COMPUTED_VALUE"""),118470)</f>
        <v>118470</v>
      </c>
      <c r="AN61" s="8">
        <f ca="1">IFERROR(__xludf.DUMMYFUNCTION("""COMPUTED_VALUE"""),119723)</f>
        <v>119723</v>
      </c>
      <c r="AO61" s="8">
        <f ca="1">IFERROR(__xludf.DUMMYFUNCTION("""COMPUTED_VALUE"""),111000)</f>
        <v>111000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</row>
    <row r="62" spans="1:51" ht="13.2" x14ac:dyDescent="0.25">
      <c r="A62" s="11" t="str">
        <f ca="1">IFERROR(__xludf.DUMMYFUNCTION("""COMPUTED_VALUE"""),"                  left Main olfactory bulb")</f>
        <v xml:space="preserve">                  left Main olfactory bulb</v>
      </c>
      <c r="B62" s="12">
        <f ca="1">IFERROR(__xludf.DUMMYFUNCTION("""COMPUTED_VALUE"""),60869)</f>
        <v>60869</v>
      </c>
      <c r="C62" s="12">
        <f ca="1">IFERROR(__xludf.DUMMYFUNCTION("""COMPUTED_VALUE"""),27689)</f>
        <v>27689</v>
      </c>
      <c r="D62" s="12">
        <f ca="1">IFERROR(__xludf.DUMMYFUNCTION("""COMPUTED_VALUE"""),52047)</f>
        <v>52047</v>
      </c>
      <c r="E62" s="12">
        <f ca="1">IFERROR(__xludf.DUMMYFUNCTION("""COMPUTED_VALUE"""),74815)</f>
        <v>74815</v>
      </c>
      <c r="F62" s="12">
        <f ca="1">IFERROR(__xludf.DUMMYFUNCTION("""COMPUTED_VALUE"""),52184)</f>
        <v>52184</v>
      </c>
      <c r="G62" s="12">
        <f ca="1">IFERROR(__xludf.DUMMYFUNCTION("""COMPUTED_VALUE"""),25209)</f>
        <v>25209</v>
      </c>
      <c r="H62" s="12">
        <f ca="1">IFERROR(__xludf.DUMMYFUNCTION("""COMPUTED_VALUE"""),26422)</f>
        <v>26422</v>
      </c>
      <c r="I62" s="12">
        <f ca="1">IFERROR(__xludf.DUMMYFUNCTION("""COMPUTED_VALUE"""),13653)</f>
        <v>13653</v>
      </c>
      <c r="J62" s="12">
        <f ca="1">IFERROR(__xludf.DUMMYFUNCTION("""COMPUTED_VALUE"""),17274)</f>
        <v>17274</v>
      </c>
      <c r="K62" s="12">
        <f ca="1">IFERROR(__xludf.DUMMYFUNCTION("""COMPUTED_VALUE"""),35576)</f>
        <v>35576</v>
      </c>
      <c r="L62" s="12">
        <f ca="1">IFERROR(__xludf.DUMMYFUNCTION("""COMPUTED_VALUE"""),62824)</f>
        <v>62824</v>
      </c>
      <c r="M62" s="12">
        <f ca="1">IFERROR(__xludf.DUMMYFUNCTION("""COMPUTED_VALUE"""),71698)</f>
        <v>71698</v>
      </c>
      <c r="N62" s="12">
        <f ca="1">IFERROR(__xludf.DUMMYFUNCTION("""COMPUTED_VALUE"""),27727)</f>
        <v>27727</v>
      </c>
      <c r="O62" s="12">
        <f ca="1">IFERROR(__xludf.DUMMYFUNCTION("""COMPUTED_VALUE"""),61109)</f>
        <v>61109</v>
      </c>
      <c r="P62" s="12">
        <f ca="1">IFERROR(__xludf.DUMMYFUNCTION("""COMPUTED_VALUE"""),15861)</f>
        <v>15861</v>
      </c>
      <c r="Q62" s="12">
        <f ca="1">IFERROR(__xludf.DUMMYFUNCTION("""COMPUTED_VALUE"""),51846)</f>
        <v>51846</v>
      </c>
      <c r="R62" s="12">
        <f ca="1">IFERROR(__xludf.DUMMYFUNCTION("""COMPUTED_VALUE"""),42620)</f>
        <v>42620</v>
      </c>
      <c r="S62" s="12">
        <f ca="1">IFERROR(__xludf.DUMMYFUNCTION("""COMPUTED_VALUE"""),63185)</f>
        <v>63185</v>
      </c>
      <c r="T62" s="12">
        <f ca="1">IFERROR(__xludf.DUMMYFUNCTION("""COMPUTED_VALUE"""),47977)</f>
        <v>47977</v>
      </c>
      <c r="U62" s="12">
        <f ca="1">IFERROR(__xludf.DUMMYFUNCTION("""COMPUTED_VALUE"""),43392)</f>
        <v>43392</v>
      </c>
      <c r="V62" s="12">
        <f ca="1">IFERROR(__xludf.DUMMYFUNCTION("""COMPUTED_VALUE"""),100969)</f>
        <v>100969</v>
      </c>
      <c r="W62" s="12">
        <f ca="1">IFERROR(__xludf.DUMMYFUNCTION("""COMPUTED_VALUE"""),139198)</f>
        <v>139198</v>
      </c>
      <c r="X62" s="12">
        <f ca="1">IFERROR(__xludf.DUMMYFUNCTION("""COMPUTED_VALUE"""),172820)</f>
        <v>172820</v>
      </c>
      <c r="Y62" s="12">
        <f ca="1">IFERROR(__xludf.DUMMYFUNCTION("""COMPUTED_VALUE"""),28194)</f>
        <v>28194</v>
      </c>
      <c r="Z62" s="12">
        <f ca="1">IFERROR(__xludf.DUMMYFUNCTION("""COMPUTED_VALUE"""),122744)</f>
        <v>122744</v>
      </c>
      <c r="AA62" s="12">
        <f ca="1">IFERROR(__xludf.DUMMYFUNCTION("""COMPUTED_VALUE"""),60988)</f>
        <v>60988</v>
      </c>
      <c r="AB62" s="12">
        <f ca="1">IFERROR(__xludf.DUMMYFUNCTION("""COMPUTED_VALUE"""),42979)</f>
        <v>42979</v>
      </c>
      <c r="AC62" s="12">
        <f ca="1">IFERROR(__xludf.DUMMYFUNCTION("""COMPUTED_VALUE"""),44401)</f>
        <v>44401</v>
      </c>
      <c r="AD62" s="12">
        <f ca="1">IFERROR(__xludf.DUMMYFUNCTION("""COMPUTED_VALUE"""),67301)</f>
        <v>67301</v>
      </c>
      <c r="AE62" s="12">
        <f ca="1">IFERROR(__xludf.DUMMYFUNCTION("""COMPUTED_VALUE"""),48638)</f>
        <v>48638</v>
      </c>
      <c r="AF62" s="8">
        <f ca="1">IFERROR(__xludf.DUMMYFUNCTION("""COMPUTED_VALUE"""),125509)</f>
        <v>125509</v>
      </c>
      <c r="AG62" s="8">
        <f ca="1">IFERROR(__xludf.DUMMYFUNCTION("""COMPUTED_VALUE"""),81423)</f>
        <v>81423</v>
      </c>
      <c r="AH62" s="8">
        <f ca="1">IFERROR(__xludf.DUMMYFUNCTION("""COMPUTED_VALUE"""),51648)</f>
        <v>51648</v>
      </c>
      <c r="AI62" s="8">
        <f ca="1">IFERROR(__xludf.DUMMYFUNCTION("""COMPUTED_VALUE"""),29391)</f>
        <v>29391</v>
      </c>
      <c r="AJ62" s="8">
        <f ca="1">IFERROR(__xludf.DUMMYFUNCTION("""COMPUTED_VALUE"""),42114)</f>
        <v>42114</v>
      </c>
      <c r="AK62" s="8">
        <f ca="1">IFERROR(__xludf.DUMMYFUNCTION("""COMPUTED_VALUE"""),14029)</f>
        <v>14029</v>
      </c>
      <c r="AL62" s="8">
        <f ca="1">IFERROR(__xludf.DUMMYFUNCTION("""COMPUTED_VALUE"""),32157)</f>
        <v>32157</v>
      </c>
      <c r="AM62" s="8">
        <f ca="1">IFERROR(__xludf.DUMMYFUNCTION("""COMPUTED_VALUE"""),9549)</f>
        <v>9549</v>
      </c>
      <c r="AN62" s="8">
        <f ca="1">IFERROR(__xludf.DUMMYFUNCTION("""COMPUTED_VALUE"""),25284)</f>
        <v>25284</v>
      </c>
      <c r="AO62" s="8">
        <f ca="1">IFERROR(__xludf.DUMMYFUNCTION("""COMPUTED_VALUE"""),39263)</f>
        <v>39263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</row>
    <row r="63" spans="1:51" ht="13.2" x14ac:dyDescent="0.25">
      <c r="A63" s="11" t="str">
        <f ca="1">IFERROR(__xludf.DUMMYFUNCTION("""COMPUTED_VALUE"""),"                  left Accessory olfactory bulb")</f>
        <v xml:space="preserve">                  left Accessory olfactory bulb</v>
      </c>
      <c r="B63" s="12">
        <f ca="1">IFERROR(__xludf.DUMMYFUNCTION("""COMPUTED_VALUE"""),1043)</f>
        <v>1043</v>
      </c>
      <c r="C63" s="12">
        <f ca="1">IFERROR(__xludf.DUMMYFUNCTION("""COMPUTED_VALUE"""),1431)</f>
        <v>1431</v>
      </c>
      <c r="D63" s="12">
        <f ca="1">IFERROR(__xludf.DUMMYFUNCTION("""COMPUTED_VALUE"""),852)</f>
        <v>852</v>
      </c>
      <c r="E63" s="12">
        <f ca="1">IFERROR(__xludf.DUMMYFUNCTION("""COMPUTED_VALUE"""),3999)</f>
        <v>3999</v>
      </c>
      <c r="F63" s="12">
        <f ca="1">IFERROR(__xludf.DUMMYFUNCTION("""COMPUTED_VALUE"""),2803)</f>
        <v>2803</v>
      </c>
      <c r="G63" s="12">
        <f ca="1">IFERROR(__xludf.DUMMYFUNCTION("""COMPUTED_VALUE"""),583)</f>
        <v>583</v>
      </c>
      <c r="H63" s="12">
        <f ca="1">IFERROR(__xludf.DUMMYFUNCTION("""COMPUTED_VALUE"""),995)</f>
        <v>995</v>
      </c>
      <c r="I63" s="12">
        <f ca="1">IFERROR(__xludf.DUMMYFUNCTION("""COMPUTED_VALUE"""),397)</f>
        <v>397</v>
      </c>
      <c r="J63" s="12">
        <f ca="1">IFERROR(__xludf.DUMMYFUNCTION("""COMPUTED_VALUE"""),857)</f>
        <v>857</v>
      </c>
      <c r="K63" s="12">
        <f ca="1">IFERROR(__xludf.DUMMYFUNCTION("""COMPUTED_VALUE"""),2070)</f>
        <v>2070</v>
      </c>
      <c r="L63" s="12">
        <f ca="1">IFERROR(__xludf.DUMMYFUNCTION("""COMPUTED_VALUE"""),3862)</f>
        <v>3862</v>
      </c>
      <c r="M63" s="12">
        <f ca="1">IFERROR(__xludf.DUMMYFUNCTION("""COMPUTED_VALUE"""),4286)</f>
        <v>4286</v>
      </c>
      <c r="N63" s="12">
        <f ca="1">IFERROR(__xludf.DUMMYFUNCTION("""COMPUTED_VALUE"""),1452)</f>
        <v>1452</v>
      </c>
      <c r="O63" s="12">
        <f ca="1">IFERROR(__xludf.DUMMYFUNCTION("""COMPUTED_VALUE"""),2789)</f>
        <v>2789</v>
      </c>
      <c r="P63" s="12">
        <f ca="1">IFERROR(__xludf.DUMMYFUNCTION("""COMPUTED_VALUE"""),266)</f>
        <v>266</v>
      </c>
      <c r="Q63" s="12">
        <f ca="1">IFERROR(__xludf.DUMMYFUNCTION("""COMPUTED_VALUE"""),3269)</f>
        <v>3269</v>
      </c>
      <c r="R63" s="12">
        <f ca="1">IFERROR(__xludf.DUMMYFUNCTION("""COMPUTED_VALUE"""),2146)</f>
        <v>2146</v>
      </c>
      <c r="S63" s="12">
        <f ca="1">IFERROR(__xludf.DUMMYFUNCTION("""COMPUTED_VALUE"""),3582)</f>
        <v>3582</v>
      </c>
      <c r="T63" s="12">
        <f ca="1">IFERROR(__xludf.DUMMYFUNCTION("""COMPUTED_VALUE"""),3179)</f>
        <v>3179</v>
      </c>
      <c r="U63" s="12">
        <f ca="1">IFERROR(__xludf.DUMMYFUNCTION("""COMPUTED_VALUE"""),2532)</f>
        <v>2532</v>
      </c>
      <c r="V63" s="12">
        <f ca="1">IFERROR(__xludf.DUMMYFUNCTION("""COMPUTED_VALUE"""),4269)</f>
        <v>4269</v>
      </c>
      <c r="W63" s="12">
        <f ca="1">IFERROR(__xludf.DUMMYFUNCTION("""COMPUTED_VALUE"""),12153)</f>
        <v>12153</v>
      </c>
      <c r="X63" s="12">
        <f ca="1">IFERROR(__xludf.DUMMYFUNCTION("""COMPUTED_VALUE"""),6477)</f>
        <v>6477</v>
      </c>
      <c r="Y63" s="12">
        <f ca="1">IFERROR(__xludf.DUMMYFUNCTION("""COMPUTED_VALUE"""),2641)</f>
        <v>2641</v>
      </c>
      <c r="Z63" s="12">
        <f ca="1">IFERROR(__xludf.DUMMYFUNCTION("""COMPUTED_VALUE"""),10980)</f>
        <v>10980</v>
      </c>
      <c r="AA63" s="12">
        <f ca="1">IFERROR(__xludf.DUMMYFUNCTION("""COMPUTED_VALUE"""),2516)</f>
        <v>2516</v>
      </c>
      <c r="AB63" s="12">
        <f ca="1">IFERROR(__xludf.DUMMYFUNCTION("""COMPUTED_VALUE"""),2502)</f>
        <v>2502</v>
      </c>
      <c r="AC63" s="12">
        <f ca="1">IFERROR(__xludf.DUMMYFUNCTION("""COMPUTED_VALUE"""),4123)</f>
        <v>4123</v>
      </c>
      <c r="AD63" s="12">
        <f ca="1">IFERROR(__xludf.DUMMYFUNCTION("""COMPUTED_VALUE"""),5106)</f>
        <v>5106</v>
      </c>
      <c r="AE63" s="12">
        <f ca="1">IFERROR(__xludf.DUMMYFUNCTION("""COMPUTED_VALUE"""),7850)</f>
        <v>7850</v>
      </c>
      <c r="AF63" s="8">
        <f ca="1">IFERROR(__xludf.DUMMYFUNCTION("""COMPUTED_VALUE"""),4019)</f>
        <v>4019</v>
      </c>
      <c r="AG63" s="8">
        <f ca="1">IFERROR(__xludf.DUMMYFUNCTION("""COMPUTED_VALUE"""),7984)</f>
        <v>7984</v>
      </c>
      <c r="AH63" s="8">
        <f ca="1">IFERROR(__xludf.DUMMYFUNCTION("""COMPUTED_VALUE"""),3201)</f>
        <v>3201</v>
      </c>
      <c r="AI63" s="8">
        <f ca="1">IFERROR(__xludf.DUMMYFUNCTION("""COMPUTED_VALUE"""),1161)</f>
        <v>1161</v>
      </c>
      <c r="AJ63" s="8">
        <f ca="1">IFERROR(__xludf.DUMMYFUNCTION("""COMPUTED_VALUE"""),6479)</f>
        <v>6479</v>
      </c>
      <c r="AK63" s="8">
        <f ca="1">IFERROR(__xludf.DUMMYFUNCTION("""COMPUTED_VALUE"""),1701)</f>
        <v>1701</v>
      </c>
      <c r="AL63" s="8">
        <f ca="1">IFERROR(__xludf.DUMMYFUNCTION("""COMPUTED_VALUE"""),2363)</f>
        <v>2363</v>
      </c>
      <c r="AM63" s="8">
        <f ca="1">IFERROR(__xludf.DUMMYFUNCTION("""COMPUTED_VALUE"""),363)</f>
        <v>363</v>
      </c>
      <c r="AN63" s="8">
        <f ca="1">IFERROR(__xludf.DUMMYFUNCTION("""COMPUTED_VALUE"""),4186)</f>
        <v>4186</v>
      </c>
      <c r="AO63" s="8">
        <f ca="1">IFERROR(__xludf.DUMMYFUNCTION("""COMPUTED_VALUE"""),853)</f>
        <v>853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</row>
    <row r="64" spans="1:51" ht="13.2" x14ac:dyDescent="0.25">
      <c r="A64" s="11" t="str">
        <f ca="1">IFERROR(__xludf.DUMMYFUNCTION("""COMPUTED_VALUE"""),"                  left Anterior olfactory nucleus")</f>
        <v xml:space="preserve">                  left Anterior olfactory nucleus</v>
      </c>
      <c r="B64" s="12">
        <f ca="1">IFERROR(__xludf.DUMMYFUNCTION("""COMPUTED_VALUE"""),11021)</f>
        <v>11021</v>
      </c>
      <c r="C64" s="12">
        <f ca="1">IFERROR(__xludf.DUMMYFUNCTION("""COMPUTED_VALUE"""),37146)</f>
        <v>37146</v>
      </c>
      <c r="D64" s="12">
        <f ca="1">IFERROR(__xludf.DUMMYFUNCTION("""COMPUTED_VALUE"""),25824)</f>
        <v>25824</v>
      </c>
      <c r="E64" s="12">
        <f ca="1">IFERROR(__xludf.DUMMYFUNCTION("""COMPUTED_VALUE"""),25368)</f>
        <v>25368</v>
      </c>
      <c r="F64" s="12">
        <f ca="1">IFERROR(__xludf.DUMMYFUNCTION("""COMPUTED_VALUE"""),17284)</f>
        <v>17284</v>
      </c>
      <c r="G64" s="12">
        <f ca="1">IFERROR(__xludf.DUMMYFUNCTION("""COMPUTED_VALUE"""),7399)</f>
        <v>7399</v>
      </c>
      <c r="H64" s="12">
        <f ca="1">IFERROR(__xludf.DUMMYFUNCTION("""COMPUTED_VALUE"""),12697)</f>
        <v>12697</v>
      </c>
      <c r="I64" s="12">
        <f ca="1">IFERROR(__xludf.DUMMYFUNCTION("""COMPUTED_VALUE"""),6035)</f>
        <v>6035</v>
      </c>
      <c r="J64" s="12">
        <f ca="1">IFERROR(__xludf.DUMMYFUNCTION("""COMPUTED_VALUE"""),13367)</f>
        <v>13367</v>
      </c>
      <c r="K64" s="12">
        <f ca="1">IFERROR(__xludf.DUMMYFUNCTION("""COMPUTED_VALUE"""),14513)</f>
        <v>14513</v>
      </c>
      <c r="L64" s="12">
        <f ca="1">IFERROR(__xludf.DUMMYFUNCTION("""COMPUTED_VALUE"""),30080)</f>
        <v>30080</v>
      </c>
      <c r="M64" s="12">
        <f ca="1">IFERROR(__xludf.DUMMYFUNCTION("""COMPUTED_VALUE"""),37008)</f>
        <v>37008</v>
      </c>
      <c r="N64" s="12">
        <f ca="1">IFERROR(__xludf.DUMMYFUNCTION("""COMPUTED_VALUE"""),17862)</f>
        <v>17862</v>
      </c>
      <c r="O64" s="12">
        <f ca="1">IFERROR(__xludf.DUMMYFUNCTION("""COMPUTED_VALUE"""),34162)</f>
        <v>34162</v>
      </c>
      <c r="P64" s="12">
        <f ca="1">IFERROR(__xludf.DUMMYFUNCTION("""COMPUTED_VALUE"""),10355)</f>
        <v>10355</v>
      </c>
      <c r="Q64" s="12">
        <f ca="1">IFERROR(__xludf.DUMMYFUNCTION("""COMPUTED_VALUE"""),22141)</f>
        <v>22141</v>
      </c>
      <c r="R64" s="12">
        <f ca="1">IFERROR(__xludf.DUMMYFUNCTION("""COMPUTED_VALUE"""),13758)</f>
        <v>13758</v>
      </c>
      <c r="S64" s="12">
        <f ca="1">IFERROR(__xludf.DUMMYFUNCTION("""COMPUTED_VALUE"""),17042)</f>
        <v>17042</v>
      </c>
      <c r="T64" s="12">
        <f ca="1">IFERROR(__xludf.DUMMYFUNCTION("""COMPUTED_VALUE"""),30031)</f>
        <v>30031</v>
      </c>
      <c r="U64" s="12">
        <f ca="1">IFERROR(__xludf.DUMMYFUNCTION("""COMPUTED_VALUE"""),20623)</f>
        <v>20623</v>
      </c>
      <c r="V64" s="12">
        <f ca="1">IFERROR(__xludf.DUMMYFUNCTION("""COMPUTED_VALUE"""),33430)</f>
        <v>33430</v>
      </c>
      <c r="W64" s="12">
        <f ca="1">IFERROR(__xludf.DUMMYFUNCTION("""COMPUTED_VALUE"""),59150)</f>
        <v>59150</v>
      </c>
      <c r="X64" s="12">
        <f ca="1">IFERROR(__xludf.DUMMYFUNCTION("""COMPUTED_VALUE"""),52046)</f>
        <v>52046</v>
      </c>
      <c r="Y64" s="12">
        <f ca="1">IFERROR(__xludf.DUMMYFUNCTION("""COMPUTED_VALUE"""),14911)</f>
        <v>14911</v>
      </c>
      <c r="Z64" s="12">
        <f ca="1">IFERROR(__xludf.DUMMYFUNCTION("""COMPUTED_VALUE"""),31985)</f>
        <v>31985</v>
      </c>
      <c r="AA64" s="12">
        <f ca="1">IFERROR(__xludf.DUMMYFUNCTION("""COMPUTED_VALUE"""),37967)</f>
        <v>37967</v>
      </c>
      <c r="AB64" s="12">
        <f ca="1">IFERROR(__xludf.DUMMYFUNCTION("""COMPUTED_VALUE"""),21940)</f>
        <v>21940</v>
      </c>
      <c r="AC64" s="12">
        <f ca="1">IFERROR(__xludf.DUMMYFUNCTION("""COMPUTED_VALUE"""),20993)</f>
        <v>20993</v>
      </c>
      <c r="AD64" s="12">
        <f ca="1">IFERROR(__xludf.DUMMYFUNCTION("""COMPUTED_VALUE"""),37054)</f>
        <v>37054</v>
      </c>
      <c r="AE64" s="12">
        <f ca="1">IFERROR(__xludf.DUMMYFUNCTION("""COMPUTED_VALUE"""),24783)</f>
        <v>24783</v>
      </c>
      <c r="AF64" s="8">
        <f ca="1">IFERROR(__xludf.DUMMYFUNCTION("""COMPUTED_VALUE"""),35086)</f>
        <v>35086</v>
      </c>
      <c r="AG64" s="8">
        <f ca="1">IFERROR(__xludf.DUMMYFUNCTION("""COMPUTED_VALUE"""),17025)</f>
        <v>17025</v>
      </c>
      <c r="AH64" s="8">
        <f ca="1">IFERROR(__xludf.DUMMYFUNCTION("""COMPUTED_VALUE"""),25104)</f>
        <v>25104</v>
      </c>
      <c r="AI64" s="8">
        <f ca="1">IFERROR(__xludf.DUMMYFUNCTION("""COMPUTED_VALUE"""),14515)</f>
        <v>14515</v>
      </c>
      <c r="AJ64" s="8">
        <f ca="1">IFERROR(__xludf.DUMMYFUNCTION("""COMPUTED_VALUE"""),17271)</f>
        <v>17271</v>
      </c>
      <c r="AK64" s="8">
        <f ca="1">IFERROR(__xludf.DUMMYFUNCTION("""COMPUTED_VALUE"""),4284)</f>
        <v>4284</v>
      </c>
      <c r="AL64" s="8">
        <f ca="1">IFERROR(__xludf.DUMMYFUNCTION("""COMPUTED_VALUE"""),16673)</f>
        <v>16673</v>
      </c>
      <c r="AM64" s="8">
        <f ca="1">IFERROR(__xludf.DUMMYFUNCTION("""COMPUTED_VALUE"""),18526)</f>
        <v>18526</v>
      </c>
      <c r="AN64" s="8">
        <f ca="1">IFERROR(__xludf.DUMMYFUNCTION("""COMPUTED_VALUE"""),21077)</f>
        <v>21077</v>
      </c>
      <c r="AO64" s="8">
        <f ca="1">IFERROR(__xludf.DUMMYFUNCTION("""COMPUTED_VALUE"""),10686)</f>
        <v>10686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</row>
    <row r="65" spans="1:51" ht="13.2" x14ac:dyDescent="0.25">
      <c r="A65" s="11" t="str">
        <f ca="1">IFERROR(__xludf.DUMMYFUNCTION("""COMPUTED_VALUE"""),"                  left Taenia tecta")</f>
        <v xml:space="preserve">                  left Taenia tecta</v>
      </c>
      <c r="B65" s="12">
        <f ca="1">IFERROR(__xludf.DUMMYFUNCTION("""COMPUTED_VALUE"""),2398)</f>
        <v>2398</v>
      </c>
      <c r="C65" s="12">
        <f ca="1">IFERROR(__xludf.DUMMYFUNCTION("""COMPUTED_VALUE"""),5725)</f>
        <v>5725</v>
      </c>
      <c r="D65" s="12">
        <f ca="1">IFERROR(__xludf.DUMMYFUNCTION("""COMPUTED_VALUE"""),3545)</f>
        <v>3545</v>
      </c>
      <c r="E65" s="12">
        <f ca="1">IFERROR(__xludf.DUMMYFUNCTION("""COMPUTED_VALUE"""),4912)</f>
        <v>4912</v>
      </c>
      <c r="F65" s="12">
        <f ca="1">IFERROR(__xludf.DUMMYFUNCTION("""COMPUTED_VALUE"""),3735)</f>
        <v>3735</v>
      </c>
      <c r="G65" s="12">
        <f ca="1">IFERROR(__xludf.DUMMYFUNCTION("""COMPUTED_VALUE"""),2532)</f>
        <v>2532</v>
      </c>
      <c r="H65" s="12">
        <f ca="1">IFERROR(__xludf.DUMMYFUNCTION("""COMPUTED_VALUE"""),2478)</f>
        <v>2478</v>
      </c>
      <c r="I65" s="12">
        <f ca="1">IFERROR(__xludf.DUMMYFUNCTION("""COMPUTED_VALUE"""),1862)</f>
        <v>1862</v>
      </c>
      <c r="J65" s="12">
        <f ca="1">IFERROR(__xludf.DUMMYFUNCTION("""COMPUTED_VALUE"""),2819)</f>
        <v>2819</v>
      </c>
      <c r="K65" s="12">
        <f ca="1">IFERROR(__xludf.DUMMYFUNCTION("""COMPUTED_VALUE"""),3536)</f>
        <v>3536</v>
      </c>
      <c r="L65" s="12">
        <f ca="1">IFERROR(__xludf.DUMMYFUNCTION("""COMPUTED_VALUE"""),7031)</f>
        <v>7031</v>
      </c>
      <c r="M65" s="12">
        <f ca="1">IFERROR(__xludf.DUMMYFUNCTION("""COMPUTED_VALUE"""),4956)</f>
        <v>4956</v>
      </c>
      <c r="N65" s="12">
        <f ca="1">IFERROR(__xludf.DUMMYFUNCTION("""COMPUTED_VALUE"""),8737)</f>
        <v>8737</v>
      </c>
      <c r="O65" s="12">
        <f ca="1">IFERROR(__xludf.DUMMYFUNCTION("""COMPUTED_VALUE"""),3606)</f>
        <v>3606</v>
      </c>
      <c r="P65" s="12">
        <f ca="1">IFERROR(__xludf.DUMMYFUNCTION("""COMPUTED_VALUE"""),2382)</f>
        <v>2382</v>
      </c>
      <c r="Q65" s="12">
        <f ca="1">IFERROR(__xludf.DUMMYFUNCTION("""COMPUTED_VALUE"""),2906)</f>
        <v>2906</v>
      </c>
      <c r="R65" s="12">
        <f ca="1">IFERROR(__xludf.DUMMYFUNCTION("""COMPUTED_VALUE"""),2956)</f>
        <v>2956</v>
      </c>
      <c r="S65" s="12">
        <f ca="1">IFERROR(__xludf.DUMMYFUNCTION("""COMPUTED_VALUE"""),1738)</f>
        <v>1738</v>
      </c>
      <c r="T65" s="12">
        <f ca="1">IFERROR(__xludf.DUMMYFUNCTION("""COMPUTED_VALUE"""),5447)</f>
        <v>5447</v>
      </c>
      <c r="U65" s="12">
        <f ca="1">IFERROR(__xludf.DUMMYFUNCTION("""COMPUTED_VALUE"""),1678)</f>
        <v>1678</v>
      </c>
      <c r="V65" s="12">
        <f ca="1">IFERROR(__xludf.DUMMYFUNCTION("""COMPUTED_VALUE"""),5009)</f>
        <v>5009</v>
      </c>
      <c r="W65" s="12">
        <f ca="1">IFERROR(__xludf.DUMMYFUNCTION("""COMPUTED_VALUE"""),5615)</f>
        <v>5615</v>
      </c>
      <c r="X65" s="12">
        <f ca="1">IFERROR(__xludf.DUMMYFUNCTION("""COMPUTED_VALUE"""),12148)</f>
        <v>12148</v>
      </c>
      <c r="Y65" s="12">
        <f ca="1">IFERROR(__xludf.DUMMYFUNCTION("""COMPUTED_VALUE"""),2178)</f>
        <v>2178</v>
      </c>
      <c r="Z65" s="12">
        <f ca="1">IFERROR(__xludf.DUMMYFUNCTION("""COMPUTED_VALUE"""),3472)</f>
        <v>3472</v>
      </c>
      <c r="AA65" s="12">
        <f ca="1">IFERROR(__xludf.DUMMYFUNCTION("""COMPUTED_VALUE"""),6193)</f>
        <v>6193</v>
      </c>
      <c r="AB65" s="12">
        <f ca="1">IFERROR(__xludf.DUMMYFUNCTION("""COMPUTED_VALUE"""),1309)</f>
        <v>1309</v>
      </c>
      <c r="AC65" s="12">
        <f ca="1">IFERROR(__xludf.DUMMYFUNCTION("""COMPUTED_VALUE"""),1420)</f>
        <v>1420</v>
      </c>
      <c r="AD65" s="12">
        <f ca="1">IFERROR(__xludf.DUMMYFUNCTION("""COMPUTED_VALUE"""),3145)</f>
        <v>3145</v>
      </c>
      <c r="AE65" s="12">
        <f ca="1">IFERROR(__xludf.DUMMYFUNCTION("""COMPUTED_VALUE"""),2302)</f>
        <v>2302</v>
      </c>
      <c r="AF65" s="8">
        <f ca="1">IFERROR(__xludf.DUMMYFUNCTION("""COMPUTED_VALUE"""),6069)</f>
        <v>6069</v>
      </c>
      <c r="AG65" s="8">
        <f ca="1">IFERROR(__xludf.DUMMYFUNCTION("""COMPUTED_VALUE"""),3629)</f>
        <v>3629</v>
      </c>
      <c r="AH65" s="8">
        <f ca="1">IFERROR(__xludf.DUMMYFUNCTION("""COMPUTED_VALUE"""),4940)</f>
        <v>4940</v>
      </c>
      <c r="AI65" s="8">
        <f ca="1">IFERROR(__xludf.DUMMYFUNCTION("""COMPUTED_VALUE"""),1236)</f>
        <v>1236</v>
      </c>
      <c r="AJ65" s="8">
        <f ca="1">IFERROR(__xludf.DUMMYFUNCTION("""COMPUTED_VALUE"""),1113)</f>
        <v>1113</v>
      </c>
      <c r="AK65" s="8">
        <f ca="1">IFERROR(__xludf.DUMMYFUNCTION("""COMPUTED_VALUE"""),908)</f>
        <v>908</v>
      </c>
      <c r="AL65" s="8">
        <f ca="1">IFERROR(__xludf.DUMMYFUNCTION("""COMPUTED_VALUE"""),2023)</f>
        <v>2023</v>
      </c>
      <c r="AM65" s="8">
        <f ca="1">IFERROR(__xludf.DUMMYFUNCTION("""COMPUTED_VALUE"""),3259)</f>
        <v>3259</v>
      </c>
      <c r="AN65" s="8">
        <f ca="1">IFERROR(__xludf.DUMMYFUNCTION("""COMPUTED_VALUE"""),2097)</f>
        <v>2097</v>
      </c>
      <c r="AO65" s="8">
        <f ca="1">IFERROR(__xludf.DUMMYFUNCTION("""COMPUTED_VALUE"""),1388)</f>
        <v>1388</v>
      </c>
      <c r="AP65" s="8"/>
      <c r="AQ65" s="8"/>
      <c r="AR65" s="8"/>
      <c r="AS65" s="8"/>
      <c r="AT65" s="8"/>
      <c r="AU65" s="8"/>
      <c r="AV65" s="8"/>
      <c r="AW65" s="8"/>
      <c r="AX65" s="8"/>
      <c r="AY65" s="8"/>
    </row>
    <row r="66" spans="1:51" ht="13.2" x14ac:dyDescent="0.25">
      <c r="A66" s="11" t="str">
        <f ca="1">IFERROR(__xludf.DUMMYFUNCTION("""COMPUTED_VALUE"""),"                  left Dorsal peduncular area")</f>
        <v xml:space="preserve">                  left Dorsal peduncular area</v>
      </c>
      <c r="B66" s="12">
        <f ca="1">IFERROR(__xludf.DUMMYFUNCTION("""COMPUTED_VALUE"""),866)</f>
        <v>866</v>
      </c>
      <c r="C66" s="12">
        <f ca="1">IFERROR(__xludf.DUMMYFUNCTION("""COMPUTED_VALUE"""),2529)</f>
        <v>2529</v>
      </c>
      <c r="D66" s="12">
        <f ca="1">IFERROR(__xludf.DUMMYFUNCTION("""COMPUTED_VALUE"""),1603)</f>
        <v>1603</v>
      </c>
      <c r="E66" s="12">
        <f ca="1">IFERROR(__xludf.DUMMYFUNCTION("""COMPUTED_VALUE"""),3050)</f>
        <v>3050</v>
      </c>
      <c r="F66" s="12">
        <f ca="1">IFERROR(__xludf.DUMMYFUNCTION("""COMPUTED_VALUE"""),1942)</f>
        <v>1942</v>
      </c>
      <c r="G66" s="12">
        <f ca="1">IFERROR(__xludf.DUMMYFUNCTION("""COMPUTED_VALUE"""),1633)</f>
        <v>1633</v>
      </c>
      <c r="H66" s="12">
        <f ca="1">IFERROR(__xludf.DUMMYFUNCTION("""COMPUTED_VALUE"""),2039)</f>
        <v>2039</v>
      </c>
      <c r="I66" s="12">
        <f ca="1">IFERROR(__xludf.DUMMYFUNCTION("""COMPUTED_VALUE"""),1151)</f>
        <v>1151</v>
      </c>
      <c r="J66" s="12">
        <f ca="1">IFERROR(__xludf.DUMMYFUNCTION("""COMPUTED_VALUE"""),1799)</f>
        <v>1799</v>
      </c>
      <c r="K66" s="12">
        <f ca="1">IFERROR(__xludf.DUMMYFUNCTION("""COMPUTED_VALUE"""),1750)</f>
        <v>1750</v>
      </c>
      <c r="L66" s="12">
        <f ca="1">IFERROR(__xludf.DUMMYFUNCTION("""COMPUTED_VALUE"""),3171)</f>
        <v>3171</v>
      </c>
      <c r="M66" s="12">
        <f ca="1">IFERROR(__xludf.DUMMYFUNCTION("""COMPUTED_VALUE"""),2487)</f>
        <v>2487</v>
      </c>
      <c r="N66" s="12">
        <f ca="1">IFERROR(__xludf.DUMMYFUNCTION("""COMPUTED_VALUE"""),3290)</f>
        <v>3290</v>
      </c>
      <c r="O66" s="12">
        <f ca="1">IFERROR(__xludf.DUMMYFUNCTION("""COMPUTED_VALUE"""),2320)</f>
        <v>2320</v>
      </c>
      <c r="P66" s="12">
        <f ca="1">IFERROR(__xludf.DUMMYFUNCTION("""COMPUTED_VALUE"""),1199)</f>
        <v>1199</v>
      </c>
      <c r="Q66" s="12">
        <f ca="1">IFERROR(__xludf.DUMMYFUNCTION("""COMPUTED_VALUE"""),1623)</f>
        <v>1623</v>
      </c>
      <c r="R66" s="12">
        <f ca="1">IFERROR(__xludf.DUMMYFUNCTION("""COMPUTED_VALUE"""),1359)</f>
        <v>1359</v>
      </c>
      <c r="S66" s="12">
        <f ca="1">IFERROR(__xludf.DUMMYFUNCTION("""COMPUTED_VALUE"""),531)</f>
        <v>531</v>
      </c>
      <c r="T66" s="12">
        <f ca="1">IFERROR(__xludf.DUMMYFUNCTION("""COMPUTED_VALUE"""),3145)</f>
        <v>3145</v>
      </c>
      <c r="U66" s="12">
        <f ca="1">IFERROR(__xludf.DUMMYFUNCTION("""COMPUTED_VALUE"""),694)</f>
        <v>694</v>
      </c>
      <c r="V66" s="12">
        <f ca="1">IFERROR(__xludf.DUMMYFUNCTION("""COMPUTED_VALUE"""),3123)</f>
        <v>3123</v>
      </c>
      <c r="W66" s="12">
        <f ca="1">IFERROR(__xludf.DUMMYFUNCTION("""COMPUTED_VALUE"""),2967)</f>
        <v>2967</v>
      </c>
      <c r="X66" s="12">
        <f ca="1">IFERROR(__xludf.DUMMYFUNCTION("""COMPUTED_VALUE"""),5592)</f>
        <v>5592</v>
      </c>
      <c r="Y66" s="12">
        <f ca="1">IFERROR(__xludf.DUMMYFUNCTION("""COMPUTED_VALUE"""),1119)</f>
        <v>1119</v>
      </c>
      <c r="Z66" s="12">
        <f ca="1">IFERROR(__xludf.DUMMYFUNCTION("""COMPUTED_VALUE"""),1515)</f>
        <v>1515</v>
      </c>
      <c r="AA66" s="12">
        <f ca="1">IFERROR(__xludf.DUMMYFUNCTION("""COMPUTED_VALUE"""),2571)</f>
        <v>2571</v>
      </c>
      <c r="AB66" s="12">
        <f ca="1">IFERROR(__xludf.DUMMYFUNCTION("""COMPUTED_VALUE"""),1507)</f>
        <v>1507</v>
      </c>
      <c r="AC66" s="12">
        <f ca="1">IFERROR(__xludf.DUMMYFUNCTION("""COMPUTED_VALUE"""),1369)</f>
        <v>1369</v>
      </c>
      <c r="AD66" s="12">
        <f ca="1">IFERROR(__xludf.DUMMYFUNCTION("""COMPUTED_VALUE"""),1379)</f>
        <v>1379</v>
      </c>
      <c r="AE66" s="12">
        <f ca="1">IFERROR(__xludf.DUMMYFUNCTION("""COMPUTED_VALUE"""),2004)</f>
        <v>2004</v>
      </c>
      <c r="AF66" s="8">
        <f ca="1">IFERROR(__xludf.DUMMYFUNCTION("""COMPUTED_VALUE"""),4443)</f>
        <v>4443</v>
      </c>
      <c r="AG66" s="8">
        <f ca="1">IFERROR(__xludf.DUMMYFUNCTION("""COMPUTED_VALUE"""),1952)</f>
        <v>1952</v>
      </c>
      <c r="AH66" s="8">
        <f ca="1">IFERROR(__xludf.DUMMYFUNCTION("""COMPUTED_VALUE"""),3162)</f>
        <v>3162</v>
      </c>
      <c r="AI66" s="8">
        <f ca="1">IFERROR(__xludf.DUMMYFUNCTION("""COMPUTED_VALUE"""),453)</f>
        <v>453</v>
      </c>
      <c r="AJ66" s="8">
        <f ca="1">IFERROR(__xludf.DUMMYFUNCTION("""COMPUTED_VALUE"""),708)</f>
        <v>708</v>
      </c>
      <c r="AK66" s="8">
        <f ca="1">IFERROR(__xludf.DUMMYFUNCTION("""COMPUTED_VALUE"""),499)</f>
        <v>499</v>
      </c>
      <c r="AL66" s="8">
        <f ca="1">IFERROR(__xludf.DUMMYFUNCTION("""COMPUTED_VALUE"""),927)</f>
        <v>927</v>
      </c>
      <c r="AM66" s="8">
        <f ca="1">IFERROR(__xludf.DUMMYFUNCTION("""COMPUTED_VALUE"""),2344)</f>
        <v>2344</v>
      </c>
      <c r="AN66" s="8">
        <f ca="1">IFERROR(__xludf.DUMMYFUNCTION("""COMPUTED_VALUE"""),771)</f>
        <v>771</v>
      </c>
      <c r="AO66" s="8">
        <f ca="1">IFERROR(__xludf.DUMMYFUNCTION("""COMPUTED_VALUE"""),726)</f>
        <v>726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</row>
    <row r="67" spans="1:51" ht="13.2" x14ac:dyDescent="0.25">
      <c r="A67" s="11" t="str">
        <f ca="1">IFERROR(__xludf.DUMMYFUNCTION("""COMPUTED_VALUE"""),"                  left Piriform area")</f>
        <v xml:space="preserve">                  left Piriform area</v>
      </c>
      <c r="B67" s="12">
        <f ca="1">IFERROR(__xludf.DUMMYFUNCTION("""COMPUTED_VALUE"""),28337)</f>
        <v>28337</v>
      </c>
      <c r="C67" s="12">
        <f ca="1">IFERROR(__xludf.DUMMYFUNCTION("""COMPUTED_VALUE"""),27751)</f>
        <v>27751</v>
      </c>
      <c r="D67" s="12">
        <f ca="1">IFERROR(__xludf.DUMMYFUNCTION("""COMPUTED_VALUE"""),52417)</f>
        <v>52417</v>
      </c>
      <c r="E67" s="12">
        <f ca="1">IFERROR(__xludf.DUMMYFUNCTION("""COMPUTED_VALUE"""),55708)</f>
        <v>55708</v>
      </c>
      <c r="F67" s="12">
        <f ca="1">IFERROR(__xludf.DUMMYFUNCTION("""COMPUTED_VALUE"""),21754)</f>
        <v>21754</v>
      </c>
      <c r="G67" s="12">
        <f ca="1">IFERROR(__xludf.DUMMYFUNCTION("""COMPUTED_VALUE"""),12950)</f>
        <v>12950</v>
      </c>
      <c r="H67" s="12">
        <f ca="1">IFERROR(__xludf.DUMMYFUNCTION("""COMPUTED_VALUE"""),23743)</f>
        <v>23743</v>
      </c>
      <c r="I67" s="12">
        <f ca="1">IFERROR(__xludf.DUMMYFUNCTION("""COMPUTED_VALUE"""),8985)</f>
        <v>8985</v>
      </c>
      <c r="J67" s="12">
        <f ca="1">IFERROR(__xludf.DUMMYFUNCTION("""COMPUTED_VALUE"""),12353)</f>
        <v>12353</v>
      </c>
      <c r="K67" s="12">
        <f ca="1">IFERROR(__xludf.DUMMYFUNCTION("""COMPUTED_VALUE"""),23870)</f>
        <v>23870</v>
      </c>
      <c r="L67" s="12">
        <f ca="1">IFERROR(__xludf.DUMMYFUNCTION("""COMPUTED_VALUE"""),36045)</f>
        <v>36045</v>
      </c>
      <c r="M67" s="12">
        <f ca="1">IFERROR(__xludf.DUMMYFUNCTION("""COMPUTED_VALUE"""),60784)</f>
        <v>60784</v>
      </c>
      <c r="N67" s="12">
        <f ca="1">IFERROR(__xludf.DUMMYFUNCTION("""COMPUTED_VALUE"""),23477)</f>
        <v>23477</v>
      </c>
      <c r="O67" s="12">
        <f ca="1">IFERROR(__xludf.DUMMYFUNCTION("""COMPUTED_VALUE"""),52100)</f>
        <v>52100</v>
      </c>
      <c r="P67" s="12">
        <f ca="1">IFERROR(__xludf.DUMMYFUNCTION("""COMPUTED_VALUE"""),19529)</f>
        <v>19529</v>
      </c>
      <c r="Q67" s="12">
        <f ca="1">IFERROR(__xludf.DUMMYFUNCTION("""COMPUTED_VALUE"""),23419)</f>
        <v>23419</v>
      </c>
      <c r="R67" s="12">
        <f ca="1">IFERROR(__xludf.DUMMYFUNCTION("""COMPUTED_VALUE"""),19607)</f>
        <v>19607</v>
      </c>
      <c r="S67" s="12">
        <f ca="1">IFERROR(__xludf.DUMMYFUNCTION("""COMPUTED_VALUE"""),30982)</f>
        <v>30982</v>
      </c>
      <c r="T67" s="12">
        <f ca="1">IFERROR(__xludf.DUMMYFUNCTION("""COMPUTED_VALUE"""),48354)</f>
        <v>48354</v>
      </c>
      <c r="U67" s="12">
        <f ca="1">IFERROR(__xludf.DUMMYFUNCTION("""COMPUTED_VALUE"""),35081)</f>
        <v>35081</v>
      </c>
      <c r="V67" s="12">
        <f ca="1">IFERROR(__xludf.DUMMYFUNCTION("""COMPUTED_VALUE"""),45391)</f>
        <v>45391</v>
      </c>
      <c r="W67" s="12">
        <f ca="1">IFERROR(__xludf.DUMMYFUNCTION("""COMPUTED_VALUE"""),94927)</f>
        <v>94927</v>
      </c>
      <c r="X67" s="12">
        <f ca="1">IFERROR(__xludf.DUMMYFUNCTION("""COMPUTED_VALUE"""),104810)</f>
        <v>104810</v>
      </c>
      <c r="Y67" s="12">
        <f ca="1">IFERROR(__xludf.DUMMYFUNCTION("""COMPUTED_VALUE"""),41550)</f>
        <v>41550</v>
      </c>
      <c r="Z67" s="12">
        <f ca="1">IFERROR(__xludf.DUMMYFUNCTION("""COMPUTED_VALUE"""),74828)</f>
        <v>74828</v>
      </c>
      <c r="AA67" s="12">
        <f ca="1">IFERROR(__xludf.DUMMYFUNCTION("""COMPUTED_VALUE"""),69792)</f>
        <v>69792</v>
      </c>
      <c r="AB67" s="12">
        <f ca="1">IFERROR(__xludf.DUMMYFUNCTION("""COMPUTED_VALUE"""),40119)</f>
        <v>40119</v>
      </c>
      <c r="AC67" s="12">
        <f ca="1">IFERROR(__xludf.DUMMYFUNCTION("""COMPUTED_VALUE"""),50215)</f>
        <v>50215</v>
      </c>
      <c r="AD67" s="12">
        <f ca="1">IFERROR(__xludf.DUMMYFUNCTION("""COMPUTED_VALUE"""),63309)</f>
        <v>63309</v>
      </c>
      <c r="AE67" s="12">
        <f ca="1">IFERROR(__xludf.DUMMYFUNCTION("""COMPUTED_VALUE"""),78529)</f>
        <v>78529</v>
      </c>
      <c r="AF67" s="8">
        <f ca="1">IFERROR(__xludf.DUMMYFUNCTION("""COMPUTED_VALUE"""),101719)</f>
        <v>101719</v>
      </c>
      <c r="AG67" s="8">
        <f ca="1">IFERROR(__xludf.DUMMYFUNCTION("""COMPUTED_VALUE"""),55396)</f>
        <v>55396</v>
      </c>
      <c r="AH67" s="8">
        <f ca="1">IFERROR(__xludf.DUMMYFUNCTION("""COMPUTED_VALUE"""),64085)</f>
        <v>64085</v>
      </c>
      <c r="AI67" s="8">
        <f ca="1">IFERROR(__xludf.DUMMYFUNCTION("""COMPUTED_VALUE"""),52618)</f>
        <v>52618</v>
      </c>
      <c r="AJ67" s="8">
        <f ca="1">IFERROR(__xludf.DUMMYFUNCTION("""COMPUTED_VALUE"""),23549)</f>
        <v>23549</v>
      </c>
      <c r="AK67" s="8">
        <f ca="1">IFERROR(__xludf.DUMMYFUNCTION("""COMPUTED_VALUE"""),29731)</f>
        <v>29731</v>
      </c>
      <c r="AL67" s="8">
        <f ca="1">IFERROR(__xludf.DUMMYFUNCTION("""COMPUTED_VALUE"""),42966)</f>
        <v>42966</v>
      </c>
      <c r="AM67" s="8">
        <f ca="1">IFERROR(__xludf.DUMMYFUNCTION("""COMPUTED_VALUE"""),57593)</f>
        <v>57593</v>
      </c>
      <c r="AN67" s="8">
        <f ca="1">IFERROR(__xludf.DUMMYFUNCTION("""COMPUTED_VALUE"""),45504)</f>
        <v>45504</v>
      </c>
      <c r="AO67" s="8">
        <f ca="1">IFERROR(__xludf.DUMMYFUNCTION("""COMPUTED_VALUE"""),35547)</f>
        <v>35547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</row>
    <row r="68" spans="1:51" ht="13.2" x14ac:dyDescent="0.25">
      <c r="A68" s="11" t="str">
        <f ca="1">IFERROR(__xludf.DUMMYFUNCTION("""COMPUTED_VALUE"""),"                  left Nucleus of the lateral olfactory tract")</f>
        <v xml:space="preserve">                  left Nucleus of the lateral olfactory tract</v>
      </c>
      <c r="B68" s="12">
        <f ca="1">IFERROR(__xludf.DUMMYFUNCTION("""COMPUTED_VALUE"""),448)</f>
        <v>448</v>
      </c>
      <c r="C68" s="12">
        <f ca="1">IFERROR(__xludf.DUMMYFUNCTION("""COMPUTED_VALUE"""),784)</f>
        <v>784</v>
      </c>
      <c r="D68" s="12">
        <f ca="1">IFERROR(__xludf.DUMMYFUNCTION("""COMPUTED_VALUE"""),1156)</f>
        <v>1156</v>
      </c>
      <c r="E68" s="12">
        <f ca="1">IFERROR(__xludf.DUMMYFUNCTION("""COMPUTED_VALUE"""),1253)</f>
        <v>1253</v>
      </c>
      <c r="F68" s="12">
        <f ca="1">IFERROR(__xludf.DUMMYFUNCTION("""COMPUTED_VALUE"""),340)</f>
        <v>340</v>
      </c>
      <c r="G68" s="12">
        <f ca="1">IFERROR(__xludf.DUMMYFUNCTION("""COMPUTED_VALUE"""),62)</f>
        <v>62</v>
      </c>
      <c r="H68" s="12">
        <f ca="1">IFERROR(__xludf.DUMMYFUNCTION("""COMPUTED_VALUE"""),45)</f>
        <v>45</v>
      </c>
      <c r="I68" s="12">
        <f ca="1">IFERROR(__xludf.DUMMYFUNCTION("""COMPUTED_VALUE"""),36)</f>
        <v>36</v>
      </c>
      <c r="J68" s="12">
        <f ca="1">IFERROR(__xludf.DUMMYFUNCTION("""COMPUTED_VALUE"""),248)</f>
        <v>248</v>
      </c>
      <c r="K68" s="12">
        <f ca="1">IFERROR(__xludf.DUMMYFUNCTION("""COMPUTED_VALUE"""),703)</f>
        <v>703</v>
      </c>
      <c r="L68" s="12">
        <f ca="1">IFERROR(__xludf.DUMMYFUNCTION("""COMPUTED_VALUE"""),1006)</f>
        <v>1006</v>
      </c>
      <c r="M68" s="12">
        <f ca="1">IFERROR(__xludf.DUMMYFUNCTION("""COMPUTED_VALUE"""),1001)</f>
        <v>1001</v>
      </c>
      <c r="N68" s="12">
        <f ca="1">IFERROR(__xludf.DUMMYFUNCTION("""COMPUTED_VALUE"""),255)</f>
        <v>255</v>
      </c>
      <c r="O68" s="12">
        <f ca="1">IFERROR(__xludf.DUMMYFUNCTION("""COMPUTED_VALUE"""),1203)</f>
        <v>1203</v>
      </c>
      <c r="P68" s="12">
        <f ca="1">IFERROR(__xludf.DUMMYFUNCTION("""COMPUTED_VALUE"""),189)</f>
        <v>189</v>
      </c>
      <c r="Q68" s="12">
        <f ca="1">IFERROR(__xludf.DUMMYFUNCTION("""COMPUTED_VALUE"""),238)</f>
        <v>238</v>
      </c>
      <c r="R68" s="12">
        <f ca="1">IFERROR(__xludf.DUMMYFUNCTION("""COMPUTED_VALUE"""),137)</f>
        <v>137</v>
      </c>
      <c r="S68" s="12">
        <f ca="1">IFERROR(__xludf.DUMMYFUNCTION("""COMPUTED_VALUE"""),448)</f>
        <v>448</v>
      </c>
      <c r="T68" s="12">
        <f ca="1">IFERROR(__xludf.DUMMYFUNCTION("""COMPUTED_VALUE"""),1084)</f>
        <v>1084</v>
      </c>
      <c r="U68" s="12">
        <f ca="1">IFERROR(__xludf.DUMMYFUNCTION("""COMPUTED_VALUE"""),368)</f>
        <v>368</v>
      </c>
      <c r="V68" s="12">
        <f ca="1">IFERROR(__xludf.DUMMYFUNCTION("""COMPUTED_VALUE"""),348)</f>
        <v>348</v>
      </c>
      <c r="W68" s="12">
        <f ca="1">IFERROR(__xludf.DUMMYFUNCTION("""COMPUTED_VALUE"""),1886)</f>
        <v>1886</v>
      </c>
      <c r="X68" s="12">
        <f ca="1">IFERROR(__xludf.DUMMYFUNCTION("""COMPUTED_VALUE"""),983)</f>
        <v>983</v>
      </c>
      <c r="Y68" s="12">
        <f ca="1">IFERROR(__xludf.DUMMYFUNCTION("""COMPUTED_VALUE"""),317)</f>
        <v>317</v>
      </c>
      <c r="Z68" s="12">
        <f ca="1">IFERROR(__xludf.DUMMYFUNCTION("""COMPUTED_VALUE"""),890)</f>
        <v>890</v>
      </c>
      <c r="AA68" s="12">
        <f ca="1">IFERROR(__xludf.DUMMYFUNCTION("""COMPUTED_VALUE"""),1032)</f>
        <v>1032</v>
      </c>
      <c r="AB68" s="12">
        <f ca="1">IFERROR(__xludf.DUMMYFUNCTION("""COMPUTED_VALUE"""),662)</f>
        <v>662</v>
      </c>
      <c r="AC68" s="12">
        <f ca="1">IFERROR(__xludf.DUMMYFUNCTION("""COMPUTED_VALUE"""),394)</f>
        <v>394</v>
      </c>
      <c r="AD68" s="12">
        <f ca="1">IFERROR(__xludf.DUMMYFUNCTION("""COMPUTED_VALUE"""),1084)</f>
        <v>1084</v>
      </c>
      <c r="AE68" s="12">
        <f ca="1">IFERROR(__xludf.DUMMYFUNCTION("""COMPUTED_VALUE"""),1580)</f>
        <v>1580</v>
      </c>
      <c r="AF68" s="8">
        <f ca="1">IFERROR(__xludf.DUMMYFUNCTION("""COMPUTED_VALUE"""),1857)</f>
        <v>1857</v>
      </c>
      <c r="AG68" s="8">
        <f ca="1">IFERROR(__xludf.DUMMYFUNCTION("""COMPUTED_VALUE"""),754)</f>
        <v>754</v>
      </c>
      <c r="AH68" s="8">
        <f ca="1">IFERROR(__xludf.DUMMYFUNCTION("""COMPUTED_VALUE"""),1119)</f>
        <v>1119</v>
      </c>
      <c r="AI68" s="8">
        <f ca="1">IFERROR(__xludf.DUMMYFUNCTION("""COMPUTED_VALUE"""),586)</f>
        <v>586</v>
      </c>
      <c r="AJ68" s="8">
        <f ca="1">IFERROR(__xludf.DUMMYFUNCTION("""COMPUTED_VALUE"""),863)</f>
        <v>863</v>
      </c>
      <c r="AK68" s="8">
        <f ca="1">IFERROR(__xludf.DUMMYFUNCTION("""COMPUTED_VALUE"""),194)</f>
        <v>194</v>
      </c>
      <c r="AL68" s="8">
        <f ca="1">IFERROR(__xludf.DUMMYFUNCTION("""COMPUTED_VALUE"""),209)</f>
        <v>209</v>
      </c>
      <c r="AM68" s="8">
        <f ca="1">IFERROR(__xludf.DUMMYFUNCTION("""COMPUTED_VALUE"""),456)</f>
        <v>456</v>
      </c>
      <c r="AN68" s="8">
        <f ca="1">IFERROR(__xludf.DUMMYFUNCTION("""COMPUTED_VALUE"""),668)</f>
        <v>668</v>
      </c>
      <c r="AO68" s="8">
        <f ca="1">IFERROR(__xludf.DUMMYFUNCTION("""COMPUTED_VALUE"""),478)</f>
        <v>478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</row>
    <row r="69" spans="1:51" ht="13.2" x14ac:dyDescent="0.25">
      <c r="A69" s="11" t="str">
        <f ca="1">IFERROR(__xludf.DUMMYFUNCTION("""COMPUTED_VALUE"""),"                  left Cortical amygdalar area")</f>
        <v xml:space="preserve">                  left Cortical amygdalar area</v>
      </c>
      <c r="B69" s="12">
        <f ca="1">IFERROR(__xludf.DUMMYFUNCTION("""COMPUTED_VALUE"""),3085)</f>
        <v>3085</v>
      </c>
      <c r="C69" s="12">
        <f ca="1">IFERROR(__xludf.DUMMYFUNCTION("""COMPUTED_VALUE"""),9309)</f>
        <v>9309</v>
      </c>
      <c r="D69" s="12">
        <f ca="1">IFERROR(__xludf.DUMMYFUNCTION("""COMPUTED_VALUE"""),15289)</f>
        <v>15289</v>
      </c>
      <c r="E69" s="12">
        <f ca="1">IFERROR(__xludf.DUMMYFUNCTION("""COMPUTED_VALUE"""),10357)</f>
        <v>10357</v>
      </c>
      <c r="F69" s="12">
        <f ca="1">IFERROR(__xludf.DUMMYFUNCTION("""COMPUTED_VALUE"""),2603)</f>
        <v>2603</v>
      </c>
      <c r="G69" s="12">
        <f ca="1">IFERROR(__xludf.DUMMYFUNCTION("""COMPUTED_VALUE"""),1366)</f>
        <v>1366</v>
      </c>
      <c r="H69" s="12">
        <f ca="1">IFERROR(__xludf.DUMMYFUNCTION("""COMPUTED_VALUE"""),946)</f>
        <v>946</v>
      </c>
      <c r="I69" s="12">
        <f ca="1">IFERROR(__xludf.DUMMYFUNCTION("""COMPUTED_VALUE"""),692)</f>
        <v>692</v>
      </c>
      <c r="J69" s="12">
        <f ca="1">IFERROR(__xludf.DUMMYFUNCTION("""COMPUTED_VALUE"""),1948)</f>
        <v>1948</v>
      </c>
      <c r="K69" s="12">
        <f ca="1">IFERROR(__xludf.DUMMYFUNCTION("""COMPUTED_VALUE"""),3994)</f>
        <v>3994</v>
      </c>
      <c r="L69" s="12">
        <f ca="1">IFERROR(__xludf.DUMMYFUNCTION("""COMPUTED_VALUE"""),9766)</f>
        <v>9766</v>
      </c>
      <c r="M69" s="12">
        <f ca="1">IFERROR(__xludf.DUMMYFUNCTION("""COMPUTED_VALUE"""),6536)</f>
        <v>6536</v>
      </c>
      <c r="N69" s="12">
        <f ca="1">IFERROR(__xludf.DUMMYFUNCTION("""COMPUTED_VALUE"""),3660)</f>
        <v>3660</v>
      </c>
      <c r="O69" s="12">
        <f ca="1">IFERROR(__xludf.DUMMYFUNCTION("""COMPUTED_VALUE"""),4302)</f>
        <v>4302</v>
      </c>
      <c r="P69" s="12">
        <f ca="1">IFERROR(__xludf.DUMMYFUNCTION("""COMPUTED_VALUE"""),1564)</f>
        <v>1564</v>
      </c>
      <c r="Q69" s="12">
        <f ca="1">IFERROR(__xludf.DUMMYFUNCTION("""COMPUTED_VALUE"""),2155)</f>
        <v>2155</v>
      </c>
      <c r="R69" s="12">
        <f ca="1">IFERROR(__xludf.DUMMYFUNCTION("""COMPUTED_VALUE"""),2045)</f>
        <v>2045</v>
      </c>
      <c r="S69" s="12">
        <f ca="1">IFERROR(__xludf.DUMMYFUNCTION("""COMPUTED_VALUE"""),4465)</f>
        <v>4465</v>
      </c>
      <c r="T69" s="12">
        <f ca="1">IFERROR(__xludf.DUMMYFUNCTION("""COMPUTED_VALUE"""),10569)</f>
        <v>10569</v>
      </c>
      <c r="U69" s="12">
        <f ca="1">IFERROR(__xludf.DUMMYFUNCTION("""COMPUTED_VALUE"""),4915)</f>
        <v>4915</v>
      </c>
      <c r="V69" s="12">
        <f ca="1">IFERROR(__xludf.DUMMYFUNCTION("""COMPUTED_VALUE"""),10367)</f>
        <v>10367</v>
      </c>
      <c r="W69" s="12">
        <f ca="1">IFERROR(__xludf.DUMMYFUNCTION("""COMPUTED_VALUE"""),16206)</f>
        <v>16206</v>
      </c>
      <c r="X69" s="12">
        <f ca="1">IFERROR(__xludf.DUMMYFUNCTION("""COMPUTED_VALUE"""),18434)</f>
        <v>18434</v>
      </c>
      <c r="Y69" s="12">
        <f ca="1">IFERROR(__xludf.DUMMYFUNCTION("""COMPUTED_VALUE"""),10534)</f>
        <v>10534</v>
      </c>
      <c r="Z69" s="12">
        <f ca="1">IFERROR(__xludf.DUMMYFUNCTION("""COMPUTED_VALUE"""),17567)</f>
        <v>17567</v>
      </c>
      <c r="AA69" s="12">
        <f ca="1">IFERROR(__xludf.DUMMYFUNCTION("""COMPUTED_VALUE"""),12707)</f>
        <v>12707</v>
      </c>
      <c r="AB69" s="12">
        <f ca="1">IFERROR(__xludf.DUMMYFUNCTION("""COMPUTED_VALUE"""),6569)</f>
        <v>6569</v>
      </c>
      <c r="AC69" s="12">
        <f ca="1">IFERROR(__xludf.DUMMYFUNCTION("""COMPUTED_VALUE"""),6221)</f>
        <v>6221</v>
      </c>
      <c r="AD69" s="12">
        <f ca="1">IFERROR(__xludf.DUMMYFUNCTION("""COMPUTED_VALUE"""),12718)</f>
        <v>12718</v>
      </c>
      <c r="AE69" s="12">
        <f ca="1">IFERROR(__xludf.DUMMYFUNCTION("""COMPUTED_VALUE"""),15772)</f>
        <v>15772</v>
      </c>
      <c r="AF69" s="8">
        <f ca="1">IFERROR(__xludf.DUMMYFUNCTION("""COMPUTED_VALUE"""),17981)</f>
        <v>17981</v>
      </c>
      <c r="AG69" s="8">
        <f ca="1">IFERROR(__xludf.DUMMYFUNCTION("""COMPUTED_VALUE"""),10042)</f>
        <v>10042</v>
      </c>
      <c r="AH69" s="8">
        <f ca="1">IFERROR(__xludf.DUMMYFUNCTION("""COMPUTED_VALUE"""),14790)</f>
        <v>14790</v>
      </c>
      <c r="AI69" s="8">
        <f ca="1">IFERROR(__xludf.DUMMYFUNCTION("""COMPUTED_VALUE"""),6296)</f>
        <v>6296</v>
      </c>
      <c r="AJ69" s="8">
        <f ca="1">IFERROR(__xludf.DUMMYFUNCTION("""COMPUTED_VALUE"""),4467)</f>
        <v>4467</v>
      </c>
      <c r="AK69" s="8">
        <f ca="1">IFERROR(__xludf.DUMMYFUNCTION("""COMPUTED_VALUE"""),4339)</f>
        <v>4339</v>
      </c>
      <c r="AL69" s="8">
        <f ca="1">IFERROR(__xludf.DUMMYFUNCTION("""COMPUTED_VALUE"""),5101)</f>
        <v>5101</v>
      </c>
      <c r="AM69" s="8">
        <f ca="1">IFERROR(__xludf.DUMMYFUNCTION("""COMPUTED_VALUE"""),7499)</f>
        <v>7499</v>
      </c>
      <c r="AN69" s="8">
        <f ca="1">IFERROR(__xludf.DUMMYFUNCTION("""COMPUTED_VALUE"""),7076)</f>
        <v>7076</v>
      </c>
      <c r="AO69" s="8">
        <f ca="1">IFERROR(__xludf.DUMMYFUNCTION("""COMPUTED_VALUE"""),7858)</f>
        <v>7858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</row>
    <row r="70" spans="1:51" ht="13.2" x14ac:dyDescent="0.25">
      <c r="A70" s="11" t="str">
        <f ca="1">IFERROR(__xludf.DUMMYFUNCTION("""COMPUTED_VALUE"""),"                     left Cortical amygdalar area, anterior part")</f>
        <v xml:space="preserve">                     left Cortical amygdalar area, anterior part</v>
      </c>
      <c r="B70" s="12">
        <f ca="1">IFERROR(__xludf.DUMMYFUNCTION("""COMPUTED_VALUE"""),1776)</f>
        <v>1776</v>
      </c>
      <c r="C70" s="12">
        <f ca="1">IFERROR(__xludf.DUMMYFUNCTION("""COMPUTED_VALUE"""),2260)</f>
        <v>2260</v>
      </c>
      <c r="D70" s="12">
        <f ca="1">IFERROR(__xludf.DUMMYFUNCTION("""COMPUTED_VALUE"""),5870)</f>
        <v>5870</v>
      </c>
      <c r="E70" s="12">
        <f ca="1">IFERROR(__xludf.DUMMYFUNCTION("""COMPUTED_VALUE"""),4110)</f>
        <v>4110</v>
      </c>
      <c r="F70" s="12">
        <f ca="1">IFERROR(__xludf.DUMMYFUNCTION("""COMPUTED_VALUE"""),717)</f>
        <v>717</v>
      </c>
      <c r="G70" s="12">
        <f ca="1">IFERROR(__xludf.DUMMYFUNCTION("""COMPUTED_VALUE"""),436)</f>
        <v>436</v>
      </c>
      <c r="H70" s="12">
        <f ca="1">IFERROR(__xludf.DUMMYFUNCTION("""COMPUTED_VALUE"""),235)</f>
        <v>235</v>
      </c>
      <c r="I70" s="12">
        <f ca="1">IFERROR(__xludf.DUMMYFUNCTION("""COMPUTED_VALUE"""),130)</f>
        <v>130</v>
      </c>
      <c r="J70" s="12">
        <f ca="1">IFERROR(__xludf.DUMMYFUNCTION("""COMPUTED_VALUE"""),654)</f>
        <v>654</v>
      </c>
      <c r="K70" s="12">
        <f ca="1">IFERROR(__xludf.DUMMYFUNCTION("""COMPUTED_VALUE"""),1988)</f>
        <v>1988</v>
      </c>
      <c r="L70" s="12">
        <f ca="1">IFERROR(__xludf.DUMMYFUNCTION("""COMPUTED_VALUE"""),3430)</f>
        <v>3430</v>
      </c>
      <c r="M70" s="12">
        <f ca="1">IFERROR(__xludf.DUMMYFUNCTION("""COMPUTED_VALUE"""),3689)</f>
        <v>3689</v>
      </c>
      <c r="N70" s="12">
        <f ca="1">IFERROR(__xludf.DUMMYFUNCTION("""COMPUTED_VALUE"""),648)</f>
        <v>648</v>
      </c>
      <c r="O70" s="12">
        <f ca="1">IFERROR(__xludf.DUMMYFUNCTION("""COMPUTED_VALUE"""),2545)</f>
        <v>2545</v>
      </c>
      <c r="P70" s="12">
        <f ca="1">IFERROR(__xludf.DUMMYFUNCTION("""COMPUTED_VALUE"""),833)</f>
        <v>833</v>
      </c>
      <c r="Q70" s="12">
        <f ca="1">IFERROR(__xludf.DUMMYFUNCTION("""COMPUTED_VALUE"""),754)</f>
        <v>754</v>
      </c>
      <c r="R70" s="12">
        <f ca="1">IFERROR(__xludf.DUMMYFUNCTION("""COMPUTED_VALUE"""),740)</f>
        <v>740</v>
      </c>
      <c r="S70" s="12">
        <f ca="1">IFERROR(__xludf.DUMMYFUNCTION("""COMPUTED_VALUE"""),1668)</f>
        <v>1668</v>
      </c>
      <c r="T70" s="12">
        <f ca="1">IFERROR(__xludf.DUMMYFUNCTION("""COMPUTED_VALUE"""),2873)</f>
        <v>2873</v>
      </c>
      <c r="U70" s="12">
        <f ca="1">IFERROR(__xludf.DUMMYFUNCTION("""COMPUTED_VALUE"""),1488)</f>
        <v>1488</v>
      </c>
      <c r="V70" s="12">
        <f ca="1">IFERROR(__xludf.DUMMYFUNCTION("""COMPUTED_VALUE"""),2050)</f>
        <v>2050</v>
      </c>
      <c r="W70" s="12">
        <f ca="1">IFERROR(__xludf.DUMMYFUNCTION("""COMPUTED_VALUE"""),7313)</f>
        <v>7313</v>
      </c>
      <c r="X70" s="12">
        <f ca="1">IFERROR(__xludf.DUMMYFUNCTION("""COMPUTED_VALUE"""),6134)</f>
        <v>6134</v>
      </c>
      <c r="Y70" s="12">
        <f ca="1">IFERROR(__xludf.DUMMYFUNCTION("""COMPUTED_VALUE"""),2128)</f>
        <v>2128</v>
      </c>
      <c r="Z70" s="12">
        <f ca="1">IFERROR(__xludf.DUMMYFUNCTION("""COMPUTED_VALUE"""),3973)</f>
        <v>3973</v>
      </c>
      <c r="AA70" s="12">
        <f ca="1">IFERROR(__xludf.DUMMYFUNCTION("""COMPUTED_VALUE"""),4136)</f>
        <v>4136</v>
      </c>
      <c r="AB70" s="12">
        <f ca="1">IFERROR(__xludf.DUMMYFUNCTION("""COMPUTED_VALUE"""),2634)</f>
        <v>2634</v>
      </c>
      <c r="AC70" s="12">
        <f ca="1">IFERROR(__xludf.DUMMYFUNCTION("""COMPUTED_VALUE"""),3164)</f>
        <v>3164</v>
      </c>
      <c r="AD70" s="12">
        <f ca="1">IFERROR(__xludf.DUMMYFUNCTION("""COMPUTED_VALUE"""),3676)</f>
        <v>3676</v>
      </c>
      <c r="AE70" s="12">
        <f ca="1">IFERROR(__xludf.DUMMYFUNCTION("""COMPUTED_VALUE"""),4991)</f>
        <v>4991</v>
      </c>
      <c r="AF70" s="8">
        <f ca="1">IFERROR(__xludf.DUMMYFUNCTION("""COMPUTED_VALUE"""),5823)</f>
        <v>5823</v>
      </c>
      <c r="AG70" s="8">
        <f ca="1">IFERROR(__xludf.DUMMYFUNCTION("""COMPUTED_VALUE"""),3012)</f>
        <v>3012</v>
      </c>
      <c r="AH70" s="8">
        <f ca="1">IFERROR(__xludf.DUMMYFUNCTION("""COMPUTED_VALUE"""),3608)</f>
        <v>3608</v>
      </c>
      <c r="AI70" s="8">
        <f ca="1">IFERROR(__xludf.DUMMYFUNCTION("""COMPUTED_VALUE"""),2482)</f>
        <v>2482</v>
      </c>
      <c r="AJ70" s="8">
        <f ca="1">IFERROR(__xludf.DUMMYFUNCTION("""COMPUTED_VALUE"""),2122)</f>
        <v>2122</v>
      </c>
      <c r="AK70" s="8">
        <f ca="1">IFERROR(__xludf.DUMMYFUNCTION("""COMPUTED_VALUE"""),750)</f>
        <v>750</v>
      </c>
      <c r="AL70" s="8">
        <f ca="1">IFERROR(__xludf.DUMMYFUNCTION("""COMPUTED_VALUE"""),1518)</f>
        <v>1518</v>
      </c>
      <c r="AM70" s="8">
        <f ca="1">IFERROR(__xludf.DUMMYFUNCTION("""COMPUTED_VALUE"""),2314)</f>
        <v>2314</v>
      </c>
      <c r="AN70" s="8">
        <f ca="1">IFERROR(__xludf.DUMMYFUNCTION("""COMPUTED_VALUE"""),2170)</f>
        <v>2170</v>
      </c>
      <c r="AO70" s="8">
        <f ca="1">IFERROR(__xludf.DUMMYFUNCTION("""COMPUTED_VALUE"""),1967)</f>
        <v>1967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</row>
    <row r="71" spans="1:51" ht="13.2" x14ac:dyDescent="0.25">
      <c r="A71" s="11" t="str">
        <f ca="1">IFERROR(__xludf.DUMMYFUNCTION("""COMPUTED_VALUE"""),"                     left Cortical amygdalar area, posterior part")</f>
        <v xml:space="preserve">                     left Cortical amygdalar area, posterior part</v>
      </c>
      <c r="B71" s="12">
        <f ca="1">IFERROR(__xludf.DUMMYFUNCTION("""COMPUTED_VALUE"""),1309)</f>
        <v>1309</v>
      </c>
      <c r="C71" s="12">
        <f ca="1">IFERROR(__xludf.DUMMYFUNCTION("""COMPUTED_VALUE"""),7049)</f>
        <v>7049</v>
      </c>
      <c r="D71" s="12">
        <f ca="1">IFERROR(__xludf.DUMMYFUNCTION("""COMPUTED_VALUE"""),9419)</f>
        <v>9419</v>
      </c>
      <c r="E71" s="12">
        <f ca="1">IFERROR(__xludf.DUMMYFUNCTION("""COMPUTED_VALUE"""),6247)</f>
        <v>6247</v>
      </c>
      <c r="F71" s="12">
        <f ca="1">IFERROR(__xludf.DUMMYFUNCTION("""COMPUTED_VALUE"""),1886)</f>
        <v>1886</v>
      </c>
      <c r="G71" s="12">
        <f ca="1">IFERROR(__xludf.DUMMYFUNCTION("""COMPUTED_VALUE"""),930)</f>
        <v>930</v>
      </c>
      <c r="H71" s="12">
        <f ca="1">IFERROR(__xludf.DUMMYFUNCTION("""COMPUTED_VALUE"""),711)</f>
        <v>711</v>
      </c>
      <c r="I71" s="12">
        <f ca="1">IFERROR(__xludf.DUMMYFUNCTION("""COMPUTED_VALUE"""),562)</f>
        <v>562</v>
      </c>
      <c r="J71" s="12">
        <f ca="1">IFERROR(__xludf.DUMMYFUNCTION("""COMPUTED_VALUE"""),1294)</f>
        <v>1294</v>
      </c>
      <c r="K71" s="12">
        <f ca="1">IFERROR(__xludf.DUMMYFUNCTION("""COMPUTED_VALUE"""),2006)</f>
        <v>2006</v>
      </c>
      <c r="L71" s="12">
        <f ca="1">IFERROR(__xludf.DUMMYFUNCTION("""COMPUTED_VALUE"""),6336)</f>
        <v>6336</v>
      </c>
      <c r="M71" s="12">
        <f ca="1">IFERROR(__xludf.DUMMYFUNCTION("""COMPUTED_VALUE"""),2847)</f>
        <v>2847</v>
      </c>
      <c r="N71" s="12">
        <f ca="1">IFERROR(__xludf.DUMMYFUNCTION("""COMPUTED_VALUE"""),3012)</f>
        <v>3012</v>
      </c>
      <c r="O71" s="12">
        <f ca="1">IFERROR(__xludf.DUMMYFUNCTION("""COMPUTED_VALUE"""),1757)</f>
        <v>1757</v>
      </c>
      <c r="P71" s="12">
        <f ca="1">IFERROR(__xludf.DUMMYFUNCTION("""COMPUTED_VALUE"""),731)</f>
        <v>731</v>
      </c>
      <c r="Q71" s="12">
        <f ca="1">IFERROR(__xludf.DUMMYFUNCTION("""COMPUTED_VALUE"""),1401)</f>
        <v>1401</v>
      </c>
      <c r="R71" s="12">
        <f ca="1">IFERROR(__xludf.DUMMYFUNCTION("""COMPUTED_VALUE"""),1305)</f>
        <v>1305</v>
      </c>
      <c r="S71" s="12">
        <f ca="1">IFERROR(__xludf.DUMMYFUNCTION("""COMPUTED_VALUE"""),2797)</f>
        <v>2797</v>
      </c>
      <c r="T71" s="12">
        <f ca="1">IFERROR(__xludf.DUMMYFUNCTION("""COMPUTED_VALUE"""),7696)</f>
        <v>7696</v>
      </c>
      <c r="U71" s="12">
        <f ca="1">IFERROR(__xludf.DUMMYFUNCTION("""COMPUTED_VALUE"""),3427)</f>
        <v>3427</v>
      </c>
      <c r="V71" s="12">
        <f ca="1">IFERROR(__xludf.DUMMYFUNCTION("""COMPUTED_VALUE"""),8317)</f>
        <v>8317</v>
      </c>
      <c r="W71" s="12">
        <f ca="1">IFERROR(__xludf.DUMMYFUNCTION("""COMPUTED_VALUE"""),8893)</f>
        <v>8893</v>
      </c>
      <c r="X71" s="12">
        <f ca="1">IFERROR(__xludf.DUMMYFUNCTION("""COMPUTED_VALUE"""),12300)</f>
        <v>12300</v>
      </c>
      <c r="Y71" s="12">
        <f ca="1">IFERROR(__xludf.DUMMYFUNCTION("""COMPUTED_VALUE"""),8406)</f>
        <v>8406</v>
      </c>
      <c r="Z71" s="12">
        <f ca="1">IFERROR(__xludf.DUMMYFUNCTION("""COMPUTED_VALUE"""),13594)</f>
        <v>13594</v>
      </c>
      <c r="AA71" s="12">
        <f ca="1">IFERROR(__xludf.DUMMYFUNCTION("""COMPUTED_VALUE"""),8571)</f>
        <v>8571</v>
      </c>
      <c r="AB71" s="12">
        <f ca="1">IFERROR(__xludf.DUMMYFUNCTION("""COMPUTED_VALUE"""),3935)</f>
        <v>3935</v>
      </c>
      <c r="AC71" s="12">
        <f ca="1">IFERROR(__xludf.DUMMYFUNCTION("""COMPUTED_VALUE"""),3057)</f>
        <v>3057</v>
      </c>
      <c r="AD71" s="12">
        <f ca="1">IFERROR(__xludf.DUMMYFUNCTION("""COMPUTED_VALUE"""),9042)</f>
        <v>9042</v>
      </c>
      <c r="AE71" s="12">
        <f ca="1">IFERROR(__xludf.DUMMYFUNCTION("""COMPUTED_VALUE"""),10781)</f>
        <v>10781</v>
      </c>
      <c r="AF71" s="8">
        <f ca="1">IFERROR(__xludf.DUMMYFUNCTION("""COMPUTED_VALUE"""),12158)</f>
        <v>12158</v>
      </c>
      <c r="AG71" s="8">
        <f ca="1">IFERROR(__xludf.DUMMYFUNCTION("""COMPUTED_VALUE"""),7030)</f>
        <v>7030</v>
      </c>
      <c r="AH71" s="8">
        <f ca="1">IFERROR(__xludf.DUMMYFUNCTION("""COMPUTED_VALUE"""),11182)</f>
        <v>11182</v>
      </c>
      <c r="AI71" s="8">
        <f ca="1">IFERROR(__xludf.DUMMYFUNCTION("""COMPUTED_VALUE"""),3814)</f>
        <v>3814</v>
      </c>
      <c r="AJ71" s="8">
        <f ca="1">IFERROR(__xludf.DUMMYFUNCTION("""COMPUTED_VALUE"""),2345)</f>
        <v>2345</v>
      </c>
      <c r="AK71" s="8">
        <f ca="1">IFERROR(__xludf.DUMMYFUNCTION("""COMPUTED_VALUE"""),3589)</f>
        <v>3589</v>
      </c>
      <c r="AL71" s="8">
        <f ca="1">IFERROR(__xludf.DUMMYFUNCTION("""COMPUTED_VALUE"""),3583)</f>
        <v>3583</v>
      </c>
      <c r="AM71" s="8">
        <f ca="1">IFERROR(__xludf.DUMMYFUNCTION("""COMPUTED_VALUE"""),5185)</f>
        <v>5185</v>
      </c>
      <c r="AN71" s="8">
        <f ca="1">IFERROR(__xludf.DUMMYFUNCTION("""COMPUTED_VALUE"""),4906)</f>
        <v>4906</v>
      </c>
      <c r="AO71" s="8">
        <f ca="1">IFERROR(__xludf.DUMMYFUNCTION("""COMPUTED_VALUE"""),5891)</f>
        <v>5891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</row>
    <row r="72" spans="1:51" ht="13.2" x14ac:dyDescent="0.25">
      <c r="A72" s="11" t="str">
        <f ca="1">IFERROR(__xludf.DUMMYFUNCTION("""COMPUTED_VALUE"""),"                  left Piriform-amygdalar area")</f>
        <v xml:space="preserve">                  left Piriform-amygdalar area</v>
      </c>
      <c r="B72" s="12">
        <f ca="1">IFERROR(__xludf.DUMMYFUNCTION("""COMPUTED_VALUE"""),1222)</f>
        <v>1222</v>
      </c>
      <c r="C72" s="12">
        <f ca="1">IFERROR(__xludf.DUMMYFUNCTION("""COMPUTED_VALUE"""),2046)</f>
        <v>2046</v>
      </c>
      <c r="D72" s="12">
        <f ca="1">IFERROR(__xludf.DUMMYFUNCTION("""COMPUTED_VALUE"""),4433)</f>
        <v>4433</v>
      </c>
      <c r="E72" s="12">
        <f ca="1">IFERROR(__xludf.DUMMYFUNCTION("""COMPUTED_VALUE"""),3975)</f>
        <v>3975</v>
      </c>
      <c r="F72" s="12">
        <f ca="1">IFERROR(__xludf.DUMMYFUNCTION("""COMPUTED_VALUE"""),647)</f>
        <v>647</v>
      </c>
      <c r="G72" s="12">
        <f ca="1">IFERROR(__xludf.DUMMYFUNCTION("""COMPUTED_VALUE"""),769)</f>
        <v>769</v>
      </c>
      <c r="H72" s="12">
        <f ca="1">IFERROR(__xludf.DUMMYFUNCTION("""COMPUTED_VALUE"""),503)</f>
        <v>503</v>
      </c>
      <c r="I72" s="12">
        <f ca="1">IFERROR(__xludf.DUMMYFUNCTION("""COMPUTED_VALUE"""),234)</f>
        <v>234</v>
      </c>
      <c r="J72" s="12">
        <f ca="1">IFERROR(__xludf.DUMMYFUNCTION("""COMPUTED_VALUE"""),659)</f>
        <v>659</v>
      </c>
      <c r="K72" s="12">
        <f ca="1">IFERROR(__xludf.DUMMYFUNCTION("""COMPUTED_VALUE"""),1181)</f>
        <v>1181</v>
      </c>
      <c r="L72" s="12">
        <f ca="1">IFERROR(__xludf.DUMMYFUNCTION("""COMPUTED_VALUE"""),2528)</f>
        <v>2528</v>
      </c>
      <c r="M72" s="12">
        <f ca="1">IFERROR(__xludf.DUMMYFUNCTION("""COMPUTED_VALUE"""),2661)</f>
        <v>2661</v>
      </c>
      <c r="N72" s="12">
        <f ca="1">IFERROR(__xludf.DUMMYFUNCTION("""COMPUTED_VALUE"""),581)</f>
        <v>581</v>
      </c>
      <c r="O72" s="12">
        <f ca="1">IFERROR(__xludf.DUMMYFUNCTION("""COMPUTED_VALUE"""),1320)</f>
        <v>1320</v>
      </c>
      <c r="P72" s="12">
        <f ca="1">IFERROR(__xludf.DUMMYFUNCTION("""COMPUTED_VALUE"""),661)</f>
        <v>661</v>
      </c>
      <c r="Q72" s="12">
        <f ca="1">IFERROR(__xludf.DUMMYFUNCTION("""COMPUTED_VALUE"""),1011)</f>
        <v>1011</v>
      </c>
      <c r="R72" s="12">
        <f ca="1">IFERROR(__xludf.DUMMYFUNCTION("""COMPUTED_VALUE"""),881)</f>
        <v>881</v>
      </c>
      <c r="S72" s="12">
        <f ca="1">IFERROR(__xludf.DUMMYFUNCTION("""COMPUTED_VALUE"""),1205)</f>
        <v>1205</v>
      </c>
      <c r="T72" s="12">
        <f ca="1">IFERROR(__xludf.DUMMYFUNCTION("""COMPUTED_VALUE"""),2360)</f>
        <v>2360</v>
      </c>
      <c r="U72" s="12">
        <f ca="1">IFERROR(__xludf.DUMMYFUNCTION("""COMPUTED_VALUE"""),1368)</f>
        <v>1368</v>
      </c>
      <c r="V72" s="12">
        <f ca="1">IFERROR(__xludf.DUMMYFUNCTION("""COMPUTED_VALUE"""),2588)</f>
        <v>2588</v>
      </c>
      <c r="W72" s="12">
        <f ca="1">IFERROR(__xludf.DUMMYFUNCTION("""COMPUTED_VALUE"""),3605)</f>
        <v>3605</v>
      </c>
      <c r="X72" s="12">
        <f ca="1">IFERROR(__xludf.DUMMYFUNCTION("""COMPUTED_VALUE"""),6824)</f>
        <v>6824</v>
      </c>
      <c r="Y72" s="12">
        <f ca="1">IFERROR(__xludf.DUMMYFUNCTION("""COMPUTED_VALUE"""),2023)</f>
        <v>2023</v>
      </c>
      <c r="Z72" s="12">
        <f ca="1">IFERROR(__xludf.DUMMYFUNCTION("""COMPUTED_VALUE"""),4840)</f>
        <v>4840</v>
      </c>
      <c r="AA72" s="12">
        <f ca="1">IFERROR(__xludf.DUMMYFUNCTION("""COMPUTED_VALUE"""),3756)</f>
        <v>3756</v>
      </c>
      <c r="AB72" s="12">
        <f ca="1">IFERROR(__xludf.DUMMYFUNCTION("""COMPUTED_VALUE"""),1235)</f>
        <v>1235</v>
      </c>
      <c r="AC72" s="12">
        <f ca="1">IFERROR(__xludf.DUMMYFUNCTION("""COMPUTED_VALUE"""),2189)</f>
        <v>2189</v>
      </c>
      <c r="AD72" s="12">
        <f ca="1">IFERROR(__xludf.DUMMYFUNCTION("""COMPUTED_VALUE"""),2832)</f>
        <v>2832</v>
      </c>
      <c r="AE72" s="12">
        <f ca="1">IFERROR(__xludf.DUMMYFUNCTION("""COMPUTED_VALUE"""),4542)</f>
        <v>4542</v>
      </c>
      <c r="AF72" s="8">
        <f ca="1">IFERROR(__xludf.DUMMYFUNCTION("""COMPUTED_VALUE"""),5551)</f>
        <v>5551</v>
      </c>
      <c r="AG72" s="8">
        <f ca="1">IFERROR(__xludf.DUMMYFUNCTION("""COMPUTED_VALUE"""),2824)</f>
        <v>2824</v>
      </c>
      <c r="AH72" s="8">
        <f ca="1">IFERROR(__xludf.DUMMYFUNCTION("""COMPUTED_VALUE"""),2766)</f>
        <v>2766</v>
      </c>
      <c r="AI72" s="8">
        <f ca="1">IFERROR(__xludf.DUMMYFUNCTION("""COMPUTED_VALUE"""),2365)</f>
        <v>2365</v>
      </c>
      <c r="AJ72" s="8">
        <f ca="1">IFERROR(__xludf.DUMMYFUNCTION("""COMPUTED_VALUE"""),1154)</f>
        <v>1154</v>
      </c>
      <c r="AK72" s="8">
        <f ca="1">IFERROR(__xludf.DUMMYFUNCTION("""COMPUTED_VALUE"""),1408)</f>
        <v>1408</v>
      </c>
      <c r="AL72" s="8">
        <f ca="1">IFERROR(__xludf.DUMMYFUNCTION("""COMPUTED_VALUE"""),1777)</f>
        <v>1777</v>
      </c>
      <c r="AM72" s="8">
        <f ca="1">IFERROR(__xludf.DUMMYFUNCTION("""COMPUTED_VALUE"""),1816)</f>
        <v>1816</v>
      </c>
      <c r="AN72" s="8">
        <f ca="1">IFERROR(__xludf.DUMMYFUNCTION("""COMPUTED_VALUE"""),2481)</f>
        <v>2481</v>
      </c>
      <c r="AO72" s="8">
        <f ca="1">IFERROR(__xludf.DUMMYFUNCTION("""COMPUTED_VALUE"""),1697)</f>
        <v>1697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</row>
    <row r="73" spans="1:51" ht="13.2" x14ac:dyDescent="0.25">
      <c r="A73" s="11" t="str">
        <f ca="1">IFERROR(__xludf.DUMMYFUNCTION("""COMPUTED_VALUE"""),"                  left Postpiriform transition area")</f>
        <v xml:space="preserve">                  left Postpiriform transition area</v>
      </c>
      <c r="B73" s="12">
        <f ca="1">IFERROR(__xludf.DUMMYFUNCTION("""COMPUTED_VALUE"""),1165)</f>
        <v>1165</v>
      </c>
      <c r="C73" s="12">
        <f ca="1">IFERROR(__xludf.DUMMYFUNCTION("""COMPUTED_VALUE"""),3137)</f>
        <v>3137</v>
      </c>
      <c r="D73" s="12">
        <f ca="1">IFERROR(__xludf.DUMMYFUNCTION("""COMPUTED_VALUE"""),2862)</f>
        <v>2862</v>
      </c>
      <c r="E73" s="12">
        <f ca="1">IFERROR(__xludf.DUMMYFUNCTION("""COMPUTED_VALUE"""),2085)</f>
        <v>2085</v>
      </c>
      <c r="F73" s="12">
        <f ca="1">IFERROR(__xludf.DUMMYFUNCTION("""COMPUTED_VALUE"""),632)</f>
        <v>632</v>
      </c>
      <c r="G73" s="12">
        <f ca="1">IFERROR(__xludf.DUMMYFUNCTION("""COMPUTED_VALUE"""),485)</f>
        <v>485</v>
      </c>
      <c r="H73" s="12">
        <f ca="1">IFERROR(__xludf.DUMMYFUNCTION("""COMPUTED_VALUE"""),1537)</f>
        <v>1537</v>
      </c>
      <c r="I73" s="12">
        <f ca="1">IFERROR(__xludf.DUMMYFUNCTION("""COMPUTED_VALUE"""),608)</f>
        <v>608</v>
      </c>
      <c r="J73" s="12">
        <f ca="1">IFERROR(__xludf.DUMMYFUNCTION("""COMPUTED_VALUE"""),647)</f>
        <v>647</v>
      </c>
      <c r="K73" s="12">
        <f ca="1">IFERROR(__xludf.DUMMYFUNCTION("""COMPUTED_VALUE"""),860)</f>
        <v>860</v>
      </c>
      <c r="L73" s="12">
        <f ca="1">IFERROR(__xludf.DUMMYFUNCTION("""COMPUTED_VALUE"""),2383)</f>
        <v>2383</v>
      </c>
      <c r="M73" s="12">
        <f ca="1">IFERROR(__xludf.DUMMYFUNCTION("""COMPUTED_VALUE"""),1780)</f>
        <v>1780</v>
      </c>
      <c r="N73" s="12">
        <f ca="1">IFERROR(__xludf.DUMMYFUNCTION("""COMPUTED_VALUE"""),619)</f>
        <v>619</v>
      </c>
      <c r="O73" s="12">
        <f ca="1">IFERROR(__xludf.DUMMYFUNCTION("""COMPUTED_VALUE"""),1208)</f>
        <v>1208</v>
      </c>
      <c r="P73" s="12">
        <f ca="1">IFERROR(__xludf.DUMMYFUNCTION("""COMPUTED_VALUE"""),921)</f>
        <v>921</v>
      </c>
      <c r="Q73" s="12">
        <f ca="1">IFERROR(__xludf.DUMMYFUNCTION("""COMPUTED_VALUE"""),934)</f>
        <v>934</v>
      </c>
      <c r="R73" s="12">
        <f ca="1">IFERROR(__xludf.DUMMYFUNCTION("""COMPUTED_VALUE"""),1802)</f>
        <v>1802</v>
      </c>
      <c r="S73" s="12">
        <f ca="1">IFERROR(__xludf.DUMMYFUNCTION("""COMPUTED_VALUE"""),1484)</f>
        <v>1484</v>
      </c>
      <c r="T73" s="12">
        <f ca="1">IFERROR(__xludf.DUMMYFUNCTION("""COMPUTED_VALUE"""),3430)</f>
        <v>3430</v>
      </c>
      <c r="U73" s="12">
        <f ca="1">IFERROR(__xludf.DUMMYFUNCTION("""COMPUTED_VALUE"""),2121)</f>
        <v>2121</v>
      </c>
      <c r="V73" s="12">
        <f ca="1">IFERROR(__xludf.DUMMYFUNCTION("""COMPUTED_VALUE"""),3308)</f>
        <v>3308</v>
      </c>
      <c r="W73" s="12">
        <f ca="1">IFERROR(__xludf.DUMMYFUNCTION("""COMPUTED_VALUE"""),5900)</f>
        <v>5900</v>
      </c>
      <c r="X73" s="12">
        <f ca="1">IFERROR(__xludf.DUMMYFUNCTION("""COMPUTED_VALUE"""),5476)</f>
        <v>5476</v>
      </c>
      <c r="Y73" s="12">
        <f ca="1">IFERROR(__xludf.DUMMYFUNCTION("""COMPUTED_VALUE"""),4207)</f>
        <v>4207</v>
      </c>
      <c r="Z73" s="12">
        <f ca="1">IFERROR(__xludf.DUMMYFUNCTION("""COMPUTED_VALUE"""),9513)</f>
        <v>9513</v>
      </c>
      <c r="AA73" s="12">
        <f ca="1">IFERROR(__xludf.DUMMYFUNCTION("""COMPUTED_VALUE"""),4050)</f>
        <v>4050</v>
      </c>
      <c r="AB73" s="12">
        <f ca="1">IFERROR(__xludf.DUMMYFUNCTION("""COMPUTED_VALUE"""),4184)</f>
        <v>4184</v>
      </c>
      <c r="AC73" s="12">
        <f ca="1">IFERROR(__xludf.DUMMYFUNCTION("""COMPUTED_VALUE"""),2583)</f>
        <v>2583</v>
      </c>
      <c r="AD73" s="12">
        <f ca="1">IFERROR(__xludf.DUMMYFUNCTION("""COMPUTED_VALUE"""),5319)</f>
        <v>5319</v>
      </c>
      <c r="AE73" s="12">
        <f ca="1">IFERROR(__xludf.DUMMYFUNCTION("""COMPUTED_VALUE"""),5453)</f>
        <v>5453</v>
      </c>
      <c r="AF73" s="8">
        <f ca="1">IFERROR(__xludf.DUMMYFUNCTION("""COMPUTED_VALUE"""),8296)</f>
        <v>8296</v>
      </c>
      <c r="AG73" s="8">
        <f ca="1">IFERROR(__xludf.DUMMYFUNCTION("""COMPUTED_VALUE"""),1819)</f>
        <v>1819</v>
      </c>
      <c r="AH73" s="8">
        <f ca="1">IFERROR(__xludf.DUMMYFUNCTION("""COMPUTED_VALUE"""),5541)</f>
        <v>5541</v>
      </c>
      <c r="AI73" s="8">
        <f ca="1">IFERROR(__xludf.DUMMYFUNCTION("""COMPUTED_VALUE"""),2131)</f>
        <v>2131</v>
      </c>
      <c r="AJ73" s="8">
        <f ca="1">IFERROR(__xludf.DUMMYFUNCTION("""COMPUTED_VALUE"""),1581)</f>
        <v>1581</v>
      </c>
      <c r="AK73" s="8">
        <f ca="1">IFERROR(__xludf.DUMMYFUNCTION("""COMPUTED_VALUE"""),2550)</f>
        <v>2550</v>
      </c>
      <c r="AL73" s="8">
        <f ca="1">IFERROR(__xludf.DUMMYFUNCTION("""COMPUTED_VALUE"""),3713)</f>
        <v>3713</v>
      </c>
      <c r="AM73" s="8">
        <f ca="1">IFERROR(__xludf.DUMMYFUNCTION("""COMPUTED_VALUE"""),4178)</f>
        <v>4178</v>
      </c>
      <c r="AN73" s="8">
        <f ca="1">IFERROR(__xludf.DUMMYFUNCTION("""COMPUTED_VALUE"""),2632)</f>
        <v>2632</v>
      </c>
      <c r="AO73" s="8">
        <f ca="1">IFERROR(__xludf.DUMMYFUNCTION("""COMPUTED_VALUE"""),3095)</f>
        <v>3095</v>
      </c>
      <c r="AP73" s="8"/>
      <c r="AQ73" s="8"/>
      <c r="AR73" s="8"/>
      <c r="AS73" s="8"/>
      <c r="AT73" s="8"/>
      <c r="AU73" s="8"/>
      <c r="AV73" s="8"/>
      <c r="AW73" s="8"/>
      <c r="AX73" s="8"/>
      <c r="AY73" s="8"/>
    </row>
    <row r="74" spans="1:51" ht="13.2" x14ac:dyDescent="0.25">
      <c r="A74" s="11" t="str">
        <f ca="1">IFERROR(__xludf.DUMMYFUNCTION("""COMPUTED_VALUE"""),"               left Hippocampal formation")</f>
        <v xml:space="preserve">               left Hippocampal formation</v>
      </c>
      <c r="B74" s="12">
        <f ca="1">IFERROR(__xludf.DUMMYFUNCTION("""COMPUTED_VALUE"""),55955)</f>
        <v>55955</v>
      </c>
      <c r="C74" s="12">
        <f ca="1">IFERROR(__xludf.DUMMYFUNCTION("""COMPUTED_VALUE"""),116281)</f>
        <v>116281</v>
      </c>
      <c r="D74" s="12">
        <f ca="1">IFERROR(__xludf.DUMMYFUNCTION("""COMPUTED_VALUE"""),62129)</f>
        <v>62129</v>
      </c>
      <c r="E74" s="12">
        <f ca="1">IFERROR(__xludf.DUMMYFUNCTION("""COMPUTED_VALUE"""),110311)</f>
        <v>110311</v>
      </c>
      <c r="F74" s="12">
        <f ca="1">IFERROR(__xludf.DUMMYFUNCTION("""COMPUTED_VALUE"""),79019)</f>
        <v>79019</v>
      </c>
      <c r="G74" s="12">
        <f ca="1">IFERROR(__xludf.DUMMYFUNCTION("""COMPUTED_VALUE"""),55535)</f>
        <v>55535</v>
      </c>
      <c r="H74" s="12">
        <f ca="1">IFERROR(__xludf.DUMMYFUNCTION("""COMPUTED_VALUE"""),111800)</f>
        <v>111800</v>
      </c>
      <c r="I74" s="12">
        <f ca="1">IFERROR(__xludf.DUMMYFUNCTION("""COMPUTED_VALUE"""),61542)</f>
        <v>61542</v>
      </c>
      <c r="J74" s="12">
        <f ca="1">IFERROR(__xludf.DUMMYFUNCTION("""COMPUTED_VALUE"""),51073)</f>
        <v>51073</v>
      </c>
      <c r="K74" s="12">
        <f ca="1">IFERROR(__xludf.DUMMYFUNCTION("""COMPUTED_VALUE"""),84565)</f>
        <v>84565</v>
      </c>
      <c r="L74" s="12">
        <f ca="1">IFERROR(__xludf.DUMMYFUNCTION("""COMPUTED_VALUE"""),45066)</f>
        <v>45066</v>
      </c>
      <c r="M74" s="12">
        <f ca="1">IFERROR(__xludf.DUMMYFUNCTION("""COMPUTED_VALUE"""),79472)</f>
        <v>79472</v>
      </c>
      <c r="N74" s="12">
        <f ca="1">IFERROR(__xludf.DUMMYFUNCTION("""COMPUTED_VALUE"""),89937)</f>
        <v>89937</v>
      </c>
      <c r="O74" s="12">
        <f ca="1">IFERROR(__xludf.DUMMYFUNCTION("""COMPUTED_VALUE"""),82028)</f>
        <v>82028</v>
      </c>
      <c r="P74" s="12">
        <f ca="1">IFERROR(__xludf.DUMMYFUNCTION("""COMPUTED_VALUE"""),38313)</f>
        <v>38313</v>
      </c>
      <c r="Q74" s="12">
        <f ca="1">IFERROR(__xludf.DUMMYFUNCTION("""COMPUTED_VALUE"""),93674)</f>
        <v>93674</v>
      </c>
      <c r="R74" s="12">
        <f ca="1">IFERROR(__xludf.DUMMYFUNCTION("""COMPUTED_VALUE"""),39877)</f>
        <v>39877</v>
      </c>
      <c r="S74" s="12">
        <f ca="1">IFERROR(__xludf.DUMMYFUNCTION("""COMPUTED_VALUE"""),57320)</f>
        <v>57320</v>
      </c>
      <c r="T74" s="12">
        <f ca="1">IFERROR(__xludf.DUMMYFUNCTION("""COMPUTED_VALUE"""),97147)</f>
        <v>97147</v>
      </c>
      <c r="U74" s="12">
        <f ca="1">IFERROR(__xludf.DUMMYFUNCTION("""COMPUTED_VALUE"""),75720)</f>
        <v>75720</v>
      </c>
      <c r="V74" s="12">
        <f ca="1">IFERROR(__xludf.DUMMYFUNCTION("""COMPUTED_VALUE"""),111962)</f>
        <v>111962</v>
      </c>
      <c r="W74" s="12">
        <f ca="1">IFERROR(__xludf.DUMMYFUNCTION("""COMPUTED_VALUE"""),162268)</f>
        <v>162268</v>
      </c>
      <c r="X74" s="12">
        <f ca="1">IFERROR(__xludf.DUMMYFUNCTION("""COMPUTED_VALUE"""),127584)</f>
        <v>127584</v>
      </c>
      <c r="Y74" s="12">
        <f ca="1">IFERROR(__xludf.DUMMYFUNCTION("""COMPUTED_VALUE"""),105621)</f>
        <v>105621</v>
      </c>
      <c r="Z74" s="12">
        <f ca="1">IFERROR(__xludf.DUMMYFUNCTION("""COMPUTED_VALUE"""),117730)</f>
        <v>117730</v>
      </c>
      <c r="AA74" s="12">
        <f ca="1">IFERROR(__xludf.DUMMYFUNCTION("""COMPUTED_VALUE"""),102442)</f>
        <v>102442</v>
      </c>
      <c r="AB74" s="12">
        <f ca="1">IFERROR(__xludf.DUMMYFUNCTION("""COMPUTED_VALUE"""),144746)</f>
        <v>144746</v>
      </c>
      <c r="AC74" s="12">
        <f ca="1">IFERROR(__xludf.DUMMYFUNCTION("""COMPUTED_VALUE"""),128365)</f>
        <v>128365</v>
      </c>
      <c r="AD74" s="12">
        <f ca="1">IFERROR(__xludf.DUMMYFUNCTION("""COMPUTED_VALUE"""),135829)</f>
        <v>135829</v>
      </c>
      <c r="AE74" s="12">
        <f ca="1">IFERROR(__xludf.DUMMYFUNCTION("""COMPUTED_VALUE"""),200964)</f>
        <v>200964</v>
      </c>
      <c r="AF74" s="8">
        <f ca="1">IFERROR(__xludf.DUMMYFUNCTION("""COMPUTED_VALUE"""),231535)</f>
        <v>231535</v>
      </c>
      <c r="AG74" s="8">
        <f ca="1">IFERROR(__xludf.DUMMYFUNCTION("""COMPUTED_VALUE"""),61986)</f>
        <v>61986</v>
      </c>
      <c r="AH74" s="8">
        <f ca="1">IFERROR(__xludf.DUMMYFUNCTION("""COMPUTED_VALUE"""),80155)</f>
        <v>80155</v>
      </c>
      <c r="AI74" s="8">
        <f ca="1">IFERROR(__xludf.DUMMYFUNCTION("""COMPUTED_VALUE"""),59988)</f>
        <v>59988</v>
      </c>
      <c r="AJ74" s="8">
        <f ca="1">IFERROR(__xludf.DUMMYFUNCTION("""COMPUTED_VALUE"""),63386)</f>
        <v>63386</v>
      </c>
      <c r="AK74" s="8">
        <f ca="1">IFERROR(__xludf.DUMMYFUNCTION("""COMPUTED_VALUE"""),63471)</f>
        <v>63471</v>
      </c>
      <c r="AL74" s="8">
        <f ca="1">IFERROR(__xludf.DUMMYFUNCTION("""COMPUTED_VALUE"""),62316)</f>
        <v>62316</v>
      </c>
      <c r="AM74" s="8">
        <f ca="1">IFERROR(__xludf.DUMMYFUNCTION("""COMPUTED_VALUE"""),102804)</f>
        <v>102804</v>
      </c>
      <c r="AN74" s="8">
        <f ca="1">IFERROR(__xludf.DUMMYFUNCTION("""COMPUTED_VALUE"""),101836)</f>
        <v>101836</v>
      </c>
      <c r="AO74" s="8">
        <f ca="1">IFERROR(__xludf.DUMMYFUNCTION("""COMPUTED_VALUE"""),46031)</f>
        <v>46031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</row>
    <row r="75" spans="1:51" ht="13.2" x14ac:dyDescent="0.25">
      <c r="A75" s="11" t="str">
        <f ca="1">IFERROR(__xludf.DUMMYFUNCTION("""COMPUTED_VALUE"""),"                  left Hippocampal region")</f>
        <v xml:space="preserve">                  left Hippocampal region</v>
      </c>
      <c r="B75" s="12">
        <f ca="1">IFERROR(__xludf.DUMMYFUNCTION("""COMPUTED_VALUE"""),19315)</f>
        <v>19315</v>
      </c>
      <c r="C75" s="12">
        <f ca="1">IFERROR(__xludf.DUMMYFUNCTION("""COMPUTED_VALUE"""),55089)</f>
        <v>55089</v>
      </c>
      <c r="D75" s="12">
        <f ca="1">IFERROR(__xludf.DUMMYFUNCTION("""COMPUTED_VALUE"""),22045)</f>
        <v>22045</v>
      </c>
      <c r="E75" s="12">
        <f ca="1">IFERROR(__xludf.DUMMYFUNCTION("""COMPUTED_VALUE"""),38614)</f>
        <v>38614</v>
      </c>
      <c r="F75" s="12">
        <f ca="1">IFERROR(__xludf.DUMMYFUNCTION("""COMPUTED_VALUE"""),47337)</f>
        <v>47337</v>
      </c>
      <c r="G75" s="12">
        <f ca="1">IFERROR(__xludf.DUMMYFUNCTION("""COMPUTED_VALUE"""),31954)</f>
        <v>31954</v>
      </c>
      <c r="H75" s="12">
        <f ca="1">IFERROR(__xludf.DUMMYFUNCTION("""COMPUTED_VALUE"""),53082)</f>
        <v>53082</v>
      </c>
      <c r="I75" s="12">
        <f ca="1">IFERROR(__xludf.DUMMYFUNCTION("""COMPUTED_VALUE"""),32381)</f>
        <v>32381</v>
      </c>
      <c r="J75" s="12">
        <f ca="1">IFERROR(__xludf.DUMMYFUNCTION("""COMPUTED_VALUE"""),25753)</f>
        <v>25753</v>
      </c>
      <c r="K75" s="12">
        <f ca="1">IFERROR(__xludf.DUMMYFUNCTION("""COMPUTED_VALUE"""),43246)</f>
        <v>43246</v>
      </c>
      <c r="L75" s="12">
        <f ca="1">IFERROR(__xludf.DUMMYFUNCTION("""COMPUTED_VALUE"""),19733)</f>
        <v>19733</v>
      </c>
      <c r="M75" s="12">
        <f ca="1">IFERROR(__xludf.DUMMYFUNCTION("""COMPUTED_VALUE"""),37835)</f>
        <v>37835</v>
      </c>
      <c r="N75" s="12">
        <f ca="1">IFERROR(__xludf.DUMMYFUNCTION("""COMPUTED_VALUE"""),62720)</f>
        <v>62720</v>
      </c>
      <c r="O75" s="12">
        <f ca="1">IFERROR(__xludf.DUMMYFUNCTION("""COMPUTED_VALUE"""),31550)</f>
        <v>31550</v>
      </c>
      <c r="P75" s="12">
        <f ca="1">IFERROR(__xludf.DUMMYFUNCTION("""COMPUTED_VALUE"""),17383)</f>
        <v>17383</v>
      </c>
      <c r="Q75" s="12">
        <f ca="1">IFERROR(__xludf.DUMMYFUNCTION("""COMPUTED_VALUE"""),32628)</f>
        <v>32628</v>
      </c>
      <c r="R75" s="12">
        <f ca="1">IFERROR(__xludf.DUMMYFUNCTION("""COMPUTED_VALUE"""),14419)</f>
        <v>14419</v>
      </c>
      <c r="S75" s="12">
        <f ca="1">IFERROR(__xludf.DUMMYFUNCTION("""COMPUTED_VALUE"""),18821)</f>
        <v>18821</v>
      </c>
      <c r="T75" s="12">
        <f ca="1">IFERROR(__xludf.DUMMYFUNCTION("""COMPUTED_VALUE"""),44414)</f>
        <v>44414</v>
      </c>
      <c r="U75" s="12">
        <f ca="1">IFERROR(__xludf.DUMMYFUNCTION("""COMPUTED_VALUE"""),25041)</f>
        <v>25041</v>
      </c>
      <c r="V75" s="12">
        <f ca="1">IFERROR(__xludf.DUMMYFUNCTION("""COMPUTED_VALUE"""),51379)</f>
        <v>51379</v>
      </c>
      <c r="W75" s="12">
        <f ca="1">IFERROR(__xludf.DUMMYFUNCTION("""COMPUTED_VALUE"""),87014)</f>
        <v>87014</v>
      </c>
      <c r="X75" s="12">
        <f ca="1">IFERROR(__xludf.DUMMYFUNCTION("""COMPUTED_VALUE"""),59068)</f>
        <v>59068</v>
      </c>
      <c r="Y75" s="12">
        <f ca="1">IFERROR(__xludf.DUMMYFUNCTION("""COMPUTED_VALUE"""),36267)</f>
        <v>36267</v>
      </c>
      <c r="Z75" s="12">
        <f ca="1">IFERROR(__xludf.DUMMYFUNCTION("""COMPUTED_VALUE"""),54750)</f>
        <v>54750</v>
      </c>
      <c r="AA75" s="12">
        <f ca="1">IFERROR(__xludf.DUMMYFUNCTION("""COMPUTED_VALUE"""),68569)</f>
        <v>68569</v>
      </c>
      <c r="AB75" s="12">
        <f ca="1">IFERROR(__xludf.DUMMYFUNCTION("""COMPUTED_VALUE"""),75469)</f>
        <v>75469</v>
      </c>
      <c r="AC75" s="12">
        <f ca="1">IFERROR(__xludf.DUMMYFUNCTION("""COMPUTED_VALUE"""),62823)</f>
        <v>62823</v>
      </c>
      <c r="AD75" s="12">
        <f ca="1">IFERROR(__xludf.DUMMYFUNCTION("""COMPUTED_VALUE"""),38614)</f>
        <v>38614</v>
      </c>
      <c r="AE75" s="12">
        <f ca="1">IFERROR(__xludf.DUMMYFUNCTION("""COMPUTED_VALUE"""),58850)</f>
        <v>58850</v>
      </c>
      <c r="AF75" s="8">
        <f ca="1">IFERROR(__xludf.DUMMYFUNCTION("""COMPUTED_VALUE"""),60703)</f>
        <v>60703</v>
      </c>
      <c r="AG75" s="8">
        <f ca="1">IFERROR(__xludf.DUMMYFUNCTION("""COMPUTED_VALUE"""),45467)</f>
        <v>45467</v>
      </c>
      <c r="AH75" s="8">
        <f ca="1">IFERROR(__xludf.DUMMYFUNCTION("""COMPUTED_VALUE"""),43014)</f>
        <v>43014</v>
      </c>
      <c r="AI75" s="8">
        <f ca="1">IFERROR(__xludf.DUMMYFUNCTION("""COMPUTED_VALUE"""),19180)</f>
        <v>19180</v>
      </c>
      <c r="AJ75" s="8">
        <f ca="1">IFERROR(__xludf.DUMMYFUNCTION("""COMPUTED_VALUE"""),23597)</f>
        <v>23597</v>
      </c>
      <c r="AK75" s="8">
        <f ca="1">IFERROR(__xludf.DUMMYFUNCTION("""COMPUTED_VALUE"""),13551)</f>
        <v>13551</v>
      </c>
      <c r="AL75" s="8">
        <f ca="1">IFERROR(__xludf.DUMMYFUNCTION("""COMPUTED_VALUE"""),17145)</f>
        <v>17145</v>
      </c>
      <c r="AM75" s="8">
        <f ca="1">IFERROR(__xludf.DUMMYFUNCTION("""COMPUTED_VALUE"""),30061)</f>
        <v>30061</v>
      </c>
      <c r="AN75" s="8">
        <f ca="1">IFERROR(__xludf.DUMMYFUNCTION("""COMPUTED_VALUE"""),32700)</f>
        <v>32700</v>
      </c>
      <c r="AO75" s="8">
        <f ca="1">IFERROR(__xludf.DUMMYFUNCTION("""COMPUTED_VALUE"""),10781)</f>
        <v>10781</v>
      </c>
      <c r="AP75" s="8"/>
      <c r="AQ75" s="8"/>
      <c r="AR75" s="8"/>
      <c r="AS75" s="8"/>
      <c r="AT75" s="8"/>
      <c r="AU75" s="8"/>
      <c r="AV75" s="8"/>
      <c r="AW75" s="8"/>
      <c r="AX75" s="8"/>
      <c r="AY75" s="8"/>
    </row>
    <row r="76" spans="1:51" ht="13.2" x14ac:dyDescent="0.25">
      <c r="A76" s="11" t="str">
        <f ca="1">IFERROR(__xludf.DUMMYFUNCTION("""COMPUTED_VALUE"""),"                     left Ammon's horn")</f>
        <v xml:space="preserve">                     left Ammon's horn</v>
      </c>
      <c r="B76" s="12">
        <f ca="1">IFERROR(__xludf.DUMMYFUNCTION("""COMPUTED_VALUE"""),17076)</f>
        <v>17076</v>
      </c>
      <c r="C76" s="12">
        <f ca="1">IFERROR(__xludf.DUMMYFUNCTION("""COMPUTED_VALUE"""),46082)</f>
        <v>46082</v>
      </c>
      <c r="D76" s="12">
        <f ca="1">IFERROR(__xludf.DUMMYFUNCTION("""COMPUTED_VALUE"""),18411)</f>
        <v>18411</v>
      </c>
      <c r="E76" s="12">
        <f ca="1">IFERROR(__xludf.DUMMYFUNCTION("""COMPUTED_VALUE"""),33250)</f>
        <v>33250</v>
      </c>
      <c r="F76" s="12">
        <f ca="1">IFERROR(__xludf.DUMMYFUNCTION("""COMPUTED_VALUE"""),39549)</f>
        <v>39549</v>
      </c>
      <c r="G76" s="12">
        <f ca="1">IFERROR(__xludf.DUMMYFUNCTION("""COMPUTED_VALUE"""),25996)</f>
        <v>25996</v>
      </c>
      <c r="H76" s="12">
        <f ca="1">IFERROR(__xludf.DUMMYFUNCTION("""COMPUTED_VALUE"""),45517)</f>
        <v>45517</v>
      </c>
      <c r="I76" s="12">
        <f ca="1">IFERROR(__xludf.DUMMYFUNCTION("""COMPUTED_VALUE"""),26747)</f>
        <v>26747</v>
      </c>
      <c r="J76" s="12">
        <f ca="1">IFERROR(__xludf.DUMMYFUNCTION("""COMPUTED_VALUE"""),22418)</f>
        <v>22418</v>
      </c>
      <c r="K76" s="12">
        <f ca="1">IFERROR(__xludf.DUMMYFUNCTION("""COMPUTED_VALUE"""),36435)</f>
        <v>36435</v>
      </c>
      <c r="L76" s="12">
        <f ca="1">IFERROR(__xludf.DUMMYFUNCTION("""COMPUTED_VALUE"""),16158)</f>
        <v>16158</v>
      </c>
      <c r="M76" s="12">
        <f ca="1">IFERROR(__xludf.DUMMYFUNCTION("""COMPUTED_VALUE"""),32326)</f>
        <v>32326</v>
      </c>
      <c r="N76" s="12">
        <f ca="1">IFERROR(__xludf.DUMMYFUNCTION("""COMPUTED_VALUE"""),39579)</f>
        <v>39579</v>
      </c>
      <c r="O76" s="12">
        <f ca="1">IFERROR(__xludf.DUMMYFUNCTION("""COMPUTED_VALUE"""),26660)</f>
        <v>26660</v>
      </c>
      <c r="P76" s="12">
        <f ca="1">IFERROR(__xludf.DUMMYFUNCTION("""COMPUTED_VALUE"""),14026)</f>
        <v>14026</v>
      </c>
      <c r="Q76" s="12">
        <f ca="1">IFERROR(__xludf.DUMMYFUNCTION("""COMPUTED_VALUE"""),27109)</f>
        <v>27109</v>
      </c>
      <c r="R76" s="12">
        <f ca="1">IFERROR(__xludf.DUMMYFUNCTION("""COMPUTED_VALUE"""),13231)</f>
        <v>13231</v>
      </c>
      <c r="S76" s="12">
        <f ca="1">IFERROR(__xludf.DUMMYFUNCTION("""COMPUTED_VALUE"""),15342)</f>
        <v>15342</v>
      </c>
      <c r="T76" s="12">
        <f ca="1">IFERROR(__xludf.DUMMYFUNCTION("""COMPUTED_VALUE"""),35106)</f>
        <v>35106</v>
      </c>
      <c r="U76" s="12">
        <f ca="1">IFERROR(__xludf.DUMMYFUNCTION("""COMPUTED_VALUE"""),21537)</f>
        <v>21537</v>
      </c>
      <c r="V76" s="12">
        <f ca="1">IFERROR(__xludf.DUMMYFUNCTION("""COMPUTED_VALUE"""),40249)</f>
        <v>40249</v>
      </c>
      <c r="W76" s="12">
        <f ca="1">IFERROR(__xludf.DUMMYFUNCTION("""COMPUTED_VALUE"""),69238)</f>
        <v>69238</v>
      </c>
      <c r="X76" s="12">
        <f ca="1">IFERROR(__xludf.DUMMYFUNCTION("""COMPUTED_VALUE"""),49706)</f>
        <v>49706</v>
      </c>
      <c r="Y76" s="12">
        <f ca="1">IFERROR(__xludf.DUMMYFUNCTION("""COMPUTED_VALUE"""),29468)</f>
        <v>29468</v>
      </c>
      <c r="Z76" s="12">
        <f ca="1">IFERROR(__xludf.DUMMYFUNCTION("""COMPUTED_VALUE"""),43375)</f>
        <v>43375</v>
      </c>
      <c r="AA76" s="12">
        <f ca="1">IFERROR(__xludf.DUMMYFUNCTION("""COMPUTED_VALUE"""),59674)</f>
        <v>59674</v>
      </c>
      <c r="AB76" s="12">
        <f ca="1">IFERROR(__xludf.DUMMYFUNCTION("""COMPUTED_VALUE"""),57188)</f>
        <v>57188</v>
      </c>
      <c r="AC76" s="12">
        <f ca="1">IFERROR(__xludf.DUMMYFUNCTION("""COMPUTED_VALUE"""),47717)</f>
        <v>47717</v>
      </c>
      <c r="AD76" s="12">
        <f ca="1">IFERROR(__xludf.DUMMYFUNCTION("""COMPUTED_VALUE"""),31377)</f>
        <v>31377</v>
      </c>
      <c r="AE76" s="12">
        <f ca="1">IFERROR(__xludf.DUMMYFUNCTION("""COMPUTED_VALUE"""),51473)</f>
        <v>51473</v>
      </c>
      <c r="AF76" s="8">
        <f ca="1">IFERROR(__xludf.DUMMYFUNCTION("""COMPUTED_VALUE"""),50818)</f>
        <v>50818</v>
      </c>
      <c r="AG76" s="8">
        <f ca="1">IFERROR(__xludf.DUMMYFUNCTION("""COMPUTED_VALUE"""),34931)</f>
        <v>34931</v>
      </c>
      <c r="AH76" s="8">
        <f ca="1">IFERROR(__xludf.DUMMYFUNCTION("""COMPUTED_VALUE"""),37382)</f>
        <v>37382</v>
      </c>
      <c r="AI76" s="8">
        <f ca="1">IFERROR(__xludf.DUMMYFUNCTION("""COMPUTED_VALUE"""),15161)</f>
        <v>15161</v>
      </c>
      <c r="AJ76" s="8">
        <f ca="1">IFERROR(__xludf.DUMMYFUNCTION("""COMPUTED_VALUE"""),18744)</f>
        <v>18744</v>
      </c>
      <c r="AK76" s="8">
        <f ca="1">IFERROR(__xludf.DUMMYFUNCTION("""COMPUTED_VALUE"""),11205)</f>
        <v>11205</v>
      </c>
      <c r="AL76" s="8">
        <f ca="1">IFERROR(__xludf.DUMMYFUNCTION("""COMPUTED_VALUE"""),14853)</f>
        <v>14853</v>
      </c>
      <c r="AM76" s="8">
        <f ca="1">IFERROR(__xludf.DUMMYFUNCTION("""COMPUTED_VALUE"""),24960)</f>
        <v>24960</v>
      </c>
      <c r="AN76" s="8">
        <f ca="1">IFERROR(__xludf.DUMMYFUNCTION("""COMPUTED_VALUE"""),26878)</f>
        <v>26878</v>
      </c>
      <c r="AO76" s="8">
        <f ca="1">IFERROR(__xludf.DUMMYFUNCTION("""COMPUTED_VALUE"""),8986)</f>
        <v>8986</v>
      </c>
      <c r="AP76" s="8"/>
      <c r="AQ76" s="8"/>
      <c r="AR76" s="8"/>
      <c r="AS76" s="8"/>
      <c r="AT76" s="8"/>
      <c r="AU76" s="8"/>
      <c r="AV76" s="8"/>
      <c r="AW76" s="8"/>
      <c r="AX76" s="8"/>
      <c r="AY76" s="8"/>
    </row>
    <row r="77" spans="1:51" ht="13.2" x14ac:dyDescent="0.25">
      <c r="A77" s="11" t="str">
        <f ca="1">IFERROR(__xludf.DUMMYFUNCTION("""COMPUTED_VALUE"""),"                        left Field CA1")</f>
        <v xml:space="preserve">                        left Field CA1</v>
      </c>
      <c r="B77" s="12">
        <f ca="1">IFERROR(__xludf.DUMMYFUNCTION("""COMPUTED_VALUE"""),11223)</f>
        <v>11223</v>
      </c>
      <c r="C77" s="12">
        <f ca="1">IFERROR(__xludf.DUMMYFUNCTION("""COMPUTED_VALUE"""),32535)</f>
        <v>32535</v>
      </c>
      <c r="D77" s="12">
        <f ca="1">IFERROR(__xludf.DUMMYFUNCTION("""COMPUTED_VALUE"""),11367)</f>
        <v>11367</v>
      </c>
      <c r="E77" s="12">
        <f ca="1">IFERROR(__xludf.DUMMYFUNCTION("""COMPUTED_VALUE"""),22639)</f>
        <v>22639</v>
      </c>
      <c r="F77" s="12">
        <f ca="1">IFERROR(__xludf.DUMMYFUNCTION("""COMPUTED_VALUE"""),25845)</f>
        <v>25845</v>
      </c>
      <c r="G77" s="12">
        <f ca="1">IFERROR(__xludf.DUMMYFUNCTION("""COMPUTED_VALUE"""),17299)</f>
        <v>17299</v>
      </c>
      <c r="H77" s="12">
        <f ca="1">IFERROR(__xludf.DUMMYFUNCTION("""COMPUTED_VALUE"""),30902)</f>
        <v>30902</v>
      </c>
      <c r="I77" s="12">
        <f ca="1">IFERROR(__xludf.DUMMYFUNCTION("""COMPUTED_VALUE"""),19161)</f>
        <v>19161</v>
      </c>
      <c r="J77" s="12">
        <f ca="1">IFERROR(__xludf.DUMMYFUNCTION("""COMPUTED_VALUE"""),16105)</f>
        <v>16105</v>
      </c>
      <c r="K77" s="12">
        <f ca="1">IFERROR(__xludf.DUMMYFUNCTION("""COMPUTED_VALUE"""),23890)</f>
        <v>23890</v>
      </c>
      <c r="L77" s="12">
        <f ca="1">IFERROR(__xludf.DUMMYFUNCTION("""COMPUTED_VALUE"""),9678)</f>
        <v>9678</v>
      </c>
      <c r="M77" s="12">
        <f ca="1">IFERROR(__xludf.DUMMYFUNCTION("""COMPUTED_VALUE"""),21438)</f>
        <v>21438</v>
      </c>
      <c r="N77" s="12">
        <f ca="1">IFERROR(__xludf.DUMMYFUNCTION("""COMPUTED_VALUE"""),19190)</f>
        <v>19190</v>
      </c>
      <c r="O77" s="12">
        <f ca="1">IFERROR(__xludf.DUMMYFUNCTION("""COMPUTED_VALUE"""),18336)</f>
        <v>18336</v>
      </c>
      <c r="P77" s="12">
        <f ca="1">IFERROR(__xludf.DUMMYFUNCTION("""COMPUTED_VALUE"""),9854)</f>
        <v>9854</v>
      </c>
      <c r="Q77" s="12">
        <f ca="1">IFERROR(__xludf.DUMMYFUNCTION("""COMPUTED_VALUE"""),18000)</f>
        <v>18000</v>
      </c>
      <c r="R77" s="12">
        <f ca="1">IFERROR(__xludf.DUMMYFUNCTION("""COMPUTED_VALUE"""),9375)</f>
        <v>9375</v>
      </c>
      <c r="S77" s="12">
        <f ca="1">IFERROR(__xludf.DUMMYFUNCTION("""COMPUTED_VALUE"""),10000)</f>
        <v>10000</v>
      </c>
      <c r="T77" s="12">
        <f ca="1">IFERROR(__xludf.DUMMYFUNCTION("""COMPUTED_VALUE"""),28655)</f>
        <v>28655</v>
      </c>
      <c r="U77" s="12">
        <f ca="1">IFERROR(__xludf.DUMMYFUNCTION("""COMPUTED_VALUE"""),16640)</f>
        <v>16640</v>
      </c>
      <c r="V77" s="12">
        <f ca="1">IFERROR(__xludf.DUMMYFUNCTION("""COMPUTED_VALUE"""),26054)</f>
        <v>26054</v>
      </c>
      <c r="W77" s="12">
        <f ca="1">IFERROR(__xludf.DUMMYFUNCTION("""COMPUTED_VALUE"""),57544)</f>
        <v>57544</v>
      </c>
      <c r="X77" s="12">
        <f ca="1">IFERROR(__xludf.DUMMYFUNCTION("""COMPUTED_VALUE"""),34325)</f>
        <v>34325</v>
      </c>
      <c r="Y77" s="12">
        <f ca="1">IFERROR(__xludf.DUMMYFUNCTION("""COMPUTED_VALUE"""),19991)</f>
        <v>19991</v>
      </c>
      <c r="Z77" s="12">
        <f ca="1">IFERROR(__xludf.DUMMYFUNCTION("""COMPUTED_VALUE"""),28737)</f>
        <v>28737</v>
      </c>
      <c r="AA77" s="12">
        <f ca="1">IFERROR(__xludf.DUMMYFUNCTION("""COMPUTED_VALUE"""),44415)</f>
        <v>44415</v>
      </c>
      <c r="AB77" s="12">
        <f ca="1">IFERROR(__xludf.DUMMYFUNCTION("""COMPUTED_VALUE"""),44985)</f>
        <v>44985</v>
      </c>
      <c r="AC77" s="12">
        <f ca="1">IFERROR(__xludf.DUMMYFUNCTION("""COMPUTED_VALUE"""),37420)</f>
        <v>37420</v>
      </c>
      <c r="AD77" s="12">
        <f ca="1">IFERROR(__xludf.DUMMYFUNCTION("""COMPUTED_VALUE"""),25461)</f>
        <v>25461</v>
      </c>
      <c r="AE77" s="12">
        <f ca="1">IFERROR(__xludf.DUMMYFUNCTION("""COMPUTED_VALUE"""),40946)</f>
        <v>40946</v>
      </c>
      <c r="AF77" s="8">
        <f ca="1">IFERROR(__xludf.DUMMYFUNCTION("""COMPUTED_VALUE"""),41004)</f>
        <v>41004</v>
      </c>
      <c r="AG77" s="8">
        <f ca="1">IFERROR(__xludf.DUMMYFUNCTION("""COMPUTED_VALUE"""),22558)</f>
        <v>22558</v>
      </c>
      <c r="AH77" s="8">
        <f ca="1">IFERROR(__xludf.DUMMYFUNCTION("""COMPUTED_VALUE"""),29230)</f>
        <v>29230</v>
      </c>
      <c r="AI77" s="8">
        <f ca="1">IFERROR(__xludf.DUMMYFUNCTION("""COMPUTED_VALUE"""),9876)</f>
        <v>9876</v>
      </c>
      <c r="AJ77" s="8">
        <f ca="1">IFERROR(__xludf.DUMMYFUNCTION("""COMPUTED_VALUE"""),14198)</f>
        <v>14198</v>
      </c>
      <c r="AK77" s="8">
        <f ca="1">IFERROR(__xludf.DUMMYFUNCTION("""COMPUTED_VALUE"""),7949)</f>
        <v>7949</v>
      </c>
      <c r="AL77" s="8">
        <f ca="1">IFERROR(__xludf.DUMMYFUNCTION("""COMPUTED_VALUE"""),11825)</f>
        <v>11825</v>
      </c>
      <c r="AM77" s="8">
        <f ca="1">IFERROR(__xludf.DUMMYFUNCTION("""COMPUTED_VALUE"""),19789)</f>
        <v>19789</v>
      </c>
      <c r="AN77" s="8">
        <f ca="1">IFERROR(__xludf.DUMMYFUNCTION("""COMPUTED_VALUE"""),21313)</f>
        <v>21313</v>
      </c>
      <c r="AO77" s="8">
        <f ca="1">IFERROR(__xludf.DUMMYFUNCTION("""COMPUTED_VALUE"""),6046)</f>
        <v>6046</v>
      </c>
      <c r="AP77" s="8"/>
      <c r="AQ77" s="8"/>
      <c r="AR77" s="8"/>
      <c r="AS77" s="8"/>
      <c r="AT77" s="8"/>
      <c r="AU77" s="8"/>
      <c r="AV77" s="8"/>
      <c r="AW77" s="8"/>
      <c r="AX77" s="8"/>
      <c r="AY77" s="8"/>
    </row>
    <row r="78" spans="1:51" ht="13.2" x14ac:dyDescent="0.25">
      <c r="A78" s="11" t="str">
        <f ca="1">IFERROR(__xludf.DUMMYFUNCTION("""COMPUTED_VALUE"""),"                        left Field CA2")</f>
        <v xml:space="preserve">                        left Field CA2</v>
      </c>
      <c r="B78" s="12">
        <f ca="1">IFERROR(__xludf.DUMMYFUNCTION("""COMPUTED_VALUE"""),405)</f>
        <v>405</v>
      </c>
      <c r="C78" s="12">
        <f ca="1">IFERROR(__xludf.DUMMYFUNCTION("""COMPUTED_VALUE"""),877)</f>
        <v>877</v>
      </c>
      <c r="D78" s="12">
        <f ca="1">IFERROR(__xludf.DUMMYFUNCTION("""COMPUTED_VALUE"""),317)</f>
        <v>317</v>
      </c>
      <c r="E78" s="12">
        <f ca="1">IFERROR(__xludf.DUMMYFUNCTION("""COMPUTED_VALUE"""),678)</f>
        <v>678</v>
      </c>
      <c r="F78" s="12">
        <f ca="1">IFERROR(__xludf.DUMMYFUNCTION("""COMPUTED_VALUE"""),1015)</f>
        <v>1015</v>
      </c>
      <c r="G78" s="12">
        <f ca="1">IFERROR(__xludf.DUMMYFUNCTION("""COMPUTED_VALUE"""),592)</f>
        <v>592</v>
      </c>
      <c r="H78" s="12">
        <f ca="1">IFERROR(__xludf.DUMMYFUNCTION("""COMPUTED_VALUE"""),987)</f>
        <v>987</v>
      </c>
      <c r="I78" s="12">
        <f ca="1">IFERROR(__xludf.DUMMYFUNCTION("""COMPUTED_VALUE"""),716)</f>
        <v>716</v>
      </c>
      <c r="J78" s="12">
        <f ca="1">IFERROR(__xludf.DUMMYFUNCTION("""COMPUTED_VALUE"""),595)</f>
        <v>595</v>
      </c>
      <c r="K78" s="12">
        <f ca="1">IFERROR(__xludf.DUMMYFUNCTION("""COMPUTED_VALUE"""),659)</f>
        <v>659</v>
      </c>
      <c r="L78" s="12">
        <f ca="1">IFERROR(__xludf.DUMMYFUNCTION("""COMPUTED_VALUE"""),415)</f>
        <v>415</v>
      </c>
      <c r="M78" s="12">
        <f ca="1">IFERROR(__xludf.DUMMYFUNCTION("""COMPUTED_VALUE"""),571)</f>
        <v>571</v>
      </c>
      <c r="N78" s="12">
        <f ca="1">IFERROR(__xludf.DUMMYFUNCTION("""COMPUTED_VALUE"""),1262)</f>
        <v>1262</v>
      </c>
      <c r="O78" s="12">
        <f ca="1">IFERROR(__xludf.DUMMYFUNCTION("""COMPUTED_VALUE"""),437)</f>
        <v>437</v>
      </c>
      <c r="P78" s="12">
        <f ca="1">IFERROR(__xludf.DUMMYFUNCTION("""COMPUTED_VALUE"""),197)</f>
        <v>197</v>
      </c>
      <c r="Q78" s="12">
        <f ca="1">IFERROR(__xludf.DUMMYFUNCTION("""COMPUTED_VALUE"""),588)</f>
        <v>588</v>
      </c>
      <c r="R78" s="12">
        <f ca="1">IFERROR(__xludf.DUMMYFUNCTION("""COMPUTED_VALUE"""),217)</f>
        <v>217</v>
      </c>
      <c r="S78" s="12">
        <f ca="1">IFERROR(__xludf.DUMMYFUNCTION("""COMPUTED_VALUE"""),256)</f>
        <v>256</v>
      </c>
      <c r="T78" s="12">
        <f ca="1">IFERROR(__xludf.DUMMYFUNCTION("""COMPUTED_VALUE"""),500)</f>
        <v>500</v>
      </c>
      <c r="U78" s="12">
        <f ca="1">IFERROR(__xludf.DUMMYFUNCTION("""COMPUTED_VALUE"""),296)</f>
        <v>296</v>
      </c>
      <c r="V78" s="12">
        <f ca="1">IFERROR(__xludf.DUMMYFUNCTION("""COMPUTED_VALUE"""),1057)</f>
        <v>1057</v>
      </c>
      <c r="W78" s="12">
        <f ca="1">IFERROR(__xludf.DUMMYFUNCTION("""COMPUTED_VALUE"""),1096)</f>
        <v>1096</v>
      </c>
      <c r="X78" s="12">
        <f ca="1">IFERROR(__xludf.DUMMYFUNCTION("""COMPUTED_VALUE"""),1156)</f>
        <v>1156</v>
      </c>
      <c r="Y78" s="12">
        <f ca="1">IFERROR(__xludf.DUMMYFUNCTION("""COMPUTED_VALUE"""),741)</f>
        <v>741</v>
      </c>
      <c r="Z78" s="12">
        <f ca="1">IFERROR(__xludf.DUMMYFUNCTION("""COMPUTED_VALUE"""),942)</f>
        <v>942</v>
      </c>
      <c r="AA78" s="12">
        <f ca="1">IFERROR(__xludf.DUMMYFUNCTION("""COMPUTED_VALUE"""),1281)</f>
        <v>1281</v>
      </c>
      <c r="AB78" s="12">
        <f ca="1">IFERROR(__xludf.DUMMYFUNCTION("""COMPUTED_VALUE"""),722)</f>
        <v>722</v>
      </c>
      <c r="AC78" s="12">
        <f ca="1">IFERROR(__xludf.DUMMYFUNCTION("""COMPUTED_VALUE"""),729)</f>
        <v>729</v>
      </c>
      <c r="AD78" s="12">
        <f ca="1">IFERROR(__xludf.DUMMYFUNCTION("""COMPUTED_VALUE"""),518)</f>
        <v>518</v>
      </c>
      <c r="AE78" s="12">
        <f ca="1">IFERROR(__xludf.DUMMYFUNCTION("""COMPUTED_VALUE"""),716)</f>
        <v>716</v>
      </c>
      <c r="AF78" s="8">
        <f ca="1">IFERROR(__xludf.DUMMYFUNCTION("""COMPUTED_VALUE"""),894)</f>
        <v>894</v>
      </c>
      <c r="AG78" s="8">
        <f ca="1">IFERROR(__xludf.DUMMYFUNCTION("""COMPUTED_VALUE"""),919)</f>
        <v>919</v>
      </c>
      <c r="AH78" s="8">
        <f ca="1">IFERROR(__xludf.DUMMYFUNCTION("""COMPUTED_VALUE"""),553)</f>
        <v>553</v>
      </c>
      <c r="AI78" s="8">
        <f ca="1">IFERROR(__xludf.DUMMYFUNCTION("""COMPUTED_VALUE"""),301)</f>
        <v>301</v>
      </c>
      <c r="AJ78" s="8">
        <f ca="1">IFERROR(__xludf.DUMMYFUNCTION("""COMPUTED_VALUE"""),288)</f>
        <v>288</v>
      </c>
      <c r="AK78" s="8">
        <f ca="1">IFERROR(__xludf.DUMMYFUNCTION("""COMPUTED_VALUE"""),253)</f>
        <v>253</v>
      </c>
      <c r="AL78" s="8">
        <f ca="1">IFERROR(__xludf.DUMMYFUNCTION("""COMPUTED_VALUE"""),222)</f>
        <v>222</v>
      </c>
      <c r="AM78" s="8">
        <f ca="1">IFERROR(__xludf.DUMMYFUNCTION("""COMPUTED_VALUE"""),498)</f>
        <v>498</v>
      </c>
      <c r="AN78" s="8">
        <f ca="1">IFERROR(__xludf.DUMMYFUNCTION("""COMPUTED_VALUE"""),539)</f>
        <v>539</v>
      </c>
      <c r="AO78" s="8">
        <f ca="1">IFERROR(__xludf.DUMMYFUNCTION("""COMPUTED_VALUE"""),180)</f>
        <v>180</v>
      </c>
      <c r="AP78" s="8"/>
      <c r="AQ78" s="8"/>
      <c r="AR78" s="8"/>
      <c r="AS78" s="8"/>
      <c r="AT78" s="8"/>
      <c r="AU78" s="8"/>
      <c r="AV78" s="8"/>
      <c r="AW78" s="8"/>
      <c r="AX78" s="8"/>
      <c r="AY78" s="8"/>
    </row>
    <row r="79" spans="1:51" ht="13.2" x14ac:dyDescent="0.25">
      <c r="A79" s="11" t="str">
        <f ca="1">IFERROR(__xludf.DUMMYFUNCTION("""COMPUTED_VALUE"""),"                        left Field CA3")</f>
        <v xml:space="preserve">                        left Field CA3</v>
      </c>
      <c r="B79" s="12">
        <f ca="1">IFERROR(__xludf.DUMMYFUNCTION("""COMPUTED_VALUE"""),5448)</f>
        <v>5448</v>
      </c>
      <c r="C79" s="12">
        <f ca="1">IFERROR(__xludf.DUMMYFUNCTION("""COMPUTED_VALUE"""),12670)</f>
        <v>12670</v>
      </c>
      <c r="D79" s="12">
        <f ca="1">IFERROR(__xludf.DUMMYFUNCTION("""COMPUTED_VALUE"""),6727)</f>
        <v>6727</v>
      </c>
      <c r="E79" s="12">
        <f ca="1">IFERROR(__xludf.DUMMYFUNCTION("""COMPUTED_VALUE"""),9933)</f>
        <v>9933</v>
      </c>
      <c r="F79" s="12">
        <f ca="1">IFERROR(__xludf.DUMMYFUNCTION("""COMPUTED_VALUE"""),12689)</f>
        <v>12689</v>
      </c>
      <c r="G79" s="12">
        <f ca="1">IFERROR(__xludf.DUMMYFUNCTION("""COMPUTED_VALUE"""),8105)</f>
        <v>8105</v>
      </c>
      <c r="H79" s="12">
        <f ca="1">IFERROR(__xludf.DUMMYFUNCTION("""COMPUTED_VALUE"""),13628)</f>
        <v>13628</v>
      </c>
      <c r="I79" s="12">
        <f ca="1">IFERROR(__xludf.DUMMYFUNCTION("""COMPUTED_VALUE"""),6870)</f>
        <v>6870</v>
      </c>
      <c r="J79" s="12">
        <f ca="1">IFERROR(__xludf.DUMMYFUNCTION("""COMPUTED_VALUE"""),5718)</f>
        <v>5718</v>
      </c>
      <c r="K79" s="12">
        <f ca="1">IFERROR(__xludf.DUMMYFUNCTION("""COMPUTED_VALUE"""),11886)</f>
        <v>11886</v>
      </c>
      <c r="L79" s="12">
        <f ca="1">IFERROR(__xludf.DUMMYFUNCTION("""COMPUTED_VALUE"""),6065)</f>
        <v>6065</v>
      </c>
      <c r="M79" s="12">
        <f ca="1">IFERROR(__xludf.DUMMYFUNCTION("""COMPUTED_VALUE"""),10317)</f>
        <v>10317</v>
      </c>
      <c r="N79" s="12">
        <f ca="1">IFERROR(__xludf.DUMMYFUNCTION("""COMPUTED_VALUE"""),19127)</f>
        <v>19127</v>
      </c>
      <c r="O79" s="12">
        <f ca="1">IFERROR(__xludf.DUMMYFUNCTION("""COMPUTED_VALUE"""),7887)</f>
        <v>7887</v>
      </c>
      <c r="P79" s="12">
        <f ca="1">IFERROR(__xludf.DUMMYFUNCTION("""COMPUTED_VALUE"""),3975)</f>
        <v>3975</v>
      </c>
      <c r="Q79" s="12">
        <f ca="1">IFERROR(__xludf.DUMMYFUNCTION("""COMPUTED_VALUE"""),8521)</f>
        <v>8521</v>
      </c>
      <c r="R79" s="12">
        <f ca="1">IFERROR(__xludf.DUMMYFUNCTION("""COMPUTED_VALUE"""),3639)</f>
        <v>3639</v>
      </c>
      <c r="S79" s="12">
        <f ca="1">IFERROR(__xludf.DUMMYFUNCTION("""COMPUTED_VALUE"""),5086)</f>
        <v>5086</v>
      </c>
      <c r="T79" s="12">
        <f ca="1">IFERROR(__xludf.DUMMYFUNCTION("""COMPUTED_VALUE"""),5951)</f>
        <v>5951</v>
      </c>
      <c r="U79" s="12">
        <f ca="1">IFERROR(__xludf.DUMMYFUNCTION("""COMPUTED_VALUE"""),4601)</f>
        <v>4601</v>
      </c>
      <c r="V79" s="12">
        <f ca="1">IFERROR(__xludf.DUMMYFUNCTION("""COMPUTED_VALUE"""),13138)</f>
        <v>13138</v>
      </c>
      <c r="W79" s="12">
        <f ca="1">IFERROR(__xludf.DUMMYFUNCTION("""COMPUTED_VALUE"""),10598)</f>
        <v>10598</v>
      </c>
      <c r="X79" s="12">
        <f ca="1">IFERROR(__xludf.DUMMYFUNCTION("""COMPUTED_VALUE"""),14225)</f>
        <v>14225</v>
      </c>
      <c r="Y79" s="12">
        <f ca="1">IFERROR(__xludf.DUMMYFUNCTION("""COMPUTED_VALUE"""),8736)</f>
        <v>8736</v>
      </c>
      <c r="Z79" s="12">
        <f ca="1">IFERROR(__xludf.DUMMYFUNCTION("""COMPUTED_VALUE"""),13696)</f>
        <v>13696</v>
      </c>
      <c r="AA79" s="12">
        <f ca="1">IFERROR(__xludf.DUMMYFUNCTION("""COMPUTED_VALUE"""),13978)</f>
        <v>13978</v>
      </c>
      <c r="AB79" s="12">
        <f ca="1">IFERROR(__xludf.DUMMYFUNCTION("""COMPUTED_VALUE"""),11481)</f>
        <v>11481</v>
      </c>
      <c r="AC79" s="12">
        <f ca="1">IFERROR(__xludf.DUMMYFUNCTION("""COMPUTED_VALUE"""),9568)</f>
        <v>9568</v>
      </c>
      <c r="AD79" s="12">
        <f ca="1">IFERROR(__xludf.DUMMYFUNCTION("""COMPUTED_VALUE"""),5398)</f>
        <v>5398</v>
      </c>
      <c r="AE79" s="12">
        <f ca="1">IFERROR(__xludf.DUMMYFUNCTION("""COMPUTED_VALUE"""),9811)</f>
        <v>9811</v>
      </c>
      <c r="AF79" s="8">
        <f ca="1">IFERROR(__xludf.DUMMYFUNCTION("""COMPUTED_VALUE"""),8920)</f>
        <v>8920</v>
      </c>
      <c r="AG79" s="8">
        <f ca="1">IFERROR(__xludf.DUMMYFUNCTION("""COMPUTED_VALUE"""),11454)</f>
        <v>11454</v>
      </c>
      <c r="AH79" s="8">
        <f ca="1">IFERROR(__xludf.DUMMYFUNCTION("""COMPUTED_VALUE"""),7599)</f>
        <v>7599</v>
      </c>
      <c r="AI79" s="8">
        <f ca="1">IFERROR(__xludf.DUMMYFUNCTION("""COMPUTED_VALUE"""),4984)</f>
        <v>4984</v>
      </c>
      <c r="AJ79" s="8">
        <f ca="1">IFERROR(__xludf.DUMMYFUNCTION("""COMPUTED_VALUE"""),4258)</f>
        <v>4258</v>
      </c>
      <c r="AK79" s="8">
        <f ca="1">IFERROR(__xludf.DUMMYFUNCTION("""COMPUTED_VALUE"""),3003)</f>
        <v>3003</v>
      </c>
      <c r="AL79" s="8">
        <f ca="1">IFERROR(__xludf.DUMMYFUNCTION("""COMPUTED_VALUE"""),2806)</f>
        <v>2806</v>
      </c>
      <c r="AM79" s="8">
        <f ca="1">IFERROR(__xludf.DUMMYFUNCTION("""COMPUTED_VALUE"""),4673)</f>
        <v>4673</v>
      </c>
      <c r="AN79" s="8">
        <f ca="1">IFERROR(__xludf.DUMMYFUNCTION("""COMPUTED_VALUE"""),5026)</f>
        <v>5026</v>
      </c>
      <c r="AO79" s="8">
        <f ca="1">IFERROR(__xludf.DUMMYFUNCTION("""COMPUTED_VALUE"""),2760)</f>
        <v>2760</v>
      </c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0" spans="1:51" ht="13.2" x14ac:dyDescent="0.25">
      <c r="A80" s="11" t="str">
        <f ca="1">IFERROR(__xludf.DUMMYFUNCTION("""COMPUTED_VALUE"""),"                     left Dentate gyrus ")</f>
        <v xml:space="preserve">                     left Dentate gyrus </v>
      </c>
      <c r="B80" s="12">
        <f ca="1">IFERROR(__xludf.DUMMYFUNCTION("""COMPUTED_VALUE"""),2211)</f>
        <v>2211</v>
      </c>
      <c r="C80" s="12">
        <f ca="1">IFERROR(__xludf.DUMMYFUNCTION("""COMPUTED_VALUE"""),8831)</f>
        <v>8831</v>
      </c>
      <c r="D80" s="12">
        <f ca="1">IFERROR(__xludf.DUMMYFUNCTION("""COMPUTED_VALUE"""),3360)</f>
        <v>3360</v>
      </c>
      <c r="E80" s="12">
        <f ca="1">IFERROR(__xludf.DUMMYFUNCTION("""COMPUTED_VALUE"""),5030)</f>
        <v>5030</v>
      </c>
      <c r="F80" s="12">
        <f ca="1">IFERROR(__xludf.DUMMYFUNCTION("""COMPUTED_VALUE"""),7400)</f>
        <v>7400</v>
      </c>
      <c r="G80" s="12">
        <f ca="1">IFERROR(__xludf.DUMMYFUNCTION("""COMPUTED_VALUE"""),5943)</f>
        <v>5943</v>
      </c>
      <c r="H80" s="12">
        <f ca="1">IFERROR(__xludf.DUMMYFUNCTION("""COMPUTED_VALUE"""),7511)</f>
        <v>7511</v>
      </c>
      <c r="I80" s="12">
        <f ca="1">IFERROR(__xludf.DUMMYFUNCTION("""COMPUTED_VALUE"""),5531)</f>
        <v>5531</v>
      </c>
      <c r="J80" s="12">
        <f ca="1">IFERROR(__xludf.DUMMYFUNCTION("""COMPUTED_VALUE"""),3290)</f>
        <v>3290</v>
      </c>
      <c r="K80" s="12">
        <f ca="1">IFERROR(__xludf.DUMMYFUNCTION("""COMPUTED_VALUE"""),6666)</f>
        <v>6666</v>
      </c>
      <c r="L80" s="12">
        <f ca="1">IFERROR(__xludf.DUMMYFUNCTION("""COMPUTED_VALUE"""),3442)</f>
        <v>3442</v>
      </c>
      <c r="M80" s="12">
        <f ca="1">IFERROR(__xludf.DUMMYFUNCTION("""COMPUTED_VALUE"""),5443)</f>
        <v>5443</v>
      </c>
      <c r="N80" s="12">
        <f ca="1">IFERROR(__xludf.DUMMYFUNCTION("""COMPUTED_VALUE"""),22453)</f>
        <v>22453</v>
      </c>
      <c r="O80" s="12">
        <f ca="1">IFERROR(__xludf.DUMMYFUNCTION("""COMPUTED_VALUE"""),4822)</f>
        <v>4822</v>
      </c>
      <c r="P80" s="12">
        <f ca="1">IFERROR(__xludf.DUMMYFUNCTION("""COMPUTED_VALUE"""),3261)</f>
        <v>3261</v>
      </c>
      <c r="Q80" s="12">
        <f ca="1">IFERROR(__xludf.DUMMYFUNCTION("""COMPUTED_VALUE"""),5448)</f>
        <v>5448</v>
      </c>
      <c r="R80" s="12">
        <f ca="1">IFERROR(__xludf.DUMMYFUNCTION("""COMPUTED_VALUE"""),1133)</f>
        <v>1133</v>
      </c>
      <c r="S80" s="12">
        <f ca="1">IFERROR(__xludf.DUMMYFUNCTION("""COMPUTED_VALUE"""),3435)</f>
        <v>3435</v>
      </c>
      <c r="T80" s="12">
        <f ca="1">IFERROR(__xludf.DUMMYFUNCTION("""COMPUTED_VALUE"""),9278)</f>
        <v>9278</v>
      </c>
      <c r="U80" s="12">
        <f ca="1">IFERROR(__xludf.DUMMYFUNCTION("""COMPUTED_VALUE"""),3465)</f>
        <v>3465</v>
      </c>
      <c r="V80" s="12">
        <f ca="1">IFERROR(__xludf.DUMMYFUNCTION("""COMPUTED_VALUE"""),11111)</f>
        <v>11111</v>
      </c>
      <c r="W80" s="12">
        <f ca="1">IFERROR(__xludf.DUMMYFUNCTION("""COMPUTED_VALUE"""),17614)</f>
        <v>17614</v>
      </c>
      <c r="X80" s="12">
        <f ca="1">IFERROR(__xludf.DUMMYFUNCTION("""COMPUTED_VALUE"""),8854)</f>
        <v>8854</v>
      </c>
      <c r="Y80" s="12">
        <f ca="1">IFERROR(__xludf.DUMMYFUNCTION("""COMPUTED_VALUE"""),6407)</f>
        <v>6407</v>
      </c>
      <c r="Z80" s="12">
        <f ca="1">IFERROR(__xludf.DUMMYFUNCTION("""COMPUTED_VALUE"""),10921)</f>
        <v>10921</v>
      </c>
      <c r="AA80" s="12">
        <f ca="1">IFERROR(__xludf.DUMMYFUNCTION("""COMPUTED_VALUE"""),7872)</f>
        <v>7872</v>
      </c>
      <c r="AB80" s="12">
        <f ca="1">IFERROR(__xludf.DUMMYFUNCTION("""COMPUTED_VALUE"""),18202)</f>
        <v>18202</v>
      </c>
      <c r="AC80" s="12">
        <f ca="1">IFERROR(__xludf.DUMMYFUNCTION("""COMPUTED_VALUE"""),15089)</f>
        <v>15089</v>
      </c>
      <c r="AD80" s="12">
        <f ca="1">IFERROR(__xludf.DUMMYFUNCTION("""COMPUTED_VALUE"""),7181)</f>
        <v>7181</v>
      </c>
      <c r="AE80" s="12">
        <f ca="1">IFERROR(__xludf.DUMMYFUNCTION("""COMPUTED_VALUE"""),7238)</f>
        <v>7238</v>
      </c>
      <c r="AF80" s="8">
        <f ca="1">IFERROR(__xludf.DUMMYFUNCTION("""COMPUTED_VALUE"""),9809)</f>
        <v>9809</v>
      </c>
      <c r="AG80" s="8">
        <f ca="1">IFERROR(__xludf.DUMMYFUNCTION("""COMPUTED_VALUE"""),10215)</f>
        <v>10215</v>
      </c>
      <c r="AH80" s="8">
        <f ca="1">IFERROR(__xludf.DUMMYFUNCTION("""COMPUTED_VALUE"""),5390)</f>
        <v>5390</v>
      </c>
      <c r="AI80" s="8">
        <f ca="1">IFERROR(__xludf.DUMMYFUNCTION("""COMPUTED_VALUE"""),3873)</f>
        <v>3873</v>
      </c>
      <c r="AJ80" s="8">
        <f ca="1">IFERROR(__xludf.DUMMYFUNCTION("""COMPUTED_VALUE"""),4522)</f>
        <v>4522</v>
      </c>
      <c r="AK80" s="8">
        <f ca="1">IFERROR(__xludf.DUMMYFUNCTION("""COMPUTED_VALUE"""),2173)</f>
        <v>2173</v>
      </c>
      <c r="AL80" s="8">
        <f ca="1">IFERROR(__xludf.DUMMYFUNCTION("""COMPUTED_VALUE"""),2269)</f>
        <v>2269</v>
      </c>
      <c r="AM80" s="8">
        <f ca="1">IFERROR(__xludf.DUMMYFUNCTION("""COMPUTED_VALUE"""),5050)</f>
        <v>5050</v>
      </c>
      <c r="AN80" s="8">
        <f ca="1">IFERROR(__xludf.DUMMYFUNCTION("""COMPUTED_VALUE"""),5812)</f>
        <v>5812</v>
      </c>
      <c r="AO80" s="8">
        <f ca="1">IFERROR(__xludf.DUMMYFUNCTION("""COMPUTED_VALUE"""),1716)</f>
        <v>1716</v>
      </c>
      <c r="AP80" s="8"/>
      <c r="AQ80" s="8"/>
      <c r="AR80" s="8"/>
      <c r="AS80" s="8"/>
      <c r="AT80" s="8"/>
      <c r="AU80" s="8"/>
      <c r="AV80" s="8"/>
      <c r="AW80" s="8"/>
      <c r="AX80" s="8"/>
      <c r="AY80" s="8"/>
    </row>
    <row r="81" spans="1:51" ht="13.2" x14ac:dyDescent="0.25">
      <c r="A81" s="11" t="str">
        <f ca="1">IFERROR(__xludf.DUMMYFUNCTION("""COMPUTED_VALUE"""),"                        left Dentate gyrus, molecular layer")</f>
        <v xml:space="preserve">                        left Dentate gyrus, molecular layer</v>
      </c>
      <c r="B81" s="12">
        <f ca="1">IFERROR(__xludf.DUMMYFUNCTION("""COMPUTED_VALUE"""),658)</f>
        <v>658</v>
      </c>
      <c r="C81" s="12">
        <f ca="1">IFERROR(__xludf.DUMMYFUNCTION("""COMPUTED_VALUE"""),2572)</f>
        <v>2572</v>
      </c>
      <c r="D81" s="12">
        <f ca="1">IFERROR(__xludf.DUMMYFUNCTION("""COMPUTED_VALUE"""),1245)</f>
        <v>1245</v>
      </c>
      <c r="E81" s="12">
        <f ca="1">IFERROR(__xludf.DUMMYFUNCTION("""COMPUTED_VALUE"""),1965)</f>
        <v>1965</v>
      </c>
      <c r="F81" s="12">
        <f ca="1">IFERROR(__xludf.DUMMYFUNCTION("""COMPUTED_VALUE"""),3410)</f>
        <v>3410</v>
      </c>
      <c r="G81" s="12">
        <f ca="1">IFERROR(__xludf.DUMMYFUNCTION("""COMPUTED_VALUE"""),2282)</f>
        <v>2282</v>
      </c>
      <c r="H81" s="12">
        <f ca="1">IFERROR(__xludf.DUMMYFUNCTION("""COMPUTED_VALUE"""),2763)</f>
        <v>2763</v>
      </c>
      <c r="I81" s="12">
        <f ca="1">IFERROR(__xludf.DUMMYFUNCTION("""COMPUTED_VALUE"""),3145)</f>
        <v>3145</v>
      </c>
      <c r="J81" s="12">
        <f ca="1">IFERROR(__xludf.DUMMYFUNCTION("""COMPUTED_VALUE"""),1577)</f>
        <v>1577</v>
      </c>
      <c r="K81" s="12">
        <f ca="1">IFERROR(__xludf.DUMMYFUNCTION("""COMPUTED_VALUE"""),2633)</f>
        <v>2633</v>
      </c>
      <c r="L81" s="12">
        <f ca="1">IFERROR(__xludf.DUMMYFUNCTION("""COMPUTED_VALUE"""),1095)</f>
        <v>1095</v>
      </c>
      <c r="M81" s="12">
        <f ca="1">IFERROR(__xludf.DUMMYFUNCTION("""COMPUTED_VALUE"""),1397)</f>
        <v>1397</v>
      </c>
      <c r="N81" s="12">
        <f ca="1">IFERROR(__xludf.DUMMYFUNCTION("""COMPUTED_VALUE"""),14276)</f>
        <v>14276</v>
      </c>
      <c r="O81" s="12">
        <f ca="1">IFERROR(__xludf.DUMMYFUNCTION("""COMPUTED_VALUE"""),1382)</f>
        <v>1382</v>
      </c>
      <c r="P81" s="12">
        <f ca="1">IFERROR(__xludf.DUMMYFUNCTION("""COMPUTED_VALUE"""),1453)</f>
        <v>1453</v>
      </c>
      <c r="Q81" s="12">
        <f ca="1">IFERROR(__xludf.DUMMYFUNCTION("""COMPUTED_VALUE"""),1693)</f>
        <v>1693</v>
      </c>
      <c r="R81" s="12">
        <f ca="1">IFERROR(__xludf.DUMMYFUNCTION("""COMPUTED_VALUE"""),219)</f>
        <v>219</v>
      </c>
      <c r="S81" s="12">
        <f ca="1">IFERROR(__xludf.DUMMYFUNCTION("""COMPUTED_VALUE"""),655)</f>
        <v>655</v>
      </c>
      <c r="T81" s="12">
        <f ca="1">IFERROR(__xludf.DUMMYFUNCTION("""COMPUTED_VALUE"""),5413)</f>
        <v>5413</v>
      </c>
      <c r="U81" s="12">
        <f ca="1">IFERROR(__xludf.DUMMYFUNCTION("""COMPUTED_VALUE"""),1936)</f>
        <v>1936</v>
      </c>
      <c r="V81" s="12">
        <f ca="1">IFERROR(__xludf.DUMMYFUNCTION("""COMPUTED_VALUE"""),4392)</f>
        <v>4392</v>
      </c>
      <c r="W81" s="12">
        <f ca="1">IFERROR(__xludf.DUMMYFUNCTION("""COMPUTED_VALUE"""),12350)</f>
        <v>12350</v>
      </c>
      <c r="X81" s="12">
        <f ca="1">IFERROR(__xludf.DUMMYFUNCTION("""COMPUTED_VALUE"""),5932)</f>
        <v>5932</v>
      </c>
      <c r="Y81" s="12">
        <f ca="1">IFERROR(__xludf.DUMMYFUNCTION("""COMPUTED_VALUE"""),3732)</f>
        <v>3732</v>
      </c>
      <c r="Z81" s="12">
        <f ca="1">IFERROR(__xludf.DUMMYFUNCTION("""COMPUTED_VALUE"""),6256)</f>
        <v>6256</v>
      </c>
      <c r="AA81" s="12">
        <f ca="1">IFERROR(__xludf.DUMMYFUNCTION("""COMPUTED_VALUE"""),5178)</f>
        <v>5178</v>
      </c>
      <c r="AB81" s="12">
        <f ca="1">IFERROR(__xludf.DUMMYFUNCTION("""COMPUTED_VALUE"""),11345)</f>
        <v>11345</v>
      </c>
      <c r="AC81" s="12">
        <f ca="1">IFERROR(__xludf.DUMMYFUNCTION("""COMPUTED_VALUE"""),9327)</f>
        <v>9327</v>
      </c>
      <c r="AD81" s="12">
        <f ca="1">IFERROR(__xludf.DUMMYFUNCTION("""COMPUTED_VALUE"""),4238)</f>
        <v>4238</v>
      </c>
      <c r="AE81" s="12">
        <f ca="1">IFERROR(__xludf.DUMMYFUNCTION("""COMPUTED_VALUE"""),4252)</f>
        <v>4252</v>
      </c>
      <c r="AF81" s="8">
        <f ca="1">IFERROR(__xludf.DUMMYFUNCTION("""COMPUTED_VALUE"""),5453)</f>
        <v>5453</v>
      </c>
      <c r="AG81" s="8">
        <f ca="1">IFERROR(__xludf.DUMMYFUNCTION("""COMPUTED_VALUE"""),7045)</f>
        <v>7045</v>
      </c>
      <c r="AH81" s="8">
        <f ca="1">IFERROR(__xludf.DUMMYFUNCTION("""COMPUTED_VALUE"""),2698)</f>
        <v>2698</v>
      </c>
      <c r="AI81" s="8">
        <f ca="1">IFERROR(__xludf.DUMMYFUNCTION("""COMPUTED_VALUE"""),2141)</f>
        <v>2141</v>
      </c>
      <c r="AJ81" s="8">
        <f ca="1">IFERROR(__xludf.DUMMYFUNCTION("""COMPUTED_VALUE"""),2734)</f>
        <v>2734</v>
      </c>
      <c r="AK81" s="8">
        <f ca="1">IFERROR(__xludf.DUMMYFUNCTION("""COMPUTED_VALUE"""),1159)</f>
        <v>1159</v>
      </c>
      <c r="AL81" s="8">
        <f ca="1">IFERROR(__xludf.DUMMYFUNCTION("""COMPUTED_VALUE"""),1140)</f>
        <v>1140</v>
      </c>
      <c r="AM81" s="8">
        <f ca="1">IFERROR(__xludf.DUMMYFUNCTION("""COMPUTED_VALUE"""),2793)</f>
        <v>2793</v>
      </c>
      <c r="AN81" s="8">
        <f ca="1">IFERROR(__xludf.DUMMYFUNCTION("""COMPUTED_VALUE"""),3666)</f>
        <v>3666</v>
      </c>
      <c r="AO81" s="8">
        <f ca="1">IFERROR(__xludf.DUMMYFUNCTION("""COMPUTED_VALUE"""),810)</f>
        <v>810</v>
      </c>
      <c r="AP81" s="8"/>
      <c r="AQ81" s="8"/>
      <c r="AR81" s="8"/>
      <c r="AS81" s="8"/>
      <c r="AT81" s="8"/>
      <c r="AU81" s="8"/>
      <c r="AV81" s="8"/>
      <c r="AW81" s="8"/>
      <c r="AX81" s="8"/>
      <c r="AY81" s="8"/>
    </row>
    <row r="82" spans="1:51" ht="13.2" x14ac:dyDescent="0.25">
      <c r="A82" s="11" t="str">
        <f ca="1">IFERROR(__xludf.DUMMYFUNCTION("""COMPUTED_VALUE"""),"                        left Dentate gyrus, polymorph layer")</f>
        <v xml:space="preserve">                        left Dentate gyrus, polymorph layer</v>
      </c>
      <c r="B82" s="12">
        <f ca="1">IFERROR(__xludf.DUMMYFUNCTION("""COMPUTED_VALUE"""),470)</f>
        <v>470</v>
      </c>
      <c r="C82" s="12">
        <f ca="1">IFERROR(__xludf.DUMMYFUNCTION("""COMPUTED_VALUE"""),2539)</f>
        <v>2539</v>
      </c>
      <c r="D82" s="12">
        <f ca="1">IFERROR(__xludf.DUMMYFUNCTION("""COMPUTED_VALUE"""),856)</f>
        <v>856</v>
      </c>
      <c r="E82" s="12">
        <f ca="1">IFERROR(__xludf.DUMMYFUNCTION("""COMPUTED_VALUE"""),949)</f>
        <v>949</v>
      </c>
      <c r="F82" s="12">
        <f ca="1">IFERROR(__xludf.DUMMYFUNCTION("""COMPUTED_VALUE"""),1663)</f>
        <v>1663</v>
      </c>
      <c r="G82" s="12">
        <f ca="1">IFERROR(__xludf.DUMMYFUNCTION("""COMPUTED_VALUE"""),1092)</f>
        <v>1092</v>
      </c>
      <c r="H82" s="12">
        <f ca="1">IFERROR(__xludf.DUMMYFUNCTION("""COMPUTED_VALUE"""),2293)</f>
        <v>2293</v>
      </c>
      <c r="I82" s="12">
        <f ca="1">IFERROR(__xludf.DUMMYFUNCTION("""COMPUTED_VALUE"""),978)</f>
        <v>978</v>
      </c>
      <c r="J82" s="12">
        <f ca="1">IFERROR(__xludf.DUMMYFUNCTION("""COMPUTED_VALUE"""),868)</f>
        <v>868</v>
      </c>
      <c r="K82" s="12">
        <f ca="1">IFERROR(__xludf.DUMMYFUNCTION("""COMPUTED_VALUE"""),1641)</f>
        <v>1641</v>
      </c>
      <c r="L82" s="12">
        <f ca="1">IFERROR(__xludf.DUMMYFUNCTION("""COMPUTED_VALUE"""),814)</f>
        <v>814</v>
      </c>
      <c r="M82" s="12">
        <f ca="1">IFERROR(__xludf.DUMMYFUNCTION("""COMPUTED_VALUE"""),1229)</f>
        <v>1229</v>
      </c>
      <c r="N82" s="12">
        <f ca="1">IFERROR(__xludf.DUMMYFUNCTION("""COMPUTED_VALUE"""),2258)</f>
        <v>2258</v>
      </c>
      <c r="O82" s="12">
        <f ca="1">IFERROR(__xludf.DUMMYFUNCTION("""COMPUTED_VALUE"""),1359)</f>
        <v>1359</v>
      </c>
      <c r="P82" s="12">
        <f ca="1">IFERROR(__xludf.DUMMYFUNCTION("""COMPUTED_VALUE"""),410)</f>
        <v>410</v>
      </c>
      <c r="Q82" s="12">
        <f ca="1">IFERROR(__xludf.DUMMYFUNCTION("""COMPUTED_VALUE"""),1773)</f>
        <v>1773</v>
      </c>
      <c r="R82" s="12">
        <f ca="1">IFERROR(__xludf.DUMMYFUNCTION("""COMPUTED_VALUE"""),440)</f>
        <v>440</v>
      </c>
      <c r="S82" s="12">
        <f ca="1">IFERROR(__xludf.DUMMYFUNCTION("""COMPUTED_VALUE"""),1052)</f>
        <v>1052</v>
      </c>
      <c r="T82" s="12">
        <f ca="1">IFERROR(__xludf.DUMMYFUNCTION("""COMPUTED_VALUE"""),1051)</f>
        <v>1051</v>
      </c>
      <c r="U82" s="12">
        <f ca="1">IFERROR(__xludf.DUMMYFUNCTION("""COMPUTED_VALUE"""),526)</f>
        <v>526</v>
      </c>
      <c r="V82" s="12">
        <f ca="1">IFERROR(__xludf.DUMMYFUNCTION("""COMPUTED_VALUE"""),2104)</f>
        <v>2104</v>
      </c>
      <c r="W82" s="12">
        <f ca="1">IFERROR(__xludf.DUMMYFUNCTION("""COMPUTED_VALUE"""),1387)</f>
        <v>1387</v>
      </c>
      <c r="X82" s="12">
        <f ca="1">IFERROR(__xludf.DUMMYFUNCTION("""COMPUTED_VALUE"""),1125)</f>
        <v>1125</v>
      </c>
      <c r="Y82" s="12">
        <f ca="1">IFERROR(__xludf.DUMMYFUNCTION("""COMPUTED_VALUE"""),800)</f>
        <v>800</v>
      </c>
      <c r="Z82" s="12">
        <f ca="1">IFERROR(__xludf.DUMMYFUNCTION("""COMPUTED_VALUE"""),1687)</f>
        <v>1687</v>
      </c>
      <c r="AA82" s="12">
        <f ca="1">IFERROR(__xludf.DUMMYFUNCTION("""COMPUTED_VALUE"""),757)</f>
        <v>757</v>
      </c>
      <c r="AB82" s="12">
        <f ca="1">IFERROR(__xludf.DUMMYFUNCTION("""COMPUTED_VALUE"""),2100)</f>
        <v>2100</v>
      </c>
      <c r="AC82" s="12">
        <f ca="1">IFERROR(__xludf.DUMMYFUNCTION("""COMPUTED_VALUE"""),1928)</f>
        <v>1928</v>
      </c>
      <c r="AD82" s="12">
        <f ca="1">IFERROR(__xludf.DUMMYFUNCTION("""COMPUTED_VALUE"""),867)</f>
        <v>867</v>
      </c>
      <c r="AE82" s="12">
        <f ca="1">IFERROR(__xludf.DUMMYFUNCTION("""COMPUTED_VALUE"""),1272)</f>
        <v>1272</v>
      </c>
      <c r="AF82" s="8">
        <f ca="1">IFERROR(__xludf.DUMMYFUNCTION("""COMPUTED_VALUE"""),1167)</f>
        <v>1167</v>
      </c>
      <c r="AG82" s="8">
        <f ca="1">IFERROR(__xludf.DUMMYFUNCTION("""COMPUTED_VALUE"""),854)</f>
        <v>854</v>
      </c>
      <c r="AH82" s="8">
        <f ca="1">IFERROR(__xludf.DUMMYFUNCTION("""COMPUTED_VALUE"""),824)</f>
        <v>824</v>
      </c>
      <c r="AI82" s="8">
        <f ca="1">IFERROR(__xludf.DUMMYFUNCTION("""COMPUTED_VALUE"""),711)</f>
        <v>711</v>
      </c>
      <c r="AJ82" s="8">
        <f ca="1">IFERROR(__xludf.DUMMYFUNCTION("""COMPUTED_VALUE"""),583)</f>
        <v>583</v>
      </c>
      <c r="AK82" s="8">
        <f ca="1">IFERROR(__xludf.DUMMYFUNCTION("""COMPUTED_VALUE"""),283)</f>
        <v>283</v>
      </c>
      <c r="AL82" s="8">
        <f ca="1">IFERROR(__xludf.DUMMYFUNCTION("""COMPUTED_VALUE"""),399)</f>
        <v>399</v>
      </c>
      <c r="AM82" s="8">
        <f ca="1">IFERROR(__xludf.DUMMYFUNCTION("""COMPUTED_VALUE"""),883)</f>
        <v>883</v>
      </c>
      <c r="AN82" s="8">
        <f ca="1">IFERROR(__xludf.DUMMYFUNCTION("""COMPUTED_VALUE"""),1011)</f>
        <v>1011</v>
      </c>
      <c r="AO82" s="8">
        <f ca="1">IFERROR(__xludf.DUMMYFUNCTION("""COMPUTED_VALUE"""),300)</f>
        <v>300</v>
      </c>
      <c r="AP82" s="8"/>
      <c r="AQ82" s="8"/>
      <c r="AR82" s="8"/>
      <c r="AS82" s="8"/>
      <c r="AT82" s="8"/>
      <c r="AU82" s="8"/>
      <c r="AV82" s="8"/>
      <c r="AW82" s="8"/>
      <c r="AX82" s="8"/>
      <c r="AY82" s="8"/>
    </row>
    <row r="83" spans="1:51" ht="13.2" x14ac:dyDescent="0.25">
      <c r="A83" s="11" t="str">
        <f ca="1">IFERROR(__xludf.DUMMYFUNCTION("""COMPUTED_VALUE"""),"                        left Dentate gyrus, granule cell layer")</f>
        <v xml:space="preserve">                        left Dentate gyrus, granule cell layer</v>
      </c>
      <c r="B83" s="12">
        <f ca="1">IFERROR(__xludf.DUMMYFUNCTION("""COMPUTED_VALUE"""),1083)</f>
        <v>1083</v>
      </c>
      <c r="C83" s="12">
        <f ca="1">IFERROR(__xludf.DUMMYFUNCTION("""COMPUTED_VALUE"""),3720)</f>
        <v>3720</v>
      </c>
      <c r="D83" s="12">
        <f ca="1">IFERROR(__xludf.DUMMYFUNCTION("""COMPUTED_VALUE"""),1259)</f>
        <v>1259</v>
      </c>
      <c r="E83" s="12">
        <f ca="1">IFERROR(__xludf.DUMMYFUNCTION("""COMPUTED_VALUE"""),2116)</f>
        <v>2116</v>
      </c>
      <c r="F83" s="12">
        <f ca="1">IFERROR(__xludf.DUMMYFUNCTION("""COMPUTED_VALUE"""),2327)</f>
        <v>2327</v>
      </c>
      <c r="G83" s="12">
        <f ca="1">IFERROR(__xludf.DUMMYFUNCTION("""COMPUTED_VALUE"""),2569)</f>
        <v>2569</v>
      </c>
      <c r="H83" s="12">
        <f ca="1">IFERROR(__xludf.DUMMYFUNCTION("""COMPUTED_VALUE"""),2455)</f>
        <v>2455</v>
      </c>
      <c r="I83" s="12">
        <f ca="1">IFERROR(__xludf.DUMMYFUNCTION("""COMPUTED_VALUE"""),1408)</f>
        <v>1408</v>
      </c>
      <c r="J83" s="12">
        <f ca="1">IFERROR(__xludf.DUMMYFUNCTION("""COMPUTED_VALUE"""),845)</f>
        <v>845</v>
      </c>
      <c r="K83" s="12">
        <f ca="1">IFERROR(__xludf.DUMMYFUNCTION("""COMPUTED_VALUE"""),2392)</f>
        <v>2392</v>
      </c>
      <c r="L83" s="12">
        <f ca="1">IFERROR(__xludf.DUMMYFUNCTION("""COMPUTED_VALUE"""),1533)</f>
        <v>1533</v>
      </c>
      <c r="M83" s="12">
        <f ca="1">IFERROR(__xludf.DUMMYFUNCTION("""COMPUTED_VALUE"""),2817)</f>
        <v>2817</v>
      </c>
      <c r="N83" s="12">
        <f ca="1">IFERROR(__xludf.DUMMYFUNCTION("""COMPUTED_VALUE"""),5919)</f>
        <v>5919</v>
      </c>
      <c r="O83" s="12">
        <f ca="1">IFERROR(__xludf.DUMMYFUNCTION("""COMPUTED_VALUE"""),2081)</f>
        <v>2081</v>
      </c>
      <c r="P83" s="12">
        <f ca="1">IFERROR(__xludf.DUMMYFUNCTION("""COMPUTED_VALUE"""),1398)</f>
        <v>1398</v>
      </c>
      <c r="Q83" s="12">
        <f ca="1">IFERROR(__xludf.DUMMYFUNCTION("""COMPUTED_VALUE"""),1982)</f>
        <v>1982</v>
      </c>
      <c r="R83" s="12">
        <f ca="1">IFERROR(__xludf.DUMMYFUNCTION("""COMPUTED_VALUE"""),474)</f>
        <v>474</v>
      </c>
      <c r="S83" s="12">
        <f ca="1">IFERROR(__xludf.DUMMYFUNCTION("""COMPUTED_VALUE"""),1728)</f>
        <v>1728</v>
      </c>
      <c r="T83" s="12">
        <f ca="1">IFERROR(__xludf.DUMMYFUNCTION("""COMPUTED_VALUE"""),2814)</f>
        <v>2814</v>
      </c>
      <c r="U83" s="12">
        <f ca="1">IFERROR(__xludf.DUMMYFUNCTION("""COMPUTED_VALUE"""),1003)</f>
        <v>1003</v>
      </c>
      <c r="V83" s="12">
        <f ca="1">IFERROR(__xludf.DUMMYFUNCTION("""COMPUTED_VALUE"""),4615)</f>
        <v>4615</v>
      </c>
      <c r="W83" s="12">
        <f ca="1">IFERROR(__xludf.DUMMYFUNCTION("""COMPUTED_VALUE"""),3877)</f>
        <v>3877</v>
      </c>
      <c r="X83" s="12">
        <f ca="1">IFERROR(__xludf.DUMMYFUNCTION("""COMPUTED_VALUE"""),1797)</f>
        <v>1797</v>
      </c>
      <c r="Y83" s="12">
        <f ca="1">IFERROR(__xludf.DUMMYFUNCTION("""COMPUTED_VALUE"""),1875)</f>
        <v>1875</v>
      </c>
      <c r="Z83" s="12">
        <f ca="1">IFERROR(__xludf.DUMMYFUNCTION("""COMPUTED_VALUE"""),2978)</f>
        <v>2978</v>
      </c>
      <c r="AA83" s="12">
        <f ca="1">IFERROR(__xludf.DUMMYFUNCTION("""COMPUTED_VALUE"""),1937)</f>
        <v>1937</v>
      </c>
      <c r="AB83" s="12">
        <f ca="1">IFERROR(__xludf.DUMMYFUNCTION("""COMPUTED_VALUE"""),4757)</f>
        <v>4757</v>
      </c>
      <c r="AC83" s="12">
        <f ca="1">IFERROR(__xludf.DUMMYFUNCTION("""COMPUTED_VALUE"""),3834)</f>
        <v>3834</v>
      </c>
      <c r="AD83" s="12">
        <f ca="1">IFERROR(__xludf.DUMMYFUNCTION("""COMPUTED_VALUE"""),2076)</f>
        <v>2076</v>
      </c>
      <c r="AE83" s="12">
        <f ca="1">IFERROR(__xludf.DUMMYFUNCTION("""COMPUTED_VALUE"""),1714)</f>
        <v>1714</v>
      </c>
      <c r="AF83" s="8">
        <f ca="1">IFERROR(__xludf.DUMMYFUNCTION("""COMPUTED_VALUE"""),3189)</f>
        <v>3189</v>
      </c>
      <c r="AG83" s="8">
        <f ca="1">IFERROR(__xludf.DUMMYFUNCTION("""COMPUTED_VALUE"""),2316)</f>
        <v>2316</v>
      </c>
      <c r="AH83" s="8">
        <f ca="1">IFERROR(__xludf.DUMMYFUNCTION("""COMPUTED_VALUE"""),1868)</f>
        <v>1868</v>
      </c>
      <c r="AI83" s="8">
        <f ca="1">IFERROR(__xludf.DUMMYFUNCTION("""COMPUTED_VALUE"""),1021)</f>
        <v>1021</v>
      </c>
      <c r="AJ83" s="8">
        <f ca="1">IFERROR(__xludf.DUMMYFUNCTION("""COMPUTED_VALUE"""),1205)</f>
        <v>1205</v>
      </c>
      <c r="AK83" s="8">
        <f ca="1">IFERROR(__xludf.DUMMYFUNCTION("""COMPUTED_VALUE"""),731)</f>
        <v>731</v>
      </c>
      <c r="AL83" s="8">
        <f ca="1">IFERROR(__xludf.DUMMYFUNCTION("""COMPUTED_VALUE"""),730)</f>
        <v>730</v>
      </c>
      <c r="AM83" s="8">
        <f ca="1">IFERROR(__xludf.DUMMYFUNCTION("""COMPUTED_VALUE"""),1374)</f>
        <v>1374</v>
      </c>
      <c r="AN83" s="8">
        <f ca="1">IFERROR(__xludf.DUMMYFUNCTION("""COMPUTED_VALUE"""),1135)</f>
        <v>1135</v>
      </c>
      <c r="AO83" s="8">
        <f ca="1">IFERROR(__xludf.DUMMYFUNCTION("""COMPUTED_VALUE"""),606)</f>
        <v>606</v>
      </c>
      <c r="AP83" s="8"/>
      <c r="AQ83" s="8"/>
      <c r="AR83" s="8"/>
      <c r="AS83" s="8"/>
      <c r="AT83" s="8"/>
      <c r="AU83" s="8"/>
      <c r="AV83" s="8"/>
      <c r="AW83" s="8"/>
      <c r="AX83" s="8"/>
      <c r="AY83" s="8"/>
    </row>
    <row r="84" spans="1:51" ht="13.2" x14ac:dyDescent="0.25">
      <c r="A84" s="11" t="str">
        <f ca="1">IFERROR(__xludf.DUMMYFUNCTION("""COMPUTED_VALUE"""),"                  left Retrohippocampal region")</f>
        <v xml:space="preserve">                  left Retrohippocampal region</v>
      </c>
      <c r="B84" s="12">
        <f ca="1">IFERROR(__xludf.DUMMYFUNCTION("""COMPUTED_VALUE"""),35802)</f>
        <v>35802</v>
      </c>
      <c r="C84" s="12">
        <f ca="1">IFERROR(__xludf.DUMMYFUNCTION("""COMPUTED_VALUE"""),60063)</f>
        <v>60063</v>
      </c>
      <c r="D84" s="12">
        <f ca="1">IFERROR(__xludf.DUMMYFUNCTION("""COMPUTED_VALUE"""),39421)</f>
        <v>39421</v>
      </c>
      <c r="E84" s="12">
        <f ca="1">IFERROR(__xludf.DUMMYFUNCTION("""COMPUTED_VALUE"""),70227)</f>
        <v>70227</v>
      </c>
      <c r="F84" s="12">
        <f ca="1">IFERROR(__xludf.DUMMYFUNCTION("""COMPUTED_VALUE"""),30962)</f>
        <v>30962</v>
      </c>
      <c r="G84" s="12">
        <f ca="1">IFERROR(__xludf.DUMMYFUNCTION("""COMPUTED_VALUE"""),23136)</f>
        <v>23136</v>
      </c>
      <c r="H84" s="12">
        <f ca="1">IFERROR(__xludf.DUMMYFUNCTION("""COMPUTED_VALUE"""),58117)</f>
        <v>58117</v>
      </c>
      <c r="I84" s="12">
        <f ca="1">IFERROR(__xludf.DUMMYFUNCTION("""COMPUTED_VALUE"""),28659)</f>
        <v>28659</v>
      </c>
      <c r="J84" s="12">
        <f ca="1">IFERROR(__xludf.DUMMYFUNCTION("""COMPUTED_VALUE"""),24952)</f>
        <v>24952</v>
      </c>
      <c r="K84" s="12">
        <f ca="1">IFERROR(__xludf.DUMMYFUNCTION("""COMPUTED_VALUE"""),40598)</f>
        <v>40598</v>
      </c>
      <c r="L84" s="12">
        <f ca="1">IFERROR(__xludf.DUMMYFUNCTION("""COMPUTED_VALUE"""),24896)</f>
        <v>24896</v>
      </c>
      <c r="M84" s="12">
        <f ca="1">IFERROR(__xludf.DUMMYFUNCTION("""COMPUTED_VALUE"""),41102)</f>
        <v>41102</v>
      </c>
      <c r="N84" s="12">
        <f ca="1">IFERROR(__xludf.DUMMYFUNCTION("""COMPUTED_VALUE"""),26068)</f>
        <v>26068</v>
      </c>
      <c r="O84" s="12">
        <f ca="1">IFERROR(__xludf.DUMMYFUNCTION("""COMPUTED_VALUE"""),49846)</f>
        <v>49846</v>
      </c>
      <c r="P84" s="12">
        <f ca="1">IFERROR(__xludf.DUMMYFUNCTION("""COMPUTED_VALUE"""),20502)</f>
        <v>20502</v>
      </c>
      <c r="Q84" s="12">
        <f ca="1">IFERROR(__xludf.DUMMYFUNCTION("""COMPUTED_VALUE"""),59862)</f>
        <v>59862</v>
      </c>
      <c r="R84" s="12">
        <f ca="1">IFERROR(__xludf.DUMMYFUNCTION("""COMPUTED_VALUE"""),25286)</f>
        <v>25286</v>
      </c>
      <c r="S84" s="12">
        <f ca="1">IFERROR(__xludf.DUMMYFUNCTION("""COMPUTED_VALUE"""),37988)</f>
        <v>37988</v>
      </c>
      <c r="T84" s="12">
        <f ca="1">IFERROR(__xludf.DUMMYFUNCTION("""COMPUTED_VALUE"""),51738)</f>
        <v>51738</v>
      </c>
      <c r="U84" s="12">
        <f ca="1">IFERROR(__xludf.DUMMYFUNCTION("""COMPUTED_VALUE"""),49996)</f>
        <v>49996</v>
      </c>
      <c r="V84" s="12">
        <f ca="1">IFERROR(__xludf.DUMMYFUNCTION("""COMPUTED_VALUE"""),60033)</f>
        <v>60033</v>
      </c>
      <c r="W84" s="12">
        <f ca="1">IFERROR(__xludf.DUMMYFUNCTION("""COMPUTED_VALUE"""),72733)</f>
        <v>72733</v>
      </c>
      <c r="X84" s="12">
        <f ca="1">IFERROR(__xludf.DUMMYFUNCTION("""COMPUTED_VALUE"""),67218)</f>
        <v>67218</v>
      </c>
      <c r="Y84" s="12">
        <f ca="1">IFERROR(__xludf.DUMMYFUNCTION("""COMPUTED_VALUE"""),66835)</f>
        <v>66835</v>
      </c>
      <c r="Z84" s="12">
        <f ca="1">IFERROR(__xludf.DUMMYFUNCTION("""COMPUTED_VALUE"""),61476)</f>
        <v>61476</v>
      </c>
      <c r="AA84" s="12">
        <f ca="1">IFERROR(__xludf.DUMMYFUNCTION("""COMPUTED_VALUE"""),32889)</f>
        <v>32889</v>
      </c>
      <c r="AB84" s="12">
        <f ca="1">IFERROR(__xludf.DUMMYFUNCTION("""COMPUTED_VALUE"""),67878)</f>
        <v>67878</v>
      </c>
      <c r="AC84" s="12">
        <f ca="1">IFERROR(__xludf.DUMMYFUNCTION("""COMPUTED_VALUE"""),62233)</f>
        <v>62233</v>
      </c>
      <c r="AD84" s="12">
        <f ca="1">IFERROR(__xludf.DUMMYFUNCTION("""COMPUTED_VALUE"""),95127)</f>
        <v>95127</v>
      </c>
      <c r="AE84" s="12">
        <f ca="1">IFERROR(__xludf.DUMMYFUNCTION("""COMPUTED_VALUE"""),140368)</f>
        <v>140368</v>
      </c>
      <c r="AF84" s="8">
        <f ca="1">IFERROR(__xludf.DUMMYFUNCTION("""COMPUTED_VALUE"""),165138)</f>
        <v>165138</v>
      </c>
      <c r="AG84" s="8">
        <f ca="1">IFERROR(__xludf.DUMMYFUNCTION("""COMPUTED_VALUE"""),16173)</f>
        <v>16173</v>
      </c>
      <c r="AH84" s="8">
        <f ca="1">IFERROR(__xludf.DUMMYFUNCTION("""COMPUTED_VALUE"""),36548)</f>
        <v>36548</v>
      </c>
      <c r="AI84" s="8">
        <f ca="1">IFERROR(__xludf.DUMMYFUNCTION("""COMPUTED_VALUE"""),39891)</f>
        <v>39891</v>
      </c>
      <c r="AJ84" s="8">
        <f ca="1">IFERROR(__xludf.DUMMYFUNCTION("""COMPUTED_VALUE"""),39314)</f>
        <v>39314</v>
      </c>
      <c r="AK84" s="8">
        <f ca="1">IFERROR(__xludf.DUMMYFUNCTION("""COMPUTED_VALUE"""),48764)</f>
        <v>48764</v>
      </c>
      <c r="AL84" s="8">
        <f ca="1">IFERROR(__xludf.DUMMYFUNCTION("""COMPUTED_VALUE"""),44588)</f>
        <v>44588</v>
      </c>
      <c r="AM84" s="8">
        <f ca="1">IFERROR(__xludf.DUMMYFUNCTION("""COMPUTED_VALUE"""),71866)</f>
        <v>71866</v>
      </c>
      <c r="AN84" s="8">
        <f ca="1">IFERROR(__xludf.DUMMYFUNCTION("""COMPUTED_VALUE"""),67696)</f>
        <v>67696</v>
      </c>
      <c r="AO84" s="8">
        <f ca="1">IFERROR(__xludf.DUMMYFUNCTION("""COMPUTED_VALUE"""),34965)</f>
        <v>34965</v>
      </c>
      <c r="AP84" s="8"/>
      <c r="AQ84" s="8"/>
      <c r="AR84" s="8"/>
      <c r="AS84" s="8"/>
      <c r="AT84" s="8"/>
      <c r="AU84" s="8"/>
      <c r="AV84" s="8"/>
      <c r="AW84" s="8"/>
      <c r="AX84" s="8"/>
      <c r="AY84" s="8"/>
    </row>
    <row r="85" spans="1:51" ht="13.2" x14ac:dyDescent="0.25">
      <c r="A85" s="11" t="str">
        <f ca="1">IFERROR(__xludf.DUMMYFUNCTION("""COMPUTED_VALUE"""),"                     left Entorhinal area")</f>
        <v xml:space="preserve">                     left Entorhinal area</v>
      </c>
      <c r="B85" s="12">
        <f ca="1">IFERROR(__xludf.DUMMYFUNCTION("""COMPUTED_VALUE"""),23421)</f>
        <v>23421</v>
      </c>
      <c r="C85" s="12">
        <f ca="1">IFERROR(__xludf.DUMMYFUNCTION("""COMPUTED_VALUE"""),30289)</f>
        <v>30289</v>
      </c>
      <c r="D85" s="12">
        <f ca="1">IFERROR(__xludf.DUMMYFUNCTION("""COMPUTED_VALUE"""),27251)</f>
        <v>27251</v>
      </c>
      <c r="E85" s="12">
        <f ca="1">IFERROR(__xludf.DUMMYFUNCTION("""COMPUTED_VALUE"""),39761)</f>
        <v>39761</v>
      </c>
      <c r="F85" s="12">
        <f ca="1">IFERROR(__xludf.DUMMYFUNCTION("""COMPUTED_VALUE"""),15467)</f>
        <v>15467</v>
      </c>
      <c r="G85" s="12">
        <f ca="1">IFERROR(__xludf.DUMMYFUNCTION("""COMPUTED_VALUE"""),10414)</f>
        <v>10414</v>
      </c>
      <c r="H85" s="12">
        <f ca="1">IFERROR(__xludf.DUMMYFUNCTION("""COMPUTED_VALUE"""),34305)</f>
        <v>34305</v>
      </c>
      <c r="I85" s="12">
        <f ca="1">IFERROR(__xludf.DUMMYFUNCTION("""COMPUTED_VALUE"""),10267)</f>
        <v>10267</v>
      </c>
      <c r="J85" s="12">
        <f ca="1">IFERROR(__xludf.DUMMYFUNCTION("""COMPUTED_VALUE"""),9490)</f>
        <v>9490</v>
      </c>
      <c r="K85" s="12">
        <f ca="1">IFERROR(__xludf.DUMMYFUNCTION("""COMPUTED_VALUE"""),18081)</f>
        <v>18081</v>
      </c>
      <c r="L85" s="12">
        <f ca="1">IFERROR(__xludf.DUMMYFUNCTION("""COMPUTED_VALUE"""),17674)</f>
        <v>17674</v>
      </c>
      <c r="M85" s="12">
        <f ca="1">IFERROR(__xludf.DUMMYFUNCTION("""COMPUTED_VALUE"""),22359)</f>
        <v>22359</v>
      </c>
      <c r="N85" s="12">
        <f ca="1">IFERROR(__xludf.DUMMYFUNCTION("""COMPUTED_VALUE"""),11578)</f>
        <v>11578</v>
      </c>
      <c r="O85" s="12">
        <f ca="1">IFERROR(__xludf.DUMMYFUNCTION("""COMPUTED_VALUE"""),24285)</f>
        <v>24285</v>
      </c>
      <c r="P85" s="12">
        <f ca="1">IFERROR(__xludf.DUMMYFUNCTION("""COMPUTED_VALUE"""),12969)</f>
        <v>12969</v>
      </c>
      <c r="Q85" s="12">
        <f ca="1">IFERROR(__xludf.DUMMYFUNCTION("""COMPUTED_VALUE"""),30151)</f>
        <v>30151</v>
      </c>
      <c r="R85" s="12">
        <f ca="1">IFERROR(__xludf.DUMMYFUNCTION("""COMPUTED_VALUE"""),18901)</f>
        <v>18901</v>
      </c>
      <c r="S85" s="12">
        <f ca="1">IFERROR(__xludf.DUMMYFUNCTION("""COMPUTED_VALUE"""),26011)</f>
        <v>26011</v>
      </c>
      <c r="T85" s="12">
        <f ca="1">IFERROR(__xludf.DUMMYFUNCTION("""COMPUTED_VALUE"""),23209)</f>
        <v>23209</v>
      </c>
      <c r="U85" s="12">
        <f ca="1">IFERROR(__xludf.DUMMYFUNCTION("""COMPUTED_VALUE"""),31908)</f>
        <v>31908</v>
      </c>
      <c r="V85" s="12">
        <f ca="1">IFERROR(__xludf.DUMMYFUNCTION("""COMPUTED_VALUE"""),41171)</f>
        <v>41171</v>
      </c>
      <c r="W85" s="12">
        <f ca="1">IFERROR(__xludf.DUMMYFUNCTION("""COMPUTED_VALUE"""),33842)</f>
        <v>33842</v>
      </c>
      <c r="X85" s="12">
        <f ca="1">IFERROR(__xludf.DUMMYFUNCTION("""COMPUTED_VALUE"""),40880)</f>
        <v>40880</v>
      </c>
      <c r="Y85" s="12">
        <f ca="1">IFERROR(__xludf.DUMMYFUNCTION("""COMPUTED_VALUE"""),41755)</f>
        <v>41755</v>
      </c>
      <c r="Z85" s="12">
        <f ca="1">IFERROR(__xludf.DUMMYFUNCTION("""COMPUTED_VALUE"""),37667)</f>
        <v>37667</v>
      </c>
      <c r="AA85" s="12">
        <f ca="1">IFERROR(__xludf.DUMMYFUNCTION("""COMPUTED_VALUE"""),23518)</f>
        <v>23518</v>
      </c>
      <c r="AB85" s="12">
        <f ca="1">IFERROR(__xludf.DUMMYFUNCTION("""COMPUTED_VALUE"""),39428)</f>
        <v>39428</v>
      </c>
      <c r="AC85" s="12">
        <f ca="1">IFERROR(__xludf.DUMMYFUNCTION("""COMPUTED_VALUE"""),30700)</f>
        <v>30700</v>
      </c>
      <c r="AD85" s="12">
        <f ca="1">IFERROR(__xludf.DUMMYFUNCTION("""COMPUTED_VALUE"""),62828)</f>
        <v>62828</v>
      </c>
      <c r="AE85" s="12">
        <f ca="1">IFERROR(__xludf.DUMMYFUNCTION("""COMPUTED_VALUE"""),99422)</f>
        <v>99422</v>
      </c>
      <c r="AF85" s="8">
        <f ca="1">IFERROR(__xludf.DUMMYFUNCTION("""COMPUTED_VALUE"""),115091)</f>
        <v>115091</v>
      </c>
      <c r="AG85" s="8">
        <f ca="1">IFERROR(__xludf.DUMMYFUNCTION("""COMPUTED_VALUE"""),7672)</f>
        <v>7672</v>
      </c>
      <c r="AH85" s="8">
        <f ca="1">IFERROR(__xludf.DUMMYFUNCTION("""COMPUTED_VALUE"""),27873)</f>
        <v>27873</v>
      </c>
      <c r="AI85" s="8">
        <f ca="1">IFERROR(__xludf.DUMMYFUNCTION("""COMPUTED_VALUE"""),25965)</f>
        <v>25965</v>
      </c>
      <c r="AJ85" s="8">
        <f ca="1">IFERROR(__xludf.DUMMYFUNCTION("""COMPUTED_VALUE"""),23318)</f>
        <v>23318</v>
      </c>
      <c r="AK85" s="8">
        <f ca="1">IFERROR(__xludf.DUMMYFUNCTION("""COMPUTED_VALUE"""),40081)</f>
        <v>40081</v>
      </c>
      <c r="AL85" s="8">
        <f ca="1">IFERROR(__xludf.DUMMYFUNCTION("""COMPUTED_VALUE"""),33613)</f>
        <v>33613</v>
      </c>
      <c r="AM85" s="8">
        <f ca="1">IFERROR(__xludf.DUMMYFUNCTION("""COMPUTED_VALUE"""),51066)</f>
        <v>51066</v>
      </c>
      <c r="AN85" s="8">
        <f ca="1">IFERROR(__xludf.DUMMYFUNCTION("""COMPUTED_VALUE"""),40440)</f>
        <v>40440</v>
      </c>
      <c r="AO85" s="8">
        <f ca="1">IFERROR(__xludf.DUMMYFUNCTION("""COMPUTED_VALUE"""),25971)</f>
        <v>25971</v>
      </c>
      <c r="AP85" s="8"/>
      <c r="AQ85" s="8"/>
      <c r="AR85" s="8"/>
      <c r="AS85" s="8"/>
      <c r="AT85" s="8"/>
      <c r="AU85" s="8"/>
      <c r="AV85" s="8"/>
      <c r="AW85" s="8"/>
      <c r="AX85" s="8"/>
      <c r="AY85" s="8"/>
    </row>
    <row r="86" spans="1:51" ht="13.2" x14ac:dyDescent="0.25">
      <c r="A86" s="11" t="str">
        <f ca="1">IFERROR(__xludf.DUMMYFUNCTION("""COMPUTED_VALUE"""),"                        left Entorhinal area, lateral part")</f>
        <v xml:space="preserve">                        left Entorhinal area, lateral part</v>
      </c>
      <c r="B86" s="12">
        <f ca="1">IFERROR(__xludf.DUMMYFUNCTION("""COMPUTED_VALUE"""),11629)</f>
        <v>11629</v>
      </c>
      <c r="C86" s="12">
        <f ca="1">IFERROR(__xludf.DUMMYFUNCTION("""COMPUTED_VALUE"""),12909)</f>
        <v>12909</v>
      </c>
      <c r="D86" s="12">
        <f ca="1">IFERROR(__xludf.DUMMYFUNCTION("""COMPUTED_VALUE"""),19915)</f>
        <v>19915</v>
      </c>
      <c r="E86" s="12">
        <f ca="1">IFERROR(__xludf.DUMMYFUNCTION("""COMPUTED_VALUE"""),20587)</f>
        <v>20587</v>
      </c>
      <c r="F86" s="12">
        <f ca="1">IFERROR(__xludf.DUMMYFUNCTION("""COMPUTED_VALUE"""),8722)</f>
        <v>8722</v>
      </c>
      <c r="G86" s="12">
        <f ca="1">IFERROR(__xludf.DUMMYFUNCTION("""COMPUTED_VALUE"""),2632)</f>
        <v>2632</v>
      </c>
      <c r="H86" s="12">
        <f ca="1">IFERROR(__xludf.DUMMYFUNCTION("""COMPUTED_VALUE"""),20911)</f>
        <v>20911</v>
      </c>
      <c r="I86" s="12">
        <f ca="1">IFERROR(__xludf.DUMMYFUNCTION("""COMPUTED_VALUE"""),3742)</f>
        <v>3742</v>
      </c>
      <c r="J86" s="12">
        <f ca="1">IFERROR(__xludf.DUMMYFUNCTION("""COMPUTED_VALUE"""),4108)</f>
        <v>4108</v>
      </c>
      <c r="K86" s="12">
        <f ca="1">IFERROR(__xludf.DUMMYFUNCTION("""COMPUTED_VALUE"""),8910)</f>
        <v>8910</v>
      </c>
      <c r="L86" s="12">
        <f ca="1">IFERROR(__xludf.DUMMYFUNCTION("""COMPUTED_VALUE"""),12792)</f>
        <v>12792</v>
      </c>
      <c r="M86" s="12">
        <f ca="1">IFERROR(__xludf.DUMMYFUNCTION("""COMPUTED_VALUE"""),16106)</f>
        <v>16106</v>
      </c>
      <c r="N86" s="12">
        <f ca="1">IFERROR(__xludf.DUMMYFUNCTION("""COMPUTED_VALUE"""),5242)</f>
        <v>5242</v>
      </c>
      <c r="O86" s="12">
        <f ca="1">IFERROR(__xludf.DUMMYFUNCTION("""COMPUTED_VALUE"""),16586)</f>
        <v>16586</v>
      </c>
      <c r="P86" s="12">
        <f ca="1">IFERROR(__xludf.DUMMYFUNCTION("""COMPUTED_VALUE"""),8703)</f>
        <v>8703</v>
      </c>
      <c r="Q86" s="12">
        <f ca="1">IFERROR(__xludf.DUMMYFUNCTION("""COMPUTED_VALUE"""),13740)</f>
        <v>13740</v>
      </c>
      <c r="R86" s="12">
        <f ca="1">IFERROR(__xludf.DUMMYFUNCTION("""COMPUTED_VALUE"""),10454)</f>
        <v>10454</v>
      </c>
      <c r="S86" s="12">
        <f ca="1">IFERROR(__xludf.DUMMYFUNCTION("""COMPUTED_VALUE"""),15166)</f>
        <v>15166</v>
      </c>
      <c r="T86" s="12">
        <f ca="1">IFERROR(__xludf.DUMMYFUNCTION("""COMPUTED_VALUE"""),17777)</f>
        <v>17777</v>
      </c>
      <c r="U86" s="12">
        <f ca="1">IFERROR(__xludf.DUMMYFUNCTION("""COMPUTED_VALUE"""),22001)</f>
        <v>22001</v>
      </c>
      <c r="V86" s="12">
        <f ca="1">IFERROR(__xludf.DUMMYFUNCTION("""COMPUTED_VALUE"""),32431)</f>
        <v>32431</v>
      </c>
      <c r="W86" s="12">
        <f ca="1">IFERROR(__xludf.DUMMYFUNCTION("""COMPUTED_VALUE"""),28907)</f>
        <v>28907</v>
      </c>
      <c r="X86" s="12">
        <f ca="1">IFERROR(__xludf.DUMMYFUNCTION("""COMPUTED_VALUE"""),30537)</f>
        <v>30537</v>
      </c>
      <c r="Y86" s="12">
        <f ca="1">IFERROR(__xludf.DUMMYFUNCTION("""COMPUTED_VALUE"""),27798)</f>
        <v>27798</v>
      </c>
      <c r="Z86" s="12">
        <f ca="1">IFERROR(__xludf.DUMMYFUNCTION("""COMPUTED_VALUE"""),33932)</f>
        <v>33932</v>
      </c>
      <c r="AA86" s="12">
        <f ca="1">IFERROR(__xludf.DUMMYFUNCTION("""COMPUTED_VALUE"""),20096)</f>
        <v>20096</v>
      </c>
      <c r="AB86" s="12">
        <f ca="1">IFERROR(__xludf.DUMMYFUNCTION("""COMPUTED_VALUE"""),31907)</f>
        <v>31907</v>
      </c>
      <c r="AC86" s="12">
        <f ca="1">IFERROR(__xludf.DUMMYFUNCTION("""COMPUTED_VALUE"""),22137)</f>
        <v>22137</v>
      </c>
      <c r="AD86" s="12">
        <f ca="1">IFERROR(__xludf.DUMMYFUNCTION("""COMPUTED_VALUE"""),46809)</f>
        <v>46809</v>
      </c>
      <c r="AE86" s="12">
        <f ca="1">IFERROR(__xludf.DUMMYFUNCTION("""COMPUTED_VALUE"""),75688)</f>
        <v>75688</v>
      </c>
      <c r="AF86" s="8">
        <f ca="1">IFERROR(__xludf.DUMMYFUNCTION("""COMPUTED_VALUE"""),84442)</f>
        <v>84442</v>
      </c>
      <c r="AG86" s="8">
        <f ca="1">IFERROR(__xludf.DUMMYFUNCTION("""COMPUTED_VALUE"""),6968)</f>
        <v>6968</v>
      </c>
      <c r="AH86" s="8">
        <f ca="1">IFERROR(__xludf.DUMMYFUNCTION("""COMPUTED_VALUE"""),25646)</f>
        <v>25646</v>
      </c>
      <c r="AI86" s="8">
        <f ca="1">IFERROR(__xludf.DUMMYFUNCTION("""COMPUTED_VALUE"""),19999)</f>
        <v>19999</v>
      </c>
      <c r="AJ86" s="8">
        <f ca="1">IFERROR(__xludf.DUMMYFUNCTION("""COMPUTED_VALUE"""),17420)</f>
        <v>17420</v>
      </c>
      <c r="AK86" s="8">
        <f ca="1">IFERROR(__xludf.DUMMYFUNCTION("""COMPUTED_VALUE"""),29363)</f>
        <v>29363</v>
      </c>
      <c r="AL86" s="8">
        <f ca="1">IFERROR(__xludf.DUMMYFUNCTION("""COMPUTED_VALUE"""),23518)</f>
        <v>23518</v>
      </c>
      <c r="AM86" s="8">
        <f ca="1">IFERROR(__xludf.DUMMYFUNCTION("""COMPUTED_VALUE"""),39968)</f>
        <v>39968</v>
      </c>
      <c r="AN86" s="8">
        <f ca="1">IFERROR(__xludf.DUMMYFUNCTION("""COMPUTED_VALUE"""),32898)</f>
        <v>32898</v>
      </c>
      <c r="AO86" s="8">
        <f ca="1">IFERROR(__xludf.DUMMYFUNCTION("""COMPUTED_VALUE"""),23281)</f>
        <v>23281</v>
      </c>
      <c r="AP86" s="8"/>
      <c r="AQ86" s="8"/>
      <c r="AR86" s="8"/>
      <c r="AS86" s="8"/>
      <c r="AT86" s="8"/>
      <c r="AU86" s="8"/>
      <c r="AV86" s="8"/>
      <c r="AW86" s="8"/>
      <c r="AX86" s="8"/>
      <c r="AY86" s="8"/>
    </row>
    <row r="87" spans="1:51" ht="13.2" x14ac:dyDescent="0.25">
      <c r="A87" s="11" t="str">
        <f ca="1">IFERROR(__xludf.DUMMYFUNCTION("""COMPUTED_VALUE"""),"                        left Entorhinal area, medial part, dorsal zone")</f>
        <v xml:space="preserve">                        left Entorhinal area, medial part, dorsal zone</v>
      </c>
      <c r="B87" s="12">
        <f ca="1">IFERROR(__xludf.DUMMYFUNCTION("""COMPUTED_VALUE"""),11792)</f>
        <v>11792</v>
      </c>
      <c r="C87" s="12">
        <f ca="1">IFERROR(__xludf.DUMMYFUNCTION("""COMPUTED_VALUE"""),17380)</f>
        <v>17380</v>
      </c>
      <c r="D87" s="12">
        <f ca="1">IFERROR(__xludf.DUMMYFUNCTION("""COMPUTED_VALUE"""),7336)</f>
        <v>7336</v>
      </c>
      <c r="E87" s="12">
        <f ca="1">IFERROR(__xludf.DUMMYFUNCTION("""COMPUTED_VALUE"""),19174)</f>
        <v>19174</v>
      </c>
      <c r="F87" s="12">
        <f ca="1">IFERROR(__xludf.DUMMYFUNCTION("""COMPUTED_VALUE"""),6745)</f>
        <v>6745</v>
      </c>
      <c r="G87" s="12">
        <f ca="1">IFERROR(__xludf.DUMMYFUNCTION("""COMPUTED_VALUE"""),7782)</f>
        <v>7782</v>
      </c>
      <c r="H87" s="12">
        <f ca="1">IFERROR(__xludf.DUMMYFUNCTION("""COMPUTED_VALUE"""),13394)</f>
        <v>13394</v>
      </c>
      <c r="I87" s="12">
        <f ca="1">IFERROR(__xludf.DUMMYFUNCTION("""COMPUTED_VALUE"""),6525)</f>
        <v>6525</v>
      </c>
      <c r="J87" s="12">
        <f ca="1">IFERROR(__xludf.DUMMYFUNCTION("""COMPUTED_VALUE"""),5382)</f>
        <v>5382</v>
      </c>
      <c r="K87" s="12">
        <f ca="1">IFERROR(__xludf.DUMMYFUNCTION("""COMPUTED_VALUE"""),9171)</f>
        <v>9171</v>
      </c>
      <c r="L87" s="12">
        <f ca="1">IFERROR(__xludf.DUMMYFUNCTION("""COMPUTED_VALUE"""),4882)</f>
        <v>4882</v>
      </c>
      <c r="M87" s="12">
        <f ca="1">IFERROR(__xludf.DUMMYFUNCTION("""COMPUTED_VALUE"""),6253)</f>
        <v>6253</v>
      </c>
      <c r="N87" s="12">
        <f ca="1">IFERROR(__xludf.DUMMYFUNCTION("""COMPUTED_VALUE"""),6336)</f>
        <v>6336</v>
      </c>
      <c r="O87" s="12">
        <f ca="1">IFERROR(__xludf.DUMMYFUNCTION("""COMPUTED_VALUE"""),7699)</f>
        <v>7699</v>
      </c>
      <c r="P87" s="12">
        <f ca="1">IFERROR(__xludf.DUMMYFUNCTION("""COMPUTED_VALUE"""),4266)</f>
        <v>4266</v>
      </c>
      <c r="Q87" s="12">
        <f ca="1">IFERROR(__xludf.DUMMYFUNCTION("""COMPUTED_VALUE"""),16411)</f>
        <v>16411</v>
      </c>
      <c r="R87" s="12">
        <f ca="1">IFERROR(__xludf.DUMMYFUNCTION("""COMPUTED_VALUE"""),8447)</f>
        <v>8447</v>
      </c>
      <c r="S87" s="12">
        <f ca="1">IFERROR(__xludf.DUMMYFUNCTION("""COMPUTED_VALUE"""),10845)</f>
        <v>10845</v>
      </c>
      <c r="T87" s="12">
        <f ca="1">IFERROR(__xludf.DUMMYFUNCTION("""COMPUTED_VALUE"""),5432)</f>
        <v>5432</v>
      </c>
      <c r="U87" s="12">
        <f ca="1">IFERROR(__xludf.DUMMYFUNCTION("""COMPUTED_VALUE"""),9907)</f>
        <v>9907</v>
      </c>
      <c r="V87" s="12">
        <f ca="1">IFERROR(__xludf.DUMMYFUNCTION("""COMPUTED_VALUE"""),8740)</f>
        <v>8740</v>
      </c>
      <c r="W87" s="12">
        <f ca="1">IFERROR(__xludf.DUMMYFUNCTION("""COMPUTED_VALUE"""),4935)</f>
        <v>4935</v>
      </c>
      <c r="X87" s="12">
        <f ca="1">IFERROR(__xludf.DUMMYFUNCTION("""COMPUTED_VALUE"""),10343)</f>
        <v>10343</v>
      </c>
      <c r="Y87" s="12">
        <f ca="1">IFERROR(__xludf.DUMMYFUNCTION("""COMPUTED_VALUE"""),13957)</f>
        <v>13957</v>
      </c>
      <c r="Z87" s="12">
        <f ca="1">IFERROR(__xludf.DUMMYFUNCTION("""COMPUTED_VALUE"""),3735)</f>
        <v>3735</v>
      </c>
      <c r="AA87" s="12">
        <f ca="1">IFERROR(__xludf.DUMMYFUNCTION("""COMPUTED_VALUE"""),3422)</f>
        <v>3422</v>
      </c>
      <c r="AB87" s="12">
        <f ca="1">IFERROR(__xludf.DUMMYFUNCTION("""COMPUTED_VALUE"""),7521)</f>
        <v>7521</v>
      </c>
      <c r="AC87" s="12">
        <f ca="1">IFERROR(__xludf.DUMMYFUNCTION("""COMPUTED_VALUE"""),8563)</f>
        <v>8563</v>
      </c>
      <c r="AD87" s="12">
        <f ca="1">IFERROR(__xludf.DUMMYFUNCTION("""COMPUTED_VALUE"""),16019)</f>
        <v>16019</v>
      </c>
      <c r="AE87" s="12">
        <f ca="1">IFERROR(__xludf.DUMMYFUNCTION("""COMPUTED_VALUE"""),23734)</f>
        <v>23734</v>
      </c>
      <c r="AF87" s="8">
        <f ca="1">IFERROR(__xludf.DUMMYFUNCTION("""COMPUTED_VALUE"""),30649)</f>
        <v>30649</v>
      </c>
      <c r="AG87" s="8">
        <f ca="1">IFERROR(__xludf.DUMMYFUNCTION("""COMPUTED_VALUE"""),704)</f>
        <v>704</v>
      </c>
      <c r="AH87" s="8">
        <f ca="1">IFERROR(__xludf.DUMMYFUNCTION("""COMPUTED_VALUE"""),2227)</f>
        <v>2227</v>
      </c>
      <c r="AI87" s="8">
        <f ca="1">IFERROR(__xludf.DUMMYFUNCTION("""COMPUTED_VALUE"""),5966)</f>
        <v>5966</v>
      </c>
      <c r="AJ87" s="8">
        <f ca="1">IFERROR(__xludf.DUMMYFUNCTION("""COMPUTED_VALUE"""),5898)</f>
        <v>5898</v>
      </c>
      <c r="AK87" s="8">
        <f ca="1">IFERROR(__xludf.DUMMYFUNCTION("""COMPUTED_VALUE"""),10718)</f>
        <v>10718</v>
      </c>
      <c r="AL87" s="8">
        <f ca="1">IFERROR(__xludf.DUMMYFUNCTION("""COMPUTED_VALUE"""),10095)</f>
        <v>10095</v>
      </c>
      <c r="AM87" s="8">
        <f ca="1">IFERROR(__xludf.DUMMYFUNCTION("""COMPUTED_VALUE"""),11098)</f>
        <v>11098</v>
      </c>
      <c r="AN87" s="8">
        <f ca="1">IFERROR(__xludf.DUMMYFUNCTION("""COMPUTED_VALUE"""),7542)</f>
        <v>7542</v>
      </c>
      <c r="AO87" s="8">
        <f ca="1">IFERROR(__xludf.DUMMYFUNCTION("""COMPUTED_VALUE"""),2690)</f>
        <v>2690</v>
      </c>
      <c r="AP87" s="8"/>
      <c r="AQ87" s="8"/>
      <c r="AR87" s="8"/>
      <c r="AS87" s="8"/>
      <c r="AT87" s="8"/>
      <c r="AU87" s="8"/>
      <c r="AV87" s="8"/>
      <c r="AW87" s="8"/>
      <c r="AX87" s="8"/>
      <c r="AY87" s="8"/>
    </row>
    <row r="88" spans="1:51" ht="13.2" x14ac:dyDescent="0.25">
      <c r="A88" s="11" t="str">
        <f ca="1">IFERROR(__xludf.DUMMYFUNCTION("""COMPUTED_VALUE"""),"                     left Parasubiculum")</f>
        <v xml:space="preserve">                     left Parasubiculum</v>
      </c>
      <c r="B88" s="12">
        <f ca="1">IFERROR(__xludf.DUMMYFUNCTION("""COMPUTED_VALUE"""),2001)</f>
        <v>2001</v>
      </c>
      <c r="C88" s="12">
        <f ca="1">IFERROR(__xludf.DUMMYFUNCTION("""COMPUTED_VALUE"""),2282)</f>
        <v>2282</v>
      </c>
      <c r="D88" s="12">
        <f ca="1">IFERROR(__xludf.DUMMYFUNCTION("""COMPUTED_VALUE"""),752)</f>
        <v>752</v>
      </c>
      <c r="E88" s="12">
        <f ca="1">IFERROR(__xludf.DUMMYFUNCTION("""COMPUTED_VALUE"""),2132)</f>
        <v>2132</v>
      </c>
      <c r="F88" s="12">
        <f ca="1">IFERROR(__xludf.DUMMYFUNCTION("""COMPUTED_VALUE"""),1289)</f>
        <v>1289</v>
      </c>
      <c r="G88" s="12">
        <f ca="1">IFERROR(__xludf.DUMMYFUNCTION("""COMPUTED_VALUE"""),1740)</f>
        <v>1740</v>
      </c>
      <c r="H88" s="12">
        <f ca="1">IFERROR(__xludf.DUMMYFUNCTION("""COMPUTED_VALUE"""),2647)</f>
        <v>2647</v>
      </c>
      <c r="I88" s="12">
        <f ca="1">IFERROR(__xludf.DUMMYFUNCTION("""COMPUTED_VALUE"""),2378)</f>
        <v>2378</v>
      </c>
      <c r="J88" s="12">
        <f ca="1">IFERROR(__xludf.DUMMYFUNCTION("""COMPUTED_VALUE"""),882)</f>
        <v>882</v>
      </c>
      <c r="K88" s="12">
        <f ca="1">IFERROR(__xludf.DUMMYFUNCTION("""COMPUTED_VALUE"""),1930)</f>
        <v>1930</v>
      </c>
      <c r="L88" s="12">
        <f ca="1">IFERROR(__xludf.DUMMYFUNCTION("""COMPUTED_VALUE"""),421)</f>
        <v>421</v>
      </c>
      <c r="M88" s="12">
        <f ca="1">IFERROR(__xludf.DUMMYFUNCTION("""COMPUTED_VALUE"""),801)</f>
        <v>801</v>
      </c>
      <c r="N88" s="12">
        <f ca="1">IFERROR(__xludf.DUMMYFUNCTION("""COMPUTED_VALUE"""),2025)</f>
        <v>2025</v>
      </c>
      <c r="O88" s="12">
        <f ca="1">IFERROR(__xludf.DUMMYFUNCTION("""COMPUTED_VALUE"""),2082)</f>
        <v>2082</v>
      </c>
      <c r="P88" s="12">
        <f ca="1">IFERROR(__xludf.DUMMYFUNCTION("""COMPUTED_VALUE"""),495)</f>
        <v>495</v>
      </c>
      <c r="Q88" s="12">
        <f ca="1">IFERROR(__xludf.DUMMYFUNCTION("""COMPUTED_VALUE"""),3410)</f>
        <v>3410</v>
      </c>
      <c r="R88" s="12">
        <f ca="1">IFERROR(__xludf.DUMMYFUNCTION("""COMPUTED_VALUE"""),663)</f>
        <v>663</v>
      </c>
      <c r="S88" s="12">
        <f ca="1">IFERROR(__xludf.DUMMYFUNCTION("""COMPUTED_VALUE"""),905)</f>
        <v>905</v>
      </c>
      <c r="T88" s="12">
        <f ca="1">IFERROR(__xludf.DUMMYFUNCTION("""COMPUTED_VALUE"""),4500)</f>
        <v>4500</v>
      </c>
      <c r="U88" s="12">
        <f ca="1">IFERROR(__xludf.DUMMYFUNCTION("""COMPUTED_VALUE"""),2391)</f>
        <v>2391</v>
      </c>
      <c r="V88" s="12">
        <f ca="1">IFERROR(__xludf.DUMMYFUNCTION("""COMPUTED_VALUE"""),1567)</f>
        <v>1567</v>
      </c>
      <c r="W88" s="12">
        <f ca="1">IFERROR(__xludf.DUMMYFUNCTION("""COMPUTED_VALUE"""),1138)</f>
        <v>1138</v>
      </c>
      <c r="X88" s="12">
        <f ca="1">IFERROR(__xludf.DUMMYFUNCTION("""COMPUTED_VALUE"""),4531)</f>
        <v>4531</v>
      </c>
      <c r="Y88" s="12">
        <f ca="1">IFERROR(__xludf.DUMMYFUNCTION("""COMPUTED_VALUE"""),2369)</f>
        <v>2369</v>
      </c>
      <c r="Z88" s="12">
        <f ca="1">IFERROR(__xludf.DUMMYFUNCTION("""COMPUTED_VALUE"""),739)</f>
        <v>739</v>
      </c>
      <c r="AA88" s="12">
        <f ca="1">IFERROR(__xludf.DUMMYFUNCTION("""COMPUTED_VALUE"""),1052)</f>
        <v>1052</v>
      </c>
      <c r="AB88" s="12">
        <f ca="1">IFERROR(__xludf.DUMMYFUNCTION("""COMPUTED_VALUE"""),404)</f>
        <v>404</v>
      </c>
      <c r="AC88" s="12">
        <f ca="1">IFERROR(__xludf.DUMMYFUNCTION("""COMPUTED_VALUE"""),2073)</f>
        <v>2073</v>
      </c>
      <c r="AD88" s="12">
        <f ca="1">IFERROR(__xludf.DUMMYFUNCTION("""COMPUTED_VALUE"""),1019)</f>
        <v>1019</v>
      </c>
      <c r="AE88" s="12">
        <f ca="1">IFERROR(__xludf.DUMMYFUNCTION("""COMPUTED_VALUE"""),3847)</f>
        <v>3847</v>
      </c>
      <c r="AF88" s="8">
        <f ca="1">IFERROR(__xludf.DUMMYFUNCTION("""COMPUTED_VALUE"""),1311)</f>
        <v>1311</v>
      </c>
      <c r="AG88" s="8">
        <f ca="1">IFERROR(__xludf.DUMMYFUNCTION("""COMPUTED_VALUE"""),37)</f>
        <v>37</v>
      </c>
      <c r="AH88" s="8">
        <f ca="1">IFERROR(__xludf.DUMMYFUNCTION("""COMPUTED_VALUE"""),118)</f>
        <v>118</v>
      </c>
      <c r="AI88" s="8">
        <f ca="1">IFERROR(__xludf.DUMMYFUNCTION("""COMPUTED_VALUE"""),1234)</f>
        <v>1234</v>
      </c>
      <c r="AJ88" s="8">
        <f ca="1">IFERROR(__xludf.DUMMYFUNCTION("""COMPUTED_VALUE"""),1046)</f>
        <v>1046</v>
      </c>
      <c r="AK88" s="8">
        <f ca="1">IFERROR(__xludf.DUMMYFUNCTION("""COMPUTED_VALUE"""),668)</f>
        <v>668</v>
      </c>
      <c r="AL88" s="8">
        <f ca="1">IFERROR(__xludf.DUMMYFUNCTION("""COMPUTED_VALUE"""),1117)</f>
        <v>1117</v>
      </c>
      <c r="AM88" s="8">
        <f ca="1">IFERROR(__xludf.DUMMYFUNCTION("""COMPUTED_VALUE"""),1173)</f>
        <v>1173</v>
      </c>
      <c r="AN88" s="8">
        <f ca="1">IFERROR(__xludf.DUMMYFUNCTION("""COMPUTED_VALUE"""),751)</f>
        <v>751</v>
      </c>
      <c r="AO88" s="8">
        <f ca="1">IFERROR(__xludf.DUMMYFUNCTION("""COMPUTED_VALUE"""),828)</f>
        <v>828</v>
      </c>
      <c r="AP88" s="8"/>
      <c r="AQ88" s="8"/>
      <c r="AR88" s="8"/>
      <c r="AS88" s="8"/>
      <c r="AT88" s="8"/>
      <c r="AU88" s="8"/>
      <c r="AV88" s="8"/>
      <c r="AW88" s="8"/>
      <c r="AX88" s="8"/>
      <c r="AY88" s="8"/>
    </row>
    <row r="89" spans="1:51" ht="13.2" x14ac:dyDescent="0.25">
      <c r="A89" s="11" t="str">
        <f ca="1">IFERROR(__xludf.DUMMYFUNCTION("""COMPUTED_VALUE"""),"                     left Postsubiculum")</f>
        <v xml:space="preserve">                     left Postsubiculum</v>
      </c>
      <c r="B89" s="12">
        <f ca="1">IFERROR(__xludf.DUMMYFUNCTION("""COMPUTED_VALUE"""),2580)</f>
        <v>2580</v>
      </c>
      <c r="C89" s="12">
        <f ca="1">IFERROR(__xludf.DUMMYFUNCTION("""COMPUTED_VALUE"""),5333)</f>
        <v>5333</v>
      </c>
      <c r="D89" s="12">
        <f ca="1">IFERROR(__xludf.DUMMYFUNCTION("""COMPUTED_VALUE"""),921)</f>
        <v>921</v>
      </c>
      <c r="E89" s="12">
        <f ca="1">IFERROR(__xludf.DUMMYFUNCTION("""COMPUTED_VALUE"""),7751)</f>
        <v>7751</v>
      </c>
      <c r="F89" s="12">
        <f ca="1">IFERROR(__xludf.DUMMYFUNCTION("""COMPUTED_VALUE"""),1696)</f>
        <v>1696</v>
      </c>
      <c r="G89" s="12">
        <f ca="1">IFERROR(__xludf.DUMMYFUNCTION("""COMPUTED_VALUE"""),1519)</f>
        <v>1519</v>
      </c>
      <c r="H89" s="12">
        <f ca="1">IFERROR(__xludf.DUMMYFUNCTION("""COMPUTED_VALUE"""),5574)</f>
        <v>5574</v>
      </c>
      <c r="I89" s="12">
        <f ca="1">IFERROR(__xludf.DUMMYFUNCTION("""COMPUTED_VALUE"""),5355)</f>
        <v>5355</v>
      </c>
      <c r="J89" s="12">
        <f ca="1">IFERROR(__xludf.DUMMYFUNCTION("""COMPUTED_VALUE"""),4281)</f>
        <v>4281</v>
      </c>
      <c r="K89" s="12">
        <f ca="1">IFERROR(__xludf.DUMMYFUNCTION("""COMPUTED_VALUE"""),3009)</f>
        <v>3009</v>
      </c>
      <c r="L89" s="12">
        <f ca="1">IFERROR(__xludf.DUMMYFUNCTION("""COMPUTED_VALUE"""),1150)</f>
        <v>1150</v>
      </c>
      <c r="M89" s="12">
        <f ca="1">IFERROR(__xludf.DUMMYFUNCTION("""COMPUTED_VALUE"""),3914)</f>
        <v>3914</v>
      </c>
      <c r="N89" s="12">
        <f ca="1">IFERROR(__xludf.DUMMYFUNCTION("""COMPUTED_VALUE"""),2301)</f>
        <v>2301</v>
      </c>
      <c r="O89" s="12">
        <f ca="1">IFERROR(__xludf.DUMMYFUNCTION("""COMPUTED_VALUE"""),7007)</f>
        <v>7007</v>
      </c>
      <c r="P89" s="12">
        <f ca="1">IFERROR(__xludf.DUMMYFUNCTION("""COMPUTED_VALUE"""),1056)</f>
        <v>1056</v>
      </c>
      <c r="Q89" s="12">
        <f ca="1">IFERROR(__xludf.DUMMYFUNCTION("""COMPUTED_VALUE"""),6313)</f>
        <v>6313</v>
      </c>
      <c r="R89" s="12">
        <f ca="1">IFERROR(__xludf.DUMMYFUNCTION("""COMPUTED_VALUE"""),491)</f>
        <v>491</v>
      </c>
      <c r="S89" s="12">
        <f ca="1">IFERROR(__xludf.DUMMYFUNCTION("""COMPUTED_VALUE"""),1786)</f>
        <v>1786</v>
      </c>
      <c r="T89" s="12">
        <f ca="1">IFERROR(__xludf.DUMMYFUNCTION("""COMPUTED_VALUE"""),6795)</f>
        <v>6795</v>
      </c>
      <c r="U89" s="12">
        <f ca="1">IFERROR(__xludf.DUMMYFUNCTION("""COMPUTED_VALUE"""),2745)</f>
        <v>2745</v>
      </c>
      <c r="V89" s="12">
        <f ca="1">IFERROR(__xludf.DUMMYFUNCTION("""COMPUTED_VALUE"""),2550)</f>
        <v>2550</v>
      </c>
      <c r="W89" s="12">
        <f ca="1">IFERROR(__xludf.DUMMYFUNCTION("""COMPUTED_VALUE"""),12513)</f>
        <v>12513</v>
      </c>
      <c r="X89" s="12">
        <f ca="1">IFERROR(__xludf.DUMMYFUNCTION("""COMPUTED_VALUE"""),1404)</f>
        <v>1404</v>
      </c>
      <c r="Y89" s="12">
        <f ca="1">IFERROR(__xludf.DUMMYFUNCTION("""COMPUTED_VALUE"""),3306)</f>
        <v>3306</v>
      </c>
      <c r="Z89" s="12">
        <f ca="1">IFERROR(__xludf.DUMMYFUNCTION("""COMPUTED_VALUE"""),4040)</f>
        <v>4040</v>
      </c>
      <c r="AA89" s="12">
        <f ca="1">IFERROR(__xludf.DUMMYFUNCTION("""COMPUTED_VALUE"""),822)</f>
        <v>822</v>
      </c>
      <c r="AB89" s="12">
        <f ca="1">IFERROR(__xludf.DUMMYFUNCTION("""COMPUTED_VALUE"""),7122)</f>
        <v>7122</v>
      </c>
      <c r="AC89" s="12">
        <f ca="1">IFERROR(__xludf.DUMMYFUNCTION("""COMPUTED_VALUE"""),7073)</f>
        <v>7073</v>
      </c>
      <c r="AD89" s="12">
        <f ca="1">IFERROR(__xludf.DUMMYFUNCTION("""COMPUTED_VALUE"""),9813)</f>
        <v>9813</v>
      </c>
      <c r="AE89" s="12">
        <f ca="1">IFERROR(__xludf.DUMMYFUNCTION("""COMPUTED_VALUE"""),8302)</f>
        <v>8302</v>
      </c>
      <c r="AF89" s="8">
        <f ca="1">IFERROR(__xludf.DUMMYFUNCTION("""COMPUTED_VALUE"""),7889)</f>
        <v>7889</v>
      </c>
      <c r="AG89" s="8">
        <f ca="1">IFERROR(__xludf.DUMMYFUNCTION("""COMPUTED_VALUE"""),3213)</f>
        <v>3213</v>
      </c>
      <c r="AH89" s="8">
        <f ca="1">IFERROR(__xludf.DUMMYFUNCTION("""COMPUTED_VALUE"""),2173)</f>
        <v>2173</v>
      </c>
      <c r="AI89" s="8">
        <f ca="1">IFERROR(__xludf.DUMMYFUNCTION("""COMPUTED_VALUE"""),1025)</f>
        <v>1025</v>
      </c>
      <c r="AJ89" s="8">
        <f ca="1">IFERROR(__xludf.DUMMYFUNCTION("""COMPUTED_VALUE"""),3340)</f>
        <v>3340</v>
      </c>
      <c r="AK89" s="8">
        <f ca="1">IFERROR(__xludf.DUMMYFUNCTION("""COMPUTED_VALUE"""),244)</f>
        <v>244</v>
      </c>
      <c r="AL89" s="8">
        <f ca="1">IFERROR(__xludf.DUMMYFUNCTION("""COMPUTED_VALUE"""),1363)</f>
        <v>1363</v>
      </c>
      <c r="AM89" s="8">
        <f ca="1">IFERROR(__xludf.DUMMYFUNCTION("""COMPUTED_VALUE"""),1740)</f>
        <v>1740</v>
      </c>
      <c r="AN89" s="8">
        <f ca="1">IFERROR(__xludf.DUMMYFUNCTION("""COMPUTED_VALUE"""),1185)</f>
        <v>1185</v>
      </c>
      <c r="AO89" s="8">
        <f ca="1">IFERROR(__xludf.DUMMYFUNCTION("""COMPUTED_VALUE"""),1960)</f>
        <v>1960</v>
      </c>
      <c r="AP89" s="8"/>
      <c r="AQ89" s="8"/>
      <c r="AR89" s="8"/>
      <c r="AS89" s="8"/>
      <c r="AT89" s="8"/>
      <c r="AU89" s="8"/>
      <c r="AV89" s="8"/>
      <c r="AW89" s="8"/>
      <c r="AX89" s="8"/>
      <c r="AY89" s="8"/>
    </row>
    <row r="90" spans="1:51" ht="13.2" x14ac:dyDescent="0.25">
      <c r="A90" s="11" t="str">
        <f ca="1">IFERROR(__xludf.DUMMYFUNCTION("""COMPUTED_VALUE"""),"                     left Presubiculum")</f>
        <v xml:space="preserve">                     left Presubiculum</v>
      </c>
      <c r="B90" s="12">
        <f ca="1">IFERROR(__xludf.DUMMYFUNCTION("""COMPUTED_VALUE"""),2259)</f>
        <v>2259</v>
      </c>
      <c r="C90" s="12">
        <f ca="1">IFERROR(__xludf.DUMMYFUNCTION("""COMPUTED_VALUE"""),4344)</f>
        <v>4344</v>
      </c>
      <c r="D90" s="12">
        <f ca="1">IFERROR(__xludf.DUMMYFUNCTION("""COMPUTED_VALUE"""),1026)</f>
        <v>1026</v>
      </c>
      <c r="E90" s="12">
        <f ca="1">IFERROR(__xludf.DUMMYFUNCTION("""COMPUTED_VALUE"""),5529)</f>
        <v>5529</v>
      </c>
      <c r="F90" s="12">
        <f ca="1">IFERROR(__xludf.DUMMYFUNCTION("""COMPUTED_VALUE"""),1159)</f>
        <v>1159</v>
      </c>
      <c r="G90" s="12">
        <f ca="1">IFERROR(__xludf.DUMMYFUNCTION("""COMPUTED_VALUE"""),2070)</f>
        <v>2070</v>
      </c>
      <c r="H90" s="12">
        <f ca="1">IFERROR(__xludf.DUMMYFUNCTION("""COMPUTED_VALUE"""),2478)</f>
        <v>2478</v>
      </c>
      <c r="I90" s="12">
        <f ca="1">IFERROR(__xludf.DUMMYFUNCTION("""COMPUTED_VALUE"""),2737)</f>
        <v>2737</v>
      </c>
      <c r="J90" s="12">
        <f ca="1">IFERROR(__xludf.DUMMYFUNCTION("""COMPUTED_VALUE"""),2056)</f>
        <v>2056</v>
      </c>
      <c r="K90" s="12">
        <f ca="1">IFERROR(__xludf.DUMMYFUNCTION("""COMPUTED_VALUE"""),3432)</f>
        <v>3432</v>
      </c>
      <c r="L90" s="12">
        <f ca="1">IFERROR(__xludf.DUMMYFUNCTION("""COMPUTED_VALUE"""),685)</f>
        <v>685</v>
      </c>
      <c r="M90" s="12">
        <f ca="1">IFERROR(__xludf.DUMMYFUNCTION("""COMPUTED_VALUE"""),3330)</f>
        <v>3330</v>
      </c>
      <c r="N90" s="12">
        <f ca="1">IFERROR(__xludf.DUMMYFUNCTION("""COMPUTED_VALUE"""),2590)</f>
        <v>2590</v>
      </c>
      <c r="O90" s="12">
        <f ca="1">IFERROR(__xludf.DUMMYFUNCTION("""COMPUTED_VALUE"""),4338)</f>
        <v>4338</v>
      </c>
      <c r="P90" s="12">
        <f ca="1">IFERROR(__xludf.DUMMYFUNCTION("""COMPUTED_VALUE"""),1429)</f>
        <v>1429</v>
      </c>
      <c r="Q90" s="12">
        <f ca="1">IFERROR(__xludf.DUMMYFUNCTION("""COMPUTED_VALUE"""),5102)</f>
        <v>5102</v>
      </c>
      <c r="R90" s="12">
        <f ca="1">IFERROR(__xludf.DUMMYFUNCTION("""COMPUTED_VALUE"""),614)</f>
        <v>614</v>
      </c>
      <c r="S90" s="12">
        <f ca="1">IFERROR(__xludf.DUMMYFUNCTION("""COMPUTED_VALUE"""),1513)</f>
        <v>1513</v>
      </c>
      <c r="T90" s="12">
        <f ca="1">IFERROR(__xludf.DUMMYFUNCTION("""COMPUTED_VALUE"""),5493)</f>
        <v>5493</v>
      </c>
      <c r="U90" s="12">
        <f ca="1">IFERROR(__xludf.DUMMYFUNCTION("""COMPUTED_VALUE"""),1817)</f>
        <v>1817</v>
      </c>
      <c r="V90" s="12">
        <f ca="1">IFERROR(__xludf.DUMMYFUNCTION("""COMPUTED_VALUE"""),1422)</f>
        <v>1422</v>
      </c>
      <c r="W90" s="12">
        <f ca="1">IFERROR(__xludf.DUMMYFUNCTION("""COMPUTED_VALUE"""),4955)</f>
        <v>4955</v>
      </c>
      <c r="X90" s="12">
        <f ca="1">IFERROR(__xludf.DUMMYFUNCTION("""COMPUTED_VALUE"""),3654)</f>
        <v>3654</v>
      </c>
      <c r="Y90" s="12">
        <f ca="1">IFERROR(__xludf.DUMMYFUNCTION("""COMPUTED_VALUE"""),2465)</f>
        <v>2465</v>
      </c>
      <c r="Z90" s="12">
        <f ca="1">IFERROR(__xludf.DUMMYFUNCTION("""COMPUTED_VALUE"""),1883)</f>
        <v>1883</v>
      </c>
      <c r="AA90" s="12">
        <f ca="1">IFERROR(__xludf.DUMMYFUNCTION("""COMPUTED_VALUE"""),459)</f>
        <v>459</v>
      </c>
      <c r="AB90" s="12">
        <f ca="1">IFERROR(__xludf.DUMMYFUNCTION("""COMPUTED_VALUE"""),423)</f>
        <v>423</v>
      </c>
      <c r="AC90" s="12">
        <f ca="1">IFERROR(__xludf.DUMMYFUNCTION("""COMPUTED_VALUE"""),4128)</f>
        <v>4128</v>
      </c>
      <c r="AD90" s="12">
        <f ca="1">IFERROR(__xludf.DUMMYFUNCTION("""COMPUTED_VALUE"""),3629)</f>
        <v>3629</v>
      </c>
      <c r="AE90" s="12">
        <f ca="1">IFERROR(__xludf.DUMMYFUNCTION("""COMPUTED_VALUE"""),3009)</f>
        <v>3009</v>
      </c>
      <c r="AF90" s="8">
        <f ca="1">IFERROR(__xludf.DUMMYFUNCTION("""COMPUTED_VALUE"""),1664)</f>
        <v>1664</v>
      </c>
      <c r="AG90" s="8">
        <f ca="1">IFERROR(__xludf.DUMMYFUNCTION("""COMPUTED_VALUE"""),90)</f>
        <v>90</v>
      </c>
      <c r="AH90" s="8">
        <f ca="1">IFERROR(__xludf.DUMMYFUNCTION("""COMPUTED_VALUE"""),1125)</f>
        <v>1125</v>
      </c>
      <c r="AI90" s="8">
        <f ca="1">IFERROR(__xludf.DUMMYFUNCTION("""COMPUTED_VALUE"""),1191)</f>
        <v>1191</v>
      </c>
      <c r="AJ90" s="8">
        <f ca="1">IFERROR(__xludf.DUMMYFUNCTION("""COMPUTED_VALUE"""),782)</f>
        <v>782</v>
      </c>
      <c r="AK90" s="8">
        <f ca="1">IFERROR(__xludf.DUMMYFUNCTION("""COMPUTED_VALUE"""),303)</f>
        <v>303</v>
      </c>
      <c r="AL90" s="8">
        <f ca="1">IFERROR(__xludf.DUMMYFUNCTION("""COMPUTED_VALUE"""),391)</f>
        <v>391</v>
      </c>
      <c r="AM90" s="8">
        <f ca="1">IFERROR(__xludf.DUMMYFUNCTION("""COMPUTED_VALUE"""),1228)</f>
        <v>1228</v>
      </c>
      <c r="AN90" s="8">
        <f ca="1">IFERROR(__xludf.DUMMYFUNCTION("""COMPUTED_VALUE"""),1708)</f>
        <v>1708</v>
      </c>
      <c r="AO90" s="8">
        <f ca="1">IFERROR(__xludf.DUMMYFUNCTION("""COMPUTED_VALUE"""),196)</f>
        <v>196</v>
      </c>
      <c r="AP90" s="8"/>
      <c r="AQ90" s="8"/>
      <c r="AR90" s="8"/>
      <c r="AS90" s="8"/>
      <c r="AT90" s="8"/>
      <c r="AU90" s="8"/>
      <c r="AV90" s="8"/>
      <c r="AW90" s="8"/>
      <c r="AX90" s="8"/>
      <c r="AY90" s="8"/>
    </row>
    <row r="91" spans="1:51" ht="13.2" x14ac:dyDescent="0.25">
      <c r="A91" s="11" t="str">
        <f ca="1">IFERROR(__xludf.DUMMYFUNCTION("""COMPUTED_VALUE"""),"                     left Subiculum")</f>
        <v xml:space="preserve">                     left Subiculum</v>
      </c>
      <c r="B91" s="12">
        <f ca="1">IFERROR(__xludf.DUMMYFUNCTION("""COMPUTED_VALUE"""),2794)</f>
        <v>2794</v>
      </c>
      <c r="C91" s="12">
        <f ca="1">IFERROR(__xludf.DUMMYFUNCTION("""COMPUTED_VALUE"""),8781)</f>
        <v>8781</v>
      </c>
      <c r="D91" s="12">
        <f ca="1">IFERROR(__xludf.DUMMYFUNCTION("""COMPUTED_VALUE"""),3611)</f>
        <v>3611</v>
      </c>
      <c r="E91" s="12">
        <f ca="1">IFERROR(__xludf.DUMMYFUNCTION("""COMPUTED_VALUE"""),8058)</f>
        <v>8058</v>
      </c>
      <c r="F91" s="12">
        <f ca="1">IFERROR(__xludf.DUMMYFUNCTION("""COMPUTED_VALUE"""),5352)</f>
        <v>5352</v>
      </c>
      <c r="G91" s="12">
        <f ca="1">IFERROR(__xludf.DUMMYFUNCTION("""COMPUTED_VALUE"""),3581)</f>
        <v>3581</v>
      </c>
      <c r="H91" s="12">
        <f ca="1">IFERROR(__xludf.DUMMYFUNCTION("""COMPUTED_VALUE"""),6968)</f>
        <v>6968</v>
      </c>
      <c r="I91" s="12">
        <f ca="1">IFERROR(__xludf.DUMMYFUNCTION("""COMPUTED_VALUE"""),4022)</f>
        <v>4022</v>
      </c>
      <c r="J91" s="12">
        <f ca="1">IFERROR(__xludf.DUMMYFUNCTION("""COMPUTED_VALUE"""),3406)</f>
        <v>3406</v>
      </c>
      <c r="K91" s="12">
        <f ca="1">IFERROR(__xludf.DUMMYFUNCTION("""COMPUTED_VALUE"""),7112)</f>
        <v>7112</v>
      </c>
      <c r="L91" s="12">
        <f ca="1">IFERROR(__xludf.DUMMYFUNCTION("""COMPUTED_VALUE"""),1299)</f>
        <v>1299</v>
      </c>
      <c r="M91" s="12">
        <f ca="1">IFERROR(__xludf.DUMMYFUNCTION("""COMPUTED_VALUE"""),4974)</f>
        <v>4974</v>
      </c>
      <c r="N91" s="12">
        <f ca="1">IFERROR(__xludf.DUMMYFUNCTION("""COMPUTED_VALUE"""),4161)</f>
        <v>4161</v>
      </c>
      <c r="O91" s="12">
        <f ca="1">IFERROR(__xludf.DUMMYFUNCTION("""COMPUTED_VALUE"""),6230)</f>
        <v>6230</v>
      </c>
      <c r="P91" s="12">
        <f ca="1">IFERROR(__xludf.DUMMYFUNCTION("""COMPUTED_VALUE"""),2342)</f>
        <v>2342</v>
      </c>
      <c r="Q91" s="12">
        <f ca="1">IFERROR(__xludf.DUMMYFUNCTION("""COMPUTED_VALUE"""),7150)</f>
        <v>7150</v>
      </c>
      <c r="R91" s="12">
        <f ca="1">IFERROR(__xludf.DUMMYFUNCTION("""COMPUTED_VALUE"""),2110)</f>
        <v>2110</v>
      </c>
      <c r="S91" s="12">
        <f ca="1">IFERROR(__xludf.DUMMYFUNCTION("""COMPUTED_VALUE"""),3580)</f>
        <v>3580</v>
      </c>
      <c r="T91" s="12">
        <f ca="1">IFERROR(__xludf.DUMMYFUNCTION("""COMPUTED_VALUE"""),3993)</f>
        <v>3993</v>
      </c>
      <c r="U91" s="12">
        <f ca="1">IFERROR(__xludf.DUMMYFUNCTION("""COMPUTED_VALUE"""),4787)</f>
        <v>4787</v>
      </c>
      <c r="V91" s="12">
        <f ca="1">IFERROR(__xludf.DUMMYFUNCTION("""COMPUTED_VALUE"""),6153)</f>
        <v>6153</v>
      </c>
      <c r="W91" s="12">
        <f ca="1">IFERROR(__xludf.DUMMYFUNCTION("""COMPUTED_VALUE"""),7177)</f>
        <v>7177</v>
      </c>
      <c r="X91" s="12">
        <f ca="1">IFERROR(__xludf.DUMMYFUNCTION("""COMPUTED_VALUE"""),6078)</f>
        <v>6078</v>
      </c>
      <c r="Y91" s="12">
        <f ca="1">IFERROR(__xludf.DUMMYFUNCTION("""COMPUTED_VALUE"""),8615)</f>
        <v>8615</v>
      </c>
      <c r="Z91" s="12">
        <f ca="1">IFERROR(__xludf.DUMMYFUNCTION("""COMPUTED_VALUE"""),7801)</f>
        <v>7801</v>
      </c>
      <c r="AA91" s="12">
        <f ca="1">IFERROR(__xludf.DUMMYFUNCTION("""COMPUTED_VALUE"""),2401)</f>
        <v>2401</v>
      </c>
      <c r="AB91" s="12">
        <f ca="1">IFERROR(__xludf.DUMMYFUNCTION("""COMPUTED_VALUE"""),10364)</f>
        <v>10364</v>
      </c>
      <c r="AC91" s="12">
        <f ca="1">IFERROR(__xludf.DUMMYFUNCTION("""COMPUTED_VALUE"""),8878)</f>
        <v>8878</v>
      </c>
      <c r="AD91" s="12">
        <f ca="1">IFERROR(__xludf.DUMMYFUNCTION("""COMPUTED_VALUE"""),6507)</f>
        <v>6507</v>
      </c>
      <c r="AE91" s="12">
        <f ca="1">IFERROR(__xludf.DUMMYFUNCTION("""COMPUTED_VALUE"""),13226)</f>
        <v>13226</v>
      </c>
      <c r="AF91" s="8">
        <f ca="1">IFERROR(__xludf.DUMMYFUNCTION("""COMPUTED_VALUE"""),21053)</f>
        <v>21053</v>
      </c>
      <c r="AG91" s="8">
        <f ca="1">IFERROR(__xludf.DUMMYFUNCTION("""COMPUTED_VALUE"""),2611)</f>
        <v>2611</v>
      </c>
      <c r="AH91" s="8">
        <f ca="1">IFERROR(__xludf.DUMMYFUNCTION("""COMPUTED_VALUE"""),2086)</f>
        <v>2086</v>
      </c>
      <c r="AI91" s="8">
        <f ca="1">IFERROR(__xludf.DUMMYFUNCTION("""COMPUTED_VALUE"""),6021)</f>
        <v>6021</v>
      </c>
      <c r="AJ91" s="8">
        <f ca="1">IFERROR(__xludf.DUMMYFUNCTION("""COMPUTED_VALUE"""),4634)</f>
        <v>4634</v>
      </c>
      <c r="AK91" s="8">
        <f ca="1">IFERROR(__xludf.DUMMYFUNCTION("""COMPUTED_VALUE"""),3273)</f>
        <v>3273</v>
      </c>
      <c r="AL91" s="8">
        <f ca="1">IFERROR(__xludf.DUMMYFUNCTION("""COMPUTED_VALUE"""),4196)</f>
        <v>4196</v>
      </c>
      <c r="AM91" s="8">
        <f ca="1">IFERROR(__xludf.DUMMYFUNCTION("""COMPUTED_VALUE"""),8450)</f>
        <v>8450</v>
      </c>
      <c r="AN91" s="8">
        <f ca="1">IFERROR(__xludf.DUMMYFUNCTION("""COMPUTED_VALUE"""),8118)</f>
        <v>8118</v>
      </c>
      <c r="AO91" s="8">
        <f ca="1">IFERROR(__xludf.DUMMYFUNCTION("""COMPUTED_VALUE"""),1807)</f>
        <v>1807</v>
      </c>
      <c r="AP91" s="8"/>
      <c r="AQ91" s="8"/>
      <c r="AR91" s="8"/>
      <c r="AS91" s="8"/>
      <c r="AT91" s="8"/>
      <c r="AU91" s="8"/>
      <c r="AV91" s="8"/>
      <c r="AW91" s="8"/>
      <c r="AX91" s="8"/>
      <c r="AY91" s="8"/>
    </row>
    <row r="92" spans="1:51" ht="13.2" x14ac:dyDescent="0.25">
      <c r="A92" s="11" t="str">
        <f ca="1">IFERROR(__xludf.DUMMYFUNCTION("""COMPUTED_VALUE"""),"                     left Prosubiculum")</f>
        <v xml:space="preserve">                     left Prosubiculum</v>
      </c>
      <c r="B92" s="12">
        <f ca="1">IFERROR(__xludf.DUMMYFUNCTION("""COMPUTED_VALUE"""),1377)</f>
        <v>1377</v>
      </c>
      <c r="C92" s="12">
        <f ca="1">IFERROR(__xludf.DUMMYFUNCTION("""COMPUTED_VALUE"""),5570)</f>
        <v>5570</v>
      </c>
      <c r="D92" s="12">
        <f ca="1">IFERROR(__xludf.DUMMYFUNCTION("""COMPUTED_VALUE"""),3203)</f>
        <v>3203</v>
      </c>
      <c r="E92" s="12">
        <f ca="1">IFERROR(__xludf.DUMMYFUNCTION("""COMPUTED_VALUE"""),4716)</f>
        <v>4716</v>
      </c>
      <c r="F92" s="12">
        <f ca="1">IFERROR(__xludf.DUMMYFUNCTION("""COMPUTED_VALUE"""),3975)</f>
        <v>3975</v>
      </c>
      <c r="G92" s="12">
        <f ca="1">IFERROR(__xludf.DUMMYFUNCTION("""COMPUTED_VALUE"""),2462)</f>
        <v>2462</v>
      </c>
      <c r="H92" s="12">
        <f ca="1">IFERROR(__xludf.DUMMYFUNCTION("""COMPUTED_VALUE"""),4593)</f>
        <v>4593</v>
      </c>
      <c r="I92" s="12">
        <f ca="1">IFERROR(__xludf.DUMMYFUNCTION("""COMPUTED_VALUE"""),2388)</f>
        <v>2388</v>
      </c>
      <c r="J92" s="12">
        <f ca="1">IFERROR(__xludf.DUMMYFUNCTION("""COMPUTED_VALUE"""),2416)</f>
        <v>2416</v>
      </c>
      <c r="K92" s="12">
        <f ca="1">IFERROR(__xludf.DUMMYFUNCTION("""COMPUTED_VALUE"""),5061)</f>
        <v>5061</v>
      </c>
      <c r="L92" s="12">
        <f ca="1">IFERROR(__xludf.DUMMYFUNCTION("""COMPUTED_VALUE"""),1238)</f>
        <v>1238</v>
      </c>
      <c r="M92" s="12">
        <f ca="1">IFERROR(__xludf.DUMMYFUNCTION("""COMPUTED_VALUE"""),3749)</f>
        <v>3749</v>
      </c>
      <c r="N92" s="12">
        <f ca="1">IFERROR(__xludf.DUMMYFUNCTION("""COMPUTED_VALUE"""),2371)</f>
        <v>2371</v>
      </c>
      <c r="O92" s="12">
        <f ca="1">IFERROR(__xludf.DUMMYFUNCTION("""COMPUTED_VALUE"""),3751)</f>
        <v>3751</v>
      </c>
      <c r="P92" s="12">
        <f ca="1">IFERROR(__xludf.DUMMYFUNCTION("""COMPUTED_VALUE"""),1726)</f>
        <v>1726</v>
      </c>
      <c r="Q92" s="12">
        <f ca="1">IFERROR(__xludf.DUMMYFUNCTION("""COMPUTED_VALUE"""),3943)</f>
        <v>3943</v>
      </c>
      <c r="R92" s="12">
        <f ca="1">IFERROR(__xludf.DUMMYFUNCTION("""COMPUTED_VALUE"""),1577)</f>
        <v>1577</v>
      </c>
      <c r="S92" s="12">
        <f ca="1">IFERROR(__xludf.DUMMYFUNCTION("""COMPUTED_VALUE"""),2166)</f>
        <v>2166</v>
      </c>
      <c r="T92" s="12">
        <f ca="1">IFERROR(__xludf.DUMMYFUNCTION("""COMPUTED_VALUE"""),3772)</f>
        <v>3772</v>
      </c>
      <c r="U92" s="12">
        <f ca="1">IFERROR(__xludf.DUMMYFUNCTION("""COMPUTED_VALUE"""),3900)</f>
        <v>3900</v>
      </c>
      <c r="V92" s="12">
        <f ca="1">IFERROR(__xludf.DUMMYFUNCTION("""COMPUTED_VALUE"""),4615)</f>
        <v>4615</v>
      </c>
      <c r="W92" s="12">
        <f ca="1">IFERROR(__xludf.DUMMYFUNCTION("""COMPUTED_VALUE"""),7997)</f>
        <v>7997</v>
      </c>
      <c r="X92" s="12">
        <f ca="1">IFERROR(__xludf.DUMMYFUNCTION("""COMPUTED_VALUE"""),6774)</f>
        <v>6774</v>
      </c>
      <c r="Y92" s="12">
        <f ca="1">IFERROR(__xludf.DUMMYFUNCTION("""COMPUTED_VALUE"""),5059)</f>
        <v>5059</v>
      </c>
      <c r="Z92" s="12">
        <f ca="1">IFERROR(__xludf.DUMMYFUNCTION("""COMPUTED_VALUE"""),6817)</f>
        <v>6817</v>
      </c>
      <c r="AA92" s="12">
        <f ca="1">IFERROR(__xludf.DUMMYFUNCTION("""COMPUTED_VALUE"""),3036)</f>
        <v>3036</v>
      </c>
      <c r="AB92" s="12">
        <f ca="1">IFERROR(__xludf.DUMMYFUNCTION("""COMPUTED_VALUE"""),8238)</f>
        <v>8238</v>
      </c>
      <c r="AC92" s="12">
        <f ca="1">IFERROR(__xludf.DUMMYFUNCTION("""COMPUTED_VALUE"""),6347)</f>
        <v>6347</v>
      </c>
      <c r="AD92" s="12">
        <f ca="1">IFERROR(__xludf.DUMMYFUNCTION("""COMPUTED_VALUE"""),7287)</f>
        <v>7287</v>
      </c>
      <c r="AE92" s="12">
        <f ca="1">IFERROR(__xludf.DUMMYFUNCTION("""COMPUTED_VALUE"""),10236)</f>
        <v>10236</v>
      </c>
      <c r="AF92" s="8">
        <f ca="1">IFERROR(__xludf.DUMMYFUNCTION("""COMPUTED_VALUE"""),14011)</f>
        <v>14011</v>
      </c>
      <c r="AG92" s="8">
        <f ca="1">IFERROR(__xludf.DUMMYFUNCTION("""COMPUTED_VALUE"""),1520)</f>
        <v>1520</v>
      </c>
      <c r="AH92" s="8">
        <f ca="1">IFERROR(__xludf.DUMMYFUNCTION("""COMPUTED_VALUE"""),2478)</f>
        <v>2478</v>
      </c>
      <c r="AI92" s="8">
        <f ca="1">IFERROR(__xludf.DUMMYFUNCTION("""COMPUTED_VALUE"""),3641)</f>
        <v>3641</v>
      </c>
      <c r="AJ92" s="8">
        <f ca="1">IFERROR(__xludf.DUMMYFUNCTION("""COMPUTED_VALUE"""),3165)</f>
        <v>3165</v>
      </c>
      <c r="AK92" s="8">
        <f ca="1">IFERROR(__xludf.DUMMYFUNCTION("""COMPUTED_VALUE"""),2657)</f>
        <v>2657</v>
      </c>
      <c r="AL92" s="8">
        <f ca="1">IFERROR(__xludf.DUMMYFUNCTION("""COMPUTED_VALUE"""),3216)</f>
        <v>3216</v>
      </c>
      <c r="AM92" s="8">
        <f ca="1">IFERROR(__xludf.DUMMYFUNCTION("""COMPUTED_VALUE"""),6333)</f>
        <v>6333</v>
      </c>
      <c r="AN92" s="8">
        <f ca="1">IFERROR(__xludf.DUMMYFUNCTION("""COMPUTED_VALUE"""),13491)</f>
        <v>13491</v>
      </c>
      <c r="AO92" s="8">
        <f ca="1">IFERROR(__xludf.DUMMYFUNCTION("""COMPUTED_VALUE"""),1628)</f>
        <v>1628</v>
      </c>
      <c r="AP92" s="8"/>
      <c r="AQ92" s="8"/>
      <c r="AR92" s="8"/>
      <c r="AS92" s="8"/>
      <c r="AT92" s="8"/>
      <c r="AU92" s="8"/>
      <c r="AV92" s="8"/>
      <c r="AW92" s="8"/>
      <c r="AX92" s="8"/>
      <c r="AY92" s="8"/>
    </row>
    <row r="93" spans="1:51" ht="13.2" x14ac:dyDescent="0.25">
      <c r="A93" s="11" t="str">
        <f ca="1">IFERROR(__xludf.DUMMYFUNCTION("""COMPUTED_VALUE"""),"                     left Hippocampo-amygdalar transition area")</f>
        <v xml:space="preserve">                     left Hippocampo-amygdalar transition area</v>
      </c>
      <c r="B93" s="12">
        <f ca="1">IFERROR(__xludf.DUMMYFUNCTION("""COMPUTED_VALUE"""),126)</f>
        <v>126</v>
      </c>
      <c r="C93" s="12">
        <f ca="1">IFERROR(__xludf.DUMMYFUNCTION("""COMPUTED_VALUE"""),2370)</f>
        <v>2370</v>
      </c>
      <c r="D93" s="12">
        <f ca="1">IFERROR(__xludf.DUMMYFUNCTION("""COMPUTED_VALUE"""),2247)</f>
        <v>2247</v>
      </c>
      <c r="E93" s="12">
        <f ca="1">IFERROR(__xludf.DUMMYFUNCTION("""COMPUTED_VALUE"""),1201)</f>
        <v>1201</v>
      </c>
      <c r="F93" s="12">
        <f ca="1">IFERROR(__xludf.DUMMYFUNCTION("""COMPUTED_VALUE"""),990)</f>
        <v>990</v>
      </c>
      <c r="G93" s="12">
        <f ca="1">IFERROR(__xludf.DUMMYFUNCTION("""COMPUTED_VALUE"""),792)</f>
        <v>792</v>
      </c>
      <c r="H93" s="12">
        <f ca="1">IFERROR(__xludf.DUMMYFUNCTION("""COMPUTED_VALUE"""),395)</f>
        <v>395</v>
      </c>
      <c r="I93" s="12">
        <f ca="1">IFERROR(__xludf.DUMMYFUNCTION("""COMPUTED_VALUE"""),212)</f>
        <v>212</v>
      </c>
      <c r="J93" s="12">
        <f ca="1">IFERROR(__xludf.DUMMYFUNCTION("""COMPUTED_VALUE"""),1321)</f>
        <v>1321</v>
      </c>
      <c r="K93" s="12">
        <f ca="1">IFERROR(__xludf.DUMMYFUNCTION("""COMPUTED_VALUE"""),1065)</f>
        <v>1065</v>
      </c>
      <c r="L93" s="12">
        <f ca="1">IFERROR(__xludf.DUMMYFUNCTION("""COMPUTED_VALUE"""),1764)</f>
        <v>1764</v>
      </c>
      <c r="M93" s="12">
        <f ca="1">IFERROR(__xludf.DUMMYFUNCTION("""COMPUTED_VALUE"""),1118)</f>
        <v>1118</v>
      </c>
      <c r="N93" s="12">
        <f ca="1">IFERROR(__xludf.DUMMYFUNCTION("""COMPUTED_VALUE"""),502)</f>
        <v>502</v>
      </c>
      <c r="O93" s="12">
        <f ca="1">IFERROR(__xludf.DUMMYFUNCTION("""COMPUTED_VALUE"""),819)</f>
        <v>819</v>
      </c>
      <c r="P93" s="12">
        <f ca="1">IFERROR(__xludf.DUMMYFUNCTION("""COMPUTED_VALUE"""),233)</f>
        <v>233</v>
      </c>
      <c r="Q93" s="12">
        <f ca="1">IFERROR(__xludf.DUMMYFUNCTION("""COMPUTED_VALUE"""),1294)</f>
        <v>1294</v>
      </c>
      <c r="R93" s="12">
        <f ca="1">IFERROR(__xludf.DUMMYFUNCTION("""COMPUTED_VALUE"""),771)</f>
        <v>771</v>
      </c>
      <c r="S93" s="12">
        <f ca="1">IFERROR(__xludf.DUMMYFUNCTION("""COMPUTED_VALUE"""),1611)</f>
        <v>1611</v>
      </c>
      <c r="T93" s="12">
        <f ca="1">IFERROR(__xludf.DUMMYFUNCTION("""COMPUTED_VALUE"""),340)</f>
        <v>340</v>
      </c>
      <c r="U93" s="12">
        <f ca="1">IFERROR(__xludf.DUMMYFUNCTION("""COMPUTED_VALUE"""),1205)</f>
        <v>1205</v>
      </c>
      <c r="V93" s="12">
        <f ca="1">IFERROR(__xludf.DUMMYFUNCTION("""COMPUTED_VALUE"""),1495)</f>
        <v>1495</v>
      </c>
      <c r="W93" s="12">
        <f ca="1">IFERROR(__xludf.DUMMYFUNCTION("""COMPUTED_VALUE"""),678)</f>
        <v>678</v>
      </c>
      <c r="X93" s="12">
        <f ca="1">IFERROR(__xludf.DUMMYFUNCTION("""COMPUTED_VALUE"""),3096)</f>
        <v>3096</v>
      </c>
      <c r="Y93" s="12">
        <f ca="1">IFERROR(__xludf.DUMMYFUNCTION("""COMPUTED_VALUE"""),963)</f>
        <v>963</v>
      </c>
      <c r="Z93" s="12">
        <f ca="1">IFERROR(__xludf.DUMMYFUNCTION("""COMPUTED_VALUE"""),1731)</f>
        <v>1731</v>
      </c>
      <c r="AA93" s="12">
        <f ca="1">IFERROR(__xludf.DUMMYFUNCTION("""COMPUTED_VALUE"""),987)</f>
        <v>987</v>
      </c>
      <c r="AB93" s="12">
        <f ca="1">IFERROR(__xludf.DUMMYFUNCTION("""COMPUTED_VALUE"""),1171)</f>
        <v>1171</v>
      </c>
      <c r="AC93" s="12">
        <f ca="1">IFERROR(__xludf.DUMMYFUNCTION("""COMPUTED_VALUE"""),365)</f>
        <v>365</v>
      </c>
      <c r="AD93" s="12">
        <f ca="1">IFERROR(__xludf.DUMMYFUNCTION("""COMPUTED_VALUE"""),1911)</f>
        <v>1911</v>
      </c>
      <c r="AE93" s="12">
        <f ca="1">IFERROR(__xludf.DUMMYFUNCTION("""COMPUTED_VALUE"""),1575)</f>
        <v>1575</v>
      </c>
      <c r="AF93" s="8">
        <f ca="1">IFERROR(__xludf.DUMMYFUNCTION("""COMPUTED_VALUE"""),1112)</f>
        <v>1112</v>
      </c>
      <c r="AG93" s="8">
        <f ca="1">IFERROR(__xludf.DUMMYFUNCTION("""COMPUTED_VALUE"""),639)</f>
        <v>639</v>
      </c>
      <c r="AH93" s="8">
        <f ca="1">IFERROR(__xludf.DUMMYFUNCTION("""COMPUTED_VALUE"""),359)</f>
        <v>359</v>
      </c>
      <c r="AI93" s="8">
        <f ca="1">IFERROR(__xludf.DUMMYFUNCTION("""COMPUTED_VALUE"""),503)</f>
        <v>503</v>
      </c>
      <c r="AJ93" s="8">
        <f ca="1">IFERROR(__xludf.DUMMYFUNCTION("""COMPUTED_VALUE"""),1005)</f>
        <v>1005</v>
      </c>
      <c r="AK93" s="8">
        <f ca="1">IFERROR(__xludf.DUMMYFUNCTION("""COMPUTED_VALUE"""),1393)</f>
        <v>1393</v>
      </c>
      <c r="AL93" s="8">
        <f ca="1">IFERROR(__xludf.DUMMYFUNCTION("""COMPUTED_VALUE"""),174)</f>
        <v>174</v>
      </c>
      <c r="AM93" s="8">
        <f ca="1">IFERROR(__xludf.DUMMYFUNCTION("""COMPUTED_VALUE"""),1250)</f>
        <v>1250</v>
      </c>
      <c r="AN93" s="8">
        <f ca="1">IFERROR(__xludf.DUMMYFUNCTION("""COMPUTED_VALUE"""),1098)</f>
        <v>1098</v>
      </c>
      <c r="AO93" s="8">
        <f ca="1">IFERROR(__xludf.DUMMYFUNCTION("""COMPUTED_VALUE"""),827)</f>
        <v>827</v>
      </c>
      <c r="AP93" s="8"/>
      <c r="AQ93" s="8"/>
      <c r="AR93" s="8"/>
      <c r="AS93" s="8"/>
      <c r="AT93" s="8"/>
      <c r="AU93" s="8"/>
      <c r="AV93" s="8"/>
      <c r="AW93" s="8"/>
      <c r="AX93" s="8"/>
      <c r="AY93" s="8"/>
    </row>
    <row r="94" spans="1:51" ht="13.2" x14ac:dyDescent="0.25">
      <c r="A94" s="11" t="str">
        <f ca="1">IFERROR(__xludf.DUMMYFUNCTION("""COMPUTED_VALUE"""),"                     left Area prostriata")</f>
        <v xml:space="preserve">                     left Area prostriata</v>
      </c>
      <c r="B94" s="12">
        <f ca="1">IFERROR(__xludf.DUMMYFUNCTION("""COMPUTED_VALUE"""),1244)</f>
        <v>1244</v>
      </c>
      <c r="C94" s="12">
        <f ca="1">IFERROR(__xludf.DUMMYFUNCTION("""COMPUTED_VALUE"""),1094)</f>
        <v>1094</v>
      </c>
      <c r="D94" s="12">
        <f ca="1">IFERROR(__xludf.DUMMYFUNCTION("""COMPUTED_VALUE"""),410)</f>
        <v>410</v>
      </c>
      <c r="E94" s="12">
        <f ca="1">IFERROR(__xludf.DUMMYFUNCTION("""COMPUTED_VALUE"""),1079)</f>
        <v>1079</v>
      </c>
      <c r="F94" s="12">
        <f ca="1">IFERROR(__xludf.DUMMYFUNCTION("""COMPUTED_VALUE"""),1034)</f>
        <v>1034</v>
      </c>
      <c r="G94" s="12">
        <f ca="1">IFERROR(__xludf.DUMMYFUNCTION("""COMPUTED_VALUE"""),558)</f>
        <v>558</v>
      </c>
      <c r="H94" s="12">
        <f ca="1">IFERROR(__xludf.DUMMYFUNCTION("""COMPUTED_VALUE"""),1157)</f>
        <v>1157</v>
      </c>
      <c r="I94" s="12">
        <f ca="1">IFERROR(__xludf.DUMMYFUNCTION("""COMPUTED_VALUE"""),1300)</f>
        <v>1300</v>
      </c>
      <c r="J94" s="12">
        <f ca="1">IFERROR(__xludf.DUMMYFUNCTION("""COMPUTED_VALUE"""),1100)</f>
        <v>1100</v>
      </c>
      <c r="K94" s="12">
        <f ca="1">IFERROR(__xludf.DUMMYFUNCTION("""COMPUTED_VALUE"""),908)</f>
        <v>908</v>
      </c>
      <c r="L94" s="12">
        <f ca="1">IFERROR(__xludf.DUMMYFUNCTION("""COMPUTED_VALUE"""),665)</f>
        <v>665</v>
      </c>
      <c r="M94" s="12">
        <f ca="1">IFERROR(__xludf.DUMMYFUNCTION("""COMPUTED_VALUE"""),857)</f>
        <v>857</v>
      </c>
      <c r="N94" s="12">
        <f ca="1">IFERROR(__xludf.DUMMYFUNCTION("""COMPUTED_VALUE"""),540)</f>
        <v>540</v>
      </c>
      <c r="O94" s="12">
        <f ca="1">IFERROR(__xludf.DUMMYFUNCTION("""COMPUTED_VALUE"""),1334)</f>
        <v>1334</v>
      </c>
      <c r="P94" s="12">
        <f ca="1">IFERROR(__xludf.DUMMYFUNCTION("""COMPUTED_VALUE"""),252)</f>
        <v>252</v>
      </c>
      <c r="Q94" s="12">
        <f ca="1">IFERROR(__xludf.DUMMYFUNCTION("""COMPUTED_VALUE"""),2499)</f>
        <v>2499</v>
      </c>
      <c r="R94" s="12">
        <f ca="1">IFERROR(__xludf.DUMMYFUNCTION("""COMPUTED_VALUE"""),159)</f>
        <v>159</v>
      </c>
      <c r="S94" s="12">
        <f ca="1">IFERROR(__xludf.DUMMYFUNCTION("""COMPUTED_VALUE"""),416)</f>
        <v>416</v>
      </c>
      <c r="T94" s="12">
        <f ca="1">IFERROR(__xludf.DUMMYFUNCTION("""COMPUTED_VALUE"""),3636)</f>
        <v>3636</v>
      </c>
      <c r="U94" s="12">
        <f ca="1">IFERROR(__xludf.DUMMYFUNCTION("""COMPUTED_VALUE"""),1243)</f>
        <v>1243</v>
      </c>
      <c r="V94" s="12">
        <f ca="1">IFERROR(__xludf.DUMMYFUNCTION("""COMPUTED_VALUE"""),1060)</f>
        <v>1060</v>
      </c>
      <c r="W94" s="12">
        <f ca="1">IFERROR(__xludf.DUMMYFUNCTION("""COMPUTED_VALUE"""),4433)</f>
        <v>4433</v>
      </c>
      <c r="X94" s="12">
        <f ca="1">IFERROR(__xludf.DUMMYFUNCTION("""COMPUTED_VALUE"""),801)</f>
        <v>801</v>
      </c>
      <c r="Y94" s="12">
        <f ca="1">IFERROR(__xludf.DUMMYFUNCTION("""COMPUTED_VALUE"""),2303)</f>
        <v>2303</v>
      </c>
      <c r="Z94" s="12">
        <f ca="1">IFERROR(__xludf.DUMMYFUNCTION("""COMPUTED_VALUE"""),798)</f>
        <v>798</v>
      </c>
      <c r="AA94" s="12">
        <f ca="1">IFERROR(__xludf.DUMMYFUNCTION("""COMPUTED_VALUE"""),614)</f>
        <v>614</v>
      </c>
      <c r="AB94" s="12">
        <f ca="1">IFERROR(__xludf.DUMMYFUNCTION("""COMPUTED_VALUE"""),728)</f>
        <v>728</v>
      </c>
      <c r="AC94" s="12">
        <f ca="1">IFERROR(__xludf.DUMMYFUNCTION("""COMPUTED_VALUE"""),2669)</f>
        <v>2669</v>
      </c>
      <c r="AD94" s="12">
        <f ca="1">IFERROR(__xludf.DUMMYFUNCTION("""COMPUTED_VALUE"""),2133)</f>
        <v>2133</v>
      </c>
      <c r="AE94" s="12">
        <f ca="1">IFERROR(__xludf.DUMMYFUNCTION("""COMPUTED_VALUE"""),751)</f>
        <v>751</v>
      </c>
      <c r="AF94" s="8">
        <f ca="1">IFERROR(__xludf.DUMMYFUNCTION("""COMPUTED_VALUE"""),3007)</f>
        <v>3007</v>
      </c>
      <c r="AG94" s="8">
        <f ca="1">IFERROR(__xludf.DUMMYFUNCTION("""COMPUTED_VALUE"""),391)</f>
        <v>391</v>
      </c>
      <c r="AH94" s="8">
        <f ca="1">IFERROR(__xludf.DUMMYFUNCTION("""COMPUTED_VALUE"""),336)</f>
        <v>336</v>
      </c>
      <c r="AI94" s="8">
        <f ca="1">IFERROR(__xludf.DUMMYFUNCTION("""COMPUTED_VALUE"""),311)</f>
        <v>311</v>
      </c>
      <c r="AJ94" s="8">
        <f ca="1">IFERROR(__xludf.DUMMYFUNCTION("""COMPUTED_VALUE"""),2024)</f>
        <v>2024</v>
      </c>
      <c r="AK94" s="8">
        <f ca="1">IFERROR(__xludf.DUMMYFUNCTION("""COMPUTED_VALUE"""),145)</f>
        <v>145</v>
      </c>
      <c r="AL94" s="8">
        <f ca="1">IFERROR(__xludf.DUMMYFUNCTION("""COMPUTED_VALUE"""),518)</f>
        <v>518</v>
      </c>
      <c r="AM94" s="8">
        <f ca="1">IFERROR(__xludf.DUMMYFUNCTION("""COMPUTED_VALUE"""),626)</f>
        <v>626</v>
      </c>
      <c r="AN94" s="8">
        <f ca="1">IFERROR(__xludf.DUMMYFUNCTION("""COMPUTED_VALUE"""),905)</f>
        <v>905</v>
      </c>
      <c r="AO94" s="8">
        <f ca="1">IFERROR(__xludf.DUMMYFUNCTION("""COMPUTED_VALUE"""),1748)</f>
        <v>1748</v>
      </c>
      <c r="AP94" s="8"/>
      <c r="AQ94" s="8"/>
      <c r="AR94" s="8"/>
      <c r="AS94" s="8"/>
      <c r="AT94" s="8"/>
      <c r="AU94" s="8"/>
      <c r="AV94" s="8"/>
      <c r="AW94" s="8"/>
      <c r="AX94" s="8"/>
      <c r="AY94" s="8"/>
    </row>
    <row r="95" spans="1:51" ht="13.2" x14ac:dyDescent="0.25">
      <c r="A95" s="11" t="str">
        <f ca="1">IFERROR(__xludf.DUMMYFUNCTION("""COMPUTED_VALUE"""),"            left Cortical subplate")</f>
        <v xml:space="preserve">            left Cortical subplate</v>
      </c>
      <c r="B95" s="12">
        <f ca="1">IFERROR(__xludf.DUMMYFUNCTION("""COMPUTED_VALUE"""),20830)</f>
        <v>20830</v>
      </c>
      <c r="C95" s="12">
        <f ca="1">IFERROR(__xludf.DUMMYFUNCTION("""COMPUTED_VALUE"""),39409)</f>
        <v>39409</v>
      </c>
      <c r="D95" s="12">
        <f ca="1">IFERROR(__xludf.DUMMYFUNCTION("""COMPUTED_VALUE"""),42714)</f>
        <v>42714</v>
      </c>
      <c r="E95" s="12">
        <f ca="1">IFERROR(__xludf.DUMMYFUNCTION("""COMPUTED_VALUE"""),40463)</f>
        <v>40463</v>
      </c>
      <c r="F95" s="12">
        <f ca="1">IFERROR(__xludf.DUMMYFUNCTION("""COMPUTED_VALUE"""),41069)</f>
        <v>41069</v>
      </c>
      <c r="G95" s="12">
        <f ca="1">IFERROR(__xludf.DUMMYFUNCTION("""COMPUTED_VALUE"""),23419)</f>
        <v>23419</v>
      </c>
      <c r="H95" s="12">
        <f ca="1">IFERROR(__xludf.DUMMYFUNCTION("""COMPUTED_VALUE"""),29617)</f>
        <v>29617</v>
      </c>
      <c r="I95" s="12">
        <f ca="1">IFERROR(__xludf.DUMMYFUNCTION("""COMPUTED_VALUE"""),13516)</f>
        <v>13516</v>
      </c>
      <c r="J95" s="12">
        <f ca="1">IFERROR(__xludf.DUMMYFUNCTION("""COMPUTED_VALUE"""),16878)</f>
        <v>16878</v>
      </c>
      <c r="K95" s="12">
        <f ca="1">IFERROR(__xludf.DUMMYFUNCTION("""COMPUTED_VALUE"""),24121)</f>
        <v>24121</v>
      </c>
      <c r="L95" s="12">
        <f ca="1">IFERROR(__xludf.DUMMYFUNCTION("""COMPUTED_VALUE"""),26336)</f>
        <v>26336</v>
      </c>
      <c r="M95" s="12">
        <f ca="1">IFERROR(__xludf.DUMMYFUNCTION("""COMPUTED_VALUE"""),36803)</f>
        <v>36803</v>
      </c>
      <c r="N95" s="12">
        <f ca="1">IFERROR(__xludf.DUMMYFUNCTION("""COMPUTED_VALUE"""),19268)</f>
        <v>19268</v>
      </c>
      <c r="O95" s="12">
        <f ca="1">IFERROR(__xludf.DUMMYFUNCTION("""COMPUTED_VALUE"""),31354)</f>
        <v>31354</v>
      </c>
      <c r="P95" s="12">
        <f ca="1">IFERROR(__xludf.DUMMYFUNCTION("""COMPUTED_VALUE"""),10083)</f>
        <v>10083</v>
      </c>
      <c r="Q95" s="12">
        <f ca="1">IFERROR(__xludf.DUMMYFUNCTION("""COMPUTED_VALUE"""),21855)</f>
        <v>21855</v>
      </c>
      <c r="R95" s="12">
        <f ca="1">IFERROR(__xludf.DUMMYFUNCTION("""COMPUTED_VALUE"""),20160)</f>
        <v>20160</v>
      </c>
      <c r="S95" s="12">
        <f ca="1">IFERROR(__xludf.DUMMYFUNCTION("""COMPUTED_VALUE"""),19130)</f>
        <v>19130</v>
      </c>
      <c r="T95" s="12">
        <f ca="1">IFERROR(__xludf.DUMMYFUNCTION("""COMPUTED_VALUE"""),35910)</f>
        <v>35910</v>
      </c>
      <c r="U95" s="12">
        <f ca="1">IFERROR(__xludf.DUMMYFUNCTION("""COMPUTED_VALUE"""),25755)</f>
        <v>25755</v>
      </c>
      <c r="V95" s="12">
        <f ca="1">IFERROR(__xludf.DUMMYFUNCTION("""COMPUTED_VALUE"""),29341)</f>
        <v>29341</v>
      </c>
      <c r="W95" s="12">
        <f ca="1">IFERROR(__xludf.DUMMYFUNCTION("""COMPUTED_VALUE"""),54445)</f>
        <v>54445</v>
      </c>
      <c r="X95" s="12">
        <f ca="1">IFERROR(__xludf.DUMMYFUNCTION("""COMPUTED_VALUE"""),71196)</f>
        <v>71196</v>
      </c>
      <c r="Y95" s="12">
        <f ca="1">IFERROR(__xludf.DUMMYFUNCTION("""COMPUTED_VALUE"""),37886)</f>
        <v>37886</v>
      </c>
      <c r="Z95" s="12">
        <f ca="1">IFERROR(__xludf.DUMMYFUNCTION("""COMPUTED_VALUE"""),50896)</f>
        <v>50896</v>
      </c>
      <c r="AA95" s="12">
        <f ca="1">IFERROR(__xludf.DUMMYFUNCTION("""COMPUTED_VALUE"""),46784)</f>
        <v>46784</v>
      </c>
      <c r="AB95" s="12">
        <f ca="1">IFERROR(__xludf.DUMMYFUNCTION("""COMPUTED_VALUE"""),30086)</f>
        <v>30086</v>
      </c>
      <c r="AC95" s="12">
        <f ca="1">IFERROR(__xludf.DUMMYFUNCTION("""COMPUTED_VALUE"""),19692)</f>
        <v>19692</v>
      </c>
      <c r="AD95" s="12">
        <f ca="1">IFERROR(__xludf.DUMMYFUNCTION("""COMPUTED_VALUE"""),27437)</f>
        <v>27437</v>
      </c>
      <c r="AE95" s="12">
        <f ca="1">IFERROR(__xludf.DUMMYFUNCTION("""COMPUTED_VALUE"""),36004)</f>
        <v>36004</v>
      </c>
      <c r="AF95" s="8">
        <f ca="1">IFERROR(__xludf.DUMMYFUNCTION("""COMPUTED_VALUE"""),58449)</f>
        <v>58449</v>
      </c>
      <c r="AG95" s="8">
        <f ca="1">IFERROR(__xludf.DUMMYFUNCTION("""COMPUTED_VALUE"""),30841)</f>
        <v>30841</v>
      </c>
      <c r="AH95" s="8">
        <f ca="1">IFERROR(__xludf.DUMMYFUNCTION("""COMPUTED_VALUE"""),35103)</f>
        <v>35103</v>
      </c>
      <c r="AI95" s="8">
        <f ca="1">IFERROR(__xludf.DUMMYFUNCTION("""COMPUTED_VALUE"""),35169)</f>
        <v>35169</v>
      </c>
      <c r="AJ95" s="8">
        <f ca="1">IFERROR(__xludf.DUMMYFUNCTION("""COMPUTED_VALUE"""),13753)</f>
        <v>13753</v>
      </c>
      <c r="AK95" s="8">
        <f ca="1">IFERROR(__xludf.DUMMYFUNCTION("""COMPUTED_VALUE"""),15221)</f>
        <v>15221</v>
      </c>
      <c r="AL95" s="8">
        <f ca="1">IFERROR(__xludf.DUMMYFUNCTION("""COMPUTED_VALUE"""),20647)</f>
        <v>20647</v>
      </c>
      <c r="AM95" s="8">
        <f ca="1">IFERROR(__xludf.DUMMYFUNCTION("""COMPUTED_VALUE"""),35398)</f>
        <v>35398</v>
      </c>
      <c r="AN95" s="8">
        <f ca="1">IFERROR(__xludf.DUMMYFUNCTION("""COMPUTED_VALUE"""),24393)</f>
        <v>24393</v>
      </c>
      <c r="AO95" s="8">
        <f ca="1">IFERROR(__xludf.DUMMYFUNCTION("""COMPUTED_VALUE"""),22948)</f>
        <v>22948</v>
      </c>
      <c r="AP95" s="8"/>
      <c r="AQ95" s="8"/>
      <c r="AR95" s="8"/>
      <c r="AS95" s="8"/>
      <c r="AT95" s="8"/>
      <c r="AU95" s="8"/>
      <c r="AV95" s="8"/>
      <c r="AW95" s="8"/>
      <c r="AX95" s="8"/>
      <c r="AY95" s="8"/>
    </row>
    <row r="96" spans="1:51" ht="13.2" x14ac:dyDescent="0.25">
      <c r="A96" s="11" t="str">
        <f ca="1">IFERROR(__xludf.DUMMYFUNCTION("""COMPUTED_VALUE"""),"               left Claustrum")</f>
        <v xml:space="preserve">               left Claustrum</v>
      </c>
      <c r="B96" s="12">
        <f ca="1">IFERROR(__xludf.DUMMYFUNCTION("""COMPUTED_VALUE"""),1676)</f>
        <v>1676</v>
      </c>
      <c r="C96" s="12">
        <f ca="1">IFERROR(__xludf.DUMMYFUNCTION("""COMPUTED_VALUE"""),2759)</f>
        <v>2759</v>
      </c>
      <c r="D96" s="12">
        <f ca="1">IFERROR(__xludf.DUMMYFUNCTION("""COMPUTED_VALUE"""),3992)</f>
        <v>3992</v>
      </c>
      <c r="E96" s="12">
        <f ca="1">IFERROR(__xludf.DUMMYFUNCTION("""COMPUTED_VALUE"""),4203)</f>
        <v>4203</v>
      </c>
      <c r="F96" s="12">
        <f ca="1">IFERROR(__xludf.DUMMYFUNCTION("""COMPUTED_VALUE"""),3838)</f>
        <v>3838</v>
      </c>
      <c r="G96" s="12">
        <f ca="1">IFERROR(__xludf.DUMMYFUNCTION("""COMPUTED_VALUE"""),2420)</f>
        <v>2420</v>
      </c>
      <c r="H96" s="12">
        <f ca="1">IFERROR(__xludf.DUMMYFUNCTION("""COMPUTED_VALUE"""),3710)</f>
        <v>3710</v>
      </c>
      <c r="I96" s="12">
        <f ca="1">IFERROR(__xludf.DUMMYFUNCTION("""COMPUTED_VALUE"""),1264)</f>
        <v>1264</v>
      </c>
      <c r="J96" s="12">
        <f ca="1">IFERROR(__xludf.DUMMYFUNCTION("""COMPUTED_VALUE"""),1660)</f>
        <v>1660</v>
      </c>
      <c r="K96" s="12">
        <f ca="1">IFERROR(__xludf.DUMMYFUNCTION("""COMPUTED_VALUE"""),2092)</f>
        <v>2092</v>
      </c>
      <c r="L96" s="12">
        <f ca="1">IFERROR(__xludf.DUMMYFUNCTION("""COMPUTED_VALUE"""),3085)</f>
        <v>3085</v>
      </c>
      <c r="M96" s="12">
        <f ca="1">IFERROR(__xludf.DUMMYFUNCTION("""COMPUTED_VALUE"""),6243)</f>
        <v>6243</v>
      </c>
      <c r="N96" s="12">
        <f ca="1">IFERROR(__xludf.DUMMYFUNCTION("""COMPUTED_VALUE"""),1926)</f>
        <v>1926</v>
      </c>
      <c r="O96" s="12">
        <f ca="1">IFERROR(__xludf.DUMMYFUNCTION("""COMPUTED_VALUE"""),4653)</f>
        <v>4653</v>
      </c>
      <c r="P96" s="12">
        <f ca="1">IFERROR(__xludf.DUMMYFUNCTION("""COMPUTED_VALUE"""),1631)</f>
        <v>1631</v>
      </c>
      <c r="Q96" s="12">
        <f ca="1">IFERROR(__xludf.DUMMYFUNCTION("""COMPUTED_VALUE"""),2006)</f>
        <v>2006</v>
      </c>
      <c r="R96" s="12">
        <f ca="1">IFERROR(__xludf.DUMMYFUNCTION("""COMPUTED_VALUE"""),2314)</f>
        <v>2314</v>
      </c>
      <c r="S96" s="12">
        <f ca="1">IFERROR(__xludf.DUMMYFUNCTION("""COMPUTED_VALUE"""),2791)</f>
        <v>2791</v>
      </c>
      <c r="T96" s="12">
        <f ca="1">IFERROR(__xludf.DUMMYFUNCTION("""COMPUTED_VALUE"""),3498)</f>
        <v>3498</v>
      </c>
      <c r="U96" s="12">
        <f ca="1">IFERROR(__xludf.DUMMYFUNCTION("""COMPUTED_VALUE"""),3208)</f>
        <v>3208</v>
      </c>
      <c r="V96" s="12">
        <f ca="1">IFERROR(__xludf.DUMMYFUNCTION("""COMPUTED_VALUE"""),2444)</f>
        <v>2444</v>
      </c>
      <c r="W96" s="12">
        <f ca="1">IFERROR(__xludf.DUMMYFUNCTION("""COMPUTED_VALUE"""),6077)</f>
        <v>6077</v>
      </c>
      <c r="X96" s="12">
        <f ca="1">IFERROR(__xludf.DUMMYFUNCTION("""COMPUTED_VALUE"""),13812)</f>
        <v>13812</v>
      </c>
      <c r="Y96" s="12">
        <f ca="1">IFERROR(__xludf.DUMMYFUNCTION("""COMPUTED_VALUE"""),3556)</f>
        <v>3556</v>
      </c>
      <c r="Z96" s="12">
        <f ca="1">IFERROR(__xludf.DUMMYFUNCTION("""COMPUTED_VALUE"""),2133)</f>
        <v>2133</v>
      </c>
      <c r="AA96" s="12">
        <f ca="1">IFERROR(__xludf.DUMMYFUNCTION("""COMPUTED_VALUE"""),3408)</f>
        <v>3408</v>
      </c>
      <c r="AB96" s="12">
        <f ca="1">IFERROR(__xludf.DUMMYFUNCTION("""COMPUTED_VALUE"""),2515)</f>
        <v>2515</v>
      </c>
      <c r="AC96" s="12">
        <f ca="1">IFERROR(__xludf.DUMMYFUNCTION("""COMPUTED_VALUE"""),1206)</f>
        <v>1206</v>
      </c>
      <c r="AD96" s="12">
        <f ca="1">IFERROR(__xludf.DUMMYFUNCTION("""COMPUTED_VALUE"""),2308)</f>
        <v>2308</v>
      </c>
      <c r="AE96" s="12">
        <f ca="1">IFERROR(__xludf.DUMMYFUNCTION("""COMPUTED_VALUE"""),1660)</f>
        <v>1660</v>
      </c>
      <c r="AF96" s="8">
        <f ca="1">IFERROR(__xludf.DUMMYFUNCTION("""COMPUTED_VALUE"""),6009)</f>
        <v>6009</v>
      </c>
      <c r="AG96" s="8">
        <f ca="1">IFERROR(__xludf.DUMMYFUNCTION("""COMPUTED_VALUE"""),2312)</f>
        <v>2312</v>
      </c>
      <c r="AH96" s="8">
        <f ca="1">IFERROR(__xludf.DUMMYFUNCTION("""COMPUTED_VALUE"""),2634)</f>
        <v>2634</v>
      </c>
      <c r="AI96" s="8">
        <f ca="1">IFERROR(__xludf.DUMMYFUNCTION("""COMPUTED_VALUE"""),3216)</f>
        <v>3216</v>
      </c>
      <c r="AJ96" s="8">
        <f ca="1">IFERROR(__xludf.DUMMYFUNCTION("""COMPUTED_VALUE"""),686)</f>
        <v>686</v>
      </c>
      <c r="AK96" s="8">
        <f ca="1">IFERROR(__xludf.DUMMYFUNCTION("""COMPUTED_VALUE"""),607)</f>
        <v>607</v>
      </c>
      <c r="AL96" s="8">
        <f ca="1">IFERROR(__xludf.DUMMYFUNCTION("""COMPUTED_VALUE"""),3122)</f>
        <v>3122</v>
      </c>
      <c r="AM96" s="8">
        <f ca="1">IFERROR(__xludf.DUMMYFUNCTION("""COMPUTED_VALUE"""),6114)</f>
        <v>6114</v>
      </c>
      <c r="AN96" s="8">
        <f ca="1">IFERROR(__xludf.DUMMYFUNCTION("""COMPUTED_VALUE"""),1481)</f>
        <v>1481</v>
      </c>
      <c r="AO96" s="8">
        <f ca="1">IFERROR(__xludf.DUMMYFUNCTION("""COMPUTED_VALUE"""),2050)</f>
        <v>2050</v>
      </c>
      <c r="AP96" s="8"/>
      <c r="AQ96" s="8"/>
      <c r="AR96" s="8"/>
      <c r="AS96" s="8"/>
      <c r="AT96" s="8"/>
      <c r="AU96" s="8"/>
      <c r="AV96" s="8"/>
      <c r="AW96" s="8"/>
      <c r="AX96" s="8"/>
      <c r="AY96" s="8"/>
    </row>
    <row r="97" spans="1:51" ht="13.2" x14ac:dyDescent="0.25">
      <c r="A97" s="11" t="str">
        <f ca="1">IFERROR(__xludf.DUMMYFUNCTION("""COMPUTED_VALUE"""),"               left Endopiriform nucleus")</f>
        <v xml:space="preserve">               left Endopiriform nucleus</v>
      </c>
      <c r="B97" s="12">
        <f ca="1">IFERROR(__xludf.DUMMYFUNCTION("""COMPUTED_VALUE"""),6591)</f>
        <v>6591</v>
      </c>
      <c r="C97" s="12">
        <f ca="1">IFERROR(__xludf.DUMMYFUNCTION("""COMPUTED_VALUE"""),9823)</f>
        <v>9823</v>
      </c>
      <c r="D97" s="12">
        <f ca="1">IFERROR(__xludf.DUMMYFUNCTION("""COMPUTED_VALUE"""),10370)</f>
        <v>10370</v>
      </c>
      <c r="E97" s="12">
        <f ca="1">IFERROR(__xludf.DUMMYFUNCTION("""COMPUTED_VALUE"""),11933)</f>
        <v>11933</v>
      </c>
      <c r="F97" s="12">
        <f ca="1">IFERROR(__xludf.DUMMYFUNCTION("""COMPUTED_VALUE"""),9200)</f>
        <v>9200</v>
      </c>
      <c r="G97" s="12">
        <f ca="1">IFERROR(__xludf.DUMMYFUNCTION("""COMPUTED_VALUE"""),5372)</f>
        <v>5372</v>
      </c>
      <c r="H97" s="12">
        <f ca="1">IFERROR(__xludf.DUMMYFUNCTION("""COMPUTED_VALUE"""),9988)</f>
        <v>9988</v>
      </c>
      <c r="I97" s="12">
        <f ca="1">IFERROR(__xludf.DUMMYFUNCTION("""COMPUTED_VALUE"""),3259)</f>
        <v>3259</v>
      </c>
      <c r="J97" s="12">
        <f ca="1">IFERROR(__xludf.DUMMYFUNCTION("""COMPUTED_VALUE"""),4096)</f>
        <v>4096</v>
      </c>
      <c r="K97" s="12">
        <f ca="1">IFERROR(__xludf.DUMMYFUNCTION("""COMPUTED_VALUE"""),7874)</f>
        <v>7874</v>
      </c>
      <c r="L97" s="12">
        <f ca="1">IFERROR(__xludf.DUMMYFUNCTION("""COMPUTED_VALUE"""),6539)</f>
        <v>6539</v>
      </c>
      <c r="M97" s="12">
        <f ca="1">IFERROR(__xludf.DUMMYFUNCTION("""COMPUTED_VALUE"""),12305)</f>
        <v>12305</v>
      </c>
      <c r="N97" s="12">
        <f ca="1">IFERROR(__xludf.DUMMYFUNCTION("""COMPUTED_VALUE"""),6759)</f>
        <v>6759</v>
      </c>
      <c r="O97" s="12">
        <f ca="1">IFERROR(__xludf.DUMMYFUNCTION("""COMPUTED_VALUE"""),10573)</f>
        <v>10573</v>
      </c>
      <c r="P97" s="12">
        <f ca="1">IFERROR(__xludf.DUMMYFUNCTION("""COMPUTED_VALUE"""),3727)</f>
        <v>3727</v>
      </c>
      <c r="Q97" s="12">
        <f ca="1">IFERROR(__xludf.DUMMYFUNCTION("""COMPUTED_VALUE"""),5786)</f>
        <v>5786</v>
      </c>
      <c r="R97" s="12">
        <f ca="1">IFERROR(__xludf.DUMMYFUNCTION("""COMPUTED_VALUE"""),6295)</f>
        <v>6295</v>
      </c>
      <c r="S97" s="12">
        <f ca="1">IFERROR(__xludf.DUMMYFUNCTION("""COMPUTED_VALUE"""),6532)</f>
        <v>6532</v>
      </c>
      <c r="T97" s="12">
        <f ca="1">IFERROR(__xludf.DUMMYFUNCTION("""COMPUTED_VALUE"""),9448)</f>
        <v>9448</v>
      </c>
      <c r="U97" s="12">
        <f ca="1">IFERROR(__xludf.DUMMYFUNCTION("""COMPUTED_VALUE"""),6260)</f>
        <v>6260</v>
      </c>
      <c r="V97" s="12">
        <f ca="1">IFERROR(__xludf.DUMMYFUNCTION("""COMPUTED_VALUE"""),6294)</f>
        <v>6294</v>
      </c>
      <c r="W97" s="12">
        <f ca="1">IFERROR(__xludf.DUMMYFUNCTION("""COMPUTED_VALUE"""),17648)</f>
        <v>17648</v>
      </c>
      <c r="X97" s="12">
        <f ca="1">IFERROR(__xludf.DUMMYFUNCTION("""COMPUTED_VALUE"""),18219)</f>
        <v>18219</v>
      </c>
      <c r="Y97" s="12">
        <f ca="1">IFERROR(__xludf.DUMMYFUNCTION("""COMPUTED_VALUE"""),7555)</f>
        <v>7555</v>
      </c>
      <c r="Z97" s="12">
        <f ca="1">IFERROR(__xludf.DUMMYFUNCTION("""COMPUTED_VALUE"""),12595)</f>
        <v>12595</v>
      </c>
      <c r="AA97" s="12">
        <f ca="1">IFERROR(__xludf.DUMMYFUNCTION("""COMPUTED_VALUE"""),12302)</f>
        <v>12302</v>
      </c>
      <c r="AB97" s="12">
        <f ca="1">IFERROR(__xludf.DUMMYFUNCTION("""COMPUTED_VALUE"""),8452)</f>
        <v>8452</v>
      </c>
      <c r="AC97" s="12">
        <f ca="1">IFERROR(__xludf.DUMMYFUNCTION("""COMPUTED_VALUE"""),4218)</f>
        <v>4218</v>
      </c>
      <c r="AD97" s="12">
        <f ca="1">IFERROR(__xludf.DUMMYFUNCTION("""COMPUTED_VALUE"""),7451)</f>
        <v>7451</v>
      </c>
      <c r="AE97" s="12">
        <f ca="1">IFERROR(__xludf.DUMMYFUNCTION("""COMPUTED_VALUE"""),12681)</f>
        <v>12681</v>
      </c>
      <c r="AF97" s="8">
        <f ca="1">IFERROR(__xludf.DUMMYFUNCTION("""COMPUTED_VALUE"""),17568)</f>
        <v>17568</v>
      </c>
      <c r="AG97" s="8">
        <f ca="1">IFERROR(__xludf.DUMMYFUNCTION("""COMPUTED_VALUE"""),8387)</f>
        <v>8387</v>
      </c>
      <c r="AH97" s="8">
        <f ca="1">IFERROR(__xludf.DUMMYFUNCTION("""COMPUTED_VALUE"""),10851)</f>
        <v>10851</v>
      </c>
      <c r="AI97" s="8">
        <f ca="1">IFERROR(__xludf.DUMMYFUNCTION("""COMPUTED_VALUE"""),9088)</f>
        <v>9088</v>
      </c>
      <c r="AJ97" s="8">
        <f ca="1">IFERROR(__xludf.DUMMYFUNCTION("""COMPUTED_VALUE"""),3314)</f>
        <v>3314</v>
      </c>
      <c r="AK97" s="8">
        <f ca="1">IFERROR(__xludf.DUMMYFUNCTION("""COMPUTED_VALUE"""),3880)</f>
        <v>3880</v>
      </c>
      <c r="AL97" s="8">
        <f ca="1">IFERROR(__xludf.DUMMYFUNCTION("""COMPUTED_VALUE"""),7104)</f>
        <v>7104</v>
      </c>
      <c r="AM97" s="8">
        <f ca="1">IFERROR(__xludf.DUMMYFUNCTION("""COMPUTED_VALUE"""),11213)</f>
        <v>11213</v>
      </c>
      <c r="AN97" s="8">
        <f ca="1">IFERROR(__xludf.DUMMYFUNCTION("""COMPUTED_VALUE"""),6255)</f>
        <v>6255</v>
      </c>
      <c r="AO97" s="8">
        <f ca="1">IFERROR(__xludf.DUMMYFUNCTION("""COMPUTED_VALUE"""),6077)</f>
        <v>6077</v>
      </c>
      <c r="AP97" s="8"/>
      <c r="AQ97" s="8"/>
      <c r="AR97" s="8"/>
      <c r="AS97" s="8"/>
      <c r="AT97" s="8"/>
      <c r="AU97" s="8"/>
      <c r="AV97" s="8"/>
      <c r="AW97" s="8"/>
      <c r="AX97" s="8"/>
      <c r="AY97" s="8"/>
    </row>
    <row r="98" spans="1:51" ht="13.2" x14ac:dyDescent="0.25">
      <c r="A98" s="11" t="str">
        <f ca="1">IFERROR(__xludf.DUMMYFUNCTION("""COMPUTED_VALUE"""),"                  left Endopiriform nucleus, dorsal part")</f>
        <v xml:space="preserve">                  left Endopiriform nucleus, dorsal part</v>
      </c>
      <c r="B98" s="12">
        <f ca="1">IFERROR(__xludf.DUMMYFUNCTION("""COMPUTED_VALUE"""),4432)</f>
        <v>4432</v>
      </c>
      <c r="C98" s="12">
        <f ca="1">IFERROR(__xludf.DUMMYFUNCTION("""COMPUTED_VALUE"""),7081)</f>
        <v>7081</v>
      </c>
      <c r="D98" s="12">
        <f ca="1">IFERROR(__xludf.DUMMYFUNCTION("""COMPUTED_VALUE"""),8059)</f>
        <v>8059</v>
      </c>
      <c r="E98" s="12">
        <f ca="1">IFERROR(__xludf.DUMMYFUNCTION("""COMPUTED_VALUE"""),8325)</f>
        <v>8325</v>
      </c>
      <c r="F98" s="12">
        <f ca="1">IFERROR(__xludf.DUMMYFUNCTION("""COMPUTED_VALUE"""),6943)</f>
        <v>6943</v>
      </c>
      <c r="G98" s="12">
        <f ca="1">IFERROR(__xludf.DUMMYFUNCTION("""COMPUTED_VALUE"""),3642)</f>
        <v>3642</v>
      </c>
      <c r="H98" s="12">
        <f ca="1">IFERROR(__xludf.DUMMYFUNCTION("""COMPUTED_VALUE"""),6769)</f>
        <v>6769</v>
      </c>
      <c r="I98" s="12">
        <f ca="1">IFERROR(__xludf.DUMMYFUNCTION("""COMPUTED_VALUE"""),2551)</f>
        <v>2551</v>
      </c>
      <c r="J98" s="12">
        <f ca="1">IFERROR(__xludf.DUMMYFUNCTION("""COMPUTED_VALUE"""),3017)</f>
        <v>3017</v>
      </c>
      <c r="K98" s="12">
        <f ca="1">IFERROR(__xludf.DUMMYFUNCTION("""COMPUTED_VALUE"""),5520)</f>
        <v>5520</v>
      </c>
      <c r="L98" s="12">
        <f ca="1">IFERROR(__xludf.DUMMYFUNCTION("""COMPUTED_VALUE"""),5106)</f>
        <v>5106</v>
      </c>
      <c r="M98" s="12">
        <f ca="1">IFERROR(__xludf.DUMMYFUNCTION("""COMPUTED_VALUE"""),9697)</f>
        <v>9697</v>
      </c>
      <c r="N98" s="12">
        <f ca="1">IFERROR(__xludf.DUMMYFUNCTION("""COMPUTED_VALUE"""),5380)</f>
        <v>5380</v>
      </c>
      <c r="O98" s="12">
        <f ca="1">IFERROR(__xludf.DUMMYFUNCTION("""COMPUTED_VALUE"""),8339)</f>
        <v>8339</v>
      </c>
      <c r="P98" s="12">
        <f ca="1">IFERROR(__xludf.DUMMYFUNCTION("""COMPUTED_VALUE"""),2661)</f>
        <v>2661</v>
      </c>
      <c r="Q98" s="12">
        <f ca="1">IFERROR(__xludf.DUMMYFUNCTION("""COMPUTED_VALUE"""),3912)</f>
        <v>3912</v>
      </c>
      <c r="R98" s="12">
        <f ca="1">IFERROR(__xludf.DUMMYFUNCTION("""COMPUTED_VALUE"""),4099)</f>
        <v>4099</v>
      </c>
      <c r="S98" s="12">
        <f ca="1">IFERROR(__xludf.DUMMYFUNCTION("""COMPUTED_VALUE"""),4870)</f>
        <v>4870</v>
      </c>
      <c r="T98" s="12">
        <f ca="1">IFERROR(__xludf.DUMMYFUNCTION("""COMPUTED_VALUE"""),6724)</f>
        <v>6724</v>
      </c>
      <c r="U98" s="12">
        <f ca="1">IFERROR(__xludf.DUMMYFUNCTION("""COMPUTED_VALUE"""),4618)</f>
        <v>4618</v>
      </c>
      <c r="V98" s="12">
        <f ca="1">IFERROR(__xludf.DUMMYFUNCTION("""COMPUTED_VALUE"""),4338)</f>
        <v>4338</v>
      </c>
      <c r="W98" s="12">
        <f ca="1">IFERROR(__xludf.DUMMYFUNCTION("""COMPUTED_VALUE"""),12523)</f>
        <v>12523</v>
      </c>
      <c r="X98" s="12">
        <f ca="1">IFERROR(__xludf.DUMMYFUNCTION("""COMPUTED_VALUE"""),14364)</f>
        <v>14364</v>
      </c>
      <c r="Y98" s="12">
        <f ca="1">IFERROR(__xludf.DUMMYFUNCTION("""COMPUTED_VALUE"""),5983)</f>
        <v>5983</v>
      </c>
      <c r="Z98" s="12">
        <f ca="1">IFERROR(__xludf.DUMMYFUNCTION("""COMPUTED_VALUE"""),9174)</f>
        <v>9174</v>
      </c>
      <c r="AA98" s="12">
        <f ca="1">IFERROR(__xludf.DUMMYFUNCTION("""COMPUTED_VALUE"""),8642)</f>
        <v>8642</v>
      </c>
      <c r="AB98" s="12">
        <f ca="1">IFERROR(__xludf.DUMMYFUNCTION("""COMPUTED_VALUE"""),6297)</f>
        <v>6297</v>
      </c>
      <c r="AC98" s="12">
        <f ca="1">IFERROR(__xludf.DUMMYFUNCTION("""COMPUTED_VALUE"""),3194)</f>
        <v>3194</v>
      </c>
      <c r="AD98" s="12">
        <f ca="1">IFERROR(__xludf.DUMMYFUNCTION("""COMPUTED_VALUE"""),4990)</f>
        <v>4990</v>
      </c>
      <c r="AE98" s="12">
        <f ca="1">IFERROR(__xludf.DUMMYFUNCTION("""COMPUTED_VALUE"""),8669)</f>
        <v>8669</v>
      </c>
      <c r="AF98" s="8">
        <f ca="1">IFERROR(__xludf.DUMMYFUNCTION("""COMPUTED_VALUE"""),12706)</f>
        <v>12706</v>
      </c>
      <c r="AG98" s="8">
        <f ca="1">IFERROR(__xludf.DUMMYFUNCTION("""COMPUTED_VALUE"""),5779)</f>
        <v>5779</v>
      </c>
      <c r="AH98" s="8">
        <f ca="1">IFERROR(__xludf.DUMMYFUNCTION("""COMPUTED_VALUE"""),7767)</f>
        <v>7767</v>
      </c>
      <c r="AI98" s="8">
        <f ca="1">IFERROR(__xludf.DUMMYFUNCTION("""COMPUTED_VALUE"""),6779)</f>
        <v>6779</v>
      </c>
      <c r="AJ98" s="8">
        <f ca="1">IFERROR(__xludf.DUMMYFUNCTION("""COMPUTED_VALUE"""),1950)</f>
        <v>1950</v>
      </c>
      <c r="AK98" s="8">
        <f ca="1">IFERROR(__xludf.DUMMYFUNCTION("""COMPUTED_VALUE"""),2018)</f>
        <v>2018</v>
      </c>
      <c r="AL98" s="8">
        <f ca="1">IFERROR(__xludf.DUMMYFUNCTION("""COMPUTED_VALUE"""),5166)</f>
        <v>5166</v>
      </c>
      <c r="AM98" s="8">
        <f ca="1">IFERROR(__xludf.DUMMYFUNCTION("""COMPUTED_VALUE"""),8625)</f>
        <v>8625</v>
      </c>
      <c r="AN98" s="8">
        <f ca="1">IFERROR(__xludf.DUMMYFUNCTION("""COMPUTED_VALUE"""),4485)</f>
        <v>4485</v>
      </c>
      <c r="AO98" s="8">
        <f ca="1">IFERROR(__xludf.DUMMYFUNCTION("""COMPUTED_VALUE"""),3398)</f>
        <v>3398</v>
      </c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spans="1:51" ht="13.2" x14ac:dyDescent="0.25">
      <c r="A99" s="11" t="str">
        <f ca="1">IFERROR(__xludf.DUMMYFUNCTION("""COMPUTED_VALUE"""),"                  left Endopiriform nucleus, ventral part")</f>
        <v xml:space="preserve">                  left Endopiriform nucleus, ventral part</v>
      </c>
      <c r="B99" s="12">
        <f ca="1">IFERROR(__xludf.DUMMYFUNCTION("""COMPUTED_VALUE"""),2159)</f>
        <v>2159</v>
      </c>
      <c r="C99" s="12">
        <f ca="1">IFERROR(__xludf.DUMMYFUNCTION("""COMPUTED_VALUE"""),2742)</f>
        <v>2742</v>
      </c>
      <c r="D99" s="12">
        <f ca="1">IFERROR(__xludf.DUMMYFUNCTION("""COMPUTED_VALUE"""),2311)</f>
        <v>2311</v>
      </c>
      <c r="E99" s="12">
        <f ca="1">IFERROR(__xludf.DUMMYFUNCTION("""COMPUTED_VALUE"""),3608)</f>
        <v>3608</v>
      </c>
      <c r="F99" s="12">
        <f ca="1">IFERROR(__xludf.DUMMYFUNCTION("""COMPUTED_VALUE"""),2257)</f>
        <v>2257</v>
      </c>
      <c r="G99" s="12">
        <f ca="1">IFERROR(__xludf.DUMMYFUNCTION("""COMPUTED_VALUE"""),1730)</f>
        <v>1730</v>
      </c>
      <c r="H99" s="12">
        <f ca="1">IFERROR(__xludf.DUMMYFUNCTION("""COMPUTED_VALUE"""),3219)</f>
        <v>3219</v>
      </c>
      <c r="I99" s="12">
        <f ca="1">IFERROR(__xludf.DUMMYFUNCTION("""COMPUTED_VALUE"""),708)</f>
        <v>708</v>
      </c>
      <c r="J99" s="12">
        <f ca="1">IFERROR(__xludf.DUMMYFUNCTION("""COMPUTED_VALUE"""),1079)</f>
        <v>1079</v>
      </c>
      <c r="K99" s="12">
        <f ca="1">IFERROR(__xludf.DUMMYFUNCTION("""COMPUTED_VALUE"""),2354)</f>
        <v>2354</v>
      </c>
      <c r="L99" s="12">
        <f ca="1">IFERROR(__xludf.DUMMYFUNCTION("""COMPUTED_VALUE"""),1433)</f>
        <v>1433</v>
      </c>
      <c r="M99" s="12">
        <f ca="1">IFERROR(__xludf.DUMMYFUNCTION("""COMPUTED_VALUE"""),2608)</f>
        <v>2608</v>
      </c>
      <c r="N99" s="12">
        <f ca="1">IFERROR(__xludf.DUMMYFUNCTION("""COMPUTED_VALUE"""),1379)</f>
        <v>1379</v>
      </c>
      <c r="O99" s="12">
        <f ca="1">IFERROR(__xludf.DUMMYFUNCTION("""COMPUTED_VALUE"""),2234)</f>
        <v>2234</v>
      </c>
      <c r="P99" s="12">
        <f ca="1">IFERROR(__xludf.DUMMYFUNCTION("""COMPUTED_VALUE"""),1066)</f>
        <v>1066</v>
      </c>
      <c r="Q99" s="12">
        <f ca="1">IFERROR(__xludf.DUMMYFUNCTION("""COMPUTED_VALUE"""),1874)</f>
        <v>1874</v>
      </c>
      <c r="R99" s="12">
        <f ca="1">IFERROR(__xludf.DUMMYFUNCTION("""COMPUTED_VALUE"""),2196)</f>
        <v>2196</v>
      </c>
      <c r="S99" s="12">
        <f ca="1">IFERROR(__xludf.DUMMYFUNCTION("""COMPUTED_VALUE"""),1662)</f>
        <v>1662</v>
      </c>
      <c r="T99" s="12">
        <f ca="1">IFERROR(__xludf.DUMMYFUNCTION("""COMPUTED_VALUE"""),2724)</f>
        <v>2724</v>
      </c>
      <c r="U99" s="12">
        <f ca="1">IFERROR(__xludf.DUMMYFUNCTION("""COMPUTED_VALUE"""),1642)</f>
        <v>1642</v>
      </c>
      <c r="V99" s="12">
        <f ca="1">IFERROR(__xludf.DUMMYFUNCTION("""COMPUTED_VALUE"""),1956)</f>
        <v>1956</v>
      </c>
      <c r="W99" s="12">
        <f ca="1">IFERROR(__xludf.DUMMYFUNCTION("""COMPUTED_VALUE"""),5125)</f>
        <v>5125</v>
      </c>
      <c r="X99" s="12">
        <f ca="1">IFERROR(__xludf.DUMMYFUNCTION("""COMPUTED_VALUE"""),3855)</f>
        <v>3855</v>
      </c>
      <c r="Y99" s="12">
        <f ca="1">IFERROR(__xludf.DUMMYFUNCTION("""COMPUTED_VALUE"""),1572)</f>
        <v>1572</v>
      </c>
      <c r="Z99" s="12">
        <f ca="1">IFERROR(__xludf.DUMMYFUNCTION("""COMPUTED_VALUE"""),3421)</f>
        <v>3421</v>
      </c>
      <c r="AA99" s="12">
        <f ca="1">IFERROR(__xludf.DUMMYFUNCTION("""COMPUTED_VALUE"""),3660)</f>
        <v>3660</v>
      </c>
      <c r="AB99" s="12">
        <f ca="1">IFERROR(__xludf.DUMMYFUNCTION("""COMPUTED_VALUE"""),2155)</f>
        <v>2155</v>
      </c>
      <c r="AC99" s="12">
        <f ca="1">IFERROR(__xludf.DUMMYFUNCTION("""COMPUTED_VALUE"""),1024)</f>
        <v>1024</v>
      </c>
      <c r="AD99" s="12">
        <f ca="1">IFERROR(__xludf.DUMMYFUNCTION("""COMPUTED_VALUE"""),2461)</f>
        <v>2461</v>
      </c>
      <c r="AE99" s="12">
        <f ca="1">IFERROR(__xludf.DUMMYFUNCTION("""COMPUTED_VALUE"""),4012)</f>
        <v>4012</v>
      </c>
      <c r="AF99" s="8">
        <f ca="1">IFERROR(__xludf.DUMMYFUNCTION("""COMPUTED_VALUE"""),4862)</f>
        <v>4862</v>
      </c>
      <c r="AG99" s="8">
        <f ca="1">IFERROR(__xludf.DUMMYFUNCTION("""COMPUTED_VALUE"""),2608)</f>
        <v>2608</v>
      </c>
      <c r="AH99" s="8">
        <f ca="1">IFERROR(__xludf.DUMMYFUNCTION("""COMPUTED_VALUE"""),3084)</f>
        <v>3084</v>
      </c>
      <c r="AI99" s="8">
        <f ca="1">IFERROR(__xludf.DUMMYFUNCTION("""COMPUTED_VALUE"""),2309)</f>
        <v>2309</v>
      </c>
      <c r="AJ99" s="8">
        <f ca="1">IFERROR(__xludf.DUMMYFUNCTION("""COMPUTED_VALUE"""),1364)</f>
        <v>1364</v>
      </c>
      <c r="AK99" s="8">
        <f ca="1">IFERROR(__xludf.DUMMYFUNCTION("""COMPUTED_VALUE"""),1862)</f>
        <v>1862</v>
      </c>
      <c r="AL99" s="8">
        <f ca="1">IFERROR(__xludf.DUMMYFUNCTION("""COMPUTED_VALUE"""),1938)</f>
        <v>1938</v>
      </c>
      <c r="AM99" s="8">
        <f ca="1">IFERROR(__xludf.DUMMYFUNCTION("""COMPUTED_VALUE"""),2588)</f>
        <v>2588</v>
      </c>
      <c r="AN99" s="8">
        <f ca="1">IFERROR(__xludf.DUMMYFUNCTION("""COMPUTED_VALUE"""),1770)</f>
        <v>1770</v>
      </c>
      <c r="AO99" s="8">
        <f ca="1">IFERROR(__xludf.DUMMYFUNCTION("""COMPUTED_VALUE"""),2679)</f>
        <v>2679</v>
      </c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spans="1:51" ht="13.2" x14ac:dyDescent="0.25">
      <c r="A100" s="11" t="str">
        <f ca="1">IFERROR(__xludf.DUMMYFUNCTION("""COMPUTED_VALUE"""),"               left Lateral amygdalar nucleus")</f>
        <v xml:space="preserve">               left Lateral amygdalar nucleus</v>
      </c>
      <c r="B100" s="12">
        <f ca="1">IFERROR(__xludf.DUMMYFUNCTION("""COMPUTED_VALUE"""),4348)</f>
        <v>4348</v>
      </c>
      <c r="C100" s="12">
        <f ca="1">IFERROR(__xludf.DUMMYFUNCTION("""COMPUTED_VALUE"""),5008)</f>
        <v>5008</v>
      </c>
      <c r="D100" s="12">
        <f ca="1">IFERROR(__xludf.DUMMYFUNCTION("""COMPUTED_VALUE"""),6988)</f>
        <v>6988</v>
      </c>
      <c r="E100" s="12">
        <f ca="1">IFERROR(__xludf.DUMMYFUNCTION("""COMPUTED_VALUE"""),4476)</f>
        <v>4476</v>
      </c>
      <c r="F100" s="12">
        <f ca="1">IFERROR(__xludf.DUMMYFUNCTION("""COMPUTED_VALUE"""),10444)</f>
        <v>10444</v>
      </c>
      <c r="G100" s="12">
        <f ca="1">IFERROR(__xludf.DUMMYFUNCTION("""COMPUTED_VALUE"""),4438)</f>
        <v>4438</v>
      </c>
      <c r="H100" s="12">
        <f ca="1">IFERROR(__xludf.DUMMYFUNCTION("""COMPUTED_VALUE"""),3204)</f>
        <v>3204</v>
      </c>
      <c r="I100" s="12">
        <f ca="1">IFERROR(__xludf.DUMMYFUNCTION("""COMPUTED_VALUE"""),3484)</f>
        <v>3484</v>
      </c>
      <c r="J100" s="12">
        <f ca="1">IFERROR(__xludf.DUMMYFUNCTION("""COMPUTED_VALUE"""),3228)</f>
        <v>3228</v>
      </c>
      <c r="K100" s="12">
        <f ca="1">IFERROR(__xludf.DUMMYFUNCTION("""COMPUTED_VALUE"""),2196)</f>
        <v>2196</v>
      </c>
      <c r="L100" s="12">
        <f ca="1">IFERROR(__xludf.DUMMYFUNCTION("""COMPUTED_VALUE"""),5117)</f>
        <v>5117</v>
      </c>
      <c r="M100" s="12">
        <f ca="1">IFERROR(__xludf.DUMMYFUNCTION("""COMPUTED_VALUE"""),5184)</f>
        <v>5184</v>
      </c>
      <c r="N100" s="12">
        <f ca="1">IFERROR(__xludf.DUMMYFUNCTION("""COMPUTED_VALUE"""),1670)</f>
        <v>1670</v>
      </c>
      <c r="O100" s="12">
        <f ca="1">IFERROR(__xludf.DUMMYFUNCTION("""COMPUTED_VALUE"""),4166)</f>
        <v>4166</v>
      </c>
      <c r="P100" s="12">
        <f ca="1">IFERROR(__xludf.DUMMYFUNCTION("""COMPUTED_VALUE"""),1579)</f>
        <v>1579</v>
      </c>
      <c r="Q100" s="12">
        <f ca="1">IFERROR(__xludf.DUMMYFUNCTION("""COMPUTED_VALUE"""),2998)</f>
        <v>2998</v>
      </c>
      <c r="R100" s="12">
        <f ca="1">IFERROR(__xludf.DUMMYFUNCTION("""COMPUTED_VALUE"""),2900)</f>
        <v>2900</v>
      </c>
      <c r="S100" s="12">
        <f ca="1">IFERROR(__xludf.DUMMYFUNCTION("""COMPUTED_VALUE"""),1792)</f>
        <v>1792</v>
      </c>
      <c r="T100" s="12">
        <f ca="1">IFERROR(__xludf.DUMMYFUNCTION("""COMPUTED_VALUE"""),3811)</f>
        <v>3811</v>
      </c>
      <c r="U100" s="12">
        <f ca="1">IFERROR(__xludf.DUMMYFUNCTION("""COMPUTED_VALUE"""),4249)</f>
        <v>4249</v>
      </c>
      <c r="V100" s="12">
        <f ca="1">IFERROR(__xludf.DUMMYFUNCTION("""COMPUTED_VALUE"""),3189)</f>
        <v>3189</v>
      </c>
      <c r="W100" s="12">
        <f ca="1">IFERROR(__xludf.DUMMYFUNCTION("""COMPUTED_VALUE"""),4187)</f>
        <v>4187</v>
      </c>
      <c r="X100" s="12">
        <f ca="1">IFERROR(__xludf.DUMMYFUNCTION("""COMPUTED_VALUE"""),11388)</f>
        <v>11388</v>
      </c>
      <c r="Y100" s="12">
        <f ca="1">IFERROR(__xludf.DUMMYFUNCTION("""COMPUTED_VALUE"""),7866)</f>
        <v>7866</v>
      </c>
      <c r="Z100" s="12">
        <f ca="1">IFERROR(__xludf.DUMMYFUNCTION("""COMPUTED_VALUE"""),10166)</f>
        <v>10166</v>
      </c>
      <c r="AA100" s="12">
        <f ca="1">IFERROR(__xludf.DUMMYFUNCTION("""COMPUTED_VALUE"""),6212)</f>
        <v>6212</v>
      </c>
      <c r="AB100" s="12">
        <f ca="1">IFERROR(__xludf.DUMMYFUNCTION("""COMPUTED_VALUE"""),3903)</f>
        <v>3903</v>
      </c>
      <c r="AC100" s="12">
        <f ca="1">IFERROR(__xludf.DUMMYFUNCTION("""COMPUTED_VALUE"""),3943)</f>
        <v>3943</v>
      </c>
      <c r="AD100" s="12">
        <f ca="1">IFERROR(__xludf.DUMMYFUNCTION("""COMPUTED_VALUE"""),3215)</f>
        <v>3215</v>
      </c>
      <c r="AE100" s="12">
        <f ca="1">IFERROR(__xludf.DUMMYFUNCTION("""COMPUTED_VALUE"""),3341)</f>
        <v>3341</v>
      </c>
      <c r="AF100" s="8">
        <f ca="1">IFERROR(__xludf.DUMMYFUNCTION("""COMPUTED_VALUE"""),7871)</f>
        <v>7871</v>
      </c>
      <c r="AG100" s="8">
        <f ca="1">IFERROR(__xludf.DUMMYFUNCTION("""COMPUTED_VALUE"""),5514)</f>
        <v>5514</v>
      </c>
      <c r="AH100" s="8">
        <f ca="1">IFERROR(__xludf.DUMMYFUNCTION("""COMPUTED_VALUE"""),6026)</f>
        <v>6026</v>
      </c>
      <c r="AI100" s="8">
        <f ca="1">IFERROR(__xludf.DUMMYFUNCTION("""COMPUTED_VALUE"""),9197)</f>
        <v>9197</v>
      </c>
      <c r="AJ100" s="8">
        <f ca="1">IFERROR(__xludf.DUMMYFUNCTION("""COMPUTED_VALUE"""),1578)</f>
        <v>1578</v>
      </c>
      <c r="AK100" s="8">
        <f ca="1">IFERROR(__xludf.DUMMYFUNCTION("""COMPUTED_VALUE"""),2181)</f>
        <v>2181</v>
      </c>
      <c r="AL100" s="8">
        <f ca="1">IFERROR(__xludf.DUMMYFUNCTION("""COMPUTED_VALUE"""),2220)</f>
        <v>2220</v>
      </c>
      <c r="AM100" s="8">
        <f ca="1">IFERROR(__xludf.DUMMYFUNCTION("""COMPUTED_VALUE"""),4245)</f>
        <v>4245</v>
      </c>
      <c r="AN100" s="8">
        <f ca="1">IFERROR(__xludf.DUMMYFUNCTION("""COMPUTED_VALUE"""),3449)</f>
        <v>3449</v>
      </c>
      <c r="AO100" s="8">
        <f ca="1">IFERROR(__xludf.DUMMYFUNCTION("""COMPUTED_VALUE"""),1671)</f>
        <v>1671</v>
      </c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spans="1:51" ht="13.2" x14ac:dyDescent="0.25">
      <c r="A101" s="11" t="str">
        <f ca="1">IFERROR(__xludf.DUMMYFUNCTION("""COMPUTED_VALUE"""),"               left Basolateral amygdalar nucleus")</f>
        <v xml:space="preserve">               left Basolateral amygdalar nucleus</v>
      </c>
      <c r="B101" s="12">
        <f ca="1">IFERROR(__xludf.DUMMYFUNCTION("""COMPUTED_VALUE"""),3255)</f>
        <v>3255</v>
      </c>
      <c r="C101" s="12">
        <f ca="1">IFERROR(__xludf.DUMMYFUNCTION("""COMPUTED_VALUE"""),8862)</f>
        <v>8862</v>
      </c>
      <c r="D101" s="12">
        <f ca="1">IFERROR(__xludf.DUMMYFUNCTION("""COMPUTED_VALUE"""),8251)</f>
        <v>8251</v>
      </c>
      <c r="E101" s="12">
        <f ca="1">IFERROR(__xludf.DUMMYFUNCTION("""COMPUTED_VALUE"""),6954)</f>
        <v>6954</v>
      </c>
      <c r="F101" s="12">
        <f ca="1">IFERROR(__xludf.DUMMYFUNCTION("""COMPUTED_VALUE"""),8273)</f>
        <v>8273</v>
      </c>
      <c r="G101" s="12">
        <f ca="1">IFERROR(__xludf.DUMMYFUNCTION("""COMPUTED_VALUE"""),5437)</f>
        <v>5437</v>
      </c>
      <c r="H101" s="12">
        <f ca="1">IFERROR(__xludf.DUMMYFUNCTION("""COMPUTED_VALUE"""),6709)</f>
        <v>6709</v>
      </c>
      <c r="I101" s="12">
        <f ca="1">IFERROR(__xludf.DUMMYFUNCTION("""COMPUTED_VALUE"""),2590)</f>
        <v>2590</v>
      </c>
      <c r="J101" s="12">
        <f ca="1">IFERROR(__xludf.DUMMYFUNCTION("""COMPUTED_VALUE"""),2875)</f>
        <v>2875</v>
      </c>
      <c r="K101" s="12">
        <f ca="1">IFERROR(__xludf.DUMMYFUNCTION("""COMPUTED_VALUE"""),4117)</f>
        <v>4117</v>
      </c>
      <c r="L101" s="12">
        <f ca="1">IFERROR(__xludf.DUMMYFUNCTION("""COMPUTED_VALUE"""),3683)</f>
        <v>3683</v>
      </c>
      <c r="M101" s="12">
        <f ca="1">IFERROR(__xludf.DUMMYFUNCTION("""COMPUTED_VALUE"""),5019)</f>
        <v>5019</v>
      </c>
      <c r="N101" s="12">
        <f ca="1">IFERROR(__xludf.DUMMYFUNCTION("""COMPUTED_VALUE"""),3990)</f>
        <v>3990</v>
      </c>
      <c r="O101" s="12">
        <f ca="1">IFERROR(__xludf.DUMMYFUNCTION("""COMPUTED_VALUE"""),4320)</f>
        <v>4320</v>
      </c>
      <c r="P101" s="12">
        <f ca="1">IFERROR(__xludf.DUMMYFUNCTION("""COMPUTED_VALUE"""),1204)</f>
        <v>1204</v>
      </c>
      <c r="Q101" s="12">
        <f ca="1">IFERROR(__xludf.DUMMYFUNCTION("""COMPUTED_VALUE"""),4533)</f>
        <v>4533</v>
      </c>
      <c r="R101" s="12">
        <f ca="1">IFERROR(__xludf.DUMMYFUNCTION("""COMPUTED_VALUE"""),4929)</f>
        <v>4929</v>
      </c>
      <c r="S101" s="12">
        <f ca="1">IFERROR(__xludf.DUMMYFUNCTION("""COMPUTED_VALUE"""),3153)</f>
        <v>3153</v>
      </c>
      <c r="T101" s="12">
        <f ca="1">IFERROR(__xludf.DUMMYFUNCTION("""COMPUTED_VALUE"""),6485)</f>
        <v>6485</v>
      </c>
      <c r="U101" s="12">
        <f ca="1">IFERROR(__xludf.DUMMYFUNCTION("""COMPUTED_VALUE"""),5704)</f>
        <v>5704</v>
      </c>
      <c r="V101" s="12">
        <f ca="1">IFERROR(__xludf.DUMMYFUNCTION("""COMPUTED_VALUE"""),6094)</f>
        <v>6094</v>
      </c>
      <c r="W101" s="12">
        <f ca="1">IFERROR(__xludf.DUMMYFUNCTION("""COMPUTED_VALUE"""),10119)</f>
        <v>10119</v>
      </c>
      <c r="X101" s="12">
        <f ca="1">IFERROR(__xludf.DUMMYFUNCTION("""COMPUTED_VALUE"""),12469)</f>
        <v>12469</v>
      </c>
      <c r="Y101" s="12">
        <f ca="1">IFERROR(__xludf.DUMMYFUNCTION("""COMPUTED_VALUE"""),7790)</f>
        <v>7790</v>
      </c>
      <c r="Z101" s="12">
        <f ca="1">IFERROR(__xludf.DUMMYFUNCTION("""COMPUTED_VALUE"""),8518)</f>
        <v>8518</v>
      </c>
      <c r="AA101" s="12">
        <f ca="1">IFERROR(__xludf.DUMMYFUNCTION("""COMPUTED_VALUE"""),10064)</f>
        <v>10064</v>
      </c>
      <c r="AB101" s="12">
        <f ca="1">IFERROR(__xludf.DUMMYFUNCTION("""COMPUTED_VALUE"""),5370)</f>
        <v>5370</v>
      </c>
      <c r="AC101" s="12">
        <f ca="1">IFERROR(__xludf.DUMMYFUNCTION("""COMPUTED_VALUE"""),4045)</f>
        <v>4045</v>
      </c>
      <c r="AD101" s="12">
        <f ca="1">IFERROR(__xludf.DUMMYFUNCTION("""COMPUTED_VALUE"""),5356)</f>
        <v>5356</v>
      </c>
      <c r="AE101" s="12">
        <f ca="1">IFERROR(__xludf.DUMMYFUNCTION("""COMPUTED_VALUE"""),6435)</f>
        <v>6435</v>
      </c>
      <c r="AF101" s="8">
        <f ca="1">IFERROR(__xludf.DUMMYFUNCTION("""COMPUTED_VALUE"""),11656)</f>
        <v>11656</v>
      </c>
      <c r="AG101" s="8">
        <f ca="1">IFERROR(__xludf.DUMMYFUNCTION("""COMPUTED_VALUE"""),5878)</f>
        <v>5878</v>
      </c>
      <c r="AH101" s="8">
        <f ca="1">IFERROR(__xludf.DUMMYFUNCTION("""COMPUTED_VALUE"""),6832)</f>
        <v>6832</v>
      </c>
      <c r="AI101" s="8">
        <f ca="1">IFERROR(__xludf.DUMMYFUNCTION("""COMPUTED_VALUE"""),6866)</f>
        <v>6866</v>
      </c>
      <c r="AJ101" s="8">
        <f ca="1">IFERROR(__xludf.DUMMYFUNCTION("""COMPUTED_VALUE"""),2921)</f>
        <v>2921</v>
      </c>
      <c r="AK101" s="8">
        <f ca="1">IFERROR(__xludf.DUMMYFUNCTION("""COMPUTED_VALUE"""),3783)</f>
        <v>3783</v>
      </c>
      <c r="AL101" s="8">
        <f ca="1">IFERROR(__xludf.DUMMYFUNCTION("""COMPUTED_VALUE"""),3636)</f>
        <v>3636</v>
      </c>
      <c r="AM101" s="8">
        <f ca="1">IFERROR(__xludf.DUMMYFUNCTION("""COMPUTED_VALUE"""),5965)</f>
        <v>5965</v>
      </c>
      <c r="AN101" s="8">
        <f ca="1">IFERROR(__xludf.DUMMYFUNCTION("""COMPUTED_VALUE"""),5955)</f>
        <v>5955</v>
      </c>
      <c r="AO101" s="8">
        <f ca="1">IFERROR(__xludf.DUMMYFUNCTION("""COMPUTED_VALUE"""),5136)</f>
        <v>5136</v>
      </c>
      <c r="AP101" s="8"/>
      <c r="AQ101" s="8"/>
      <c r="AR101" s="8"/>
      <c r="AS101" s="8"/>
      <c r="AT101" s="8"/>
      <c r="AU101" s="8"/>
      <c r="AV101" s="8"/>
      <c r="AW101" s="8"/>
      <c r="AX101" s="8"/>
      <c r="AY101" s="8"/>
    </row>
    <row r="102" spans="1:51" ht="13.2" x14ac:dyDescent="0.25">
      <c r="A102" s="11" t="str">
        <f ca="1">IFERROR(__xludf.DUMMYFUNCTION("""COMPUTED_VALUE"""),"                  left Basolateral amygdalar nucleus, anterior part")</f>
        <v xml:space="preserve">                  left Basolateral amygdalar nucleus, anterior part</v>
      </c>
      <c r="B102" s="12">
        <f ca="1">IFERROR(__xludf.DUMMYFUNCTION("""COMPUTED_VALUE"""),1783)</f>
        <v>1783</v>
      </c>
      <c r="C102" s="12">
        <f ca="1">IFERROR(__xludf.DUMMYFUNCTION("""COMPUTED_VALUE"""),4404)</f>
        <v>4404</v>
      </c>
      <c r="D102" s="12">
        <f ca="1">IFERROR(__xludf.DUMMYFUNCTION("""COMPUTED_VALUE"""),4652)</f>
        <v>4652</v>
      </c>
      <c r="E102" s="12">
        <f ca="1">IFERROR(__xludf.DUMMYFUNCTION("""COMPUTED_VALUE"""),3480)</f>
        <v>3480</v>
      </c>
      <c r="F102" s="12">
        <f ca="1">IFERROR(__xludf.DUMMYFUNCTION("""COMPUTED_VALUE"""),4145)</f>
        <v>4145</v>
      </c>
      <c r="G102" s="12">
        <f ca="1">IFERROR(__xludf.DUMMYFUNCTION("""COMPUTED_VALUE"""),2958)</f>
        <v>2958</v>
      </c>
      <c r="H102" s="12">
        <f ca="1">IFERROR(__xludf.DUMMYFUNCTION("""COMPUTED_VALUE"""),3404)</f>
        <v>3404</v>
      </c>
      <c r="I102" s="12">
        <f ca="1">IFERROR(__xludf.DUMMYFUNCTION("""COMPUTED_VALUE"""),1604)</f>
        <v>1604</v>
      </c>
      <c r="J102" s="12">
        <f ca="1">IFERROR(__xludf.DUMMYFUNCTION("""COMPUTED_VALUE"""),1790)</f>
        <v>1790</v>
      </c>
      <c r="K102" s="12">
        <f ca="1">IFERROR(__xludf.DUMMYFUNCTION("""COMPUTED_VALUE"""),2750)</f>
        <v>2750</v>
      </c>
      <c r="L102" s="12">
        <f ca="1">IFERROR(__xludf.DUMMYFUNCTION("""COMPUTED_VALUE"""),1523)</f>
        <v>1523</v>
      </c>
      <c r="M102" s="12">
        <f ca="1">IFERROR(__xludf.DUMMYFUNCTION("""COMPUTED_VALUE"""),3213)</f>
        <v>3213</v>
      </c>
      <c r="N102" s="12">
        <f ca="1">IFERROR(__xludf.DUMMYFUNCTION("""COMPUTED_VALUE"""),1829)</f>
        <v>1829</v>
      </c>
      <c r="O102" s="12">
        <f ca="1">IFERROR(__xludf.DUMMYFUNCTION("""COMPUTED_VALUE"""),2948)</f>
        <v>2948</v>
      </c>
      <c r="P102" s="12">
        <f ca="1">IFERROR(__xludf.DUMMYFUNCTION("""COMPUTED_VALUE"""),714)</f>
        <v>714</v>
      </c>
      <c r="Q102" s="12">
        <f ca="1">IFERROR(__xludf.DUMMYFUNCTION("""COMPUTED_VALUE"""),2254)</f>
        <v>2254</v>
      </c>
      <c r="R102" s="12">
        <f ca="1">IFERROR(__xludf.DUMMYFUNCTION("""COMPUTED_VALUE"""),2689)</f>
        <v>2689</v>
      </c>
      <c r="S102" s="12">
        <f ca="1">IFERROR(__xludf.DUMMYFUNCTION("""COMPUTED_VALUE"""),1461)</f>
        <v>1461</v>
      </c>
      <c r="T102" s="12">
        <f ca="1">IFERROR(__xludf.DUMMYFUNCTION("""COMPUTED_VALUE"""),2836)</f>
        <v>2836</v>
      </c>
      <c r="U102" s="12">
        <f ca="1">IFERROR(__xludf.DUMMYFUNCTION("""COMPUTED_VALUE"""),2478)</f>
        <v>2478</v>
      </c>
      <c r="V102" s="12">
        <f ca="1">IFERROR(__xludf.DUMMYFUNCTION("""COMPUTED_VALUE"""),2389)</f>
        <v>2389</v>
      </c>
      <c r="W102" s="12">
        <f ca="1">IFERROR(__xludf.DUMMYFUNCTION("""COMPUTED_VALUE"""),4183)</f>
        <v>4183</v>
      </c>
      <c r="X102" s="12">
        <f ca="1">IFERROR(__xludf.DUMMYFUNCTION("""COMPUTED_VALUE"""),6445)</f>
        <v>6445</v>
      </c>
      <c r="Y102" s="12">
        <f ca="1">IFERROR(__xludf.DUMMYFUNCTION("""COMPUTED_VALUE"""),3212)</f>
        <v>3212</v>
      </c>
      <c r="Z102" s="12">
        <f ca="1">IFERROR(__xludf.DUMMYFUNCTION("""COMPUTED_VALUE"""),3433)</f>
        <v>3433</v>
      </c>
      <c r="AA102" s="12">
        <f ca="1">IFERROR(__xludf.DUMMYFUNCTION("""COMPUTED_VALUE"""),4548)</f>
        <v>4548</v>
      </c>
      <c r="AB102" s="12">
        <f ca="1">IFERROR(__xludf.DUMMYFUNCTION("""COMPUTED_VALUE"""),2830)</f>
        <v>2830</v>
      </c>
      <c r="AC102" s="12">
        <f ca="1">IFERROR(__xludf.DUMMYFUNCTION("""COMPUTED_VALUE"""),1365)</f>
        <v>1365</v>
      </c>
      <c r="AD102" s="12">
        <f ca="1">IFERROR(__xludf.DUMMYFUNCTION("""COMPUTED_VALUE"""),2526)</f>
        <v>2526</v>
      </c>
      <c r="AE102" s="12">
        <f ca="1">IFERROR(__xludf.DUMMYFUNCTION("""COMPUTED_VALUE"""),3448)</f>
        <v>3448</v>
      </c>
      <c r="AF102" s="8">
        <f ca="1">IFERROR(__xludf.DUMMYFUNCTION("""COMPUTED_VALUE"""),6413)</f>
        <v>6413</v>
      </c>
      <c r="AG102" s="8">
        <f ca="1">IFERROR(__xludf.DUMMYFUNCTION("""COMPUTED_VALUE"""),2906)</f>
        <v>2906</v>
      </c>
      <c r="AH102" s="8">
        <f ca="1">IFERROR(__xludf.DUMMYFUNCTION("""COMPUTED_VALUE"""),2901)</f>
        <v>2901</v>
      </c>
      <c r="AI102" s="8">
        <f ca="1">IFERROR(__xludf.DUMMYFUNCTION("""COMPUTED_VALUE"""),3337)</f>
        <v>3337</v>
      </c>
      <c r="AJ102" s="8">
        <f ca="1">IFERROR(__xludf.DUMMYFUNCTION("""COMPUTED_VALUE"""),1296)</f>
        <v>1296</v>
      </c>
      <c r="AK102" s="8">
        <f ca="1">IFERROR(__xludf.DUMMYFUNCTION("""COMPUTED_VALUE"""),1512)</f>
        <v>1512</v>
      </c>
      <c r="AL102" s="8">
        <f ca="1">IFERROR(__xludf.DUMMYFUNCTION("""COMPUTED_VALUE"""),2069)</f>
        <v>2069</v>
      </c>
      <c r="AM102" s="8">
        <f ca="1">IFERROR(__xludf.DUMMYFUNCTION("""COMPUTED_VALUE"""),3458)</f>
        <v>3458</v>
      </c>
      <c r="AN102" s="8">
        <f ca="1">IFERROR(__xludf.DUMMYFUNCTION("""COMPUTED_VALUE"""),2550)</f>
        <v>2550</v>
      </c>
      <c r="AO102" s="8">
        <f ca="1">IFERROR(__xludf.DUMMYFUNCTION("""COMPUTED_VALUE"""),2150)</f>
        <v>2150</v>
      </c>
      <c r="AP102" s="8"/>
      <c r="AQ102" s="8"/>
      <c r="AR102" s="8"/>
      <c r="AS102" s="8"/>
      <c r="AT102" s="8"/>
      <c r="AU102" s="8"/>
      <c r="AV102" s="8"/>
      <c r="AW102" s="8"/>
      <c r="AX102" s="8"/>
      <c r="AY102" s="8"/>
    </row>
    <row r="103" spans="1:51" ht="13.2" x14ac:dyDescent="0.25">
      <c r="A103" s="11" t="str">
        <f ca="1">IFERROR(__xludf.DUMMYFUNCTION("""COMPUTED_VALUE"""),"                  left Basolateral amygdalar nucleus, posterior part")</f>
        <v xml:space="preserve">                  left Basolateral amygdalar nucleus, posterior part</v>
      </c>
      <c r="B103" s="12">
        <f ca="1">IFERROR(__xludf.DUMMYFUNCTION("""COMPUTED_VALUE"""),898)</f>
        <v>898</v>
      </c>
      <c r="C103" s="12">
        <f ca="1">IFERROR(__xludf.DUMMYFUNCTION("""COMPUTED_VALUE"""),3398)</f>
        <v>3398</v>
      </c>
      <c r="D103" s="12">
        <f ca="1">IFERROR(__xludf.DUMMYFUNCTION("""COMPUTED_VALUE"""),2413)</f>
        <v>2413</v>
      </c>
      <c r="E103" s="12">
        <f ca="1">IFERROR(__xludf.DUMMYFUNCTION("""COMPUTED_VALUE"""),2184)</f>
        <v>2184</v>
      </c>
      <c r="F103" s="12">
        <f ca="1">IFERROR(__xludf.DUMMYFUNCTION("""COMPUTED_VALUE"""),3516)</f>
        <v>3516</v>
      </c>
      <c r="G103" s="12">
        <f ca="1">IFERROR(__xludf.DUMMYFUNCTION("""COMPUTED_VALUE"""),1768)</f>
        <v>1768</v>
      </c>
      <c r="H103" s="12">
        <f ca="1">IFERROR(__xludf.DUMMYFUNCTION("""COMPUTED_VALUE"""),2363)</f>
        <v>2363</v>
      </c>
      <c r="I103" s="12">
        <f ca="1">IFERROR(__xludf.DUMMYFUNCTION("""COMPUTED_VALUE"""),810)</f>
        <v>810</v>
      </c>
      <c r="J103" s="12">
        <f ca="1">IFERROR(__xludf.DUMMYFUNCTION("""COMPUTED_VALUE"""),852)</f>
        <v>852</v>
      </c>
      <c r="K103" s="12">
        <f ca="1">IFERROR(__xludf.DUMMYFUNCTION("""COMPUTED_VALUE"""),1047)</f>
        <v>1047</v>
      </c>
      <c r="L103" s="12">
        <f ca="1">IFERROR(__xludf.DUMMYFUNCTION("""COMPUTED_VALUE"""),1659)</f>
        <v>1659</v>
      </c>
      <c r="M103" s="12">
        <f ca="1">IFERROR(__xludf.DUMMYFUNCTION("""COMPUTED_VALUE"""),1416)</f>
        <v>1416</v>
      </c>
      <c r="N103" s="12">
        <f ca="1">IFERROR(__xludf.DUMMYFUNCTION("""COMPUTED_VALUE"""),1599)</f>
        <v>1599</v>
      </c>
      <c r="O103" s="12">
        <f ca="1">IFERROR(__xludf.DUMMYFUNCTION("""COMPUTED_VALUE"""),733)</f>
        <v>733</v>
      </c>
      <c r="P103" s="12">
        <f ca="1">IFERROR(__xludf.DUMMYFUNCTION("""COMPUTED_VALUE"""),345)</f>
        <v>345</v>
      </c>
      <c r="Q103" s="12">
        <f ca="1">IFERROR(__xludf.DUMMYFUNCTION("""COMPUTED_VALUE"""),1450)</f>
        <v>1450</v>
      </c>
      <c r="R103" s="12">
        <f ca="1">IFERROR(__xludf.DUMMYFUNCTION("""COMPUTED_VALUE"""),1573)</f>
        <v>1573</v>
      </c>
      <c r="S103" s="12">
        <f ca="1">IFERROR(__xludf.DUMMYFUNCTION("""COMPUTED_VALUE"""),1093)</f>
        <v>1093</v>
      </c>
      <c r="T103" s="12">
        <f ca="1">IFERROR(__xludf.DUMMYFUNCTION("""COMPUTED_VALUE"""),2472)</f>
        <v>2472</v>
      </c>
      <c r="U103" s="12">
        <f ca="1">IFERROR(__xludf.DUMMYFUNCTION("""COMPUTED_VALUE"""),2759)</f>
        <v>2759</v>
      </c>
      <c r="V103" s="12">
        <f ca="1">IFERROR(__xludf.DUMMYFUNCTION("""COMPUTED_VALUE"""),2792)</f>
        <v>2792</v>
      </c>
      <c r="W103" s="12">
        <f ca="1">IFERROR(__xludf.DUMMYFUNCTION("""COMPUTED_VALUE"""),4231)</f>
        <v>4231</v>
      </c>
      <c r="X103" s="12">
        <f ca="1">IFERROR(__xludf.DUMMYFUNCTION("""COMPUTED_VALUE"""),4579)</f>
        <v>4579</v>
      </c>
      <c r="Y103" s="12">
        <f ca="1">IFERROR(__xludf.DUMMYFUNCTION("""COMPUTED_VALUE"""),3630)</f>
        <v>3630</v>
      </c>
      <c r="Z103" s="12">
        <f ca="1">IFERROR(__xludf.DUMMYFUNCTION("""COMPUTED_VALUE"""),4534)</f>
        <v>4534</v>
      </c>
      <c r="AA103" s="12">
        <f ca="1">IFERROR(__xludf.DUMMYFUNCTION("""COMPUTED_VALUE"""),4316)</f>
        <v>4316</v>
      </c>
      <c r="AB103" s="12">
        <f ca="1">IFERROR(__xludf.DUMMYFUNCTION("""COMPUTED_VALUE"""),2051)</f>
        <v>2051</v>
      </c>
      <c r="AC103" s="12">
        <f ca="1">IFERROR(__xludf.DUMMYFUNCTION("""COMPUTED_VALUE"""),1923)</f>
        <v>1923</v>
      </c>
      <c r="AD103" s="12">
        <f ca="1">IFERROR(__xludf.DUMMYFUNCTION("""COMPUTED_VALUE"""),2457)</f>
        <v>2457</v>
      </c>
      <c r="AE103" s="12">
        <f ca="1">IFERROR(__xludf.DUMMYFUNCTION("""COMPUTED_VALUE"""),2175)</f>
        <v>2175</v>
      </c>
      <c r="AF103" s="8">
        <f ca="1">IFERROR(__xludf.DUMMYFUNCTION("""COMPUTED_VALUE"""),4216)</f>
        <v>4216</v>
      </c>
      <c r="AG103" s="8">
        <f ca="1">IFERROR(__xludf.DUMMYFUNCTION("""COMPUTED_VALUE"""),2160)</f>
        <v>2160</v>
      </c>
      <c r="AH103" s="8">
        <f ca="1">IFERROR(__xludf.DUMMYFUNCTION("""COMPUTED_VALUE"""),3177)</f>
        <v>3177</v>
      </c>
      <c r="AI103" s="8">
        <f ca="1">IFERROR(__xludf.DUMMYFUNCTION("""COMPUTED_VALUE"""),2938)</f>
        <v>2938</v>
      </c>
      <c r="AJ103" s="8">
        <f ca="1">IFERROR(__xludf.DUMMYFUNCTION("""COMPUTED_VALUE"""),1156)</f>
        <v>1156</v>
      </c>
      <c r="AK103" s="8">
        <f ca="1">IFERROR(__xludf.DUMMYFUNCTION("""COMPUTED_VALUE"""),1521)</f>
        <v>1521</v>
      </c>
      <c r="AL103" s="8">
        <f ca="1">IFERROR(__xludf.DUMMYFUNCTION("""COMPUTED_VALUE"""),1357)</f>
        <v>1357</v>
      </c>
      <c r="AM103" s="8">
        <f ca="1">IFERROR(__xludf.DUMMYFUNCTION("""COMPUTED_VALUE"""),2023)</f>
        <v>2023</v>
      </c>
      <c r="AN103" s="8">
        <f ca="1">IFERROR(__xludf.DUMMYFUNCTION("""COMPUTED_VALUE"""),2492)</f>
        <v>2492</v>
      </c>
      <c r="AO103" s="8">
        <f ca="1">IFERROR(__xludf.DUMMYFUNCTION("""COMPUTED_VALUE"""),2047)</f>
        <v>2047</v>
      </c>
      <c r="AP103" s="8"/>
      <c r="AQ103" s="8"/>
      <c r="AR103" s="8"/>
      <c r="AS103" s="8"/>
      <c r="AT103" s="8"/>
      <c r="AU103" s="8"/>
      <c r="AV103" s="8"/>
      <c r="AW103" s="8"/>
      <c r="AX103" s="8"/>
      <c r="AY103" s="8"/>
    </row>
    <row r="104" spans="1:51" ht="13.2" x14ac:dyDescent="0.25">
      <c r="A104" s="11" t="str">
        <f ca="1">IFERROR(__xludf.DUMMYFUNCTION("""COMPUTED_VALUE"""),"                  left Basolateral amygdalar nucleus, ventral part")</f>
        <v xml:space="preserve">                  left Basolateral amygdalar nucleus, ventral part</v>
      </c>
      <c r="B104" s="12">
        <f ca="1">IFERROR(__xludf.DUMMYFUNCTION("""COMPUTED_VALUE"""),574)</f>
        <v>574</v>
      </c>
      <c r="C104" s="12">
        <f ca="1">IFERROR(__xludf.DUMMYFUNCTION("""COMPUTED_VALUE"""),1060)</f>
        <v>1060</v>
      </c>
      <c r="D104" s="12">
        <f ca="1">IFERROR(__xludf.DUMMYFUNCTION("""COMPUTED_VALUE"""),1186)</f>
        <v>1186</v>
      </c>
      <c r="E104" s="12">
        <f ca="1">IFERROR(__xludf.DUMMYFUNCTION("""COMPUTED_VALUE"""),1290)</f>
        <v>1290</v>
      </c>
      <c r="F104" s="12">
        <f ca="1">IFERROR(__xludf.DUMMYFUNCTION("""COMPUTED_VALUE"""),612)</f>
        <v>612</v>
      </c>
      <c r="G104" s="12">
        <f ca="1">IFERROR(__xludf.DUMMYFUNCTION("""COMPUTED_VALUE"""),711)</f>
        <v>711</v>
      </c>
      <c r="H104" s="12">
        <f ca="1">IFERROR(__xludf.DUMMYFUNCTION("""COMPUTED_VALUE"""),942)</f>
        <v>942</v>
      </c>
      <c r="I104" s="12">
        <f ca="1">IFERROR(__xludf.DUMMYFUNCTION("""COMPUTED_VALUE"""),176)</f>
        <v>176</v>
      </c>
      <c r="J104" s="12">
        <f ca="1">IFERROR(__xludf.DUMMYFUNCTION("""COMPUTED_VALUE"""),233)</f>
        <v>233</v>
      </c>
      <c r="K104" s="12">
        <f ca="1">IFERROR(__xludf.DUMMYFUNCTION("""COMPUTED_VALUE"""),320)</f>
        <v>320</v>
      </c>
      <c r="L104" s="12">
        <f ca="1">IFERROR(__xludf.DUMMYFUNCTION("""COMPUTED_VALUE"""),501)</f>
        <v>501</v>
      </c>
      <c r="M104" s="12">
        <f ca="1">IFERROR(__xludf.DUMMYFUNCTION("""COMPUTED_VALUE"""),390)</f>
        <v>390</v>
      </c>
      <c r="N104" s="12">
        <f ca="1">IFERROR(__xludf.DUMMYFUNCTION("""COMPUTED_VALUE"""),562)</f>
        <v>562</v>
      </c>
      <c r="O104" s="12">
        <f ca="1">IFERROR(__xludf.DUMMYFUNCTION("""COMPUTED_VALUE"""),639)</f>
        <v>639</v>
      </c>
      <c r="P104" s="12">
        <f ca="1">IFERROR(__xludf.DUMMYFUNCTION("""COMPUTED_VALUE"""),145)</f>
        <v>145</v>
      </c>
      <c r="Q104" s="12">
        <f ca="1">IFERROR(__xludf.DUMMYFUNCTION("""COMPUTED_VALUE"""),829)</f>
        <v>829</v>
      </c>
      <c r="R104" s="12">
        <f ca="1">IFERROR(__xludf.DUMMYFUNCTION("""COMPUTED_VALUE"""),667)</f>
        <v>667</v>
      </c>
      <c r="S104" s="12">
        <f ca="1">IFERROR(__xludf.DUMMYFUNCTION("""COMPUTED_VALUE"""),599)</f>
        <v>599</v>
      </c>
      <c r="T104" s="12">
        <f ca="1">IFERROR(__xludf.DUMMYFUNCTION("""COMPUTED_VALUE"""),1177)</f>
        <v>1177</v>
      </c>
      <c r="U104" s="12">
        <f ca="1">IFERROR(__xludf.DUMMYFUNCTION("""COMPUTED_VALUE"""),467)</f>
        <v>467</v>
      </c>
      <c r="V104" s="12">
        <f ca="1">IFERROR(__xludf.DUMMYFUNCTION("""COMPUTED_VALUE"""),913)</f>
        <v>913</v>
      </c>
      <c r="W104" s="12">
        <f ca="1">IFERROR(__xludf.DUMMYFUNCTION("""COMPUTED_VALUE"""),1705)</f>
        <v>1705</v>
      </c>
      <c r="X104" s="12">
        <f ca="1">IFERROR(__xludf.DUMMYFUNCTION("""COMPUTED_VALUE"""),1445)</f>
        <v>1445</v>
      </c>
      <c r="Y104" s="12">
        <f ca="1">IFERROR(__xludf.DUMMYFUNCTION("""COMPUTED_VALUE"""),948)</f>
        <v>948</v>
      </c>
      <c r="Z104" s="12">
        <f ca="1">IFERROR(__xludf.DUMMYFUNCTION("""COMPUTED_VALUE"""),551)</f>
        <v>551</v>
      </c>
      <c r="AA104" s="12">
        <f ca="1">IFERROR(__xludf.DUMMYFUNCTION("""COMPUTED_VALUE"""),1200)</f>
        <v>1200</v>
      </c>
      <c r="AB104" s="12">
        <f ca="1">IFERROR(__xludf.DUMMYFUNCTION("""COMPUTED_VALUE"""),489)</f>
        <v>489</v>
      </c>
      <c r="AC104" s="12">
        <f ca="1">IFERROR(__xludf.DUMMYFUNCTION("""COMPUTED_VALUE"""),757)</f>
        <v>757</v>
      </c>
      <c r="AD104" s="12">
        <f ca="1">IFERROR(__xludf.DUMMYFUNCTION("""COMPUTED_VALUE"""),373)</f>
        <v>373</v>
      </c>
      <c r="AE104" s="12">
        <f ca="1">IFERROR(__xludf.DUMMYFUNCTION("""COMPUTED_VALUE"""),812)</f>
        <v>812</v>
      </c>
      <c r="AF104" s="8">
        <f ca="1">IFERROR(__xludf.DUMMYFUNCTION("""COMPUTED_VALUE"""),1027)</f>
        <v>1027</v>
      </c>
      <c r="AG104" s="8">
        <f ca="1">IFERROR(__xludf.DUMMYFUNCTION("""COMPUTED_VALUE"""),812)</f>
        <v>812</v>
      </c>
      <c r="AH104" s="8">
        <f ca="1">IFERROR(__xludf.DUMMYFUNCTION("""COMPUTED_VALUE"""),754)</f>
        <v>754</v>
      </c>
      <c r="AI104" s="8">
        <f ca="1">IFERROR(__xludf.DUMMYFUNCTION("""COMPUTED_VALUE"""),591)</f>
        <v>591</v>
      </c>
      <c r="AJ104" s="8">
        <f ca="1">IFERROR(__xludf.DUMMYFUNCTION("""COMPUTED_VALUE"""),469)</f>
        <v>469</v>
      </c>
      <c r="AK104" s="8">
        <f ca="1">IFERROR(__xludf.DUMMYFUNCTION("""COMPUTED_VALUE"""),750)</f>
        <v>750</v>
      </c>
      <c r="AL104" s="8">
        <f ca="1">IFERROR(__xludf.DUMMYFUNCTION("""COMPUTED_VALUE"""),210)</f>
        <v>210</v>
      </c>
      <c r="AM104" s="8">
        <f ca="1">IFERROR(__xludf.DUMMYFUNCTION("""COMPUTED_VALUE"""),484)</f>
        <v>484</v>
      </c>
      <c r="AN104" s="8">
        <f ca="1">IFERROR(__xludf.DUMMYFUNCTION("""COMPUTED_VALUE"""),913)</f>
        <v>913</v>
      </c>
      <c r="AO104" s="8">
        <f ca="1">IFERROR(__xludf.DUMMYFUNCTION("""COMPUTED_VALUE"""),939)</f>
        <v>939</v>
      </c>
      <c r="AP104" s="8"/>
      <c r="AQ104" s="8"/>
      <c r="AR104" s="8"/>
      <c r="AS104" s="8"/>
      <c r="AT104" s="8"/>
      <c r="AU104" s="8"/>
      <c r="AV104" s="8"/>
      <c r="AW104" s="8"/>
      <c r="AX104" s="8"/>
      <c r="AY104" s="8"/>
    </row>
    <row r="105" spans="1:51" ht="13.2" x14ac:dyDescent="0.25">
      <c r="A105" s="11" t="str">
        <f ca="1">IFERROR(__xludf.DUMMYFUNCTION("""COMPUTED_VALUE"""),"               left Basomedial amygdalar nucleus")</f>
        <v xml:space="preserve">               left Basomedial amygdalar nucleus</v>
      </c>
      <c r="B105" s="12">
        <f ca="1">IFERROR(__xludf.DUMMYFUNCTION("""COMPUTED_VALUE"""),3423)</f>
        <v>3423</v>
      </c>
      <c r="C105" s="12">
        <f ca="1">IFERROR(__xludf.DUMMYFUNCTION("""COMPUTED_VALUE"""),8224)</f>
        <v>8224</v>
      </c>
      <c r="D105" s="12">
        <f ca="1">IFERROR(__xludf.DUMMYFUNCTION("""COMPUTED_VALUE"""),8128)</f>
        <v>8128</v>
      </c>
      <c r="E105" s="12">
        <f ca="1">IFERROR(__xludf.DUMMYFUNCTION("""COMPUTED_VALUE"""),8345)</f>
        <v>8345</v>
      </c>
      <c r="F105" s="12">
        <f ca="1">IFERROR(__xludf.DUMMYFUNCTION("""COMPUTED_VALUE"""),5391)</f>
        <v>5391</v>
      </c>
      <c r="G105" s="12">
        <f ca="1">IFERROR(__xludf.DUMMYFUNCTION("""COMPUTED_VALUE"""),3767)</f>
        <v>3767</v>
      </c>
      <c r="H105" s="12">
        <f ca="1">IFERROR(__xludf.DUMMYFUNCTION("""COMPUTED_VALUE"""),3649)</f>
        <v>3649</v>
      </c>
      <c r="I105" s="12">
        <f ca="1">IFERROR(__xludf.DUMMYFUNCTION("""COMPUTED_VALUE"""),1787)</f>
        <v>1787</v>
      </c>
      <c r="J105" s="12">
        <f ca="1">IFERROR(__xludf.DUMMYFUNCTION("""COMPUTED_VALUE"""),3135)</f>
        <v>3135</v>
      </c>
      <c r="K105" s="12">
        <f ca="1">IFERROR(__xludf.DUMMYFUNCTION("""COMPUTED_VALUE"""),4858)</f>
        <v>4858</v>
      </c>
      <c r="L105" s="12">
        <f ca="1">IFERROR(__xludf.DUMMYFUNCTION("""COMPUTED_VALUE"""),4617)</f>
        <v>4617</v>
      </c>
      <c r="M105" s="12">
        <f ca="1">IFERROR(__xludf.DUMMYFUNCTION("""COMPUTED_VALUE"""),4634)</f>
        <v>4634</v>
      </c>
      <c r="N105" s="12">
        <f ca="1">IFERROR(__xludf.DUMMYFUNCTION("""COMPUTED_VALUE"""),2372)</f>
        <v>2372</v>
      </c>
      <c r="O105" s="12">
        <f ca="1">IFERROR(__xludf.DUMMYFUNCTION("""COMPUTED_VALUE"""),5370)</f>
        <v>5370</v>
      </c>
      <c r="P105" s="12">
        <f ca="1">IFERROR(__xludf.DUMMYFUNCTION("""COMPUTED_VALUE"""),1028)</f>
        <v>1028</v>
      </c>
      <c r="Q105" s="12">
        <f ca="1">IFERROR(__xludf.DUMMYFUNCTION("""COMPUTED_VALUE"""),3477)</f>
        <v>3477</v>
      </c>
      <c r="R105" s="12">
        <f ca="1">IFERROR(__xludf.DUMMYFUNCTION("""COMPUTED_VALUE"""),2347)</f>
        <v>2347</v>
      </c>
      <c r="S105" s="12">
        <f ca="1">IFERROR(__xludf.DUMMYFUNCTION("""COMPUTED_VALUE"""),2772)</f>
        <v>2772</v>
      </c>
      <c r="T105" s="12">
        <f ca="1">IFERROR(__xludf.DUMMYFUNCTION("""COMPUTED_VALUE"""),7949)</f>
        <v>7949</v>
      </c>
      <c r="U105" s="12">
        <f ca="1">IFERROR(__xludf.DUMMYFUNCTION("""COMPUTED_VALUE"""),3699)</f>
        <v>3699</v>
      </c>
      <c r="V105" s="12">
        <f ca="1">IFERROR(__xludf.DUMMYFUNCTION("""COMPUTED_VALUE"""),5408)</f>
        <v>5408</v>
      </c>
      <c r="W105" s="12">
        <f ca="1">IFERROR(__xludf.DUMMYFUNCTION("""COMPUTED_VALUE"""),8732)</f>
        <v>8732</v>
      </c>
      <c r="X105" s="12">
        <f ca="1">IFERROR(__xludf.DUMMYFUNCTION("""COMPUTED_VALUE"""),8237)</f>
        <v>8237</v>
      </c>
      <c r="Y105" s="12">
        <f ca="1">IFERROR(__xludf.DUMMYFUNCTION("""COMPUTED_VALUE"""),5905)</f>
        <v>5905</v>
      </c>
      <c r="Z105" s="12">
        <f ca="1">IFERROR(__xludf.DUMMYFUNCTION("""COMPUTED_VALUE"""),9164)</f>
        <v>9164</v>
      </c>
      <c r="AA105" s="12">
        <f ca="1">IFERROR(__xludf.DUMMYFUNCTION("""COMPUTED_VALUE"""),8258)</f>
        <v>8258</v>
      </c>
      <c r="AB105" s="12">
        <f ca="1">IFERROR(__xludf.DUMMYFUNCTION("""COMPUTED_VALUE"""),4935)</f>
        <v>4935</v>
      </c>
      <c r="AC105" s="12">
        <f ca="1">IFERROR(__xludf.DUMMYFUNCTION("""COMPUTED_VALUE"""),3876)</f>
        <v>3876</v>
      </c>
      <c r="AD105" s="12">
        <f ca="1">IFERROR(__xludf.DUMMYFUNCTION("""COMPUTED_VALUE"""),5020)</f>
        <v>5020</v>
      </c>
      <c r="AE105" s="12">
        <f ca="1">IFERROR(__xludf.DUMMYFUNCTION("""COMPUTED_VALUE"""),6538)</f>
        <v>6538</v>
      </c>
      <c r="AF105" s="8">
        <f ca="1">IFERROR(__xludf.DUMMYFUNCTION("""COMPUTED_VALUE"""),9287)</f>
        <v>9287</v>
      </c>
      <c r="AG105" s="8">
        <f ca="1">IFERROR(__xludf.DUMMYFUNCTION("""COMPUTED_VALUE"""),5078)</f>
        <v>5078</v>
      </c>
      <c r="AH105" s="8">
        <f ca="1">IFERROR(__xludf.DUMMYFUNCTION("""COMPUTED_VALUE"""),4197)</f>
        <v>4197</v>
      </c>
      <c r="AI105" s="8">
        <f ca="1">IFERROR(__xludf.DUMMYFUNCTION("""COMPUTED_VALUE"""),3901)</f>
        <v>3901</v>
      </c>
      <c r="AJ105" s="8">
        <f ca="1">IFERROR(__xludf.DUMMYFUNCTION("""COMPUTED_VALUE"""),3487)</f>
        <v>3487</v>
      </c>
      <c r="AK105" s="8">
        <f ca="1">IFERROR(__xludf.DUMMYFUNCTION("""COMPUTED_VALUE"""),2303)</f>
        <v>2303</v>
      </c>
      <c r="AL105" s="8">
        <f ca="1">IFERROR(__xludf.DUMMYFUNCTION("""COMPUTED_VALUE"""),2439)</f>
        <v>2439</v>
      </c>
      <c r="AM105" s="8">
        <f ca="1">IFERROR(__xludf.DUMMYFUNCTION("""COMPUTED_VALUE"""),4126)</f>
        <v>4126</v>
      </c>
      <c r="AN105" s="8">
        <f ca="1">IFERROR(__xludf.DUMMYFUNCTION("""COMPUTED_VALUE"""),4277)</f>
        <v>4277</v>
      </c>
      <c r="AO105" s="8">
        <f ca="1">IFERROR(__xludf.DUMMYFUNCTION("""COMPUTED_VALUE"""),4929)</f>
        <v>4929</v>
      </c>
      <c r="AP105" s="8"/>
      <c r="AQ105" s="8"/>
      <c r="AR105" s="8"/>
      <c r="AS105" s="8"/>
      <c r="AT105" s="8"/>
      <c r="AU105" s="8"/>
      <c r="AV105" s="8"/>
      <c r="AW105" s="8"/>
      <c r="AX105" s="8"/>
      <c r="AY105" s="8"/>
    </row>
    <row r="106" spans="1:51" ht="13.2" x14ac:dyDescent="0.25">
      <c r="A106" s="11" t="str">
        <f ca="1">IFERROR(__xludf.DUMMYFUNCTION("""COMPUTED_VALUE"""),"                  left Basomedial amygdalar nucleus, anterior part")</f>
        <v xml:space="preserve">                  left Basomedial amygdalar nucleus, anterior part</v>
      </c>
      <c r="B106" s="12">
        <f ca="1">IFERROR(__xludf.DUMMYFUNCTION("""COMPUTED_VALUE"""),1397)</f>
        <v>1397</v>
      </c>
      <c r="C106" s="12">
        <f ca="1">IFERROR(__xludf.DUMMYFUNCTION("""COMPUTED_VALUE"""),3787)</f>
        <v>3787</v>
      </c>
      <c r="D106" s="12">
        <f ca="1">IFERROR(__xludf.DUMMYFUNCTION("""COMPUTED_VALUE"""),3507)</f>
        <v>3507</v>
      </c>
      <c r="E106" s="12">
        <f ca="1">IFERROR(__xludf.DUMMYFUNCTION("""COMPUTED_VALUE"""),4536)</f>
        <v>4536</v>
      </c>
      <c r="F106" s="12">
        <f ca="1">IFERROR(__xludf.DUMMYFUNCTION("""COMPUTED_VALUE"""),1414)</f>
        <v>1414</v>
      </c>
      <c r="G106" s="12">
        <f ca="1">IFERROR(__xludf.DUMMYFUNCTION("""COMPUTED_VALUE"""),1549)</f>
        <v>1549</v>
      </c>
      <c r="H106" s="12">
        <f ca="1">IFERROR(__xludf.DUMMYFUNCTION("""COMPUTED_VALUE"""),1376)</f>
        <v>1376</v>
      </c>
      <c r="I106" s="12">
        <f ca="1">IFERROR(__xludf.DUMMYFUNCTION("""COMPUTED_VALUE"""),551)</f>
        <v>551</v>
      </c>
      <c r="J106" s="12">
        <f ca="1">IFERROR(__xludf.DUMMYFUNCTION("""COMPUTED_VALUE"""),1275)</f>
        <v>1275</v>
      </c>
      <c r="K106" s="12">
        <f ca="1">IFERROR(__xludf.DUMMYFUNCTION("""COMPUTED_VALUE"""),3000)</f>
        <v>3000</v>
      </c>
      <c r="L106" s="12">
        <f ca="1">IFERROR(__xludf.DUMMYFUNCTION("""COMPUTED_VALUE"""),2178)</f>
        <v>2178</v>
      </c>
      <c r="M106" s="12">
        <f ca="1">IFERROR(__xludf.DUMMYFUNCTION("""COMPUTED_VALUE"""),3036)</f>
        <v>3036</v>
      </c>
      <c r="N106" s="12">
        <f ca="1">IFERROR(__xludf.DUMMYFUNCTION("""COMPUTED_VALUE"""),747)</f>
        <v>747</v>
      </c>
      <c r="O106" s="12">
        <f ca="1">IFERROR(__xludf.DUMMYFUNCTION("""COMPUTED_VALUE"""),3699)</f>
        <v>3699</v>
      </c>
      <c r="P106" s="12">
        <f ca="1">IFERROR(__xludf.DUMMYFUNCTION("""COMPUTED_VALUE"""),429)</f>
        <v>429</v>
      </c>
      <c r="Q106" s="12">
        <f ca="1">IFERROR(__xludf.DUMMYFUNCTION("""COMPUTED_VALUE"""),1289)</f>
        <v>1289</v>
      </c>
      <c r="R106" s="12">
        <f ca="1">IFERROR(__xludf.DUMMYFUNCTION("""COMPUTED_VALUE"""),701)</f>
        <v>701</v>
      </c>
      <c r="S106" s="12">
        <f ca="1">IFERROR(__xludf.DUMMYFUNCTION("""COMPUTED_VALUE"""),1345)</f>
        <v>1345</v>
      </c>
      <c r="T106" s="12">
        <f ca="1">IFERROR(__xludf.DUMMYFUNCTION("""COMPUTED_VALUE"""),3301)</f>
        <v>3301</v>
      </c>
      <c r="U106" s="12">
        <f ca="1">IFERROR(__xludf.DUMMYFUNCTION("""COMPUTED_VALUE"""),2159)</f>
        <v>2159</v>
      </c>
      <c r="V106" s="12">
        <f ca="1">IFERROR(__xludf.DUMMYFUNCTION("""COMPUTED_VALUE"""),2004)</f>
        <v>2004</v>
      </c>
      <c r="W106" s="12">
        <f ca="1">IFERROR(__xludf.DUMMYFUNCTION("""COMPUTED_VALUE"""),5277)</f>
        <v>5277</v>
      </c>
      <c r="X106" s="12">
        <f ca="1">IFERROR(__xludf.DUMMYFUNCTION("""COMPUTED_VALUE"""),4534)</f>
        <v>4534</v>
      </c>
      <c r="Y106" s="12">
        <f ca="1">IFERROR(__xludf.DUMMYFUNCTION("""COMPUTED_VALUE"""),2320)</f>
        <v>2320</v>
      </c>
      <c r="Z106" s="12">
        <f ca="1">IFERROR(__xludf.DUMMYFUNCTION("""COMPUTED_VALUE"""),3902)</f>
        <v>3902</v>
      </c>
      <c r="AA106" s="12">
        <f ca="1">IFERROR(__xludf.DUMMYFUNCTION("""COMPUTED_VALUE"""),3376)</f>
        <v>3376</v>
      </c>
      <c r="AB106" s="12">
        <f ca="1">IFERROR(__xludf.DUMMYFUNCTION("""COMPUTED_VALUE"""),2869)</f>
        <v>2869</v>
      </c>
      <c r="AC106" s="12">
        <f ca="1">IFERROR(__xludf.DUMMYFUNCTION("""COMPUTED_VALUE"""),1698)</f>
        <v>1698</v>
      </c>
      <c r="AD106" s="12">
        <f ca="1">IFERROR(__xludf.DUMMYFUNCTION("""COMPUTED_VALUE"""),3408)</f>
        <v>3408</v>
      </c>
      <c r="AE106" s="12">
        <f ca="1">IFERROR(__xludf.DUMMYFUNCTION("""COMPUTED_VALUE"""),3426)</f>
        <v>3426</v>
      </c>
      <c r="AF106" s="8">
        <f ca="1">IFERROR(__xludf.DUMMYFUNCTION("""COMPUTED_VALUE"""),4081)</f>
        <v>4081</v>
      </c>
      <c r="AG106" s="8">
        <f ca="1">IFERROR(__xludf.DUMMYFUNCTION("""COMPUTED_VALUE"""),2321)</f>
        <v>2321</v>
      </c>
      <c r="AH106" s="8">
        <f ca="1">IFERROR(__xludf.DUMMYFUNCTION("""COMPUTED_VALUE"""),1503)</f>
        <v>1503</v>
      </c>
      <c r="AI106" s="8">
        <f ca="1">IFERROR(__xludf.DUMMYFUNCTION("""COMPUTED_VALUE"""),1864)</f>
        <v>1864</v>
      </c>
      <c r="AJ106" s="8">
        <f ca="1">IFERROR(__xludf.DUMMYFUNCTION("""COMPUTED_VALUE"""),2205)</f>
        <v>2205</v>
      </c>
      <c r="AK106" s="8">
        <f ca="1">IFERROR(__xludf.DUMMYFUNCTION("""COMPUTED_VALUE"""),838)</f>
        <v>838</v>
      </c>
      <c r="AL106" s="8">
        <f ca="1">IFERROR(__xludf.DUMMYFUNCTION("""COMPUTED_VALUE"""),1065)</f>
        <v>1065</v>
      </c>
      <c r="AM106" s="8">
        <f ca="1">IFERROR(__xludf.DUMMYFUNCTION("""COMPUTED_VALUE"""),2175)</f>
        <v>2175</v>
      </c>
      <c r="AN106" s="8">
        <f ca="1">IFERROR(__xludf.DUMMYFUNCTION("""COMPUTED_VALUE"""),2227)</f>
        <v>2227</v>
      </c>
      <c r="AO106" s="8">
        <f ca="1">IFERROR(__xludf.DUMMYFUNCTION("""COMPUTED_VALUE"""),1917)</f>
        <v>1917</v>
      </c>
      <c r="AP106" s="8"/>
      <c r="AQ106" s="8"/>
      <c r="AR106" s="8"/>
      <c r="AS106" s="8"/>
      <c r="AT106" s="8"/>
      <c r="AU106" s="8"/>
      <c r="AV106" s="8"/>
      <c r="AW106" s="8"/>
      <c r="AX106" s="8"/>
      <c r="AY106" s="8"/>
    </row>
    <row r="107" spans="1:51" ht="13.2" x14ac:dyDescent="0.25">
      <c r="A107" s="11" t="str">
        <f ca="1">IFERROR(__xludf.DUMMYFUNCTION("""COMPUTED_VALUE"""),"                  left Basomedial amygdalar nucleus, posterior part")</f>
        <v xml:space="preserve">                  left Basomedial amygdalar nucleus, posterior part</v>
      </c>
      <c r="B107" s="12">
        <f ca="1">IFERROR(__xludf.DUMMYFUNCTION("""COMPUTED_VALUE"""),2026)</f>
        <v>2026</v>
      </c>
      <c r="C107" s="12">
        <f ca="1">IFERROR(__xludf.DUMMYFUNCTION("""COMPUTED_VALUE"""),4437)</f>
        <v>4437</v>
      </c>
      <c r="D107" s="12">
        <f ca="1">IFERROR(__xludf.DUMMYFUNCTION("""COMPUTED_VALUE"""),4621)</f>
        <v>4621</v>
      </c>
      <c r="E107" s="12">
        <f ca="1">IFERROR(__xludf.DUMMYFUNCTION("""COMPUTED_VALUE"""),3809)</f>
        <v>3809</v>
      </c>
      <c r="F107" s="12">
        <f ca="1">IFERROR(__xludf.DUMMYFUNCTION("""COMPUTED_VALUE"""),3977)</f>
        <v>3977</v>
      </c>
      <c r="G107" s="12">
        <f ca="1">IFERROR(__xludf.DUMMYFUNCTION("""COMPUTED_VALUE"""),2218)</f>
        <v>2218</v>
      </c>
      <c r="H107" s="12">
        <f ca="1">IFERROR(__xludf.DUMMYFUNCTION("""COMPUTED_VALUE"""),2273)</f>
        <v>2273</v>
      </c>
      <c r="I107" s="12">
        <f ca="1">IFERROR(__xludf.DUMMYFUNCTION("""COMPUTED_VALUE"""),1236)</f>
        <v>1236</v>
      </c>
      <c r="J107" s="12">
        <f ca="1">IFERROR(__xludf.DUMMYFUNCTION("""COMPUTED_VALUE"""),1860)</f>
        <v>1860</v>
      </c>
      <c r="K107" s="12">
        <f ca="1">IFERROR(__xludf.DUMMYFUNCTION("""COMPUTED_VALUE"""),1858)</f>
        <v>1858</v>
      </c>
      <c r="L107" s="12">
        <f ca="1">IFERROR(__xludf.DUMMYFUNCTION("""COMPUTED_VALUE"""),2439)</f>
        <v>2439</v>
      </c>
      <c r="M107" s="12">
        <f ca="1">IFERROR(__xludf.DUMMYFUNCTION("""COMPUTED_VALUE"""),1598)</f>
        <v>1598</v>
      </c>
      <c r="N107" s="12">
        <f ca="1">IFERROR(__xludf.DUMMYFUNCTION("""COMPUTED_VALUE"""),1625)</f>
        <v>1625</v>
      </c>
      <c r="O107" s="12">
        <f ca="1">IFERROR(__xludf.DUMMYFUNCTION("""COMPUTED_VALUE"""),1671)</f>
        <v>1671</v>
      </c>
      <c r="P107" s="12">
        <f ca="1">IFERROR(__xludf.DUMMYFUNCTION("""COMPUTED_VALUE"""),599)</f>
        <v>599</v>
      </c>
      <c r="Q107" s="12">
        <f ca="1">IFERROR(__xludf.DUMMYFUNCTION("""COMPUTED_VALUE"""),2188)</f>
        <v>2188</v>
      </c>
      <c r="R107" s="12">
        <f ca="1">IFERROR(__xludf.DUMMYFUNCTION("""COMPUTED_VALUE"""),1646)</f>
        <v>1646</v>
      </c>
      <c r="S107" s="12">
        <f ca="1">IFERROR(__xludf.DUMMYFUNCTION("""COMPUTED_VALUE"""),1427)</f>
        <v>1427</v>
      </c>
      <c r="T107" s="12">
        <f ca="1">IFERROR(__xludf.DUMMYFUNCTION("""COMPUTED_VALUE"""),4648)</f>
        <v>4648</v>
      </c>
      <c r="U107" s="12">
        <f ca="1">IFERROR(__xludf.DUMMYFUNCTION("""COMPUTED_VALUE"""),1540)</f>
        <v>1540</v>
      </c>
      <c r="V107" s="12">
        <f ca="1">IFERROR(__xludf.DUMMYFUNCTION("""COMPUTED_VALUE"""),3404)</f>
        <v>3404</v>
      </c>
      <c r="W107" s="12">
        <f ca="1">IFERROR(__xludf.DUMMYFUNCTION("""COMPUTED_VALUE"""),3455)</f>
        <v>3455</v>
      </c>
      <c r="X107" s="12">
        <f ca="1">IFERROR(__xludf.DUMMYFUNCTION("""COMPUTED_VALUE"""),3703)</f>
        <v>3703</v>
      </c>
      <c r="Y107" s="12">
        <f ca="1">IFERROR(__xludf.DUMMYFUNCTION("""COMPUTED_VALUE"""),3585)</f>
        <v>3585</v>
      </c>
      <c r="Z107" s="12">
        <f ca="1">IFERROR(__xludf.DUMMYFUNCTION("""COMPUTED_VALUE"""),5262)</f>
        <v>5262</v>
      </c>
      <c r="AA107" s="12">
        <f ca="1">IFERROR(__xludf.DUMMYFUNCTION("""COMPUTED_VALUE"""),4882)</f>
        <v>4882</v>
      </c>
      <c r="AB107" s="12">
        <f ca="1">IFERROR(__xludf.DUMMYFUNCTION("""COMPUTED_VALUE"""),2066)</f>
        <v>2066</v>
      </c>
      <c r="AC107" s="12">
        <f ca="1">IFERROR(__xludf.DUMMYFUNCTION("""COMPUTED_VALUE"""),2178)</f>
        <v>2178</v>
      </c>
      <c r="AD107" s="12">
        <f ca="1">IFERROR(__xludf.DUMMYFUNCTION("""COMPUTED_VALUE"""),1612)</f>
        <v>1612</v>
      </c>
      <c r="AE107" s="12">
        <f ca="1">IFERROR(__xludf.DUMMYFUNCTION("""COMPUTED_VALUE"""),3112)</f>
        <v>3112</v>
      </c>
      <c r="AF107" s="8">
        <f ca="1">IFERROR(__xludf.DUMMYFUNCTION("""COMPUTED_VALUE"""),5206)</f>
        <v>5206</v>
      </c>
      <c r="AG107" s="8">
        <f ca="1">IFERROR(__xludf.DUMMYFUNCTION("""COMPUTED_VALUE"""),2757)</f>
        <v>2757</v>
      </c>
      <c r="AH107" s="8">
        <f ca="1">IFERROR(__xludf.DUMMYFUNCTION("""COMPUTED_VALUE"""),2694)</f>
        <v>2694</v>
      </c>
      <c r="AI107" s="8">
        <f ca="1">IFERROR(__xludf.DUMMYFUNCTION("""COMPUTED_VALUE"""),2037)</f>
        <v>2037</v>
      </c>
      <c r="AJ107" s="8">
        <f ca="1">IFERROR(__xludf.DUMMYFUNCTION("""COMPUTED_VALUE"""),1282)</f>
        <v>1282</v>
      </c>
      <c r="AK107" s="8">
        <f ca="1">IFERROR(__xludf.DUMMYFUNCTION("""COMPUTED_VALUE"""),1465)</f>
        <v>1465</v>
      </c>
      <c r="AL107" s="8">
        <f ca="1">IFERROR(__xludf.DUMMYFUNCTION("""COMPUTED_VALUE"""),1374)</f>
        <v>1374</v>
      </c>
      <c r="AM107" s="8">
        <f ca="1">IFERROR(__xludf.DUMMYFUNCTION("""COMPUTED_VALUE"""),1951)</f>
        <v>1951</v>
      </c>
      <c r="AN107" s="8">
        <f ca="1">IFERROR(__xludf.DUMMYFUNCTION("""COMPUTED_VALUE"""),2050)</f>
        <v>2050</v>
      </c>
      <c r="AO107" s="8">
        <f ca="1">IFERROR(__xludf.DUMMYFUNCTION("""COMPUTED_VALUE"""),3012)</f>
        <v>3012</v>
      </c>
      <c r="AP107" s="8"/>
      <c r="AQ107" s="8"/>
      <c r="AR107" s="8"/>
      <c r="AS107" s="8"/>
      <c r="AT107" s="8"/>
      <c r="AU107" s="8"/>
      <c r="AV107" s="8"/>
      <c r="AW107" s="8"/>
      <c r="AX107" s="8"/>
      <c r="AY107" s="8"/>
    </row>
    <row r="108" spans="1:51" ht="13.2" x14ac:dyDescent="0.25">
      <c r="A108" s="11" t="str">
        <f ca="1">IFERROR(__xludf.DUMMYFUNCTION("""COMPUTED_VALUE"""),"               left Posterior amygdalar nucleus")</f>
        <v xml:space="preserve">               left Posterior amygdalar nucleus</v>
      </c>
      <c r="B108" s="12">
        <f ca="1">IFERROR(__xludf.DUMMYFUNCTION("""COMPUTED_VALUE"""),867)</f>
        <v>867</v>
      </c>
      <c r="C108" s="12">
        <f ca="1">IFERROR(__xludf.DUMMYFUNCTION("""COMPUTED_VALUE"""),3611)</f>
        <v>3611</v>
      </c>
      <c r="D108" s="12">
        <f ca="1">IFERROR(__xludf.DUMMYFUNCTION("""COMPUTED_VALUE"""),3504)</f>
        <v>3504</v>
      </c>
      <c r="E108" s="12">
        <f ca="1">IFERROR(__xludf.DUMMYFUNCTION("""COMPUTED_VALUE"""),3109)</f>
        <v>3109</v>
      </c>
      <c r="F108" s="12">
        <f ca="1">IFERROR(__xludf.DUMMYFUNCTION("""COMPUTED_VALUE"""),2824)</f>
        <v>2824</v>
      </c>
      <c r="G108" s="12">
        <f ca="1">IFERROR(__xludf.DUMMYFUNCTION("""COMPUTED_VALUE"""),1346)</f>
        <v>1346</v>
      </c>
      <c r="H108" s="12">
        <f ca="1">IFERROR(__xludf.DUMMYFUNCTION("""COMPUTED_VALUE"""),1316)</f>
        <v>1316</v>
      </c>
      <c r="I108" s="12">
        <f ca="1">IFERROR(__xludf.DUMMYFUNCTION("""COMPUTED_VALUE"""),730)</f>
        <v>730</v>
      </c>
      <c r="J108" s="12">
        <f ca="1">IFERROR(__xludf.DUMMYFUNCTION("""COMPUTED_VALUE"""),1298)</f>
        <v>1298</v>
      </c>
      <c r="K108" s="12">
        <f ca="1">IFERROR(__xludf.DUMMYFUNCTION("""COMPUTED_VALUE"""),2033)</f>
        <v>2033</v>
      </c>
      <c r="L108" s="12">
        <f ca="1">IFERROR(__xludf.DUMMYFUNCTION("""COMPUTED_VALUE"""),2419)</f>
        <v>2419</v>
      </c>
      <c r="M108" s="12">
        <f ca="1">IFERROR(__xludf.DUMMYFUNCTION("""COMPUTED_VALUE"""),2172)</f>
        <v>2172</v>
      </c>
      <c r="N108" s="12">
        <f ca="1">IFERROR(__xludf.DUMMYFUNCTION("""COMPUTED_VALUE"""),1847)</f>
        <v>1847</v>
      </c>
      <c r="O108" s="12">
        <f ca="1">IFERROR(__xludf.DUMMYFUNCTION("""COMPUTED_VALUE"""),1084)</f>
        <v>1084</v>
      </c>
      <c r="P108" s="12">
        <f ca="1">IFERROR(__xludf.DUMMYFUNCTION("""COMPUTED_VALUE"""),535)</f>
        <v>535</v>
      </c>
      <c r="Q108" s="12">
        <f ca="1">IFERROR(__xludf.DUMMYFUNCTION("""COMPUTED_VALUE"""),2275)</f>
        <v>2275</v>
      </c>
      <c r="R108" s="12">
        <f ca="1">IFERROR(__xludf.DUMMYFUNCTION("""COMPUTED_VALUE"""),797)</f>
        <v>797</v>
      </c>
      <c r="S108" s="12">
        <f ca="1">IFERROR(__xludf.DUMMYFUNCTION("""COMPUTED_VALUE"""),1457)</f>
        <v>1457</v>
      </c>
      <c r="T108" s="12">
        <f ca="1">IFERROR(__xludf.DUMMYFUNCTION("""COMPUTED_VALUE"""),3318)</f>
        <v>3318</v>
      </c>
      <c r="U108" s="12">
        <f ca="1">IFERROR(__xludf.DUMMYFUNCTION("""COMPUTED_VALUE"""),1973)</f>
        <v>1973</v>
      </c>
      <c r="V108" s="12">
        <f ca="1">IFERROR(__xludf.DUMMYFUNCTION("""COMPUTED_VALUE"""),4738)</f>
        <v>4738</v>
      </c>
      <c r="W108" s="12">
        <f ca="1">IFERROR(__xludf.DUMMYFUNCTION("""COMPUTED_VALUE"""),5559)</f>
        <v>5559</v>
      </c>
      <c r="X108" s="12">
        <f ca="1">IFERROR(__xludf.DUMMYFUNCTION("""COMPUTED_VALUE"""),4865)</f>
        <v>4865</v>
      </c>
      <c r="Y108" s="12">
        <f ca="1">IFERROR(__xludf.DUMMYFUNCTION("""COMPUTED_VALUE"""),4022)</f>
        <v>4022</v>
      </c>
      <c r="Z108" s="12">
        <f ca="1">IFERROR(__xludf.DUMMYFUNCTION("""COMPUTED_VALUE"""),6439)</f>
        <v>6439</v>
      </c>
      <c r="AA108" s="12">
        <f ca="1">IFERROR(__xludf.DUMMYFUNCTION("""COMPUTED_VALUE"""),4924)</f>
        <v>4924</v>
      </c>
      <c r="AB108" s="12">
        <f ca="1">IFERROR(__xludf.DUMMYFUNCTION("""COMPUTED_VALUE"""),3636)</f>
        <v>3636</v>
      </c>
      <c r="AC108" s="12">
        <f ca="1">IFERROR(__xludf.DUMMYFUNCTION("""COMPUTED_VALUE"""),1905)</f>
        <v>1905</v>
      </c>
      <c r="AD108" s="12">
        <f ca="1">IFERROR(__xludf.DUMMYFUNCTION("""COMPUTED_VALUE"""),2999)</f>
        <v>2999</v>
      </c>
      <c r="AE108" s="12">
        <f ca="1">IFERROR(__xludf.DUMMYFUNCTION("""COMPUTED_VALUE"""),3923)</f>
        <v>3923</v>
      </c>
      <c r="AF108" s="8">
        <f ca="1">IFERROR(__xludf.DUMMYFUNCTION("""COMPUTED_VALUE"""),4256)</f>
        <v>4256</v>
      </c>
      <c r="AG108" s="8">
        <f ca="1">IFERROR(__xludf.DUMMYFUNCTION("""COMPUTED_VALUE"""),2535)</f>
        <v>2535</v>
      </c>
      <c r="AH108" s="8">
        <f ca="1">IFERROR(__xludf.DUMMYFUNCTION("""COMPUTED_VALUE"""),3374)</f>
        <v>3374</v>
      </c>
      <c r="AI108" s="8">
        <f ca="1">IFERROR(__xludf.DUMMYFUNCTION("""COMPUTED_VALUE"""),1912)</f>
        <v>1912</v>
      </c>
      <c r="AJ108" s="8">
        <f ca="1">IFERROR(__xludf.DUMMYFUNCTION("""COMPUTED_VALUE"""),1327)</f>
        <v>1327</v>
      </c>
      <c r="AK108" s="8">
        <f ca="1">IFERROR(__xludf.DUMMYFUNCTION("""COMPUTED_VALUE"""),1943)</f>
        <v>1943</v>
      </c>
      <c r="AL108" s="8">
        <f ca="1">IFERROR(__xludf.DUMMYFUNCTION("""COMPUTED_VALUE"""),1263)</f>
        <v>1263</v>
      </c>
      <c r="AM108" s="8">
        <f ca="1">IFERROR(__xludf.DUMMYFUNCTION("""COMPUTED_VALUE"""),2659)</f>
        <v>2659</v>
      </c>
      <c r="AN108" s="8">
        <f ca="1">IFERROR(__xludf.DUMMYFUNCTION("""COMPUTED_VALUE"""),1995)</f>
        <v>1995</v>
      </c>
      <c r="AO108" s="8">
        <f ca="1">IFERROR(__xludf.DUMMYFUNCTION("""COMPUTED_VALUE"""),2281)</f>
        <v>2281</v>
      </c>
      <c r="AP108" s="8"/>
      <c r="AQ108" s="8"/>
      <c r="AR108" s="8"/>
      <c r="AS108" s="8"/>
      <c r="AT108" s="8"/>
      <c r="AU108" s="8"/>
      <c r="AV108" s="8"/>
      <c r="AW108" s="8"/>
      <c r="AX108" s="8"/>
      <c r="AY108" s="8"/>
    </row>
    <row r="109" spans="1:51" ht="13.2" x14ac:dyDescent="0.25">
      <c r="A109" s="12" t="str">
        <f ca="1">IFERROR(__xludf.DUMMYFUNCTION("""COMPUTED_VALUE"""),"         left Cerebral nuclei")</f>
        <v xml:space="preserve">         left Cerebral nuclei</v>
      </c>
      <c r="B109" s="12">
        <f ca="1">IFERROR(__xludf.DUMMYFUNCTION("""COMPUTED_VALUE"""),41656)</f>
        <v>41656</v>
      </c>
      <c r="C109" s="12">
        <f ca="1">IFERROR(__xludf.DUMMYFUNCTION("""COMPUTED_VALUE"""),135886)</f>
        <v>135886</v>
      </c>
      <c r="D109" s="12">
        <f ca="1">IFERROR(__xludf.DUMMYFUNCTION("""COMPUTED_VALUE"""),245554)</f>
        <v>245554</v>
      </c>
      <c r="E109" s="12">
        <f ca="1">IFERROR(__xludf.DUMMYFUNCTION("""COMPUTED_VALUE"""),138984)</f>
        <v>138984</v>
      </c>
      <c r="F109" s="12">
        <f ca="1">IFERROR(__xludf.DUMMYFUNCTION("""COMPUTED_VALUE"""),172329)</f>
        <v>172329</v>
      </c>
      <c r="G109" s="12">
        <f ca="1">IFERROR(__xludf.DUMMYFUNCTION("""COMPUTED_VALUE"""),64249)</f>
        <v>64249</v>
      </c>
      <c r="H109" s="12">
        <f ca="1">IFERROR(__xludf.DUMMYFUNCTION("""COMPUTED_VALUE"""),92533)</f>
        <v>92533</v>
      </c>
      <c r="I109" s="12">
        <f ca="1">IFERROR(__xludf.DUMMYFUNCTION("""COMPUTED_VALUE"""),58354)</f>
        <v>58354</v>
      </c>
      <c r="J109" s="12">
        <f ca="1">IFERROR(__xludf.DUMMYFUNCTION("""COMPUTED_VALUE"""),70663)</f>
        <v>70663</v>
      </c>
      <c r="K109" s="12">
        <f ca="1">IFERROR(__xludf.DUMMYFUNCTION("""COMPUTED_VALUE"""),83728)</f>
        <v>83728</v>
      </c>
      <c r="L109" s="12">
        <f ca="1">IFERROR(__xludf.DUMMYFUNCTION("""COMPUTED_VALUE"""),175253)</f>
        <v>175253</v>
      </c>
      <c r="M109" s="12">
        <f ca="1">IFERROR(__xludf.DUMMYFUNCTION("""COMPUTED_VALUE"""),172734)</f>
        <v>172734</v>
      </c>
      <c r="N109" s="12">
        <f ca="1">IFERROR(__xludf.DUMMYFUNCTION("""COMPUTED_VALUE"""),229438)</f>
        <v>229438</v>
      </c>
      <c r="O109" s="12">
        <f ca="1">IFERROR(__xludf.DUMMYFUNCTION("""COMPUTED_VALUE"""),142033)</f>
        <v>142033</v>
      </c>
      <c r="P109" s="12">
        <f ca="1">IFERROR(__xludf.DUMMYFUNCTION("""COMPUTED_VALUE"""),40549)</f>
        <v>40549</v>
      </c>
      <c r="Q109" s="12">
        <f ca="1">IFERROR(__xludf.DUMMYFUNCTION("""COMPUTED_VALUE"""),80458)</f>
        <v>80458</v>
      </c>
      <c r="R109" s="12">
        <f ca="1">IFERROR(__xludf.DUMMYFUNCTION("""COMPUTED_VALUE"""),64445)</f>
        <v>64445</v>
      </c>
      <c r="S109" s="12">
        <f ca="1">IFERROR(__xludf.DUMMYFUNCTION("""COMPUTED_VALUE"""),54280)</f>
        <v>54280</v>
      </c>
      <c r="T109" s="12">
        <f ca="1">IFERROR(__xludf.DUMMYFUNCTION("""COMPUTED_VALUE"""),116617)</f>
        <v>116617</v>
      </c>
      <c r="U109" s="12">
        <f ca="1">IFERROR(__xludf.DUMMYFUNCTION("""COMPUTED_VALUE"""),79704)</f>
        <v>79704</v>
      </c>
      <c r="V109" s="12">
        <f ca="1">IFERROR(__xludf.DUMMYFUNCTION("""COMPUTED_VALUE"""),131000)</f>
        <v>131000</v>
      </c>
      <c r="W109" s="12">
        <f ca="1">IFERROR(__xludf.DUMMYFUNCTION("""COMPUTED_VALUE"""),305571)</f>
        <v>305571</v>
      </c>
      <c r="X109" s="12">
        <f ca="1">IFERROR(__xludf.DUMMYFUNCTION("""COMPUTED_VALUE"""),353573)</f>
        <v>353573</v>
      </c>
      <c r="Y109" s="12">
        <f ca="1">IFERROR(__xludf.DUMMYFUNCTION("""COMPUTED_VALUE"""),148832)</f>
        <v>148832</v>
      </c>
      <c r="Z109" s="12">
        <f ca="1">IFERROR(__xludf.DUMMYFUNCTION("""COMPUTED_VALUE"""),206330)</f>
        <v>206330</v>
      </c>
      <c r="AA109" s="12">
        <f ca="1">IFERROR(__xludf.DUMMYFUNCTION("""COMPUTED_VALUE"""),156872)</f>
        <v>156872</v>
      </c>
      <c r="AB109" s="12">
        <f ca="1">IFERROR(__xludf.DUMMYFUNCTION("""COMPUTED_VALUE"""),142521)</f>
        <v>142521</v>
      </c>
      <c r="AC109" s="12">
        <f ca="1">IFERROR(__xludf.DUMMYFUNCTION("""COMPUTED_VALUE"""),88921)</f>
        <v>88921</v>
      </c>
      <c r="AD109" s="12">
        <f ca="1">IFERROR(__xludf.DUMMYFUNCTION("""COMPUTED_VALUE"""),177680)</f>
        <v>177680</v>
      </c>
      <c r="AE109" s="12">
        <f ca="1">IFERROR(__xludf.DUMMYFUNCTION("""COMPUTED_VALUE"""),135109)</f>
        <v>135109</v>
      </c>
      <c r="AF109" s="8">
        <f ca="1">IFERROR(__xludf.DUMMYFUNCTION("""COMPUTED_VALUE"""),290402)</f>
        <v>290402</v>
      </c>
      <c r="AG109" s="8">
        <f ca="1">IFERROR(__xludf.DUMMYFUNCTION("""COMPUTED_VALUE"""),120283)</f>
        <v>120283</v>
      </c>
      <c r="AH109" s="8">
        <f ca="1">IFERROR(__xludf.DUMMYFUNCTION("""COMPUTED_VALUE"""),176978)</f>
        <v>176978</v>
      </c>
      <c r="AI109" s="8">
        <f ca="1">IFERROR(__xludf.DUMMYFUNCTION("""COMPUTED_VALUE"""),103226)</f>
        <v>103226</v>
      </c>
      <c r="AJ109" s="8">
        <f ca="1">IFERROR(__xludf.DUMMYFUNCTION("""COMPUTED_VALUE"""),82545)</f>
        <v>82545</v>
      </c>
      <c r="AK109" s="8">
        <f ca="1">IFERROR(__xludf.DUMMYFUNCTION("""COMPUTED_VALUE"""),18167)</f>
        <v>18167</v>
      </c>
      <c r="AL109" s="8">
        <f ca="1">IFERROR(__xludf.DUMMYFUNCTION("""COMPUTED_VALUE"""),56504)</f>
        <v>56504</v>
      </c>
      <c r="AM109" s="8">
        <f ca="1">IFERROR(__xludf.DUMMYFUNCTION("""COMPUTED_VALUE"""),162764)</f>
        <v>162764</v>
      </c>
      <c r="AN109" s="8">
        <f ca="1">IFERROR(__xludf.DUMMYFUNCTION("""COMPUTED_VALUE"""),93279)</f>
        <v>93279</v>
      </c>
      <c r="AO109" s="8">
        <f ca="1">IFERROR(__xludf.DUMMYFUNCTION("""COMPUTED_VALUE"""),48738)</f>
        <v>48738</v>
      </c>
      <c r="AP109" s="8"/>
      <c r="AQ109" s="8"/>
      <c r="AR109" s="8"/>
      <c r="AS109" s="8"/>
      <c r="AT109" s="8"/>
      <c r="AU109" s="8"/>
      <c r="AV109" s="8"/>
      <c r="AW109" s="8"/>
      <c r="AX109" s="8"/>
      <c r="AY109" s="8"/>
    </row>
    <row r="110" spans="1:51" ht="13.2" x14ac:dyDescent="0.25">
      <c r="A110" s="12" t="str">
        <f ca="1">IFERROR(__xludf.DUMMYFUNCTION("""COMPUTED_VALUE"""),"            left Striatum")</f>
        <v xml:space="preserve">            left Striatum</v>
      </c>
      <c r="B110" s="12">
        <f ca="1">IFERROR(__xludf.DUMMYFUNCTION("""COMPUTED_VALUE"""),36069)</f>
        <v>36069</v>
      </c>
      <c r="C110" s="12">
        <f ca="1">IFERROR(__xludf.DUMMYFUNCTION("""COMPUTED_VALUE"""),122339)</f>
        <v>122339</v>
      </c>
      <c r="D110" s="12">
        <f ca="1">IFERROR(__xludf.DUMMYFUNCTION("""COMPUTED_VALUE"""),216969)</f>
        <v>216969</v>
      </c>
      <c r="E110" s="12">
        <f ca="1">IFERROR(__xludf.DUMMYFUNCTION("""COMPUTED_VALUE"""),125886)</f>
        <v>125886</v>
      </c>
      <c r="F110" s="12">
        <f ca="1">IFERROR(__xludf.DUMMYFUNCTION("""COMPUTED_VALUE"""),154241)</f>
        <v>154241</v>
      </c>
      <c r="G110" s="12">
        <f ca="1">IFERROR(__xludf.DUMMYFUNCTION("""COMPUTED_VALUE"""),55972)</f>
        <v>55972</v>
      </c>
      <c r="H110" s="12">
        <f ca="1">IFERROR(__xludf.DUMMYFUNCTION("""COMPUTED_VALUE"""),85798)</f>
        <v>85798</v>
      </c>
      <c r="I110" s="12">
        <f ca="1">IFERROR(__xludf.DUMMYFUNCTION("""COMPUTED_VALUE"""),50545)</f>
        <v>50545</v>
      </c>
      <c r="J110" s="12">
        <f ca="1">IFERROR(__xludf.DUMMYFUNCTION("""COMPUTED_VALUE"""),64202)</f>
        <v>64202</v>
      </c>
      <c r="K110" s="12">
        <f ca="1">IFERROR(__xludf.DUMMYFUNCTION("""COMPUTED_VALUE"""),74431)</f>
        <v>74431</v>
      </c>
      <c r="L110" s="12">
        <f ca="1">IFERROR(__xludf.DUMMYFUNCTION("""COMPUTED_VALUE"""),152308)</f>
        <v>152308</v>
      </c>
      <c r="M110" s="12">
        <f ca="1">IFERROR(__xludf.DUMMYFUNCTION("""COMPUTED_VALUE"""),149928)</f>
        <v>149928</v>
      </c>
      <c r="N110" s="12">
        <f ca="1">IFERROR(__xludf.DUMMYFUNCTION("""COMPUTED_VALUE"""),194670)</f>
        <v>194670</v>
      </c>
      <c r="O110" s="12">
        <f ca="1">IFERROR(__xludf.DUMMYFUNCTION("""COMPUTED_VALUE"""),124623)</f>
        <v>124623</v>
      </c>
      <c r="P110" s="12">
        <f ca="1">IFERROR(__xludf.DUMMYFUNCTION("""COMPUTED_VALUE"""),35737)</f>
        <v>35737</v>
      </c>
      <c r="Q110" s="12">
        <f ca="1">IFERROR(__xludf.DUMMYFUNCTION("""COMPUTED_VALUE"""),70863)</f>
        <v>70863</v>
      </c>
      <c r="R110" s="12">
        <f ca="1">IFERROR(__xludf.DUMMYFUNCTION("""COMPUTED_VALUE"""),59836)</f>
        <v>59836</v>
      </c>
      <c r="S110" s="12">
        <f ca="1">IFERROR(__xludf.DUMMYFUNCTION("""COMPUTED_VALUE"""),49185)</f>
        <v>49185</v>
      </c>
      <c r="T110" s="12">
        <f ca="1">IFERROR(__xludf.DUMMYFUNCTION("""COMPUTED_VALUE"""),105845)</f>
        <v>105845</v>
      </c>
      <c r="U110" s="12">
        <f ca="1">IFERROR(__xludf.DUMMYFUNCTION("""COMPUTED_VALUE"""),70104)</f>
        <v>70104</v>
      </c>
      <c r="V110" s="12">
        <f ca="1">IFERROR(__xludf.DUMMYFUNCTION("""COMPUTED_VALUE"""),117584)</f>
        <v>117584</v>
      </c>
      <c r="W110" s="12">
        <f ca="1">IFERROR(__xludf.DUMMYFUNCTION("""COMPUTED_VALUE"""),275426)</f>
        <v>275426</v>
      </c>
      <c r="X110" s="12">
        <f ca="1">IFERROR(__xludf.DUMMYFUNCTION("""COMPUTED_VALUE"""),322944)</f>
        <v>322944</v>
      </c>
      <c r="Y110" s="12">
        <f ca="1">IFERROR(__xludf.DUMMYFUNCTION("""COMPUTED_VALUE"""),131148)</f>
        <v>131148</v>
      </c>
      <c r="Z110" s="12">
        <f ca="1">IFERROR(__xludf.DUMMYFUNCTION("""COMPUTED_VALUE"""),170511)</f>
        <v>170511</v>
      </c>
      <c r="AA110" s="12">
        <f ca="1">IFERROR(__xludf.DUMMYFUNCTION("""COMPUTED_VALUE"""),141852)</f>
        <v>141852</v>
      </c>
      <c r="AB110" s="12">
        <f ca="1">IFERROR(__xludf.DUMMYFUNCTION("""COMPUTED_VALUE"""),123660)</f>
        <v>123660</v>
      </c>
      <c r="AC110" s="12">
        <f ca="1">IFERROR(__xludf.DUMMYFUNCTION("""COMPUTED_VALUE"""),78354)</f>
        <v>78354</v>
      </c>
      <c r="AD110" s="12">
        <f ca="1">IFERROR(__xludf.DUMMYFUNCTION("""COMPUTED_VALUE"""),160748)</f>
        <v>160748</v>
      </c>
      <c r="AE110" s="12">
        <f ca="1">IFERROR(__xludf.DUMMYFUNCTION("""COMPUTED_VALUE"""),121340)</f>
        <v>121340</v>
      </c>
      <c r="AF110" s="8">
        <f ca="1">IFERROR(__xludf.DUMMYFUNCTION("""COMPUTED_VALUE"""),249213)</f>
        <v>249213</v>
      </c>
      <c r="AG110" s="8">
        <f ca="1">IFERROR(__xludf.DUMMYFUNCTION("""COMPUTED_VALUE"""),107063)</f>
        <v>107063</v>
      </c>
      <c r="AH110" s="8">
        <f ca="1">IFERROR(__xludf.DUMMYFUNCTION("""COMPUTED_VALUE"""),156812)</f>
        <v>156812</v>
      </c>
      <c r="AI110" s="8">
        <f ca="1">IFERROR(__xludf.DUMMYFUNCTION("""COMPUTED_VALUE"""),86129)</f>
        <v>86129</v>
      </c>
      <c r="AJ110" s="8">
        <f ca="1">IFERROR(__xludf.DUMMYFUNCTION("""COMPUTED_VALUE"""),70849)</f>
        <v>70849</v>
      </c>
      <c r="AK110" s="8">
        <f ca="1">IFERROR(__xludf.DUMMYFUNCTION("""COMPUTED_VALUE"""),17061)</f>
        <v>17061</v>
      </c>
      <c r="AL110" s="8">
        <f ca="1">IFERROR(__xludf.DUMMYFUNCTION("""COMPUTED_VALUE"""),52760)</f>
        <v>52760</v>
      </c>
      <c r="AM110" s="8">
        <f ca="1">IFERROR(__xludf.DUMMYFUNCTION("""COMPUTED_VALUE"""),149022)</f>
        <v>149022</v>
      </c>
      <c r="AN110" s="8">
        <f ca="1">IFERROR(__xludf.DUMMYFUNCTION("""COMPUTED_VALUE"""),84526)</f>
        <v>84526</v>
      </c>
      <c r="AO110" s="8">
        <f ca="1">IFERROR(__xludf.DUMMYFUNCTION("""COMPUTED_VALUE"""),42212)</f>
        <v>42212</v>
      </c>
      <c r="AP110" s="8"/>
      <c r="AQ110" s="8"/>
      <c r="AR110" s="8"/>
      <c r="AS110" s="8"/>
      <c r="AT110" s="8"/>
      <c r="AU110" s="8"/>
      <c r="AV110" s="8"/>
      <c r="AW110" s="8"/>
      <c r="AX110" s="8"/>
      <c r="AY110" s="8"/>
    </row>
    <row r="111" spans="1:51" ht="13.2" x14ac:dyDescent="0.25">
      <c r="A111" s="12" t="str">
        <f ca="1">IFERROR(__xludf.DUMMYFUNCTION("""COMPUTED_VALUE"""),"               left Striatum dorsal region")</f>
        <v xml:space="preserve">               left Striatum dorsal region</v>
      </c>
      <c r="B111" s="12">
        <f ca="1">IFERROR(__xludf.DUMMYFUNCTION("""COMPUTED_VALUE"""),12558)</f>
        <v>12558</v>
      </c>
      <c r="C111" s="12">
        <f ca="1">IFERROR(__xludf.DUMMYFUNCTION("""COMPUTED_VALUE"""),53962)</f>
        <v>53962</v>
      </c>
      <c r="D111" s="12">
        <f ca="1">IFERROR(__xludf.DUMMYFUNCTION("""COMPUTED_VALUE"""),104484)</f>
        <v>104484</v>
      </c>
      <c r="E111" s="12">
        <f ca="1">IFERROR(__xludf.DUMMYFUNCTION("""COMPUTED_VALUE"""),61393)</f>
        <v>61393</v>
      </c>
      <c r="F111" s="12">
        <f ca="1">IFERROR(__xludf.DUMMYFUNCTION("""COMPUTED_VALUE"""),83433)</f>
        <v>83433</v>
      </c>
      <c r="G111" s="12">
        <f ca="1">IFERROR(__xludf.DUMMYFUNCTION("""COMPUTED_VALUE"""),25144)</f>
        <v>25144</v>
      </c>
      <c r="H111" s="12">
        <f ca="1">IFERROR(__xludf.DUMMYFUNCTION("""COMPUTED_VALUE"""),48524)</f>
        <v>48524</v>
      </c>
      <c r="I111" s="12">
        <f ca="1">IFERROR(__xludf.DUMMYFUNCTION("""COMPUTED_VALUE"""),20917)</f>
        <v>20917</v>
      </c>
      <c r="J111" s="12">
        <f ca="1">IFERROR(__xludf.DUMMYFUNCTION("""COMPUTED_VALUE"""),26984)</f>
        <v>26984</v>
      </c>
      <c r="K111" s="12">
        <f ca="1">IFERROR(__xludf.DUMMYFUNCTION("""COMPUTED_VALUE"""),27488)</f>
        <v>27488</v>
      </c>
      <c r="L111" s="12">
        <f ca="1">IFERROR(__xludf.DUMMYFUNCTION("""COMPUTED_VALUE"""),62027)</f>
        <v>62027</v>
      </c>
      <c r="M111" s="12">
        <f ca="1">IFERROR(__xludf.DUMMYFUNCTION("""COMPUTED_VALUE"""),66357)</f>
        <v>66357</v>
      </c>
      <c r="N111" s="12">
        <f ca="1">IFERROR(__xludf.DUMMYFUNCTION("""COMPUTED_VALUE"""),123880)</f>
        <v>123880</v>
      </c>
      <c r="O111" s="12">
        <f ca="1">IFERROR(__xludf.DUMMYFUNCTION("""COMPUTED_VALUE"""),55234)</f>
        <v>55234</v>
      </c>
      <c r="P111" s="12">
        <f ca="1">IFERROR(__xludf.DUMMYFUNCTION("""COMPUTED_VALUE"""),11315)</f>
        <v>11315</v>
      </c>
      <c r="Q111" s="12">
        <f ca="1">IFERROR(__xludf.DUMMYFUNCTION("""COMPUTED_VALUE"""),33559)</f>
        <v>33559</v>
      </c>
      <c r="R111" s="12">
        <f ca="1">IFERROR(__xludf.DUMMYFUNCTION("""COMPUTED_VALUE"""),31880)</f>
        <v>31880</v>
      </c>
      <c r="S111" s="12">
        <f ca="1">IFERROR(__xludf.DUMMYFUNCTION("""COMPUTED_VALUE"""),20609)</f>
        <v>20609</v>
      </c>
      <c r="T111" s="12">
        <f ca="1">IFERROR(__xludf.DUMMYFUNCTION("""COMPUTED_VALUE"""),54643)</f>
        <v>54643</v>
      </c>
      <c r="U111" s="12">
        <f ca="1">IFERROR(__xludf.DUMMYFUNCTION("""COMPUTED_VALUE"""),36709)</f>
        <v>36709</v>
      </c>
      <c r="V111" s="12">
        <f ca="1">IFERROR(__xludf.DUMMYFUNCTION("""COMPUTED_VALUE"""),56394)</f>
        <v>56394</v>
      </c>
      <c r="W111" s="12">
        <f ca="1">IFERROR(__xludf.DUMMYFUNCTION("""COMPUTED_VALUE"""),145186)</f>
        <v>145186</v>
      </c>
      <c r="X111" s="12">
        <f ca="1">IFERROR(__xludf.DUMMYFUNCTION("""COMPUTED_VALUE"""),180334)</f>
        <v>180334</v>
      </c>
      <c r="Y111" s="12">
        <f ca="1">IFERROR(__xludf.DUMMYFUNCTION("""COMPUTED_VALUE"""),62123)</f>
        <v>62123</v>
      </c>
      <c r="Z111" s="12">
        <f ca="1">IFERROR(__xludf.DUMMYFUNCTION("""COMPUTED_VALUE"""),88952)</f>
        <v>88952</v>
      </c>
      <c r="AA111" s="12">
        <f ca="1">IFERROR(__xludf.DUMMYFUNCTION("""COMPUTED_VALUE"""),70531)</f>
        <v>70531</v>
      </c>
      <c r="AB111" s="12">
        <f ca="1">IFERROR(__xludf.DUMMYFUNCTION("""COMPUTED_VALUE"""),67585)</f>
        <v>67585</v>
      </c>
      <c r="AC111" s="12">
        <f ca="1">IFERROR(__xludf.DUMMYFUNCTION("""COMPUTED_VALUE"""),43197)</f>
        <v>43197</v>
      </c>
      <c r="AD111" s="12">
        <f ca="1">IFERROR(__xludf.DUMMYFUNCTION("""COMPUTED_VALUE"""),82719)</f>
        <v>82719</v>
      </c>
      <c r="AE111" s="12">
        <f ca="1">IFERROR(__xludf.DUMMYFUNCTION("""COMPUTED_VALUE"""),60512)</f>
        <v>60512</v>
      </c>
      <c r="AF111" s="8">
        <f ca="1">IFERROR(__xludf.DUMMYFUNCTION("""COMPUTED_VALUE"""),121917)</f>
        <v>121917</v>
      </c>
      <c r="AG111" s="8">
        <f ca="1">IFERROR(__xludf.DUMMYFUNCTION("""COMPUTED_VALUE"""),49779)</f>
        <v>49779</v>
      </c>
      <c r="AH111" s="8">
        <f ca="1">IFERROR(__xludf.DUMMYFUNCTION("""COMPUTED_VALUE"""),68787)</f>
        <v>68787</v>
      </c>
      <c r="AI111" s="8">
        <f ca="1">IFERROR(__xludf.DUMMYFUNCTION("""COMPUTED_VALUE"""),39470)</f>
        <v>39470</v>
      </c>
      <c r="AJ111" s="8">
        <f ca="1">IFERROR(__xludf.DUMMYFUNCTION("""COMPUTED_VALUE"""),43364)</f>
        <v>43364</v>
      </c>
      <c r="AK111" s="8">
        <f ca="1">IFERROR(__xludf.DUMMYFUNCTION("""COMPUTED_VALUE"""),3920)</f>
        <v>3920</v>
      </c>
      <c r="AL111" s="8">
        <f ca="1">IFERROR(__xludf.DUMMYFUNCTION("""COMPUTED_VALUE"""),34141)</f>
        <v>34141</v>
      </c>
      <c r="AM111" s="8">
        <f ca="1">IFERROR(__xludf.DUMMYFUNCTION("""COMPUTED_VALUE"""),81676)</f>
        <v>81676</v>
      </c>
      <c r="AN111" s="8">
        <f ca="1">IFERROR(__xludf.DUMMYFUNCTION("""COMPUTED_VALUE"""),43455)</f>
        <v>43455</v>
      </c>
      <c r="AO111" s="8">
        <f ca="1">IFERROR(__xludf.DUMMYFUNCTION("""COMPUTED_VALUE"""),14759)</f>
        <v>14759</v>
      </c>
      <c r="AP111" s="8"/>
      <c r="AQ111" s="8"/>
      <c r="AR111" s="8"/>
      <c r="AS111" s="8"/>
      <c r="AT111" s="8"/>
      <c r="AU111" s="8"/>
      <c r="AV111" s="8"/>
      <c r="AW111" s="8"/>
      <c r="AX111" s="8"/>
      <c r="AY111" s="8"/>
    </row>
    <row r="112" spans="1:51" ht="13.2" x14ac:dyDescent="0.25">
      <c r="A112" s="12" t="str">
        <f ca="1">IFERROR(__xludf.DUMMYFUNCTION("""COMPUTED_VALUE"""),"                  left Caudoputamen")</f>
        <v xml:space="preserve">                  left Caudoputamen</v>
      </c>
      <c r="B112" s="12">
        <f ca="1">IFERROR(__xludf.DUMMYFUNCTION("""COMPUTED_VALUE"""),12558)</f>
        <v>12558</v>
      </c>
      <c r="C112" s="12">
        <f ca="1">IFERROR(__xludf.DUMMYFUNCTION("""COMPUTED_VALUE"""),53962)</f>
        <v>53962</v>
      </c>
      <c r="D112" s="12">
        <f ca="1">IFERROR(__xludf.DUMMYFUNCTION("""COMPUTED_VALUE"""),104484)</f>
        <v>104484</v>
      </c>
      <c r="E112" s="12">
        <f ca="1">IFERROR(__xludf.DUMMYFUNCTION("""COMPUTED_VALUE"""),61393)</f>
        <v>61393</v>
      </c>
      <c r="F112" s="12">
        <f ca="1">IFERROR(__xludf.DUMMYFUNCTION("""COMPUTED_VALUE"""),83433)</f>
        <v>83433</v>
      </c>
      <c r="G112" s="12">
        <f ca="1">IFERROR(__xludf.DUMMYFUNCTION("""COMPUTED_VALUE"""),25144)</f>
        <v>25144</v>
      </c>
      <c r="H112" s="12">
        <f ca="1">IFERROR(__xludf.DUMMYFUNCTION("""COMPUTED_VALUE"""),48524)</f>
        <v>48524</v>
      </c>
      <c r="I112" s="12">
        <f ca="1">IFERROR(__xludf.DUMMYFUNCTION("""COMPUTED_VALUE"""),20917)</f>
        <v>20917</v>
      </c>
      <c r="J112" s="12">
        <f ca="1">IFERROR(__xludf.DUMMYFUNCTION("""COMPUTED_VALUE"""),26984)</f>
        <v>26984</v>
      </c>
      <c r="K112" s="12">
        <f ca="1">IFERROR(__xludf.DUMMYFUNCTION("""COMPUTED_VALUE"""),27488)</f>
        <v>27488</v>
      </c>
      <c r="L112" s="12">
        <f ca="1">IFERROR(__xludf.DUMMYFUNCTION("""COMPUTED_VALUE"""),62027)</f>
        <v>62027</v>
      </c>
      <c r="M112" s="12">
        <f ca="1">IFERROR(__xludf.DUMMYFUNCTION("""COMPUTED_VALUE"""),66357)</f>
        <v>66357</v>
      </c>
      <c r="N112" s="12">
        <f ca="1">IFERROR(__xludf.DUMMYFUNCTION("""COMPUTED_VALUE"""),123880)</f>
        <v>123880</v>
      </c>
      <c r="O112" s="12">
        <f ca="1">IFERROR(__xludf.DUMMYFUNCTION("""COMPUTED_VALUE"""),55234)</f>
        <v>55234</v>
      </c>
      <c r="P112" s="12">
        <f ca="1">IFERROR(__xludf.DUMMYFUNCTION("""COMPUTED_VALUE"""),11315)</f>
        <v>11315</v>
      </c>
      <c r="Q112" s="12">
        <f ca="1">IFERROR(__xludf.DUMMYFUNCTION("""COMPUTED_VALUE"""),33559)</f>
        <v>33559</v>
      </c>
      <c r="R112" s="12">
        <f ca="1">IFERROR(__xludf.DUMMYFUNCTION("""COMPUTED_VALUE"""),31880)</f>
        <v>31880</v>
      </c>
      <c r="S112" s="12">
        <f ca="1">IFERROR(__xludf.DUMMYFUNCTION("""COMPUTED_VALUE"""),20609)</f>
        <v>20609</v>
      </c>
      <c r="T112" s="12">
        <f ca="1">IFERROR(__xludf.DUMMYFUNCTION("""COMPUTED_VALUE"""),54643)</f>
        <v>54643</v>
      </c>
      <c r="U112" s="12">
        <f ca="1">IFERROR(__xludf.DUMMYFUNCTION("""COMPUTED_VALUE"""),36709)</f>
        <v>36709</v>
      </c>
      <c r="V112" s="12">
        <f ca="1">IFERROR(__xludf.DUMMYFUNCTION("""COMPUTED_VALUE"""),56394)</f>
        <v>56394</v>
      </c>
      <c r="W112" s="12">
        <f ca="1">IFERROR(__xludf.DUMMYFUNCTION("""COMPUTED_VALUE"""),145186)</f>
        <v>145186</v>
      </c>
      <c r="X112" s="12">
        <f ca="1">IFERROR(__xludf.DUMMYFUNCTION("""COMPUTED_VALUE"""),180334)</f>
        <v>180334</v>
      </c>
      <c r="Y112" s="12">
        <f ca="1">IFERROR(__xludf.DUMMYFUNCTION("""COMPUTED_VALUE"""),62123)</f>
        <v>62123</v>
      </c>
      <c r="Z112" s="12">
        <f ca="1">IFERROR(__xludf.DUMMYFUNCTION("""COMPUTED_VALUE"""),88952)</f>
        <v>88952</v>
      </c>
      <c r="AA112" s="12">
        <f ca="1">IFERROR(__xludf.DUMMYFUNCTION("""COMPUTED_VALUE"""),70531)</f>
        <v>70531</v>
      </c>
      <c r="AB112" s="12">
        <f ca="1">IFERROR(__xludf.DUMMYFUNCTION("""COMPUTED_VALUE"""),67585)</f>
        <v>67585</v>
      </c>
      <c r="AC112" s="12">
        <f ca="1">IFERROR(__xludf.DUMMYFUNCTION("""COMPUTED_VALUE"""),43197)</f>
        <v>43197</v>
      </c>
      <c r="AD112" s="12">
        <f ca="1">IFERROR(__xludf.DUMMYFUNCTION("""COMPUTED_VALUE"""),82719)</f>
        <v>82719</v>
      </c>
      <c r="AE112" s="12">
        <f ca="1">IFERROR(__xludf.DUMMYFUNCTION("""COMPUTED_VALUE"""),60512)</f>
        <v>60512</v>
      </c>
      <c r="AF112" s="8">
        <f ca="1">IFERROR(__xludf.DUMMYFUNCTION("""COMPUTED_VALUE"""),121917)</f>
        <v>121917</v>
      </c>
      <c r="AG112" s="8">
        <f ca="1">IFERROR(__xludf.DUMMYFUNCTION("""COMPUTED_VALUE"""),49779)</f>
        <v>49779</v>
      </c>
      <c r="AH112" s="8">
        <f ca="1">IFERROR(__xludf.DUMMYFUNCTION("""COMPUTED_VALUE"""),68787)</f>
        <v>68787</v>
      </c>
      <c r="AI112" s="8">
        <f ca="1">IFERROR(__xludf.DUMMYFUNCTION("""COMPUTED_VALUE"""),39470)</f>
        <v>39470</v>
      </c>
      <c r="AJ112" s="8">
        <f ca="1">IFERROR(__xludf.DUMMYFUNCTION("""COMPUTED_VALUE"""),43364)</f>
        <v>43364</v>
      </c>
      <c r="AK112" s="8">
        <f ca="1">IFERROR(__xludf.DUMMYFUNCTION("""COMPUTED_VALUE"""),3920)</f>
        <v>3920</v>
      </c>
      <c r="AL112" s="8">
        <f ca="1">IFERROR(__xludf.DUMMYFUNCTION("""COMPUTED_VALUE"""),34141)</f>
        <v>34141</v>
      </c>
      <c r="AM112" s="8">
        <f ca="1">IFERROR(__xludf.DUMMYFUNCTION("""COMPUTED_VALUE"""),81676)</f>
        <v>81676</v>
      </c>
      <c r="AN112" s="8">
        <f ca="1">IFERROR(__xludf.DUMMYFUNCTION("""COMPUTED_VALUE"""),43455)</f>
        <v>43455</v>
      </c>
      <c r="AO112" s="8">
        <f ca="1">IFERROR(__xludf.DUMMYFUNCTION("""COMPUTED_VALUE"""),14759)</f>
        <v>14759</v>
      </c>
      <c r="AP112" s="8"/>
      <c r="AQ112" s="8"/>
      <c r="AR112" s="8"/>
      <c r="AS112" s="8"/>
      <c r="AT112" s="8"/>
      <c r="AU112" s="8"/>
      <c r="AV112" s="8"/>
      <c r="AW112" s="8"/>
      <c r="AX112" s="8"/>
      <c r="AY112" s="8"/>
    </row>
    <row r="113" spans="1:51" ht="13.2" x14ac:dyDescent="0.25">
      <c r="A113" s="12" t="str">
        <f ca="1">IFERROR(__xludf.DUMMYFUNCTION("""COMPUTED_VALUE"""),"               left Striatum ventral region")</f>
        <v xml:space="preserve">               left Striatum ventral region</v>
      </c>
      <c r="B113" s="12">
        <f ca="1">IFERROR(__xludf.DUMMYFUNCTION("""COMPUTED_VALUE"""),6014)</f>
        <v>6014</v>
      </c>
      <c r="C113" s="12">
        <f ca="1">IFERROR(__xludf.DUMMYFUNCTION("""COMPUTED_VALUE"""),24123)</f>
        <v>24123</v>
      </c>
      <c r="D113" s="12">
        <f ca="1">IFERROR(__xludf.DUMMYFUNCTION("""COMPUTED_VALUE"""),52349)</f>
        <v>52349</v>
      </c>
      <c r="E113" s="12">
        <f ca="1">IFERROR(__xludf.DUMMYFUNCTION("""COMPUTED_VALUE"""),18547)</f>
        <v>18547</v>
      </c>
      <c r="F113" s="12">
        <f ca="1">IFERROR(__xludf.DUMMYFUNCTION("""COMPUTED_VALUE"""),23339)</f>
        <v>23339</v>
      </c>
      <c r="G113" s="12">
        <f ca="1">IFERROR(__xludf.DUMMYFUNCTION("""COMPUTED_VALUE"""),6732)</f>
        <v>6732</v>
      </c>
      <c r="H113" s="12">
        <f ca="1">IFERROR(__xludf.DUMMYFUNCTION("""COMPUTED_VALUE"""),11400)</f>
        <v>11400</v>
      </c>
      <c r="I113" s="12">
        <f ca="1">IFERROR(__xludf.DUMMYFUNCTION("""COMPUTED_VALUE"""),7232)</f>
        <v>7232</v>
      </c>
      <c r="J113" s="12">
        <f ca="1">IFERROR(__xludf.DUMMYFUNCTION("""COMPUTED_VALUE"""),11354)</f>
        <v>11354</v>
      </c>
      <c r="K113" s="12">
        <f ca="1">IFERROR(__xludf.DUMMYFUNCTION("""COMPUTED_VALUE"""),12944)</f>
        <v>12944</v>
      </c>
      <c r="L113" s="12">
        <f ca="1">IFERROR(__xludf.DUMMYFUNCTION("""COMPUTED_VALUE"""),42707)</f>
        <v>42707</v>
      </c>
      <c r="M113" s="12">
        <f ca="1">IFERROR(__xludf.DUMMYFUNCTION("""COMPUTED_VALUE"""),38887)</f>
        <v>38887</v>
      </c>
      <c r="N113" s="12">
        <f ca="1">IFERROR(__xludf.DUMMYFUNCTION("""COMPUTED_VALUE"""),25907)</f>
        <v>25907</v>
      </c>
      <c r="O113" s="12">
        <f ca="1">IFERROR(__xludf.DUMMYFUNCTION("""COMPUTED_VALUE"""),25581)</f>
        <v>25581</v>
      </c>
      <c r="P113" s="12">
        <f ca="1">IFERROR(__xludf.DUMMYFUNCTION("""COMPUTED_VALUE"""),8126)</f>
        <v>8126</v>
      </c>
      <c r="Q113" s="12">
        <f ca="1">IFERROR(__xludf.DUMMYFUNCTION("""COMPUTED_VALUE"""),6827)</f>
        <v>6827</v>
      </c>
      <c r="R113" s="12">
        <f ca="1">IFERROR(__xludf.DUMMYFUNCTION("""COMPUTED_VALUE"""),10541)</f>
        <v>10541</v>
      </c>
      <c r="S113" s="12">
        <f ca="1">IFERROR(__xludf.DUMMYFUNCTION("""COMPUTED_VALUE"""),6376)</f>
        <v>6376</v>
      </c>
      <c r="T113" s="12">
        <f ca="1">IFERROR(__xludf.DUMMYFUNCTION("""COMPUTED_VALUE"""),17851)</f>
        <v>17851</v>
      </c>
      <c r="U113" s="12">
        <f ca="1">IFERROR(__xludf.DUMMYFUNCTION("""COMPUTED_VALUE"""),12837)</f>
        <v>12837</v>
      </c>
      <c r="V113" s="12">
        <f ca="1">IFERROR(__xludf.DUMMYFUNCTION("""COMPUTED_VALUE"""),27447)</f>
        <v>27447</v>
      </c>
      <c r="W113" s="12">
        <f ca="1">IFERROR(__xludf.DUMMYFUNCTION("""COMPUTED_VALUE"""),64608)</f>
        <v>64608</v>
      </c>
      <c r="X113" s="12">
        <f ca="1">IFERROR(__xludf.DUMMYFUNCTION("""COMPUTED_VALUE"""),73737)</f>
        <v>73737</v>
      </c>
      <c r="Y113" s="12">
        <f ca="1">IFERROR(__xludf.DUMMYFUNCTION("""COMPUTED_VALUE"""),29723)</f>
        <v>29723</v>
      </c>
      <c r="Z113" s="12">
        <f ca="1">IFERROR(__xludf.DUMMYFUNCTION("""COMPUTED_VALUE"""),39291)</f>
        <v>39291</v>
      </c>
      <c r="AA113" s="12">
        <f ca="1">IFERROR(__xludf.DUMMYFUNCTION("""COMPUTED_VALUE"""),28313)</f>
        <v>28313</v>
      </c>
      <c r="AB113" s="12">
        <f ca="1">IFERROR(__xludf.DUMMYFUNCTION("""COMPUTED_VALUE"""),20329)</f>
        <v>20329</v>
      </c>
      <c r="AC113" s="12">
        <f ca="1">IFERROR(__xludf.DUMMYFUNCTION("""COMPUTED_VALUE"""),13217)</f>
        <v>13217</v>
      </c>
      <c r="AD113" s="12">
        <f ca="1">IFERROR(__xludf.DUMMYFUNCTION("""COMPUTED_VALUE"""),43841)</f>
        <v>43841</v>
      </c>
      <c r="AE113" s="12">
        <f ca="1">IFERROR(__xludf.DUMMYFUNCTION("""COMPUTED_VALUE"""),19780)</f>
        <v>19780</v>
      </c>
      <c r="AF113" s="8">
        <f ca="1">IFERROR(__xludf.DUMMYFUNCTION("""COMPUTED_VALUE"""),54547)</f>
        <v>54547</v>
      </c>
      <c r="AG113" s="8">
        <f ca="1">IFERROR(__xludf.DUMMYFUNCTION("""COMPUTED_VALUE"""),24899)</f>
        <v>24899</v>
      </c>
      <c r="AH113" s="8">
        <f ca="1">IFERROR(__xludf.DUMMYFUNCTION("""COMPUTED_VALUE"""),47997)</f>
        <v>47997</v>
      </c>
      <c r="AI113" s="8">
        <f ca="1">IFERROR(__xludf.DUMMYFUNCTION("""COMPUTED_VALUE"""),18249)</f>
        <v>18249</v>
      </c>
      <c r="AJ113" s="8">
        <f ca="1">IFERROR(__xludf.DUMMYFUNCTION("""COMPUTED_VALUE"""),12580)</f>
        <v>12580</v>
      </c>
      <c r="AK113" s="8">
        <f ca="1">IFERROR(__xludf.DUMMYFUNCTION("""COMPUTED_VALUE"""),4096)</f>
        <v>4096</v>
      </c>
      <c r="AL113" s="8">
        <f ca="1">IFERROR(__xludf.DUMMYFUNCTION("""COMPUTED_VALUE"""),6960)</f>
        <v>6960</v>
      </c>
      <c r="AM113" s="8">
        <f ca="1">IFERROR(__xludf.DUMMYFUNCTION("""COMPUTED_VALUE"""),27176)</f>
        <v>27176</v>
      </c>
      <c r="AN113" s="8">
        <f ca="1">IFERROR(__xludf.DUMMYFUNCTION("""COMPUTED_VALUE"""),14950)</f>
        <v>14950</v>
      </c>
      <c r="AO113" s="8">
        <f ca="1">IFERROR(__xludf.DUMMYFUNCTION("""COMPUTED_VALUE"""),9824)</f>
        <v>9824</v>
      </c>
      <c r="AP113" s="8"/>
      <c r="AQ113" s="8"/>
      <c r="AR113" s="8"/>
      <c r="AS113" s="8"/>
      <c r="AT113" s="8"/>
      <c r="AU113" s="8"/>
      <c r="AV113" s="8"/>
      <c r="AW113" s="8"/>
      <c r="AX113" s="8"/>
      <c r="AY113" s="8"/>
    </row>
    <row r="114" spans="1:51" ht="13.2" x14ac:dyDescent="0.25">
      <c r="A114" s="12" t="str">
        <f ca="1">IFERROR(__xludf.DUMMYFUNCTION("""COMPUTED_VALUE"""),"                  left Nucleus accumbens")</f>
        <v xml:space="preserve">                  left Nucleus accumbens</v>
      </c>
      <c r="B114" s="12">
        <f ca="1">IFERROR(__xludf.DUMMYFUNCTION("""COMPUTED_VALUE"""),4425)</f>
        <v>4425</v>
      </c>
      <c r="C114" s="12">
        <f ca="1">IFERROR(__xludf.DUMMYFUNCTION("""COMPUTED_VALUE"""),19911)</f>
        <v>19911</v>
      </c>
      <c r="D114" s="12">
        <f ca="1">IFERROR(__xludf.DUMMYFUNCTION("""COMPUTED_VALUE"""),33032)</f>
        <v>33032</v>
      </c>
      <c r="E114" s="12">
        <f ca="1">IFERROR(__xludf.DUMMYFUNCTION("""COMPUTED_VALUE"""),11491)</f>
        <v>11491</v>
      </c>
      <c r="F114" s="12">
        <f ca="1">IFERROR(__xludf.DUMMYFUNCTION("""COMPUTED_VALUE"""),19296)</f>
        <v>19296</v>
      </c>
      <c r="G114" s="12">
        <f ca="1">IFERROR(__xludf.DUMMYFUNCTION("""COMPUTED_VALUE"""),5172)</f>
        <v>5172</v>
      </c>
      <c r="H114" s="12">
        <f ca="1">IFERROR(__xludf.DUMMYFUNCTION("""COMPUTED_VALUE"""),10060)</f>
        <v>10060</v>
      </c>
      <c r="I114" s="12">
        <f ca="1">IFERROR(__xludf.DUMMYFUNCTION("""COMPUTED_VALUE"""),6480)</f>
        <v>6480</v>
      </c>
      <c r="J114" s="12">
        <f ca="1">IFERROR(__xludf.DUMMYFUNCTION("""COMPUTED_VALUE"""),10337)</f>
        <v>10337</v>
      </c>
      <c r="K114" s="12">
        <f ca="1">IFERROR(__xludf.DUMMYFUNCTION("""COMPUTED_VALUE"""),9116)</f>
        <v>9116</v>
      </c>
      <c r="L114" s="12">
        <f ca="1">IFERROR(__xludf.DUMMYFUNCTION("""COMPUTED_VALUE"""),28247)</f>
        <v>28247</v>
      </c>
      <c r="M114" s="12">
        <f ca="1">IFERROR(__xludf.DUMMYFUNCTION("""COMPUTED_VALUE"""),28740)</f>
        <v>28740</v>
      </c>
      <c r="N114" s="12">
        <f ca="1">IFERROR(__xludf.DUMMYFUNCTION("""COMPUTED_VALUE"""),19106)</f>
        <v>19106</v>
      </c>
      <c r="O114" s="12">
        <f ca="1">IFERROR(__xludf.DUMMYFUNCTION("""COMPUTED_VALUE"""),19241)</f>
        <v>19241</v>
      </c>
      <c r="P114" s="12">
        <f ca="1">IFERROR(__xludf.DUMMYFUNCTION("""COMPUTED_VALUE"""),6308)</f>
        <v>6308</v>
      </c>
      <c r="Q114" s="12">
        <f ca="1">IFERROR(__xludf.DUMMYFUNCTION("""COMPUTED_VALUE"""),5352)</f>
        <v>5352</v>
      </c>
      <c r="R114" s="12">
        <f ca="1">IFERROR(__xludf.DUMMYFUNCTION("""COMPUTED_VALUE"""),9316)</f>
        <v>9316</v>
      </c>
      <c r="S114" s="12">
        <f ca="1">IFERROR(__xludf.DUMMYFUNCTION("""COMPUTED_VALUE"""),4470)</f>
        <v>4470</v>
      </c>
      <c r="T114" s="12">
        <f ca="1">IFERROR(__xludf.DUMMYFUNCTION("""COMPUTED_VALUE"""),10723)</f>
        <v>10723</v>
      </c>
      <c r="U114" s="12">
        <f ca="1">IFERROR(__xludf.DUMMYFUNCTION("""COMPUTED_VALUE"""),7989)</f>
        <v>7989</v>
      </c>
      <c r="V114" s="12">
        <f ca="1">IFERROR(__xludf.DUMMYFUNCTION("""COMPUTED_VALUE"""),18708)</f>
        <v>18708</v>
      </c>
      <c r="W114" s="12">
        <f ca="1">IFERROR(__xludf.DUMMYFUNCTION("""COMPUTED_VALUE"""),39885)</f>
        <v>39885</v>
      </c>
      <c r="X114" s="12">
        <f ca="1">IFERROR(__xludf.DUMMYFUNCTION("""COMPUTED_VALUE"""),45607)</f>
        <v>45607</v>
      </c>
      <c r="Y114" s="12">
        <f ca="1">IFERROR(__xludf.DUMMYFUNCTION("""COMPUTED_VALUE"""),19266)</f>
        <v>19266</v>
      </c>
      <c r="Z114" s="12">
        <f ca="1">IFERROR(__xludf.DUMMYFUNCTION("""COMPUTED_VALUE"""),22001)</f>
        <v>22001</v>
      </c>
      <c r="AA114" s="12">
        <f ca="1">IFERROR(__xludf.DUMMYFUNCTION("""COMPUTED_VALUE"""),15503)</f>
        <v>15503</v>
      </c>
      <c r="AB114" s="12">
        <f ca="1">IFERROR(__xludf.DUMMYFUNCTION("""COMPUTED_VALUE"""),14829)</f>
        <v>14829</v>
      </c>
      <c r="AC114" s="12">
        <f ca="1">IFERROR(__xludf.DUMMYFUNCTION("""COMPUTED_VALUE"""),7472)</f>
        <v>7472</v>
      </c>
      <c r="AD114" s="12">
        <f ca="1">IFERROR(__xludf.DUMMYFUNCTION("""COMPUTED_VALUE"""),30657)</f>
        <v>30657</v>
      </c>
      <c r="AE114" s="12">
        <f ca="1">IFERROR(__xludf.DUMMYFUNCTION("""COMPUTED_VALUE"""),14978)</f>
        <v>14978</v>
      </c>
      <c r="AF114" s="8">
        <f ca="1">IFERROR(__xludf.DUMMYFUNCTION("""COMPUTED_VALUE"""),33844)</f>
        <v>33844</v>
      </c>
      <c r="AG114" s="8">
        <f ca="1">IFERROR(__xludf.DUMMYFUNCTION("""COMPUTED_VALUE"""),14687)</f>
        <v>14687</v>
      </c>
      <c r="AH114" s="8">
        <f ca="1">IFERROR(__xludf.DUMMYFUNCTION("""COMPUTED_VALUE"""),29079)</f>
        <v>29079</v>
      </c>
      <c r="AI114" s="8">
        <f ca="1">IFERROR(__xludf.DUMMYFUNCTION("""COMPUTED_VALUE"""),11503)</f>
        <v>11503</v>
      </c>
      <c r="AJ114" s="8">
        <f ca="1">IFERROR(__xludf.DUMMYFUNCTION("""COMPUTED_VALUE"""),7233)</f>
        <v>7233</v>
      </c>
      <c r="AK114" s="8">
        <f ca="1">IFERROR(__xludf.DUMMYFUNCTION("""COMPUTED_VALUE"""),1415)</f>
        <v>1415</v>
      </c>
      <c r="AL114" s="8">
        <f ca="1">IFERROR(__xludf.DUMMYFUNCTION("""COMPUTED_VALUE"""),3302)</f>
        <v>3302</v>
      </c>
      <c r="AM114" s="8">
        <f ca="1">IFERROR(__xludf.DUMMYFUNCTION("""COMPUTED_VALUE"""),18492)</f>
        <v>18492</v>
      </c>
      <c r="AN114" s="8">
        <f ca="1">IFERROR(__xludf.DUMMYFUNCTION("""COMPUTED_VALUE"""),7915)</f>
        <v>7915</v>
      </c>
      <c r="AO114" s="8">
        <f ca="1">IFERROR(__xludf.DUMMYFUNCTION("""COMPUTED_VALUE"""),3619)</f>
        <v>3619</v>
      </c>
      <c r="AP114" s="8"/>
      <c r="AQ114" s="8"/>
      <c r="AR114" s="8"/>
      <c r="AS114" s="8"/>
      <c r="AT114" s="8"/>
      <c r="AU114" s="8"/>
      <c r="AV114" s="8"/>
      <c r="AW114" s="8"/>
      <c r="AX114" s="8"/>
      <c r="AY114" s="8"/>
    </row>
    <row r="115" spans="1:51" ht="13.2" x14ac:dyDescent="0.25">
      <c r="A115" s="12" t="str">
        <f ca="1">IFERROR(__xludf.DUMMYFUNCTION("""COMPUTED_VALUE"""),"                  left Fundus of striatum")</f>
        <v xml:space="preserve">                  left Fundus of striatum</v>
      </c>
      <c r="B115" s="12">
        <f ca="1">IFERROR(__xludf.DUMMYFUNCTION("""COMPUTED_VALUE"""),262)</f>
        <v>262</v>
      </c>
      <c r="C115" s="12">
        <f ca="1">IFERROR(__xludf.DUMMYFUNCTION("""COMPUTED_VALUE"""),496)</f>
        <v>496</v>
      </c>
      <c r="D115" s="12">
        <f ca="1">IFERROR(__xludf.DUMMYFUNCTION("""COMPUTED_VALUE"""),1198)</f>
        <v>1198</v>
      </c>
      <c r="E115" s="12">
        <f ca="1">IFERROR(__xludf.DUMMYFUNCTION("""COMPUTED_VALUE"""),670)</f>
        <v>670</v>
      </c>
      <c r="F115" s="12">
        <f ca="1">IFERROR(__xludf.DUMMYFUNCTION("""COMPUTED_VALUE"""),1230)</f>
        <v>1230</v>
      </c>
      <c r="G115" s="12">
        <f ca="1">IFERROR(__xludf.DUMMYFUNCTION("""COMPUTED_VALUE"""),911)</f>
        <v>911</v>
      </c>
      <c r="H115" s="12">
        <f ca="1">IFERROR(__xludf.DUMMYFUNCTION("""COMPUTED_VALUE"""),555)</f>
        <v>555</v>
      </c>
      <c r="I115" s="12">
        <f ca="1">IFERROR(__xludf.DUMMYFUNCTION("""COMPUTED_VALUE"""),491)</f>
        <v>491</v>
      </c>
      <c r="J115" s="12">
        <f ca="1">IFERROR(__xludf.DUMMYFUNCTION("""COMPUTED_VALUE"""),348)</f>
        <v>348</v>
      </c>
      <c r="K115" s="12">
        <f ca="1">IFERROR(__xludf.DUMMYFUNCTION("""COMPUTED_VALUE"""),653)</f>
        <v>653</v>
      </c>
      <c r="L115" s="12">
        <f ca="1">IFERROR(__xludf.DUMMYFUNCTION("""COMPUTED_VALUE"""),1496)</f>
        <v>1496</v>
      </c>
      <c r="M115" s="12">
        <f ca="1">IFERROR(__xludf.DUMMYFUNCTION("""COMPUTED_VALUE"""),1900)</f>
        <v>1900</v>
      </c>
      <c r="N115" s="12">
        <f ca="1">IFERROR(__xludf.DUMMYFUNCTION("""COMPUTED_VALUE"""),917)</f>
        <v>917</v>
      </c>
      <c r="O115" s="12">
        <f ca="1">IFERROR(__xludf.DUMMYFUNCTION("""COMPUTED_VALUE"""),1240)</f>
        <v>1240</v>
      </c>
      <c r="P115" s="12">
        <f ca="1">IFERROR(__xludf.DUMMYFUNCTION("""COMPUTED_VALUE"""),140)</f>
        <v>140</v>
      </c>
      <c r="Q115" s="12">
        <f ca="1">IFERROR(__xludf.DUMMYFUNCTION("""COMPUTED_VALUE"""),403)</f>
        <v>403</v>
      </c>
      <c r="R115" s="12">
        <f ca="1">IFERROR(__xludf.DUMMYFUNCTION("""COMPUTED_VALUE"""),200)</f>
        <v>200</v>
      </c>
      <c r="S115" s="12">
        <f ca="1">IFERROR(__xludf.DUMMYFUNCTION("""COMPUTED_VALUE"""),159)</f>
        <v>159</v>
      </c>
      <c r="T115" s="12">
        <f ca="1">IFERROR(__xludf.DUMMYFUNCTION("""COMPUTED_VALUE"""),792)</f>
        <v>792</v>
      </c>
      <c r="U115" s="12">
        <f ca="1">IFERROR(__xludf.DUMMYFUNCTION("""COMPUTED_VALUE"""),956)</f>
        <v>956</v>
      </c>
      <c r="V115" s="12">
        <f ca="1">IFERROR(__xludf.DUMMYFUNCTION("""COMPUTED_VALUE"""),432)</f>
        <v>432</v>
      </c>
      <c r="W115" s="12">
        <f ca="1">IFERROR(__xludf.DUMMYFUNCTION("""COMPUTED_VALUE"""),2628)</f>
        <v>2628</v>
      </c>
      <c r="X115" s="12">
        <f ca="1">IFERROR(__xludf.DUMMYFUNCTION("""COMPUTED_VALUE"""),2137)</f>
        <v>2137</v>
      </c>
      <c r="Y115" s="12">
        <f ca="1">IFERROR(__xludf.DUMMYFUNCTION("""COMPUTED_VALUE"""),824)</f>
        <v>824</v>
      </c>
      <c r="Z115" s="12">
        <f ca="1">IFERROR(__xludf.DUMMYFUNCTION("""COMPUTED_VALUE"""),1511)</f>
        <v>1511</v>
      </c>
      <c r="AA115" s="12">
        <f ca="1">IFERROR(__xludf.DUMMYFUNCTION("""COMPUTED_VALUE"""),1563)</f>
        <v>1563</v>
      </c>
      <c r="AB115" s="12">
        <f ca="1">IFERROR(__xludf.DUMMYFUNCTION("""COMPUTED_VALUE"""),1798)</f>
        <v>1798</v>
      </c>
      <c r="AC115" s="12">
        <f ca="1">IFERROR(__xludf.DUMMYFUNCTION("""COMPUTED_VALUE"""),126)</f>
        <v>126</v>
      </c>
      <c r="AD115" s="12">
        <f ca="1">IFERROR(__xludf.DUMMYFUNCTION("""COMPUTED_VALUE"""),1683)</f>
        <v>1683</v>
      </c>
      <c r="AE115" s="12">
        <f ca="1">IFERROR(__xludf.DUMMYFUNCTION("""COMPUTED_VALUE"""),778)</f>
        <v>778</v>
      </c>
      <c r="AF115" s="8">
        <f ca="1">IFERROR(__xludf.DUMMYFUNCTION("""COMPUTED_VALUE"""),1687)</f>
        <v>1687</v>
      </c>
      <c r="AG115" s="8">
        <f ca="1">IFERROR(__xludf.DUMMYFUNCTION("""COMPUTED_VALUE"""),1199)</f>
        <v>1199</v>
      </c>
      <c r="AH115" s="8">
        <f ca="1">IFERROR(__xludf.DUMMYFUNCTION("""COMPUTED_VALUE"""),1697)</f>
        <v>1697</v>
      </c>
      <c r="AI115" s="8">
        <f ca="1">IFERROR(__xludf.DUMMYFUNCTION("""COMPUTED_VALUE"""),1261)</f>
        <v>1261</v>
      </c>
      <c r="AJ115" s="8">
        <f ca="1">IFERROR(__xludf.DUMMYFUNCTION("""COMPUTED_VALUE"""),249)</f>
        <v>249</v>
      </c>
      <c r="AK115" s="8">
        <f ca="1">IFERROR(__xludf.DUMMYFUNCTION("""COMPUTED_VALUE"""),75)</f>
        <v>75</v>
      </c>
      <c r="AL115" s="8">
        <f ca="1">IFERROR(__xludf.DUMMYFUNCTION("""COMPUTED_VALUE"""),784)</f>
        <v>784</v>
      </c>
      <c r="AM115" s="8">
        <f ca="1">IFERROR(__xludf.DUMMYFUNCTION("""COMPUTED_VALUE"""),1074)</f>
        <v>1074</v>
      </c>
      <c r="AN115" s="8">
        <f ca="1">IFERROR(__xludf.DUMMYFUNCTION("""COMPUTED_VALUE"""),710)</f>
        <v>710</v>
      </c>
      <c r="AO115" s="8">
        <f ca="1">IFERROR(__xludf.DUMMYFUNCTION("""COMPUTED_VALUE"""),508)</f>
        <v>508</v>
      </c>
      <c r="AP115" s="8"/>
      <c r="AQ115" s="8"/>
      <c r="AR115" s="8"/>
      <c r="AS115" s="8"/>
      <c r="AT115" s="8"/>
      <c r="AU115" s="8"/>
      <c r="AV115" s="8"/>
      <c r="AW115" s="8"/>
      <c r="AX115" s="8"/>
      <c r="AY115" s="8"/>
    </row>
    <row r="116" spans="1:51" ht="13.2" x14ac:dyDescent="0.25">
      <c r="A116" s="12" t="str">
        <f ca="1">IFERROR(__xludf.DUMMYFUNCTION("""COMPUTED_VALUE"""),"                  left Olfactory tubercle")</f>
        <v xml:space="preserve">                  left Olfactory tubercle</v>
      </c>
      <c r="B116" s="12">
        <f ca="1">IFERROR(__xludf.DUMMYFUNCTION("""COMPUTED_VALUE"""),1327)</f>
        <v>1327</v>
      </c>
      <c r="C116" s="12">
        <f ca="1">IFERROR(__xludf.DUMMYFUNCTION("""COMPUTED_VALUE"""),3716)</f>
        <v>3716</v>
      </c>
      <c r="D116" s="12">
        <f ca="1">IFERROR(__xludf.DUMMYFUNCTION("""COMPUTED_VALUE"""),18119)</f>
        <v>18119</v>
      </c>
      <c r="E116" s="12">
        <f ca="1">IFERROR(__xludf.DUMMYFUNCTION("""COMPUTED_VALUE"""),6386)</f>
        <v>6386</v>
      </c>
      <c r="F116" s="12">
        <f ca="1">IFERROR(__xludf.DUMMYFUNCTION("""COMPUTED_VALUE"""),2813)</f>
        <v>2813</v>
      </c>
      <c r="G116" s="12">
        <f ca="1">IFERROR(__xludf.DUMMYFUNCTION("""COMPUTED_VALUE"""),649)</f>
        <v>649</v>
      </c>
      <c r="H116" s="12">
        <f ca="1">IFERROR(__xludf.DUMMYFUNCTION("""COMPUTED_VALUE"""),785)</f>
        <v>785</v>
      </c>
      <c r="I116" s="12">
        <f ca="1">IFERROR(__xludf.DUMMYFUNCTION("""COMPUTED_VALUE"""),261)</f>
        <v>261</v>
      </c>
      <c r="J116" s="12">
        <f ca="1">IFERROR(__xludf.DUMMYFUNCTION("""COMPUTED_VALUE"""),669)</f>
        <v>669</v>
      </c>
      <c r="K116" s="12">
        <f ca="1">IFERROR(__xludf.DUMMYFUNCTION("""COMPUTED_VALUE"""),3175)</f>
        <v>3175</v>
      </c>
      <c r="L116" s="12">
        <f ca="1">IFERROR(__xludf.DUMMYFUNCTION("""COMPUTED_VALUE"""),12964)</f>
        <v>12964</v>
      </c>
      <c r="M116" s="12">
        <f ca="1">IFERROR(__xludf.DUMMYFUNCTION("""COMPUTED_VALUE"""),8247)</f>
        <v>8247</v>
      </c>
      <c r="N116" s="12">
        <f ca="1">IFERROR(__xludf.DUMMYFUNCTION("""COMPUTED_VALUE"""),5884)</f>
        <v>5884</v>
      </c>
      <c r="O116" s="12">
        <f ca="1">IFERROR(__xludf.DUMMYFUNCTION("""COMPUTED_VALUE"""),5100)</f>
        <v>5100</v>
      </c>
      <c r="P116" s="12">
        <f ca="1">IFERROR(__xludf.DUMMYFUNCTION("""COMPUTED_VALUE"""),1678)</f>
        <v>1678</v>
      </c>
      <c r="Q116" s="12">
        <f ca="1">IFERROR(__xludf.DUMMYFUNCTION("""COMPUTED_VALUE"""),1072)</f>
        <v>1072</v>
      </c>
      <c r="R116" s="12">
        <f ca="1">IFERROR(__xludf.DUMMYFUNCTION("""COMPUTED_VALUE"""),1025)</f>
        <v>1025</v>
      </c>
      <c r="S116" s="12">
        <f ca="1">IFERROR(__xludf.DUMMYFUNCTION("""COMPUTED_VALUE"""),1747)</f>
        <v>1747</v>
      </c>
      <c r="T116" s="12">
        <f ca="1">IFERROR(__xludf.DUMMYFUNCTION("""COMPUTED_VALUE"""),6336)</f>
        <v>6336</v>
      </c>
      <c r="U116" s="12">
        <f ca="1">IFERROR(__xludf.DUMMYFUNCTION("""COMPUTED_VALUE"""),3892)</f>
        <v>3892</v>
      </c>
      <c r="V116" s="12">
        <f ca="1">IFERROR(__xludf.DUMMYFUNCTION("""COMPUTED_VALUE"""),8307)</f>
        <v>8307</v>
      </c>
      <c r="W116" s="12">
        <f ca="1">IFERROR(__xludf.DUMMYFUNCTION("""COMPUTED_VALUE"""),22095)</f>
        <v>22095</v>
      </c>
      <c r="X116" s="12">
        <f ca="1">IFERROR(__xludf.DUMMYFUNCTION("""COMPUTED_VALUE"""),25993)</f>
        <v>25993</v>
      </c>
      <c r="Y116" s="12">
        <f ca="1">IFERROR(__xludf.DUMMYFUNCTION("""COMPUTED_VALUE"""),9633)</f>
        <v>9633</v>
      </c>
      <c r="Z116" s="12">
        <f ca="1">IFERROR(__xludf.DUMMYFUNCTION("""COMPUTED_VALUE"""),15779)</f>
        <v>15779</v>
      </c>
      <c r="AA116" s="12">
        <f ca="1">IFERROR(__xludf.DUMMYFUNCTION("""COMPUTED_VALUE"""),11247)</f>
        <v>11247</v>
      </c>
      <c r="AB116" s="12">
        <f ca="1">IFERROR(__xludf.DUMMYFUNCTION("""COMPUTED_VALUE"""),3702)</f>
        <v>3702</v>
      </c>
      <c r="AC116" s="12">
        <f ca="1">IFERROR(__xludf.DUMMYFUNCTION("""COMPUTED_VALUE"""),5619)</f>
        <v>5619</v>
      </c>
      <c r="AD116" s="12">
        <f ca="1">IFERROR(__xludf.DUMMYFUNCTION("""COMPUTED_VALUE"""),11501)</f>
        <v>11501</v>
      </c>
      <c r="AE116" s="12">
        <f ca="1">IFERROR(__xludf.DUMMYFUNCTION("""COMPUTED_VALUE"""),4024)</f>
        <v>4024</v>
      </c>
      <c r="AF116" s="8">
        <f ca="1">IFERROR(__xludf.DUMMYFUNCTION("""COMPUTED_VALUE"""),19016)</f>
        <v>19016</v>
      </c>
      <c r="AG116" s="8">
        <f ca="1">IFERROR(__xludf.DUMMYFUNCTION("""COMPUTED_VALUE"""),9013)</f>
        <v>9013</v>
      </c>
      <c r="AH116" s="8">
        <f ca="1">IFERROR(__xludf.DUMMYFUNCTION("""COMPUTED_VALUE"""),17221)</f>
        <v>17221</v>
      </c>
      <c r="AI116" s="8">
        <f ca="1">IFERROR(__xludf.DUMMYFUNCTION("""COMPUTED_VALUE"""),5485)</f>
        <v>5485</v>
      </c>
      <c r="AJ116" s="8">
        <f ca="1">IFERROR(__xludf.DUMMYFUNCTION("""COMPUTED_VALUE"""),5098)</f>
        <v>5098</v>
      </c>
      <c r="AK116" s="8">
        <f ca="1">IFERROR(__xludf.DUMMYFUNCTION("""COMPUTED_VALUE"""),2606)</f>
        <v>2606</v>
      </c>
      <c r="AL116" s="8">
        <f ca="1">IFERROR(__xludf.DUMMYFUNCTION("""COMPUTED_VALUE"""),2874)</f>
        <v>2874</v>
      </c>
      <c r="AM116" s="8">
        <f ca="1">IFERROR(__xludf.DUMMYFUNCTION("""COMPUTED_VALUE"""),7610)</f>
        <v>7610</v>
      </c>
      <c r="AN116" s="8">
        <f ca="1">IFERROR(__xludf.DUMMYFUNCTION("""COMPUTED_VALUE"""),6325)</f>
        <v>6325</v>
      </c>
      <c r="AO116" s="8">
        <f ca="1">IFERROR(__xludf.DUMMYFUNCTION("""COMPUTED_VALUE"""),5697)</f>
        <v>5697</v>
      </c>
      <c r="AP116" s="8"/>
      <c r="AQ116" s="8"/>
      <c r="AR116" s="8"/>
      <c r="AS116" s="8"/>
      <c r="AT116" s="8"/>
      <c r="AU116" s="8"/>
      <c r="AV116" s="8"/>
      <c r="AW116" s="8"/>
      <c r="AX116" s="8"/>
      <c r="AY116" s="8"/>
    </row>
    <row r="117" spans="1:51" ht="13.2" x14ac:dyDescent="0.25">
      <c r="A117" s="12" t="str">
        <f ca="1">IFERROR(__xludf.DUMMYFUNCTION("""COMPUTED_VALUE"""),"               left Lateral septal complex")</f>
        <v xml:space="preserve">               left Lateral septal complex</v>
      </c>
      <c r="B117" s="12">
        <f ca="1">IFERROR(__xludf.DUMMYFUNCTION("""COMPUTED_VALUE"""),6318)</f>
        <v>6318</v>
      </c>
      <c r="C117" s="12">
        <f ca="1">IFERROR(__xludf.DUMMYFUNCTION("""COMPUTED_VALUE"""),19167)</f>
        <v>19167</v>
      </c>
      <c r="D117" s="12">
        <f ca="1">IFERROR(__xludf.DUMMYFUNCTION("""COMPUTED_VALUE"""),24466)</f>
        <v>24466</v>
      </c>
      <c r="E117" s="12">
        <f ca="1">IFERROR(__xludf.DUMMYFUNCTION("""COMPUTED_VALUE"""),21662)</f>
        <v>21662</v>
      </c>
      <c r="F117" s="12">
        <f ca="1">IFERROR(__xludf.DUMMYFUNCTION("""COMPUTED_VALUE"""),20174)</f>
        <v>20174</v>
      </c>
      <c r="G117" s="12">
        <f ca="1">IFERROR(__xludf.DUMMYFUNCTION("""COMPUTED_VALUE"""),9274)</f>
        <v>9274</v>
      </c>
      <c r="H117" s="12">
        <f ca="1">IFERROR(__xludf.DUMMYFUNCTION("""COMPUTED_VALUE"""),13680)</f>
        <v>13680</v>
      </c>
      <c r="I117" s="12">
        <f ca="1">IFERROR(__xludf.DUMMYFUNCTION("""COMPUTED_VALUE"""),11442)</f>
        <v>11442</v>
      </c>
      <c r="J117" s="12">
        <f ca="1">IFERROR(__xludf.DUMMYFUNCTION("""COMPUTED_VALUE"""),13622)</f>
        <v>13622</v>
      </c>
      <c r="K117" s="12">
        <f ca="1">IFERROR(__xludf.DUMMYFUNCTION("""COMPUTED_VALUE"""),13331)</f>
        <v>13331</v>
      </c>
      <c r="L117" s="12">
        <f ca="1">IFERROR(__xludf.DUMMYFUNCTION("""COMPUTED_VALUE"""),19465)</f>
        <v>19465</v>
      </c>
      <c r="M117" s="12">
        <f ca="1">IFERROR(__xludf.DUMMYFUNCTION("""COMPUTED_VALUE"""),17542)</f>
        <v>17542</v>
      </c>
      <c r="N117" s="12">
        <f ca="1">IFERROR(__xludf.DUMMYFUNCTION("""COMPUTED_VALUE"""),25696)</f>
        <v>25696</v>
      </c>
      <c r="O117" s="12">
        <f ca="1">IFERROR(__xludf.DUMMYFUNCTION("""COMPUTED_VALUE"""),17962)</f>
        <v>17962</v>
      </c>
      <c r="P117" s="12">
        <f ca="1">IFERROR(__xludf.DUMMYFUNCTION("""COMPUTED_VALUE"""),8642)</f>
        <v>8642</v>
      </c>
      <c r="Q117" s="12">
        <f ca="1">IFERROR(__xludf.DUMMYFUNCTION("""COMPUTED_VALUE"""),17652)</f>
        <v>17652</v>
      </c>
      <c r="R117" s="12">
        <f ca="1">IFERROR(__xludf.DUMMYFUNCTION("""COMPUTED_VALUE"""),7510)</f>
        <v>7510</v>
      </c>
      <c r="S117" s="12">
        <f ca="1">IFERROR(__xludf.DUMMYFUNCTION("""COMPUTED_VALUE"""),10623)</f>
        <v>10623</v>
      </c>
      <c r="T117" s="12">
        <f ca="1">IFERROR(__xludf.DUMMYFUNCTION("""COMPUTED_VALUE"""),10690)</f>
        <v>10690</v>
      </c>
      <c r="U117" s="12">
        <f ca="1">IFERROR(__xludf.DUMMYFUNCTION("""COMPUTED_VALUE"""),8926)</f>
        <v>8926</v>
      </c>
      <c r="V117" s="12">
        <f ca="1">IFERROR(__xludf.DUMMYFUNCTION("""COMPUTED_VALUE"""),17333)</f>
        <v>17333</v>
      </c>
      <c r="W117" s="12">
        <f ca="1">IFERROR(__xludf.DUMMYFUNCTION("""COMPUTED_VALUE"""),27216)</f>
        <v>27216</v>
      </c>
      <c r="X117" s="12">
        <f ca="1">IFERROR(__xludf.DUMMYFUNCTION("""COMPUTED_VALUE"""),31735)</f>
        <v>31735</v>
      </c>
      <c r="Y117" s="12">
        <f ca="1">IFERROR(__xludf.DUMMYFUNCTION("""COMPUTED_VALUE"""),16859)</f>
        <v>16859</v>
      </c>
      <c r="Z117" s="12">
        <f ca="1">IFERROR(__xludf.DUMMYFUNCTION("""COMPUTED_VALUE"""),16466)</f>
        <v>16466</v>
      </c>
      <c r="AA117" s="12">
        <f ca="1">IFERROR(__xludf.DUMMYFUNCTION("""COMPUTED_VALUE"""),18975)</f>
        <v>18975</v>
      </c>
      <c r="AB117" s="12">
        <f ca="1">IFERROR(__xludf.DUMMYFUNCTION("""COMPUTED_VALUE"""),7994)</f>
        <v>7994</v>
      </c>
      <c r="AC117" s="12">
        <f ca="1">IFERROR(__xludf.DUMMYFUNCTION("""COMPUTED_VALUE"""),12524)</f>
        <v>12524</v>
      </c>
      <c r="AD117" s="12">
        <f ca="1">IFERROR(__xludf.DUMMYFUNCTION("""COMPUTED_VALUE"""),10789)</f>
        <v>10789</v>
      </c>
      <c r="AE117" s="12">
        <f ca="1">IFERROR(__xludf.DUMMYFUNCTION("""COMPUTED_VALUE"""),19400)</f>
        <v>19400</v>
      </c>
      <c r="AF117" s="8">
        <f ca="1">IFERROR(__xludf.DUMMYFUNCTION("""COMPUTED_VALUE"""),34599)</f>
        <v>34599</v>
      </c>
      <c r="AG117" s="8">
        <f ca="1">IFERROR(__xludf.DUMMYFUNCTION("""COMPUTED_VALUE"""),15288)</f>
        <v>15288</v>
      </c>
      <c r="AH117" s="8">
        <f ca="1">IFERROR(__xludf.DUMMYFUNCTION("""COMPUTED_VALUE"""),12682)</f>
        <v>12682</v>
      </c>
      <c r="AI117" s="8">
        <f ca="1">IFERROR(__xludf.DUMMYFUNCTION("""COMPUTED_VALUE"""),8218)</f>
        <v>8218</v>
      </c>
      <c r="AJ117" s="8">
        <f ca="1">IFERROR(__xludf.DUMMYFUNCTION("""COMPUTED_VALUE"""),5759)</f>
        <v>5759</v>
      </c>
      <c r="AK117" s="8">
        <f ca="1">IFERROR(__xludf.DUMMYFUNCTION("""COMPUTED_VALUE"""),2812)</f>
        <v>2812</v>
      </c>
      <c r="AL117" s="8">
        <f ca="1">IFERROR(__xludf.DUMMYFUNCTION("""COMPUTED_VALUE"""),4707)</f>
        <v>4707</v>
      </c>
      <c r="AM117" s="8">
        <f ca="1">IFERROR(__xludf.DUMMYFUNCTION("""COMPUTED_VALUE"""),18497)</f>
        <v>18497</v>
      </c>
      <c r="AN117" s="8">
        <f ca="1">IFERROR(__xludf.DUMMYFUNCTION("""COMPUTED_VALUE"""),12948)</f>
        <v>12948</v>
      </c>
      <c r="AO117" s="8">
        <f ca="1">IFERROR(__xludf.DUMMYFUNCTION("""COMPUTED_VALUE"""),6595)</f>
        <v>6595</v>
      </c>
      <c r="AP117" s="8"/>
      <c r="AQ117" s="8"/>
      <c r="AR117" s="8"/>
      <c r="AS117" s="8"/>
      <c r="AT117" s="8"/>
      <c r="AU117" s="8"/>
      <c r="AV117" s="8"/>
      <c r="AW117" s="8"/>
      <c r="AX117" s="8"/>
      <c r="AY117" s="8"/>
    </row>
    <row r="118" spans="1:51" ht="13.2" x14ac:dyDescent="0.25">
      <c r="A118" s="12" t="str">
        <f ca="1">IFERROR(__xludf.DUMMYFUNCTION("""COMPUTED_VALUE"""),"                  left Lateral septal nucleus")</f>
        <v xml:space="preserve">                  left Lateral septal nucleus</v>
      </c>
      <c r="B118" s="12">
        <f ca="1">IFERROR(__xludf.DUMMYFUNCTION("""COMPUTED_VALUE"""),6017)</f>
        <v>6017</v>
      </c>
      <c r="C118" s="12">
        <f ca="1">IFERROR(__xludf.DUMMYFUNCTION("""COMPUTED_VALUE"""),18030)</f>
        <v>18030</v>
      </c>
      <c r="D118" s="12">
        <f ca="1">IFERROR(__xludf.DUMMYFUNCTION("""COMPUTED_VALUE"""),23277)</f>
        <v>23277</v>
      </c>
      <c r="E118" s="12">
        <f ca="1">IFERROR(__xludf.DUMMYFUNCTION("""COMPUTED_VALUE"""),20459)</f>
        <v>20459</v>
      </c>
      <c r="F118" s="12">
        <f ca="1">IFERROR(__xludf.DUMMYFUNCTION("""COMPUTED_VALUE"""),19155)</f>
        <v>19155</v>
      </c>
      <c r="G118" s="12">
        <f ca="1">IFERROR(__xludf.DUMMYFUNCTION("""COMPUTED_VALUE"""),8766)</f>
        <v>8766</v>
      </c>
      <c r="H118" s="12">
        <f ca="1">IFERROR(__xludf.DUMMYFUNCTION("""COMPUTED_VALUE"""),13146)</f>
        <v>13146</v>
      </c>
      <c r="I118" s="12">
        <f ca="1">IFERROR(__xludf.DUMMYFUNCTION("""COMPUTED_VALUE"""),10934)</f>
        <v>10934</v>
      </c>
      <c r="J118" s="12">
        <f ca="1">IFERROR(__xludf.DUMMYFUNCTION("""COMPUTED_VALUE"""),13224)</f>
        <v>13224</v>
      </c>
      <c r="K118" s="12">
        <f ca="1">IFERROR(__xludf.DUMMYFUNCTION("""COMPUTED_VALUE"""),12747)</f>
        <v>12747</v>
      </c>
      <c r="L118" s="12">
        <f ca="1">IFERROR(__xludf.DUMMYFUNCTION("""COMPUTED_VALUE"""),18449)</f>
        <v>18449</v>
      </c>
      <c r="M118" s="12">
        <f ca="1">IFERROR(__xludf.DUMMYFUNCTION("""COMPUTED_VALUE"""),16777)</f>
        <v>16777</v>
      </c>
      <c r="N118" s="12">
        <f ca="1">IFERROR(__xludf.DUMMYFUNCTION("""COMPUTED_VALUE"""),21474)</f>
        <v>21474</v>
      </c>
      <c r="O118" s="12">
        <f ca="1">IFERROR(__xludf.DUMMYFUNCTION("""COMPUTED_VALUE"""),17189)</f>
        <v>17189</v>
      </c>
      <c r="P118" s="12">
        <f ca="1">IFERROR(__xludf.DUMMYFUNCTION("""COMPUTED_VALUE"""),8243)</f>
        <v>8243</v>
      </c>
      <c r="Q118" s="12">
        <f ca="1">IFERROR(__xludf.DUMMYFUNCTION("""COMPUTED_VALUE"""),16962)</f>
        <v>16962</v>
      </c>
      <c r="R118" s="12">
        <f ca="1">IFERROR(__xludf.DUMMYFUNCTION("""COMPUTED_VALUE"""),7272)</f>
        <v>7272</v>
      </c>
      <c r="S118" s="12">
        <f ca="1">IFERROR(__xludf.DUMMYFUNCTION("""COMPUTED_VALUE"""),10168)</f>
        <v>10168</v>
      </c>
      <c r="T118" s="12">
        <f ca="1">IFERROR(__xludf.DUMMYFUNCTION("""COMPUTED_VALUE"""),10207)</f>
        <v>10207</v>
      </c>
      <c r="U118" s="12">
        <f ca="1">IFERROR(__xludf.DUMMYFUNCTION("""COMPUTED_VALUE"""),8037)</f>
        <v>8037</v>
      </c>
      <c r="V118" s="12">
        <f ca="1">IFERROR(__xludf.DUMMYFUNCTION("""COMPUTED_VALUE"""),16683)</f>
        <v>16683</v>
      </c>
      <c r="W118" s="12">
        <f ca="1">IFERROR(__xludf.DUMMYFUNCTION("""COMPUTED_VALUE"""),25064)</f>
        <v>25064</v>
      </c>
      <c r="X118" s="12">
        <f ca="1">IFERROR(__xludf.DUMMYFUNCTION("""COMPUTED_VALUE"""),29813)</f>
        <v>29813</v>
      </c>
      <c r="Y118" s="12">
        <f ca="1">IFERROR(__xludf.DUMMYFUNCTION("""COMPUTED_VALUE"""),15258)</f>
        <v>15258</v>
      </c>
      <c r="Z118" s="12">
        <f ca="1">IFERROR(__xludf.DUMMYFUNCTION("""COMPUTED_VALUE"""),14692)</f>
        <v>14692</v>
      </c>
      <c r="AA118" s="12">
        <f ca="1">IFERROR(__xludf.DUMMYFUNCTION("""COMPUTED_VALUE"""),16144)</f>
        <v>16144</v>
      </c>
      <c r="AB118" s="12">
        <f ca="1">IFERROR(__xludf.DUMMYFUNCTION("""COMPUTED_VALUE"""),7476)</f>
        <v>7476</v>
      </c>
      <c r="AC118" s="12">
        <f ca="1">IFERROR(__xludf.DUMMYFUNCTION("""COMPUTED_VALUE"""),11401)</f>
        <v>11401</v>
      </c>
      <c r="AD118" s="12">
        <f ca="1">IFERROR(__xludf.DUMMYFUNCTION("""COMPUTED_VALUE"""),10346)</f>
        <v>10346</v>
      </c>
      <c r="AE118" s="12">
        <f ca="1">IFERROR(__xludf.DUMMYFUNCTION("""COMPUTED_VALUE"""),18576)</f>
        <v>18576</v>
      </c>
      <c r="AF118" s="8">
        <f ca="1">IFERROR(__xludf.DUMMYFUNCTION("""COMPUTED_VALUE"""),30736)</f>
        <v>30736</v>
      </c>
      <c r="AG118" s="8">
        <f ca="1">IFERROR(__xludf.DUMMYFUNCTION("""COMPUTED_VALUE"""),13551)</f>
        <v>13551</v>
      </c>
      <c r="AH118" s="8">
        <f ca="1">IFERROR(__xludf.DUMMYFUNCTION("""COMPUTED_VALUE"""),11924)</f>
        <v>11924</v>
      </c>
      <c r="AI118" s="8">
        <f ca="1">IFERROR(__xludf.DUMMYFUNCTION("""COMPUTED_VALUE"""),7707)</f>
        <v>7707</v>
      </c>
      <c r="AJ118" s="8">
        <f ca="1">IFERROR(__xludf.DUMMYFUNCTION("""COMPUTED_VALUE"""),5118)</f>
        <v>5118</v>
      </c>
      <c r="AK118" s="8">
        <f ca="1">IFERROR(__xludf.DUMMYFUNCTION("""COMPUTED_VALUE"""),2474)</f>
        <v>2474</v>
      </c>
      <c r="AL118" s="8">
        <f ca="1">IFERROR(__xludf.DUMMYFUNCTION("""COMPUTED_VALUE"""),4245)</f>
        <v>4245</v>
      </c>
      <c r="AM118" s="8">
        <f ca="1">IFERROR(__xludf.DUMMYFUNCTION("""COMPUTED_VALUE"""),16893)</f>
        <v>16893</v>
      </c>
      <c r="AN118" s="8">
        <f ca="1">IFERROR(__xludf.DUMMYFUNCTION("""COMPUTED_VALUE"""),12354)</f>
        <v>12354</v>
      </c>
      <c r="AO118" s="8">
        <f ca="1">IFERROR(__xludf.DUMMYFUNCTION("""COMPUTED_VALUE"""),5407)</f>
        <v>5407</v>
      </c>
      <c r="AP118" s="8"/>
      <c r="AQ118" s="8"/>
      <c r="AR118" s="8"/>
      <c r="AS118" s="8"/>
      <c r="AT118" s="8"/>
      <c r="AU118" s="8"/>
      <c r="AV118" s="8"/>
      <c r="AW118" s="8"/>
      <c r="AX118" s="8"/>
      <c r="AY118" s="8"/>
    </row>
    <row r="119" spans="1:51" ht="13.2" x14ac:dyDescent="0.25">
      <c r="A119" s="12" t="str">
        <f ca="1">IFERROR(__xludf.DUMMYFUNCTION("""COMPUTED_VALUE"""),"               left Striatum-like amygdalar nuclei")</f>
        <v xml:space="preserve">               left Striatum-like amygdalar nuclei</v>
      </c>
      <c r="B119" s="12">
        <f ca="1">IFERROR(__xludf.DUMMYFUNCTION("""COMPUTED_VALUE"""),6481)</f>
        <v>6481</v>
      </c>
      <c r="C119" s="12">
        <f ca="1">IFERROR(__xludf.DUMMYFUNCTION("""COMPUTED_VALUE"""),14995)</f>
        <v>14995</v>
      </c>
      <c r="D119" s="12">
        <f ca="1">IFERROR(__xludf.DUMMYFUNCTION("""COMPUTED_VALUE"""),19462)</f>
        <v>19462</v>
      </c>
      <c r="E119" s="12">
        <f ca="1">IFERROR(__xludf.DUMMYFUNCTION("""COMPUTED_VALUE"""),14534)</f>
        <v>14534</v>
      </c>
      <c r="F119" s="12">
        <f ca="1">IFERROR(__xludf.DUMMYFUNCTION("""COMPUTED_VALUE"""),15104)</f>
        <v>15104</v>
      </c>
      <c r="G119" s="12">
        <f ca="1">IFERROR(__xludf.DUMMYFUNCTION("""COMPUTED_VALUE"""),8596)</f>
        <v>8596</v>
      </c>
      <c r="H119" s="12">
        <f ca="1">IFERROR(__xludf.DUMMYFUNCTION("""COMPUTED_VALUE"""),5871)</f>
        <v>5871</v>
      </c>
      <c r="I119" s="12">
        <f ca="1">IFERROR(__xludf.DUMMYFUNCTION("""COMPUTED_VALUE"""),5405)</f>
        <v>5405</v>
      </c>
      <c r="J119" s="12">
        <f ca="1">IFERROR(__xludf.DUMMYFUNCTION("""COMPUTED_VALUE"""),5788)</f>
        <v>5788</v>
      </c>
      <c r="K119" s="12">
        <f ca="1">IFERROR(__xludf.DUMMYFUNCTION("""COMPUTED_VALUE"""),13251)</f>
        <v>13251</v>
      </c>
      <c r="L119" s="12">
        <f ca="1">IFERROR(__xludf.DUMMYFUNCTION("""COMPUTED_VALUE"""),15738)</f>
        <v>15738</v>
      </c>
      <c r="M119" s="12">
        <f ca="1">IFERROR(__xludf.DUMMYFUNCTION("""COMPUTED_VALUE"""),16770)</f>
        <v>16770</v>
      </c>
      <c r="N119" s="12">
        <f ca="1">IFERROR(__xludf.DUMMYFUNCTION("""COMPUTED_VALUE"""),7116)</f>
        <v>7116</v>
      </c>
      <c r="O119" s="12">
        <f ca="1">IFERROR(__xludf.DUMMYFUNCTION("""COMPUTED_VALUE"""),16253)</f>
        <v>16253</v>
      </c>
      <c r="P119" s="12">
        <f ca="1">IFERROR(__xludf.DUMMYFUNCTION("""COMPUTED_VALUE"""),3631)</f>
        <v>3631</v>
      </c>
      <c r="Q119" s="12">
        <f ca="1">IFERROR(__xludf.DUMMYFUNCTION("""COMPUTED_VALUE"""),6050)</f>
        <v>6050</v>
      </c>
      <c r="R119" s="12">
        <f ca="1">IFERROR(__xludf.DUMMYFUNCTION("""COMPUTED_VALUE"""),5272)</f>
        <v>5272</v>
      </c>
      <c r="S119" s="12">
        <f ca="1">IFERROR(__xludf.DUMMYFUNCTION("""COMPUTED_VALUE"""),7363)</f>
        <v>7363</v>
      </c>
      <c r="T119" s="12">
        <f ca="1">IFERROR(__xludf.DUMMYFUNCTION("""COMPUTED_VALUE"""),16177)</f>
        <v>16177</v>
      </c>
      <c r="U119" s="12">
        <f ca="1">IFERROR(__xludf.DUMMYFUNCTION("""COMPUTED_VALUE"""),7679)</f>
        <v>7679</v>
      </c>
      <c r="V119" s="12">
        <f ca="1">IFERROR(__xludf.DUMMYFUNCTION("""COMPUTED_VALUE"""),8454)</f>
        <v>8454</v>
      </c>
      <c r="W119" s="12">
        <f ca="1">IFERROR(__xludf.DUMMYFUNCTION("""COMPUTED_VALUE"""),24093)</f>
        <v>24093</v>
      </c>
      <c r="X119" s="12">
        <f ca="1">IFERROR(__xludf.DUMMYFUNCTION("""COMPUTED_VALUE"""),16441)</f>
        <v>16441</v>
      </c>
      <c r="Y119" s="12">
        <f ca="1">IFERROR(__xludf.DUMMYFUNCTION("""COMPUTED_VALUE"""),12803)</f>
        <v>12803</v>
      </c>
      <c r="Z119" s="12">
        <f ca="1">IFERROR(__xludf.DUMMYFUNCTION("""COMPUTED_VALUE"""),16011)</f>
        <v>16011</v>
      </c>
      <c r="AA119" s="12">
        <f ca="1">IFERROR(__xludf.DUMMYFUNCTION("""COMPUTED_VALUE"""),14853)</f>
        <v>14853</v>
      </c>
      <c r="AB119" s="12">
        <f ca="1">IFERROR(__xludf.DUMMYFUNCTION("""COMPUTED_VALUE"""),19690)</f>
        <v>19690</v>
      </c>
      <c r="AC119" s="12">
        <f ca="1">IFERROR(__xludf.DUMMYFUNCTION("""COMPUTED_VALUE"""),5215)</f>
        <v>5215</v>
      </c>
      <c r="AD119" s="12">
        <f ca="1">IFERROR(__xludf.DUMMYFUNCTION("""COMPUTED_VALUE"""),15808)</f>
        <v>15808</v>
      </c>
      <c r="AE119" s="12">
        <f ca="1">IFERROR(__xludf.DUMMYFUNCTION("""COMPUTED_VALUE"""),14823)</f>
        <v>14823</v>
      </c>
      <c r="AF119" s="8">
        <f ca="1">IFERROR(__xludf.DUMMYFUNCTION("""COMPUTED_VALUE"""),22867)</f>
        <v>22867</v>
      </c>
      <c r="AG119" s="8">
        <f ca="1">IFERROR(__xludf.DUMMYFUNCTION("""COMPUTED_VALUE"""),10294)</f>
        <v>10294</v>
      </c>
      <c r="AH119" s="8">
        <f ca="1">IFERROR(__xludf.DUMMYFUNCTION("""COMPUTED_VALUE"""),15342)</f>
        <v>15342</v>
      </c>
      <c r="AI119" s="8">
        <f ca="1">IFERROR(__xludf.DUMMYFUNCTION("""COMPUTED_VALUE"""),11987)</f>
        <v>11987</v>
      </c>
      <c r="AJ119" s="8">
        <f ca="1">IFERROR(__xludf.DUMMYFUNCTION("""COMPUTED_VALUE"""),5893)</f>
        <v>5893</v>
      </c>
      <c r="AK119" s="8">
        <f ca="1">IFERROR(__xludf.DUMMYFUNCTION("""COMPUTED_VALUE"""),4722)</f>
        <v>4722</v>
      </c>
      <c r="AL119" s="8">
        <f ca="1">IFERROR(__xludf.DUMMYFUNCTION("""COMPUTED_VALUE"""),3328)</f>
        <v>3328</v>
      </c>
      <c r="AM119" s="8">
        <f ca="1">IFERROR(__xludf.DUMMYFUNCTION("""COMPUTED_VALUE"""),13758)</f>
        <v>13758</v>
      </c>
      <c r="AN119" s="8">
        <f ca="1">IFERROR(__xludf.DUMMYFUNCTION("""COMPUTED_VALUE"""),8313)</f>
        <v>8313</v>
      </c>
      <c r="AO119" s="8">
        <f ca="1">IFERROR(__xludf.DUMMYFUNCTION("""COMPUTED_VALUE"""),7940)</f>
        <v>7940</v>
      </c>
      <c r="AP119" s="8"/>
      <c r="AQ119" s="8"/>
      <c r="AR119" s="8"/>
      <c r="AS119" s="8"/>
      <c r="AT119" s="8"/>
      <c r="AU119" s="8"/>
      <c r="AV119" s="8"/>
      <c r="AW119" s="8"/>
      <c r="AX119" s="8"/>
      <c r="AY119" s="8"/>
    </row>
    <row r="120" spans="1:51" ht="13.2" x14ac:dyDescent="0.25">
      <c r="A120" s="12" t="str">
        <f ca="1">IFERROR(__xludf.DUMMYFUNCTION("""COMPUTED_VALUE"""),"                  left Anterior amygdalar area")</f>
        <v xml:space="preserve">                  left Anterior amygdalar area</v>
      </c>
      <c r="B120" s="12">
        <f ca="1">IFERROR(__xludf.DUMMYFUNCTION("""COMPUTED_VALUE"""),682)</f>
        <v>682</v>
      </c>
      <c r="C120" s="12">
        <f ca="1">IFERROR(__xludf.DUMMYFUNCTION("""COMPUTED_VALUE"""),852)</f>
        <v>852</v>
      </c>
      <c r="D120" s="12">
        <f ca="1">IFERROR(__xludf.DUMMYFUNCTION("""COMPUTED_VALUE"""),1831)</f>
        <v>1831</v>
      </c>
      <c r="E120" s="12">
        <f ca="1">IFERROR(__xludf.DUMMYFUNCTION("""COMPUTED_VALUE"""),1352)</f>
        <v>1352</v>
      </c>
      <c r="F120" s="12">
        <f ca="1">IFERROR(__xludf.DUMMYFUNCTION("""COMPUTED_VALUE"""),857)</f>
        <v>857</v>
      </c>
      <c r="G120" s="12">
        <f ca="1">IFERROR(__xludf.DUMMYFUNCTION("""COMPUTED_VALUE"""),614)</f>
        <v>614</v>
      </c>
      <c r="H120" s="12">
        <f ca="1">IFERROR(__xludf.DUMMYFUNCTION("""COMPUTED_VALUE"""),283)</f>
        <v>283</v>
      </c>
      <c r="I120" s="12">
        <f ca="1">IFERROR(__xludf.DUMMYFUNCTION("""COMPUTED_VALUE"""),242)</f>
        <v>242</v>
      </c>
      <c r="J120" s="12">
        <f ca="1">IFERROR(__xludf.DUMMYFUNCTION("""COMPUTED_VALUE"""),413)</f>
        <v>413</v>
      </c>
      <c r="K120" s="12">
        <f ca="1">IFERROR(__xludf.DUMMYFUNCTION("""COMPUTED_VALUE"""),838)</f>
        <v>838</v>
      </c>
      <c r="L120" s="12">
        <f ca="1">IFERROR(__xludf.DUMMYFUNCTION("""COMPUTED_VALUE"""),1216)</f>
        <v>1216</v>
      </c>
      <c r="M120" s="12">
        <f ca="1">IFERROR(__xludf.DUMMYFUNCTION("""COMPUTED_VALUE"""),1133)</f>
        <v>1133</v>
      </c>
      <c r="N120" s="12">
        <f ca="1">IFERROR(__xludf.DUMMYFUNCTION("""COMPUTED_VALUE"""),499)</f>
        <v>499</v>
      </c>
      <c r="O120" s="12">
        <f ca="1">IFERROR(__xludf.DUMMYFUNCTION("""COMPUTED_VALUE"""),1233)</f>
        <v>1233</v>
      </c>
      <c r="P120" s="12">
        <f ca="1">IFERROR(__xludf.DUMMYFUNCTION("""COMPUTED_VALUE"""),352)</f>
        <v>352</v>
      </c>
      <c r="Q120" s="12">
        <f ca="1">IFERROR(__xludf.DUMMYFUNCTION("""COMPUTED_VALUE"""),425)</f>
        <v>425</v>
      </c>
      <c r="R120" s="12">
        <f ca="1">IFERROR(__xludf.DUMMYFUNCTION("""COMPUTED_VALUE"""),82)</f>
        <v>82</v>
      </c>
      <c r="S120" s="12">
        <f ca="1">IFERROR(__xludf.DUMMYFUNCTION("""COMPUTED_VALUE"""),347)</f>
        <v>347</v>
      </c>
      <c r="T120" s="12">
        <f ca="1">IFERROR(__xludf.DUMMYFUNCTION("""COMPUTED_VALUE"""),523)</f>
        <v>523</v>
      </c>
      <c r="U120" s="12">
        <f ca="1">IFERROR(__xludf.DUMMYFUNCTION("""COMPUTED_VALUE"""),420)</f>
        <v>420</v>
      </c>
      <c r="V120" s="12">
        <f ca="1">IFERROR(__xludf.DUMMYFUNCTION("""COMPUTED_VALUE"""),634)</f>
        <v>634</v>
      </c>
      <c r="W120" s="12">
        <f ca="1">IFERROR(__xludf.DUMMYFUNCTION("""COMPUTED_VALUE"""),2699)</f>
        <v>2699</v>
      </c>
      <c r="X120" s="12">
        <f ca="1">IFERROR(__xludf.DUMMYFUNCTION("""COMPUTED_VALUE"""),1819)</f>
        <v>1819</v>
      </c>
      <c r="Y120" s="12">
        <f ca="1">IFERROR(__xludf.DUMMYFUNCTION("""COMPUTED_VALUE"""),545)</f>
        <v>545</v>
      </c>
      <c r="Z120" s="12">
        <f ca="1">IFERROR(__xludf.DUMMYFUNCTION("""COMPUTED_VALUE"""),889)</f>
        <v>889</v>
      </c>
      <c r="AA120" s="12">
        <f ca="1">IFERROR(__xludf.DUMMYFUNCTION("""COMPUTED_VALUE"""),716)</f>
        <v>716</v>
      </c>
      <c r="AB120" s="12">
        <f ca="1">IFERROR(__xludf.DUMMYFUNCTION("""COMPUTED_VALUE"""),587)</f>
        <v>587</v>
      </c>
      <c r="AC120" s="12">
        <f ca="1">IFERROR(__xludf.DUMMYFUNCTION("""COMPUTED_VALUE"""),69)</f>
        <v>69</v>
      </c>
      <c r="AD120" s="12">
        <f ca="1">IFERROR(__xludf.DUMMYFUNCTION("""COMPUTED_VALUE"""),1122)</f>
        <v>1122</v>
      </c>
      <c r="AE120" s="12">
        <f ca="1">IFERROR(__xludf.DUMMYFUNCTION("""COMPUTED_VALUE"""),1052)</f>
        <v>1052</v>
      </c>
      <c r="AF120" s="8">
        <f ca="1">IFERROR(__xludf.DUMMYFUNCTION("""COMPUTED_VALUE"""),1090)</f>
        <v>1090</v>
      </c>
      <c r="AG120" s="8">
        <f ca="1">IFERROR(__xludf.DUMMYFUNCTION("""COMPUTED_VALUE"""),778)</f>
        <v>778</v>
      </c>
      <c r="AH120" s="8">
        <f ca="1">IFERROR(__xludf.DUMMYFUNCTION("""COMPUTED_VALUE"""),1678)</f>
        <v>1678</v>
      </c>
      <c r="AI120" s="8">
        <f ca="1">IFERROR(__xludf.DUMMYFUNCTION("""COMPUTED_VALUE"""),598)</f>
        <v>598</v>
      </c>
      <c r="AJ120" s="8">
        <f ca="1">IFERROR(__xludf.DUMMYFUNCTION("""COMPUTED_VALUE"""),293)</f>
        <v>293</v>
      </c>
      <c r="AK120" s="8">
        <f ca="1">IFERROR(__xludf.DUMMYFUNCTION("""COMPUTED_VALUE"""),50)</f>
        <v>50</v>
      </c>
      <c r="AL120" s="8">
        <f ca="1">IFERROR(__xludf.DUMMYFUNCTION("""COMPUTED_VALUE"""),187)</f>
        <v>187</v>
      </c>
      <c r="AM120" s="8">
        <f ca="1">IFERROR(__xludf.DUMMYFUNCTION("""COMPUTED_VALUE"""),162)</f>
        <v>162</v>
      </c>
      <c r="AN120" s="8">
        <f ca="1">IFERROR(__xludf.DUMMYFUNCTION("""COMPUTED_VALUE"""),411)</f>
        <v>411</v>
      </c>
      <c r="AO120" s="8">
        <f ca="1">IFERROR(__xludf.DUMMYFUNCTION("""COMPUTED_VALUE"""),319)</f>
        <v>319</v>
      </c>
      <c r="AP120" s="8"/>
      <c r="AQ120" s="8"/>
      <c r="AR120" s="8"/>
      <c r="AS120" s="8"/>
      <c r="AT120" s="8"/>
      <c r="AU120" s="8"/>
      <c r="AV120" s="8"/>
      <c r="AW120" s="8"/>
      <c r="AX120" s="8"/>
      <c r="AY120" s="8"/>
    </row>
    <row r="121" spans="1:51" ht="13.2" x14ac:dyDescent="0.25">
      <c r="A121" s="12" t="str">
        <f ca="1">IFERROR(__xludf.DUMMYFUNCTION("""COMPUTED_VALUE"""),"                  left Bed nucleus of the accessory olfactory tract")</f>
        <v xml:space="preserve">                  left Bed nucleus of the accessory olfactory tract</v>
      </c>
      <c r="B121" s="12">
        <f ca="1">IFERROR(__xludf.DUMMYFUNCTION("""COMPUTED_VALUE"""),16)</f>
        <v>16</v>
      </c>
      <c r="C121" s="12">
        <f ca="1">IFERROR(__xludf.DUMMYFUNCTION("""COMPUTED_VALUE"""),10)</f>
        <v>10</v>
      </c>
      <c r="D121" s="12">
        <f ca="1">IFERROR(__xludf.DUMMYFUNCTION("""COMPUTED_VALUE"""),142)</f>
        <v>142</v>
      </c>
      <c r="E121" s="12">
        <f ca="1">IFERROR(__xludf.DUMMYFUNCTION("""COMPUTED_VALUE"""),56)</f>
        <v>56</v>
      </c>
      <c r="F121" s="12">
        <f ca="1">IFERROR(__xludf.DUMMYFUNCTION("""COMPUTED_VALUE"""),2)</f>
        <v>2</v>
      </c>
      <c r="G121" s="12">
        <f ca="1">IFERROR(__xludf.DUMMYFUNCTION("""COMPUTED_VALUE"""),1)</f>
        <v>1</v>
      </c>
      <c r="H121" s="12">
        <f ca="1">IFERROR(__xludf.DUMMYFUNCTION("""COMPUTED_VALUE"""),1)</f>
        <v>1</v>
      </c>
      <c r="I121" s="12">
        <f ca="1">IFERROR(__xludf.DUMMYFUNCTION("""COMPUTED_VALUE"""),0)</f>
        <v>0</v>
      </c>
      <c r="J121" s="12">
        <f ca="1">IFERROR(__xludf.DUMMYFUNCTION("""COMPUTED_VALUE"""),2)</f>
        <v>2</v>
      </c>
      <c r="K121" s="12">
        <f ca="1">IFERROR(__xludf.DUMMYFUNCTION("""COMPUTED_VALUE"""),8)</f>
        <v>8</v>
      </c>
      <c r="L121" s="12">
        <f ca="1">IFERROR(__xludf.DUMMYFUNCTION("""COMPUTED_VALUE"""),88)</f>
        <v>88</v>
      </c>
      <c r="M121" s="12">
        <f ca="1">IFERROR(__xludf.DUMMYFUNCTION("""COMPUTED_VALUE"""),7)</f>
        <v>7</v>
      </c>
      <c r="N121" s="12">
        <f ca="1">IFERROR(__xludf.DUMMYFUNCTION("""COMPUTED_VALUE"""),29)</f>
        <v>29</v>
      </c>
      <c r="O121" s="12">
        <f ca="1">IFERROR(__xludf.DUMMYFUNCTION("""COMPUTED_VALUE"""),6)</f>
        <v>6</v>
      </c>
      <c r="P121" s="12">
        <f ca="1">IFERROR(__xludf.DUMMYFUNCTION("""COMPUTED_VALUE"""),1)</f>
        <v>1</v>
      </c>
      <c r="Q121" s="12">
        <f ca="1">IFERROR(__xludf.DUMMYFUNCTION("""COMPUTED_VALUE"""),0)</f>
        <v>0</v>
      </c>
      <c r="R121" s="12">
        <f ca="1">IFERROR(__xludf.DUMMYFUNCTION("""COMPUTED_VALUE"""),5)</f>
        <v>5</v>
      </c>
      <c r="S121" s="12">
        <f ca="1">IFERROR(__xludf.DUMMYFUNCTION("""COMPUTED_VALUE"""),34)</f>
        <v>34</v>
      </c>
      <c r="T121" s="12">
        <f ca="1">IFERROR(__xludf.DUMMYFUNCTION("""COMPUTED_VALUE"""),28)</f>
        <v>28</v>
      </c>
      <c r="U121" s="12">
        <f ca="1">IFERROR(__xludf.DUMMYFUNCTION("""COMPUTED_VALUE"""),0)</f>
        <v>0</v>
      </c>
      <c r="V121" s="12">
        <f ca="1">IFERROR(__xludf.DUMMYFUNCTION("""COMPUTED_VALUE"""),14)</f>
        <v>14</v>
      </c>
      <c r="W121" s="12">
        <f ca="1">IFERROR(__xludf.DUMMYFUNCTION("""COMPUTED_VALUE"""),3)</f>
        <v>3</v>
      </c>
      <c r="X121" s="12">
        <f ca="1">IFERROR(__xludf.DUMMYFUNCTION("""COMPUTED_VALUE"""),83)</f>
        <v>83</v>
      </c>
      <c r="Y121" s="12">
        <f ca="1">IFERROR(__xludf.DUMMYFUNCTION("""COMPUTED_VALUE"""),3)</f>
        <v>3</v>
      </c>
      <c r="Z121" s="12">
        <f ca="1">IFERROR(__xludf.DUMMYFUNCTION("""COMPUTED_VALUE"""),0)</f>
        <v>0</v>
      </c>
      <c r="AA121" s="12">
        <f ca="1">IFERROR(__xludf.DUMMYFUNCTION("""COMPUTED_VALUE"""),4)</f>
        <v>4</v>
      </c>
      <c r="AB121" s="12">
        <f ca="1">IFERROR(__xludf.DUMMYFUNCTION("""COMPUTED_VALUE"""),1)</f>
        <v>1</v>
      </c>
      <c r="AC121" s="12">
        <f ca="1">IFERROR(__xludf.DUMMYFUNCTION("""COMPUTED_VALUE"""),30)</f>
        <v>30</v>
      </c>
      <c r="AD121" s="12">
        <f ca="1">IFERROR(__xludf.DUMMYFUNCTION("""COMPUTED_VALUE"""),8)</f>
        <v>8</v>
      </c>
      <c r="AE121" s="12">
        <f ca="1">IFERROR(__xludf.DUMMYFUNCTION("""COMPUTED_VALUE"""),33)</f>
        <v>33</v>
      </c>
      <c r="AF121" s="8">
        <f ca="1">IFERROR(__xludf.DUMMYFUNCTION("""COMPUTED_VALUE"""),62)</f>
        <v>62</v>
      </c>
      <c r="AG121" s="8">
        <f ca="1">IFERROR(__xludf.DUMMYFUNCTION("""COMPUTED_VALUE"""),6)</f>
        <v>6</v>
      </c>
      <c r="AH121" s="8">
        <f ca="1">IFERROR(__xludf.DUMMYFUNCTION("""COMPUTED_VALUE"""),120)</f>
        <v>120</v>
      </c>
      <c r="AI121" s="8">
        <f ca="1">IFERROR(__xludf.DUMMYFUNCTION("""COMPUTED_VALUE"""),12)</f>
        <v>12</v>
      </c>
      <c r="AJ121" s="8">
        <f ca="1">IFERROR(__xludf.DUMMYFUNCTION("""COMPUTED_VALUE"""),0)</f>
        <v>0</v>
      </c>
      <c r="AK121" s="8">
        <f ca="1">IFERROR(__xludf.DUMMYFUNCTION("""COMPUTED_VALUE"""),9)</f>
        <v>9</v>
      </c>
      <c r="AL121" s="8">
        <f ca="1">IFERROR(__xludf.DUMMYFUNCTION("""COMPUTED_VALUE"""),6)</f>
        <v>6</v>
      </c>
      <c r="AM121" s="8">
        <f ca="1">IFERROR(__xludf.DUMMYFUNCTION("""COMPUTED_VALUE"""),4)</f>
        <v>4</v>
      </c>
      <c r="AN121" s="8">
        <f ca="1">IFERROR(__xludf.DUMMYFUNCTION("""COMPUTED_VALUE"""),0)</f>
        <v>0</v>
      </c>
      <c r="AO121" s="8">
        <f ca="1">IFERROR(__xludf.DUMMYFUNCTION("""COMPUTED_VALUE"""),115)</f>
        <v>115</v>
      </c>
      <c r="AP121" s="8"/>
      <c r="AQ121" s="8"/>
      <c r="AR121" s="8"/>
      <c r="AS121" s="8"/>
      <c r="AT121" s="8"/>
      <c r="AU121" s="8"/>
      <c r="AV121" s="8"/>
      <c r="AW121" s="8"/>
      <c r="AX121" s="8"/>
      <c r="AY121" s="8"/>
    </row>
    <row r="122" spans="1:51" ht="13.2" x14ac:dyDescent="0.25">
      <c r="A122" s="12" t="str">
        <f ca="1">IFERROR(__xludf.DUMMYFUNCTION("""COMPUTED_VALUE"""),"                  left Central amygdalar nucleus")</f>
        <v xml:space="preserve">                  left Central amygdalar nucleus</v>
      </c>
      <c r="B122" s="12">
        <f ca="1">IFERROR(__xludf.DUMMYFUNCTION("""COMPUTED_VALUE"""),2152)</f>
        <v>2152</v>
      </c>
      <c r="C122" s="12">
        <f ca="1">IFERROR(__xludf.DUMMYFUNCTION("""COMPUTED_VALUE"""),4924)</f>
        <v>4924</v>
      </c>
      <c r="D122" s="12">
        <f ca="1">IFERROR(__xludf.DUMMYFUNCTION("""COMPUTED_VALUE"""),7911)</f>
        <v>7911</v>
      </c>
      <c r="E122" s="12">
        <f ca="1">IFERROR(__xludf.DUMMYFUNCTION("""COMPUTED_VALUE"""),4353)</f>
        <v>4353</v>
      </c>
      <c r="F122" s="12">
        <f ca="1">IFERROR(__xludf.DUMMYFUNCTION("""COMPUTED_VALUE"""),6647)</f>
        <v>6647</v>
      </c>
      <c r="G122" s="12">
        <f ca="1">IFERROR(__xludf.DUMMYFUNCTION("""COMPUTED_VALUE"""),5317)</f>
        <v>5317</v>
      </c>
      <c r="H122" s="12">
        <f ca="1">IFERROR(__xludf.DUMMYFUNCTION("""COMPUTED_VALUE"""),2612)</f>
        <v>2612</v>
      </c>
      <c r="I122" s="12">
        <f ca="1">IFERROR(__xludf.DUMMYFUNCTION("""COMPUTED_VALUE"""),3395)</f>
        <v>3395</v>
      </c>
      <c r="J122" s="12">
        <f ca="1">IFERROR(__xludf.DUMMYFUNCTION("""COMPUTED_VALUE"""),2871)</f>
        <v>2871</v>
      </c>
      <c r="K122" s="12">
        <f ca="1">IFERROR(__xludf.DUMMYFUNCTION("""COMPUTED_VALUE"""),4218)</f>
        <v>4218</v>
      </c>
      <c r="L122" s="12">
        <f ca="1">IFERROR(__xludf.DUMMYFUNCTION("""COMPUTED_VALUE"""),3385)</f>
        <v>3385</v>
      </c>
      <c r="M122" s="12">
        <f ca="1">IFERROR(__xludf.DUMMYFUNCTION("""COMPUTED_VALUE"""),5005)</f>
        <v>5005</v>
      </c>
      <c r="N122" s="12">
        <f ca="1">IFERROR(__xludf.DUMMYFUNCTION("""COMPUTED_VALUE"""),2896)</f>
        <v>2896</v>
      </c>
      <c r="O122" s="12">
        <f ca="1">IFERROR(__xludf.DUMMYFUNCTION("""COMPUTED_VALUE"""),4522)</f>
        <v>4522</v>
      </c>
      <c r="P122" s="12">
        <f ca="1">IFERROR(__xludf.DUMMYFUNCTION("""COMPUTED_VALUE"""),1179)</f>
        <v>1179</v>
      </c>
      <c r="Q122" s="12">
        <f ca="1">IFERROR(__xludf.DUMMYFUNCTION("""COMPUTED_VALUE"""),1740)</f>
        <v>1740</v>
      </c>
      <c r="R122" s="12">
        <f ca="1">IFERROR(__xludf.DUMMYFUNCTION("""COMPUTED_VALUE"""),3098)</f>
        <v>3098</v>
      </c>
      <c r="S122" s="12">
        <f ca="1">IFERROR(__xludf.DUMMYFUNCTION("""COMPUTED_VALUE"""),1715)</f>
        <v>1715</v>
      </c>
      <c r="T122" s="12">
        <f ca="1">IFERROR(__xludf.DUMMYFUNCTION("""COMPUTED_VALUE"""),2819)</f>
        <v>2819</v>
      </c>
      <c r="U122" s="12">
        <f ca="1">IFERROR(__xludf.DUMMYFUNCTION("""COMPUTED_VALUE"""),2094)</f>
        <v>2094</v>
      </c>
      <c r="V122" s="12">
        <f ca="1">IFERROR(__xludf.DUMMYFUNCTION("""COMPUTED_VALUE"""),2656)</f>
        <v>2656</v>
      </c>
      <c r="W122" s="12">
        <f ca="1">IFERROR(__xludf.DUMMYFUNCTION("""COMPUTED_VALUE"""),8535)</f>
        <v>8535</v>
      </c>
      <c r="X122" s="12">
        <f ca="1">IFERROR(__xludf.DUMMYFUNCTION("""COMPUTED_VALUE"""),5789)</f>
        <v>5789</v>
      </c>
      <c r="Y122" s="12">
        <f ca="1">IFERROR(__xludf.DUMMYFUNCTION("""COMPUTED_VALUE"""),3873)</f>
        <v>3873</v>
      </c>
      <c r="Z122" s="12">
        <f ca="1">IFERROR(__xludf.DUMMYFUNCTION("""COMPUTED_VALUE"""),4515)</f>
        <v>4515</v>
      </c>
      <c r="AA122" s="12">
        <f ca="1">IFERROR(__xludf.DUMMYFUNCTION("""COMPUTED_VALUE"""),3279)</f>
        <v>3279</v>
      </c>
      <c r="AB122" s="12">
        <f ca="1">IFERROR(__xludf.DUMMYFUNCTION("""COMPUTED_VALUE"""),6829)</f>
        <v>6829</v>
      </c>
      <c r="AC122" s="12">
        <f ca="1">IFERROR(__xludf.DUMMYFUNCTION("""COMPUTED_VALUE"""),553)</f>
        <v>553</v>
      </c>
      <c r="AD122" s="12">
        <f ca="1">IFERROR(__xludf.DUMMYFUNCTION("""COMPUTED_VALUE"""),4596)</f>
        <v>4596</v>
      </c>
      <c r="AE122" s="12">
        <f ca="1">IFERROR(__xludf.DUMMYFUNCTION("""COMPUTED_VALUE"""),2891)</f>
        <v>2891</v>
      </c>
      <c r="AF122" s="8">
        <f ca="1">IFERROR(__xludf.DUMMYFUNCTION("""COMPUTED_VALUE"""),5890)</f>
        <v>5890</v>
      </c>
      <c r="AG122" s="8">
        <f ca="1">IFERROR(__xludf.DUMMYFUNCTION("""COMPUTED_VALUE"""),2600)</f>
        <v>2600</v>
      </c>
      <c r="AH122" s="8">
        <f ca="1">IFERROR(__xludf.DUMMYFUNCTION("""COMPUTED_VALUE"""),5091)</f>
        <v>5091</v>
      </c>
      <c r="AI122" s="8">
        <f ca="1">IFERROR(__xludf.DUMMYFUNCTION("""COMPUTED_VALUE"""),4225)</f>
        <v>4225</v>
      </c>
      <c r="AJ122" s="8">
        <f ca="1">IFERROR(__xludf.DUMMYFUNCTION("""COMPUTED_VALUE"""),835)</f>
        <v>835</v>
      </c>
      <c r="AK122" s="8">
        <f ca="1">IFERROR(__xludf.DUMMYFUNCTION("""COMPUTED_VALUE"""),667)</f>
        <v>667</v>
      </c>
      <c r="AL122" s="8">
        <f ca="1">IFERROR(__xludf.DUMMYFUNCTION("""COMPUTED_VALUE"""),1437)</f>
        <v>1437</v>
      </c>
      <c r="AM122" s="8">
        <f ca="1">IFERROR(__xludf.DUMMYFUNCTION("""COMPUTED_VALUE"""),4509)</f>
        <v>4509</v>
      </c>
      <c r="AN122" s="8">
        <f ca="1">IFERROR(__xludf.DUMMYFUNCTION("""COMPUTED_VALUE"""),2282)</f>
        <v>2282</v>
      </c>
      <c r="AO122" s="8">
        <f ca="1">IFERROR(__xludf.DUMMYFUNCTION("""COMPUTED_VALUE"""),2790)</f>
        <v>2790</v>
      </c>
      <c r="AP122" s="8"/>
      <c r="AQ122" s="8"/>
      <c r="AR122" s="8"/>
      <c r="AS122" s="8"/>
      <c r="AT122" s="8"/>
      <c r="AU122" s="8"/>
      <c r="AV122" s="8"/>
      <c r="AW122" s="8"/>
      <c r="AX122" s="8"/>
      <c r="AY122" s="8"/>
    </row>
    <row r="123" spans="1:51" ht="13.2" x14ac:dyDescent="0.25">
      <c r="A123" s="12" t="str">
        <f ca="1">IFERROR(__xludf.DUMMYFUNCTION("""COMPUTED_VALUE"""),"                  left Intercalated amygdalar nucleus")</f>
        <v xml:space="preserve">                  left Intercalated amygdalar nucleus</v>
      </c>
      <c r="B123" s="12">
        <f ca="1">IFERROR(__xludf.DUMMYFUNCTION("""COMPUTED_VALUE"""),348)</f>
        <v>348</v>
      </c>
      <c r="C123" s="12">
        <f ca="1">IFERROR(__xludf.DUMMYFUNCTION("""COMPUTED_VALUE"""),898)</f>
        <v>898</v>
      </c>
      <c r="D123" s="12">
        <f ca="1">IFERROR(__xludf.DUMMYFUNCTION("""COMPUTED_VALUE"""),903)</f>
        <v>903</v>
      </c>
      <c r="E123" s="12">
        <f ca="1">IFERROR(__xludf.DUMMYFUNCTION("""COMPUTED_VALUE"""),1009)</f>
        <v>1009</v>
      </c>
      <c r="F123" s="12">
        <f ca="1">IFERROR(__xludf.DUMMYFUNCTION("""COMPUTED_VALUE"""),634)</f>
        <v>634</v>
      </c>
      <c r="G123" s="12">
        <f ca="1">IFERROR(__xludf.DUMMYFUNCTION("""COMPUTED_VALUE"""),527)</f>
        <v>527</v>
      </c>
      <c r="H123" s="12">
        <f ca="1">IFERROR(__xludf.DUMMYFUNCTION("""COMPUTED_VALUE"""),486)</f>
        <v>486</v>
      </c>
      <c r="I123" s="12">
        <f ca="1">IFERROR(__xludf.DUMMYFUNCTION("""COMPUTED_VALUE"""),260)</f>
        <v>260</v>
      </c>
      <c r="J123" s="12">
        <f ca="1">IFERROR(__xludf.DUMMYFUNCTION("""COMPUTED_VALUE"""),399)</f>
        <v>399</v>
      </c>
      <c r="K123" s="12">
        <f ca="1">IFERROR(__xludf.DUMMYFUNCTION("""COMPUTED_VALUE"""),876)</f>
        <v>876</v>
      </c>
      <c r="L123" s="12">
        <f ca="1">IFERROR(__xludf.DUMMYFUNCTION("""COMPUTED_VALUE"""),496)</f>
        <v>496</v>
      </c>
      <c r="M123" s="12">
        <f ca="1">IFERROR(__xludf.DUMMYFUNCTION("""COMPUTED_VALUE"""),589)</f>
        <v>589</v>
      </c>
      <c r="N123" s="12">
        <f ca="1">IFERROR(__xludf.DUMMYFUNCTION("""COMPUTED_VALUE"""),299)</f>
        <v>299</v>
      </c>
      <c r="O123" s="12">
        <f ca="1">IFERROR(__xludf.DUMMYFUNCTION("""COMPUTED_VALUE"""),1075)</f>
        <v>1075</v>
      </c>
      <c r="P123" s="12">
        <f ca="1">IFERROR(__xludf.DUMMYFUNCTION("""COMPUTED_VALUE"""),137)</f>
        <v>137</v>
      </c>
      <c r="Q123" s="12">
        <f ca="1">IFERROR(__xludf.DUMMYFUNCTION("""COMPUTED_VALUE"""),382)</f>
        <v>382</v>
      </c>
      <c r="R123" s="12">
        <f ca="1">IFERROR(__xludf.DUMMYFUNCTION("""COMPUTED_VALUE"""),320)</f>
        <v>320</v>
      </c>
      <c r="S123" s="12">
        <f ca="1">IFERROR(__xludf.DUMMYFUNCTION("""COMPUTED_VALUE"""),365)</f>
        <v>365</v>
      </c>
      <c r="T123" s="12">
        <f ca="1">IFERROR(__xludf.DUMMYFUNCTION("""COMPUTED_VALUE"""),943)</f>
        <v>943</v>
      </c>
      <c r="U123" s="12">
        <f ca="1">IFERROR(__xludf.DUMMYFUNCTION("""COMPUTED_VALUE"""),447)</f>
        <v>447</v>
      </c>
      <c r="V123" s="12">
        <f ca="1">IFERROR(__xludf.DUMMYFUNCTION("""COMPUTED_VALUE"""),376)</f>
        <v>376</v>
      </c>
      <c r="W123" s="12">
        <f ca="1">IFERROR(__xludf.DUMMYFUNCTION("""COMPUTED_VALUE"""),1059)</f>
        <v>1059</v>
      </c>
      <c r="X123" s="12">
        <f ca="1">IFERROR(__xludf.DUMMYFUNCTION("""COMPUTED_VALUE"""),914)</f>
        <v>914</v>
      </c>
      <c r="Y123" s="12">
        <f ca="1">IFERROR(__xludf.DUMMYFUNCTION("""COMPUTED_VALUE"""),608)</f>
        <v>608</v>
      </c>
      <c r="Z123" s="12">
        <f ca="1">IFERROR(__xludf.DUMMYFUNCTION("""COMPUTED_VALUE"""),1146)</f>
        <v>1146</v>
      </c>
      <c r="AA123" s="12">
        <f ca="1">IFERROR(__xludf.DUMMYFUNCTION("""COMPUTED_VALUE"""),869)</f>
        <v>869</v>
      </c>
      <c r="AB123" s="12">
        <f ca="1">IFERROR(__xludf.DUMMYFUNCTION("""COMPUTED_VALUE"""),782)</f>
        <v>782</v>
      </c>
      <c r="AC123" s="12">
        <f ca="1">IFERROR(__xludf.DUMMYFUNCTION("""COMPUTED_VALUE"""),369)</f>
        <v>369</v>
      </c>
      <c r="AD123" s="12">
        <f ca="1">IFERROR(__xludf.DUMMYFUNCTION("""COMPUTED_VALUE"""),618)</f>
        <v>618</v>
      </c>
      <c r="AE123" s="12">
        <f ca="1">IFERROR(__xludf.DUMMYFUNCTION("""COMPUTED_VALUE"""),858)</f>
        <v>858</v>
      </c>
      <c r="AF123" s="8">
        <f ca="1">IFERROR(__xludf.DUMMYFUNCTION("""COMPUTED_VALUE"""),864)</f>
        <v>864</v>
      </c>
      <c r="AG123" s="8">
        <f ca="1">IFERROR(__xludf.DUMMYFUNCTION("""COMPUTED_VALUE"""),570)</f>
        <v>570</v>
      </c>
      <c r="AH123" s="8">
        <f ca="1">IFERROR(__xludf.DUMMYFUNCTION("""COMPUTED_VALUE"""),740)</f>
        <v>740</v>
      </c>
      <c r="AI123" s="8">
        <f ca="1">IFERROR(__xludf.DUMMYFUNCTION("""COMPUTED_VALUE"""),634)</f>
        <v>634</v>
      </c>
      <c r="AJ123" s="8">
        <f ca="1">IFERROR(__xludf.DUMMYFUNCTION("""COMPUTED_VALUE"""),493)</f>
        <v>493</v>
      </c>
      <c r="AK123" s="8">
        <f ca="1">IFERROR(__xludf.DUMMYFUNCTION("""COMPUTED_VALUE"""),378)</f>
        <v>378</v>
      </c>
      <c r="AL123" s="8">
        <f ca="1">IFERROR(__xludf.DUMMYFUNCTION("""COMPUTED_VALUE"""),384)</f>
        <v>384</v>
      </c>
      <c r="AM123" s="8">
        <f ca="1">IFERROR(__xludf.DUMMYFUNCTION("""COMPUTED_VALUE"""),646)</f>
        <v>646</v>
      </c>
      <c r="AN123" s="8">
        <f ca="1">IFERROR(__xludf.DUMMYFUNCTION("""COMPUTED_VALUE"""),564)</f>
        <v>564</v>
      </c>
      <c r="AO123" s="8">
        <f ca="1">IFERROR(__xludf.DUMMYFUNCTION("""COMPUTED_VALUE"""),485)</f>
        <v>485</v>
      </c>
      <c r="AP123" s="8"/>
      <c r="AQ123" s="8"/>
      <c r="AR123" s="8"/>
      <c r="AS123" s="8"/>
      <c r="AT123" s="8"/>
      <c r="AU123" s="8"/>
      <c r="AV123" s="8"/>
      <c r="AW123" s="8"/>
      <c r="AX123" s="8"/>
      <c r="AY123" s="8"/>
    </row>
    <row r="124" spans="1:51" ht="13.2" x14ac:dyDescent="0.25">
      <c r="A124" s="12" t="str">
        <f ca="1">IFERROR(__xludf.DUMMYFUNCTION("""COMPUTED_VALUE"""),"                  left Medial amygdalar nucleus")</f>
        <v xml:space="preserve">                  left Medial amygdalar nucleus</v>
      </c>
      <c r="B124" s="12">
        <f ca="1">IFERROR(__xludf.DUMMYFUNCTION("""COMPUTED_VALUE"""),3283)</f>
        <v>3283</v>
      </c>
      <c r="C124" s="12">
        <f ca="1">IFERROR(__xludf.DUMMYFUNCTION("""COMPUTED_VALUE"""),8311)</f>
        <v>8311</v>
      </c>
      <c r="D124" s="12">
        <f ca="1">IFERROR(__xludf.DUMMYFUNCTION("""COMPUTED_VALUE"""),8675)</f>
        <v>8675</v>
      </c>
      <c r="E124" s="12">
        <f ca="1">IFERROR(__xludf.DUMMYFUNCTION("""COMPUTED_VALUE"""),7764)</f>
        <v>7764</v>
      </c>
      <c r="F124" s="12">
        <f ca="1">IFERROR(__xludf.DUMMYFUNCTION("""COMPUTED_VALUE"""),6964)</f>
        <v>6964</v>
      </c>
      <c r="G124" s="12">
        <f ca="1">IFERROR(__xludf.DUMMYFUNCTION("""COMPUTED_VALUE"""),2137)</f>
        <v>2137</v>
      </c>
      <c r="H124" s="12">
        <f ca="1">IFERROR(__xludf.DUMMYFUNCTION("""COMPUTED_VALUE"""),2489)</f>
        <v>2489</v>
      </c>
      <c r="I124" s="12">
        <f ca="1">IFERROR(__xludf.DUMMYFUNCTION("""COMPUTED_VALUE"""),1508)</f>
        <v>1508</v>
      </c>
      <c r="J124" s="12">
        <f ca="1">IFERROR(__xludf.DUMMYFUNCTION("""COMPUTED_VALUE"""),2103)</f>
        <v>2103</v>
      </c>
      <c r="K124" s="12">
        <f ca="1">IFERROR(__xludf.DUMMYFUNCTION("""COMPUTED_VALUE"""),7311)</f>
        <v>7311</v>
      </c>
      <c r="L124" s="12">
        <f ca="1">IFERROR(__xludf.DUMMYFUNCTION("""COMPUTED_VALUE"""),10553)</f>
        <v>10553</v>
      </c>
      <c r="M124" s="12">
        <f ca="1">IFERROR(__xludf.DUMMYFUNCTION("""COMPUTED_VALUE"""),10036)</f>
        <v>10036</v>
      </c>
      <c r="N124" s="12">
        <f ca="1">IFERROR(__xludf.DUMMYFUNCTION("""COMPUTED_VALUE"""),3393)</f>
        <v>3393</v>
      </c>
      <c r="O124" s="12">
        <f ca="1">IFERROR(__xludf.DUMMYFUNCTION("""COMPUTED_VALUE"""),9417)</f>
        <v>9417</v>
      </c>
      <c r="P124" s="12">
        <f ca="1">IFERROR(__xludf.DUMMYFUNCTION("""COMPUTED_VALUE"""),1962)</f>
        <v>1962</v>
      </c>
      <c r="Q124" s="12">
        <f ca="1">IFERROR(__xludf.DUMMYFUNCTION("""COMPUTED_VALUE"""),3503)</f>
        <v>3503</v>
      </c>
      <c r="R124" s="12">
        <f ca="1">IFERROR(__xludf.DUMMYFUNCTION("""COMPUTED_VALUE"""),1767)</f>
        <v>1767</v>
      </c>
      <c r="S124" s="12">
        <f ca="1">IFERROR(__xludf.DUMMYFUNCTION("""COMPUTED_VALUE"""),4902)</f>
        <v>4902</v>
      </c>
      <c r="T124" s="12">
        <f ca="1">IFERROR(__xludf.DUMMYFUNCTION("""COMPUTED_VALUE"""),11864)</f>
        <v>11864</v>
      </c>
      <c r="U124" s="12">
        <f ca="1">IFERROR(__xludf.DUMMYFUNCTION("""COMPUTED_VALUE"""),4718)</f>
        <v>4718</v>
      </c>
      <c r="V124" s="12">
        <f ca="1">IFERROR(__xludf.DUMMYFUNCTION("""COMPUTED_VALUE"""),4774)</f>
        <v>4774</v>
      </c>
      <c r="W124" s="12">
        <f ca="1">IFERROR(__xludf.DUMMYFUNCTION("""COMPUTED_VALUE"""),11797)</f>
        <v>11797</v>
      </c>
      <c r="X124" s="12">
        <f ca="1">IFERROR(__xludf.DUMMYFUNCTION("""COMPUTED_VALUE"""),7836)</f>
        <v>7836</v>
      </c>
      <c r="Y124" s="12">
        <f ca="1">IFERROR(__xludf.DUMMYFUNCTION("""COMPUTED_VALUE"""),7774)</f>
        <v>7774</v>
      </c>
      <c r="Z124" s="12">
        <f ca="1">IFERROR(__xludf.DUMMYFUNCTION("""COMPUTED_VALUE"""),9461)</f>
        <v>9461</v>
      </c>
      <c r="AA124" s="12">
        <f ca="1">IFERROR(__xludf.DUMMYFUNCTION("""COMPUTED_VALUE"""),9985)</f>
        <v>9985</v>
      </c>
      <c r="AB124" s="12">
        <f ca="1">IFERROR(__xludf.DUMMYFUNCTION("""COMPUTED_VALUE"""),11491)</f>
        <v>11491</v>
      </c>
      <c r="AC124" s="12">
        <f ca="1">IFERROR(__xludf.DUMMYFUNCTION("""COMPUTED_VALUE"""),4194)</f>
        <v>4194</v>
      </c>
      <c r="AD124" s="12">
        <f ca="1">IFERROR(__xludf.DUMMYFUNCTION("""COMPUTED_VALUE"""),9464)</f>
        <v>9464</v>
      </c>
      <c r="AE124" s="12">
        <f ca="1">IFERROR(__xludf.DUMMYFUNCTION("""COMPUTED_VALUE"""),9989)</f>
        <v>9989</v>
      </c>
      <c r="AF124" s="8">
        <f ca="1">IFERROR(__xludf.DUMMYFUNCTION("""COMPUTED_VALUE"""),14961)</f>
        <v>14961</v>
      </c>
      <c r="AG124" s="8">
        <f ca="1">IFERROR(__xludf.DUMMYFUNCTION("""COMPUTED_VALUE"""),6340)</f>
        <v>6340</v>
      </c>
      <c r="AH124" s="8">
        <f ca="1">IFERROR(__xludf.DUMMYFUNCTION("""COMPUTED_VALUE"""),7713)</f>
        <v>7713</v>
      </c>
      <c r="AI124" s="8">
        <f ca="1">IFERROR(__xludf.DUMMYFUNCTION("""COMPUTED_VALUE"""),6518)</f>
        <v>6518</v>
      </c>
      <c r="AJ124" s="8">
        <f ca="1">IFERROR(__xludf.DUMMYFUNCTION("""COMPUTED_VALUE"""),4272)</f>
        <v>4272</v>
      </c>
      <c r="AK124" s="8">
        <f ca="1">IFERROR(__xludf.DUMMYFUNCTION("""COMPUTED_VALUE"""),3618)</f>
        <v>3618</v>
      </c>
      <c r="AL124" s="8">
        <f ca="1">IFERROR(__xludf.DUMMYFUNCTION("""COMPUTED_VALUE"""),1314)</f>
        <v>1314</v>
      </c>
      <c r="AM124" s="8">
        <f ca="1">IFERROR(__xludf.DUMMYFUNCTION("""COMPUTED_VALUE"""),8437)</f>
        <v>8437</v>
      </c>
      <c r="AN124" s="8">
        <f ca="1">IFERROR(__xludf.DUMMYFUNCTION("""COMPUTED_VALUE"""),5056)</f>
        <v>5056</v>
      </c>
      <c r="AO124" s="8">
        <f ca="1">IFERROR(__xludf.DUMMYFUNCTION("""COMPUTED_VALUE"""),4231)</f>
        <v>4231</v>
      </c>
      <c r="AP124" s="8"/>
      <c r="AQ124" s="8"/>
      <c r="AR124" s="8"/>
      <c r="AS124" s="8"/>
      <c r="AT124" s="8"/>
      <c r="AU124" s="8"/>
      <c r="AV124" s="8"/>
      <c r="AW124" s="8"/>
      <c r="AX124" s="8"/>
      <c r="AY124" s="8"/>
    </row>
    <row r="125" spans="1:51" ht="13.2" x14ac:dyDescent="0.25">
      <c r="A125" s="12" t="str">
        <f ca="1">IFERROR(__xludf.DUMMYFUNCTION("""COMPUTED_VALUE"""),"            left Pallidum")</f>
        <v xml:space="preserve">            left Pallidum</v>
      </c>
      <c r="B125" s="12">
        <f ca="1">IFERROR(__xludf.DUMMYFUNCTION("""COMPUTED_VALUE"""),5587)</f>
        <v>5587</v>
      </c>
      <c r="C125" s="12">
        <f ca="1">IFERROR(__xludf.DUMMYFUNCTION("""COMPUTED_VALUE"""),13547)</f>
        <v>13547</v>
      </c>
      <c r="D125" s="12">
        <f ca="1">IFERROR(__xludf.DUMMYFUNCTION("""COMPUTED_VALUE"""),28585)</f>
        <v>28585</v>
      </c>
      <c r="E125" s="12">
        <f ca="1">IFERROR(__xludf.DUMMYFUNCTION("""COMPUTED_VALUE"""),13098)</f>
        <v>13098</v>
      </c>
      <c r="F125" s="12">
        <f ca="1">IFERROR(__xludf.DUMMYFUNCTION("""COMPUTED_VALUE"""),18088)</f>
        <v>18088</v>
      </c>
      <c r="G125" s="12">
        <f ca="1">IFERROR(__xludf.DUMMYFUNCTION("""COMPUTED_VALUE"""),8277)</f>
        <v>8277</v>
      </c>
      <c r="H125" s="12">
        <f ca="1">IFERROR(__xludf.DUMMYFUNCTION("""COMPUTED_VALUE"""),6735)</f>
        <v>6735</v>
      </c>
      <c r="I125" s="12">
        <f ca="1">IFERROR(__xludf.DUMMYFUNCTION("""COMPUTED_VALUE"""),7809)</f>
        <v>7809</v>
      </c>
      <c r="J125" s="12">
        <f ca="1">IFERROR(__xludf.DUMMYFUNCTION("""COMPUTED_VALUE"""),6461)</f>
        <v>6461</v>
      </c>
      <c r="K125" s="12">
        <f ca="1">IFERROR(__xludf.DUMMYFUNCTION("""COMPUTED_VALUE"""),9297)</f>
        <v>9297</v>
      </c>
      <c r="L125" s="12">
        <f ca="1">IFERROR(__xludf.DUMMYFUNCTION("""COMPUTED_VALUE"""),22945)</f>
        <v>22945</v>
      </c>
      <c r="M125" s="12">
        <f ca="1">IFERROR(__xludf.DUMMYFUNCTION("""COMPUTED_VALUE"""),22806)</f>
        <v>22806</v>
      </c>
      <c r="N125" s="12">
        <f ca="1">IFERROR(__xludf.DUMMYFUNCTION("""COMPUTED_VALUE"""),34768)</f>
        <v>34768</v>
      </c>
      <c r="O125" s="12">
        <f ca="1">IFERROR(__xludf.DUMMYFUNCTION("""COMPUTED_VALUE"""),17410)</f>
        <v>17410</v>
      </c>
      <c r="P125" s="12">
        <f ca="1">IFERROR(__xludf.DUMMYFUNCTION("""COMPUTED_VALUE"""),4812)</f>
        <v>4812</v>
      </c>
      <c r="Q125" s="12">
        <f ca="1">IFERROR(__xludf.DUMMYFUNCTION("""COMPUTED_VALUE"""),9595)</f>
        <v>9595</v>
      </c>
      <c r="R125" s="12">
        <f ca="1">IFERROR(__xludf.DUMMYFUNCTION("""COMPUTED_VALUE"""),4609)</f>
        <v>4609</v>
      </c>
      <c r="S125" s="12">
        <f ca="1">IFERROR(__xludf.DUMMYFUNCTION("""COMPUTED_VALUE"""),5095)</f>
        <v>5095</v>
      </c>
      <c r="T125" s="12">
        <f ca="1">IFERROR(__xludf.DUMMYFUNCTION("""COMPUTED_VALUE"""),10772)</f>
        <v>10772</v>
      </c>
      <c r="U125" s="12">
        <f ca="1">IFERROR(__xludf.DUMMYFUNCTION("""COMPUTED_VALUE"""),9600)</f>
        <v>9600</v>
      </c>
      <c r="V125" s="12">
        <f ca="1">IFERROR(__xludf.DUMMYFUNCTION("""COMPUTED_VALUE"""),13416)</f>
        <v>13416</v>
      </c>
      <c r="W125" s="12">
        <f ca="1">IFERROR(__xludf.DUMMYFUNCTION("""COMPUTED_VALUE"""),30145)</f>
        <v>30145</v>
      </c>
      <c r="X125" s="12">
        <f ca="1">IFERROR(__xludf.DUMMYFUNCTION("""COMPUTED_VALUE"""),30629)</f>
        <v>30629</v>
      </c>
      <c r="Y125" s="12">
        <f ca="1">IFERROR(__xludf.DUMMYFUNCTION("""COMPUTED_VALUE"""),17684)</f>
        <v>17684</v>
      </c>
      <c r="Z125" s="12">
        <f ca="1">IFERROR(__xludf.DUMMYFUNCTION("""COMPUTED_VALUE"""),35819)</f>
        <v>35819</v>
      </c>
      <c r="AA125" s="12">
        <f ca="1">IFERROR(__xludf.DUMMYFUNCTION("""COMPUTED_VALUE"""),15020)</f>
        <v>15020</v>
      </c>
      <c r="AB125" s="12">
        <f ca="1">IFERROR(__xludf.DUMMYFUNCTION("""COMPUTED_VALUE"""),18861)</f>
        <v>18861</v>
      </c>
      <c r="AC125" s="12">
        <f ca="1">IFERROR(__xludf.DUMMYFUNCTION("""COMPUTED_VALUE"""),10567)</f>
        <v>10567</v>
      </c>
      <c r="AD125" s="12">
        <f ca="1">IFERROR(__xludf.DUMMYFUNCTION("""COMPUTED_VALUE"""),16932)</f>
        <v>16932</v>
      </c>
      <c r="AE125" s="12">
        <f ca="1">IFERROR(__xludf.DUMMYFUNCTION("""COMPUTED_VALUE"""),13769)</f>
        <v>13769</v>
      </c>
      <c r="AF125" s="8">
        <f ca="1">IFERROR(__xludf.DUMMYFUNCTION("""COMPUTED_VALUE"""),41189)</f>
        <v>41189</v>
      </c>
      <c r="AG125" s="8">
        <f ca="1">IFERROR(__xludf.DUMMYFUNCTION("""COMPUTED_VALUE"""),13220)</f>
        <v>13220</v>
      </c>
      <c r="AH125" s="8">
        <f ca="1">IFERROR(__xludf.DUMMYFUNCTION("""COMPUTED_VALUE"""),20166)</f>
        <v>20166</v>
      </c>
      <c r="AI125" s="8">
        <f ca="1">IFERROR(__xludf.DUMMYFUNCTION("""COMPUTED_VALUE"""),17097)</f>
        <v>17097</v>
      </c>
      <c r="AJ125" s="8">
        <f ca="1">IFERROR(__xludf.DUMMYFUNCTION("""COMPUTED_VALUE"""),11696)</f>
        <v>11696</v>
      </c>
      <c r="AK125" s="8">
        <f ca="1">IFERROR(__xludf.DUMMYFUNCTION("""COMPUTED_VALUE"""),1106)</f>
        <v>1106</v>
      </c>
      <c r="AL125" s="8">
        <f ca="1">IFERROR(__xludf.DUMMYFUNCTION("""COMPUTED_VALUE"""),3744)</f>
        <v>3744</v>
      </c>
      <c r="AM125" s="8">
        <f ca="1">IFERROR(__xludf.DUMMYFUNCTION("""COMPUTED_VALUE"""),13742)</f>
        <v>13742</v>
      </c>
      <c r="AN125" s="8">
        <f ca="1">IFERROR(__xludf.DUMMYFUNCTION("""COMPUTED_VALUE"""),8753)</f>
        <v>8753</v>
      </c>
      <c r="AO125" s="8">
        <f ca="1">IFERROR(__xludf.DUMMYFUNCTION("""COMPUTED_VALUE"""),6526)</f>
        <v>6526</v>
      </c>
      <c r="AP125" s="8"/>
      <c r="AQ125" s="8"/>
      <c r="AR125" s="8"/>
      <c r="AS125" s="8"/>
      <c r="AT125" s="8"/>
      <c r="AU125" s="8"/>
      <c r="AV125" s="8"/>
      <c r="AW125" s="8"/>
      <c r="AX125" s="8"/>
      <c r="AY125" s="8"/>
    </row>
    <row r="126" spans="1:51" ht="13.2" x14ac:dyDescent="0.25">
      <c r="A126" s="12" t="str">
        <f ca="1">IFERROR(__xludf.DUMMYFUNCTION("""COMPUTED_VALUE"""),"               left Pallidum, dorsal region")</f>
        <v xml:space="preserve">               left Pallidum, dorsal region</v>
      </c>
      <c r="B126" s="12">
        <f ca="1">IFERROR(__xludf.DUMMYFUNCTION("""COMPUTED_VALUE"""),212)</f>
        <v>212</v>
      </c>
      <c r="C126" s="12">
        <f ca="1">IFERROR(__xludf.DUMMYFUNCTION("""COMPUTED_VALUE"""),878)</f>
        <v>878</v>
      </c>
      <c r="D126" s="12">
        <f ca="1">IFERROR(__xludf.DUMMYFUNCTION("""COMPUTED_VALUE"""),2741)</f>
        <v>2741</v>
      </c>
      <c r="E126" s="12">
        <f ca="1">IFERROR(__xludf.DUMMYFUNCTION("""COMPUTED_VALUE"""),1199)</f>
        <v>1199</v>
      </c>
      <c r="F126" s="12">
        <f ca="1">IFERROR(__xludf.DUMMYFUNCTION("""COMPUTED_VALUE"""),1815)</f>
        <v>1815</v>
      </c>
      <c r="G126" s="12">
        <f ca="1">IFERROR(__xludf.DUMMYFUNCTION("""COMPUTED_VALUE"""),1258)</f>
        <v>1258</v>
      </c>
      <c r="H126" s="12">
        <f ca="1">IFERROR(__xludf.DUMMYFUNCTION("""COMPUTED_VALUE"""),294)</f>
        <v>294</v>
      </c>
      <c r="I126" s="12">
        <f ca="1">IFERROR(__xludf.DUMMYFUNCTION("""COMPUTED_VALUE"""),660)</f>
        <v>660</v>
      </c>
      <c r="J126" s="12">
        <f ca="1">IFERROR(__xludf.DUMMYFUNCTION("""COMPUTED_VALUE"""),173)</f>
        <v>173</v>
      </c>
      <c r="K126" s="12">
        <f ca="1">IFERROR(__xludf.DUMMYFUNCTION("""COMPUTED_VALUE"""),634)</f>
        <v>634</v>
      </c>
      <c r="L126" s="12">
        <f ca="1">IFERROR(__xludf.DUMMYFUNCTION("""COMPUTED_VALUE"""),1250)</f>
        <v>1250</v>
      </c>
      <c r="M126" s="12">
        <f ca="1">IFERROR(__xludf.DUMMYFUNCTION("""COMPUTED_VALUE"""),1269)</f>
        <v>1269</v>
      </c>
      <c r="N126" s="12">
        <f ca="1">IFERROR(__xludf.DUMMYFUNCTION("""COMPUTED_VALUE"""),8539)</f>
        <v>8539</v>
      </c>
      <c r="O126" s="12">
        <f ca="1">IFERROR(__xludf.DUMMYFUNCTION("""COMPUTED_VALUE"""),1114)</f>
        <v>1114</v>
      </c>
      <c r="P126" s="12">
        <f ca="1">IFERROR(__xludf.DUMMYFUNCTION("""COMPUTED_VALUE"""),123)</f>
        <v>123</v>
      </c>
      <c r="Q126" s="12">
        <f ca="1">IFERROR(__xludf.DUMMYFUNCTION("""COMPUTED_VALUE"""),257)</f>
        <v>257</v>
      </c>
      <c r="R126" s="12">
        <f ca="1">IFERROR(__xludf.DUMMYFUNCTION("""COMPUTED_VALUE"""),418)</f>
        <v>418</v>
      </c>
      <c r="S126" s="12">
        <f ca="1">IFERROR(__xludf.DUMMYFUNCTION("""COMPUTED_VALUE"""),150)</f>
        <v>150</v>
      </c>
      <c r="T126" s="12">
        <f ca="1">IFERROR(__xludf.DUMMYFUNCTION("""COMPUTED_VALUE"""),357)</f>
        <v>357</v>
      </c>
      <c r="U126" s="12">
        <f ca="1">IFERROR(__xludf.DUMMYFUNCTION("""COMPUTED_VALUE"""),1939)</f>
        <v>1939</v>
      </c>
      <c r="V126" s="12">
        <f ca="1">IFERROR(__xludf.DUMMYFUNCTION("""COMPUTED_VALUE"""),1477)</f>
        <v>1477</v>
      </c>
      <c r="W126" s="12">
        <f ca="1">IFERROR(__xludf.DUMMYFUNCTION("""COMPUTED_VALUE"""),1146)</f>
        <v>1146</v>
      </c>
      <c r="X126" s="12">
        <f ca="1">IFERROR(__xludf.DUMMYFUNCTION("""COMPUTED_VALUE"""),2184)</f>
        <v>2184</v>
      </c>
      <c r="Y126" s="12">
        <f ca="1">IFERROR(__xludf.DUMMYFUNCTION("""COMPUTED_VALUE"""),1523)</f>
        <v>1523</v>
      </c>
      <c r="Z126" s="12">
        <f ca="1">IFERROR(__xludf.DUMMYFUNCTION("""COMPUTED_VALUE"""),9515)</f>
        <v>9515</v>
      </c>
      <c r="AA126" s="12">
        <f ca="1">IFERROR(__xludf.DUMMYFUNCTION("""COMPUTED_VALUE"""),555)</f>
        <v>555</v>
      </c>
      <c r="AB126" s="12">
        <f ca="1">IFERROR(__xludf.DUMMYFUNCTION("""COMPUTED_VALUE"""),2110)</f>
        <v>2110</v>
      </c>
      <c r="AC126" s="12">
        <f ca="1">IFERROR(__xludf.DUMMYFUNCTION("""COMPUTED_VALUE"""),774)</f>
        <v>774</v>
      </c>
      <c r="AD126" s="12">
        <f ca="1">IFERROR(__xludf.DUMMYFUNCTION("""COMPUTED_VALUE"""),407)</f>
        <v>407</v>
      </c>
      <c r="AE126" s="12">
        <f ca="1">IFERROR(__xludf.DUMMYFUNCTION("""COMPUTED_VALUE"""),761)</f>
        <v>761</v>
      </c>
      <c r="AF126" s="8">
        <f ca="1">IFERROR(__xludf.DUMMYFUNCTION("""COMPUTED_VALUE"""),2971)</f>
        <v>2971</v>
      </c>
      <c r="AG126" s="8">
        <f ca="1">IFERROR(__xludf.DUMMYFUNCTION("""COMPUTED_VALUE"""),972)</f>
        <v>972</v>
      </c>
      <c r="AH126" s="8">
        <f ca="1">IFERROR(__xludf.DUMMYFUNCTION("""COMPUTED_VALUE"""),883)</f>
        <v>883</v>
      </c>
      <c r="AI126" s="8">
        <f ca="1">IFERROR(__xludf.DUMMYFUNCTION("""COMPUTED_VALUE"""),1342)</f>
        <v>1342</v>
      </c>
      <c r="AJ126" s="8">
        <f ca="1">IFERROR(__xludf.DUMMYFUNCTION("""COMPUTED_VALUE"""),2033)</f>
        <v>2033</v>
      </c>
      <c r="AK126" s="8">
        <f ca="1">IFERROR(__xludf.DUMMYFUNCTION("""COMPUTED_VALUE"""),59)</f>
        <v>59</v>
      </c>
      <c r="AL126" s="8">
        <f ca="1">IFERROR(__xludf.DUMMYFUNCTION("""COMPUTED_VALUE"""),297)</f>
        <v>297</v>
      </c>
      <c r="AM126" s="8">
        <f ca="1">IFERROR(__xludf.DUMMYFUNCTION("""COMPUTED_VALUE"""),690)</f>
        <v>690</v>
      </c>
      <c r="AN126" s="8">
        <f ca="1">IFERROR(__xludf.DUMMYFUNCTION("""COMPUTED_VALUE"""),688)</f>
        <v>688</v>
      </c>
      <c r="AO126" s="8">
        <f ca="1">IFERROR(__xludf.DUMMYFUNCTION("""COMPUTED_VALUE"""),581)</f>
        <v>581</v>
      </c>
      <c r="AP126" s="8"/>
      <c r="AQ126" s="8"/>
      <c r="AR126" s="8"/>
      <c r="AS126" s="8"/>
      <c r="AT126" s="8"/>
      <c r="AU126" s="8"/>
      <c r="AV126" s="8"/>
      <c r="AW126" s="8"/>
      <c r="AX126" s="8"/>
      <c r="AY126" s="8"/>
    </row>
    <row r="127" spans="1:51" ht="13.2" x14ac:dyDescent="0.25">
      <c r="A127" s="12" t="str">
        <f ca="1">IFERROR(__xludf.DUMMYFUNCTION("""COMPUTED_VALUE"""),"               left Pallidum, ventral region")</f>
        <v xml:space="preserve">               left Pallidum, ventral region</v>
      </c>
      <c r="B127" s="12">
        <f ca="1">IFERROR(__xludf.DUMMYFUNCTION("""COMPUTED_VALUE"""),1348)</f>
        <v>1348</v>
      </c>
      <c r="C127" s="12">
        <f ca="1">IFERROR(__xludf.DUMMYFUNCTION("""COMPUTED_VALUE"""),4571)</f>
        <v>4571</v>
      </c>
      <c r="D127" s="12">
        <f ca="1">IFERROR(__xludf.DUMMYFUNCTION("""COMPUTED_VALUE"""),11006)</f>
        <v>11006</v>
      </c>
      <c r="E127" s="12">
        <f ca="1">IFERROR(__xludf.DUMMYFUNCTION("""COMPUTED_VALUE"""),3702)</f>
        <v>3702</v>
      </c>
      <c r="F127" s="12">
        <f ca="1">IFERROR(__xludf.DUMMYFUNCTION("""COMPUTED_VALUE"""),5858)</f>
        <v>5858</v>
      </c>
      <c r="G127" s="12">
        <f ca="1">IFERROR(__xludf.DUMMYFUNCTION("""COMPUTED_VALUE"""),2243)</f>
        <v>2243</v>
      </c>
      <c r="H127" s="12">
        <f ca="1">IFERROR(__xludf.DUMMYFUNCTION("""COMPUTED_VALUE"""),1685)</f>
        <v>1685</v>
      </c>
      <c r="I127" s="12">
        <f ca="1">IFERROR(__xludf.DUMMYFUNCTION("""COMPUTED_VALUE"""),1591)</f>
        <v>1591</v>
      </c>
      <c r="J127" s="12">
        <f ca="1">IFERROR(__xludf.DUMMYFUNCTION("""COMPUTED_VALUE"""),1265)</f>
        <v>1265</v>
      </c>
      <c r="K127" s="12">
        <f ca="1">IFERROR(__xludf.DUMMYFUNCTION("""COMPUTED_VALUE"""),2926)</f>
        <v>2926</v>
      </c>
      <c r="L127" s="12">
        <f ca="1">IFERROR(__xludf.DUMMYFUNCTION("""COMPUTED_VALUE"""),9666)</f>
        <v>9666</v>
      </c>
      <c r="M127" s="12">
        <f ca="1">IFERROR(__xludf.DUMMYFUNCTION("""COMPUTED_VALUE"""),7868)</f>
        <v>7868</v>
      </c>
      <c r="N127" s="12">
        <f ca="1">IFERROR(__xludf.DUMMYFUNCTION("""COMPUTED_VALUE"""),8478)</f>
        <v>8478</v>
      </c>
      <c r="O127" s="12">
        <f ca="1">IFERROR(__xludf.DUMMYFUNCTION("""COMPUTED_VALUE"""),5873)</f>
        <v>5873</v>
      </c>
      <c r="P127" s="12">
        <f ca="1">IFERROR(__xludf.DUMMYFUNCTION("""COMPUTED_VALUE"""),1177)</f>
        <v>1177</v>
      </c>
      <c r="Q127" s="12">
        <f ca="1">IFERROR(__xludf.DUMMYFUNCTION("""COMPUTED_VALUE"""),1609)</f>
        <v>1609</v>
      </c>
      <c r="R127" s="12">
        <f ca="1">IFERROR(__xludf.DUMMYFUNCTION("""COMPUTED_VALUE"""),1117)</f>
        <v>1117</v>
      </c>
      <c r="S127" s="12">
        <f ca="1">IFERROR(__xludf.DUMMYFUNCTION("""COMPUTED_VALUE"""),1370)</f>
        <v>1370</v>
      </c>
      <c r="T127" s="12">
        <f ca="1">IFERROR(__xludf.DUMMYFUNCTION("""COMPUTED_VALUE"""),3397)</f>
        <v>3397</v>
      </c>
      <c r="U127" s="12">
        <f ca="1">IFERROR(__xludf.DUMMYFUNCTION("""COMPUTED_VALUE"""),2269)</f>
        <v>2269</v>
      </c>
      <c r="V127" s="12">
        <f ca="1">IFERROR(__xludf.DUMMYFUNCTION("""COMPUTED_VALUE"""),2984)</f>
        <v>2984</v>
      </c>
      <c r="W127" s="12">
        <f ca="1">IFERROR(__xludf.DUMMYFUNCTION("""COMPUTED_VALUE"""),12468)</f>
        <v>12468</v>
      </c>
      <c r="X127" s="12">
        <f ca="1">IFERROR(__xludf.DUMMYFUNCTION("""COMPUTED_VALUE"""),11347)</f>
        <v>11347</v>
      </c>
      <c r="Y127" s="12">
        <f ca="1">IFERROR(__xludf.DUMMYFUNCTION("""COMPUTED_VALUE"""),5756)</f>
        <v>5756</v>
      </c>
      <c r="Z127" s="12">
        <f ca="1">IFERROR(__xludf.DUMMYFUNCTION("""COMPUTED_VALUE"""),10897)</f>
        <v>10897</v>
      </c>
      <c r="AA127" s="12">
        <f ca="1">IFERROR(__xludf.DUMMYFUNCTION("""COMPUTED_VALUE"""),4660)</f>
        <v>4660</v>
      </c>
      <c r="AB127" s="12">
        <f ca="1">IFERROR(__xludf.DUMMYFUNCTION("""COMPUTED_VALUE"""),8272)</f>
        <v>8272</v>
      </c>
      <c r="AC127" s="12">
        <f ca="1">IFERROR(__xludf.DUMMYFUNCTION("""COMPUTED_VALUE"""),2307)</f>
        <v>2307</v>
      </c>
      <c r="AD127" s="12">
        <f ca="1">IFERROR(__xludf.DUMMYFUNCTION("""COMPUTED_VALUE"""),8074)</f>
        <v>8074</v>
      </c>
      <c r="AE127" s="12">
        <f ca="1">IFERROR(__xludf.DUMMYFUNCTION("""COMPUTED_VALUE"""),4144)</f>
        <v>4144</v>
      </c>
      <c r="AF127" s="8">
        <f ca="1">IFERROR(__xludf.DUMMYFUNCTION("""COMPUTED_VALUE"""),12658)</f>
        <v>12658</v>
      </c>
      <c r="AG127" s="8">
        <f ca="1">IFERROR(__xludf.DUMMYFUNCTION("""COMPUTED_VALUE"""),4178)</f>
        <v>4178</v>
      </c>
      <c r="AH127" s="8">
        <f ca="1">IFERROR(__xludf.DUMMYFUNCTION("""COMPUTED_VALUE"""),9967)</f>
        <v>9967</v>
      </c>
      <c r="AI127" s="8">
        <f ca="1">IFERROR(__xludf.DUMMYFUNCTION("""COMPUTED_VALUE"""),5166)</f>
        <v>5166</v>
      </c>
      <c r="AJ127" s="8">
        <f ca="1">IFERROR(__xludf.DUMMYFUNCTION("""COMPUTED_VALUE"""),2550)</f>
        <v>2550</v>
      </c>
      <c r="AK127" s="8">
        <f ca="1">IFERROR(__xludf.DUMMYFUNCTION("""COMPUTED_VALUE"""),350)</f>
        <v>350</v>
      </c>
      <c r="AL127" s="8">
        <f ca="1">IFERROR(__xludf.DUMMYFUNCTION("""COMPUTED_VALUE"""),938)</f>
        <v>938</v>
      </c>
      <c r="AM127" s="8">
        <f ca="1">IFERROR(__xludf.DUMMYFUNCTION("""COMPUTED_VALUE"""),3758)</f>
        <v>3758</v>
      </c>
      <c r="AN127" s="8">
        <f ca="1">IFERROR(__xludf.DUMMYFUNCTION("""COMPUTED_VALUE"""),2853)</f>
        <v>2853</v>
      </c>
      <c r="AO127" s="8">
        <f ca="1">IFERROR(__xludf.DUMMYFUNCTION("""COMPUTED_VALUE"""),1654)</f>
        <v>1654</v>
      </c>
      <c r="AP127" s="8"/>
      <c r="AQ127" s="8"/>
      <c r="AR127" s="8"/>
      <c r="AS127" s="8"/>
      <c r="AT127" s="8"/>
      <c r="AU127" s="8"/>
      <c r="AV127" s="8"/>
      <c r="AW127" s="8"/>
      <c r="AX127" s="8"/>
      <c r="AY127" s="8"/>
    </row>
    <row r="128" spans="1:51" ht="13.2" x14ac:dyDescent="0.25">
      <c r="A128" s="12" t="str">
        <f ca="1">IFERROR(__xludf.DUMMYFUNCTION("""COMPUTED_VALUE"""),"               left Pallidum, medial region")</f>
        <v xml:space="preserve">               left Pallidum, medial region</v>
      </c>
      <c r="B128" s="12">
        <f ca="1">IFERROR(__xludf.DUMMYFUNCTION("""COMPUTED_VALUE"""),1608)</f>
        <v>1608</v>
      </c>
      <c r="C128" s="12">
        <f ca="1">IFERROR(__xludf.DUMMYFUNCTION("""COMPUTED_VALUE"""),2444)</f>
        <v>2444</v>
      </c>
      <c r="D128" s="12">
        <f ca="1">IFERROR(__xludf.DUMMYFUNCTION("""COMPUTED_VALUE"""),4621)</f>
        <v>4621</v>
      </c>
      <c r="E128" s="12">
        <f ca="1">IFERROR(__xludf.DUMMYFUNCTION("""COMPUTED_VALUE"""),3472)</f>
        <v>3472</v>
      </c>
      <c r="F128" s="12">
        <f ca="1">IFERROR(__xludf.DUMMYFUNCTION("""COMPUTED_VALUE"""),2350)</f>
        <v>2350</v>
      </c>
      <c r="G128" s="12">
        <f ca="1">IFERROR(__xludf.DUMMYFUNCTION("""COMPUTED_VALUE"""),1143)</f>
        <v>1143</v>
      </c>
      <c r="H128" s="12">
        <f ca="1">IFERROR(__xludf.DUMMYFUNCTION("""COMPUTED_VALUE"""),1596)</f>
        <v>1596</v>
      </c>
      <c r="I128" s="12">
        <f ca="1">IFERROR(__xludf.DUMMYFUNCTION("""COMPUTED_VALUE"""),1488)</f>
        <v>1488</v>
      </c>
      <c r="J128" s="12">
        <f ca="1">IFERROR(__xludf.DUMMYFUNCTION("""COMPUTED_VALUE"""),1935)</f>
        <v>1935</v>
      </c>
      <c r="K128" s="12">
        <f ca="1">IFERROR(__xludf.DUMMYFUNCTION("""COMPUTED_VALUE"""),1913)</f>
        <v>1913</v>
      </c>
      <c r="L128" s="12">
        <f ca="1">IFERROR(__xludf.DUMMYFUNCTION("""COMPUTED_VALUE"""),3560)</f>
        <v>3560</v>
      </c>
      <c r="M128" s="12">
        <f ca="1">IFERROR(__xludf.DUMMYFUNCTION("""COMPUTED_VALUE"""),2848)</f>
        <v>2848</v>
      </c>
      <c r="N128" s="12">
        <f ca="1">IFERROR(__xludf.DUMMYFUNCTION("""COMPUTED_VALUE"""),7673)</f>
        <v>7673</v>
      </c>
      <c r="O128" s="12">
        <f ca="1">IFERROR(__xludf.DUMMYFUNCTION("""COMPUTED_VALUE"""),2413)</f>
        <v>2413</v>
      </c>
      <c r="P128" s="12">
        <f ca="1">IFERROR(__xludf.DUMMYFUNCTION("""COMPUTED_VALUE"""),1542)</f>
        <v>1542</v>
      </c>
      <c r="Q128" s="12">
        <f ca="1">IFERROR(__xludf.DUMMYFUNCTION("""COMPUTED_VALUE"""),2750)</f>
        <v>2750</v>
      </c>
      <c r="R128" s="12">
        <f ca="1">IFERROR(__xludf.DUMMYFUNCTION("""COMPUTED_VALUE"""),962)</f>
        <v>962</v>
      </c>
      <c r="S128" s="12">
        <f ca="1">IFERROR(__xludf.DUMMYFUNCTION("""COMPUTED_VALUE"""),1113)</f>
        <v>1113</v>
      </c>
      <c r="T128" s="12">
        <f ca="1">IFERROR(__xludf.DUMMYFUNCTION("""COMPUTED_VALUE"""),1395)</f>
        <v>1395</v>
      </c>
      <c r="U128" s="12">
        <f ca="1">IFERROR(__xludf.DUMMYFUNCTION("""COMPUTED_VALUE"""),907)</f>
        <v>907</v>
      </c>
      <c r="V128" s="12">
        <f ca="1">IFERROR(__xludf.DUMMYFUNCTION("""COMPUTED_VALUE"""),1461)</f>
        <v>1461</v>
      </c>
      <c r="W128" s="12">
        <f ca="1">IFERROR(__xludf.DUMMYFUNCTION("""COMPUTED_VALUE"""),5002)</f>
        <v>5002</v>
      </c>
      <c r="X128" s="12">
        <f ca="1">IFERROR(__xludf.DUMMYFUNCTION("""COMPUTED_VALUE"""),3909)</f>
        <v>3909</v>
      </c>
      <c r="Y128" s="12">
        <f ca="1">IFERROR(__xludf.DUMMYFUNCTION("""COMPUTED_VALUE"""),2418)</f>
        <v>2418</v>
      </c>
      <c r="Z128" s="12">
        <f ca="1">IFERROR(__xludf.DUMMYFUNCTION("""COMPUTED_VALUE"""),2164)</f>
        <v>2164</v>
      </c>
      <c r="AA128" s="12">
        <f ca="1">IFERROR(__xludf.DUMMYFUNCTION("""COMPUTED_VALUE"""),3238)</f>
        <v>3238</v>
      </c>
      <c r="AB128" s="12">
        <f ca="1">IFERROR(__xludf.DUMMYFUNCTION("""COMPUTED_VALUE"""),1283)</f>
        <v>1283</v>
      </c>
      <c r="AC128" s="12">
        <f ca="1">IFERROR(__xludf.DUMMYFUNCTION("""COMPUTED_VALUE"""),1516)</f>
        <v>1516</v>
      </c>
      <c r="AD128" s="12">
        <f ca="1">IFERROR(__xludf.DUMMYFUNCTION("""COMPUTED_VALUE"""),1738)</f>
        <v>1738</v>
      </c>
      <c r="AE128" s="12">
        <f ca="1">IFERROR(__xludf.DUMMYFUNCTION("""COMPUTED_VALUE"""),2644)</f>
        <v>2644</v>
      </c>
      <c r="AF128" s="8">
        <f ca="1">IFERROR(__xludf.DUMMYFUNCTION("""COMPUTED_VALUE"""),4831)</f>
        <v>4831</v>
      </c>
      <c r="AG128" s="8">
        <f ca="1">IFERROR(__xludf.DUMMYFUNCTION("""COMPUTED_VALUE"""),2299)</f>
        <v>2299</v>
      </c>
      <c r="AH128" s="8">
        <f ca="1">IFERROR(__xludf.DUMMYFUNCTION("""COMPUTED_VALUE"""),2682)</f>
        <v>2682</v>
      </c>
      <c r="AI128" s="8">
        <f ca="1">IFERROR(__xludf.DUMMYFUNCTION("""COMPUTED_VALUE"""),1225)</f>
        <v>1225</v>
      </c>
      <c r="AJ128" s="8">
        <f ca="1">IFERROR(__xludf.DUMMYFUNCTION("""COMPUTED_VALUE"""),1362)</f>
        <v>1362</v>
      </c>
      <c r="AK128" s="8">
        <f ca="1">IFERROR(__xludf.DUMMYFUNCTION("""COMPUTED_VALUE"""),269)</f>
        <v>269</v>
      </c>
      <c r="AL128" s="8">
        <f ca="1">IFERROR(__xludf.DUMMYFUNCTION("""COMPUTED_VALUE"""),1049)</f>
        <v>1049</v>
      </c>
      <c r="AM128" s="8">
        <f ca="1">IFERROR(__xludf.DUMMYFUNCTION("""COMPUTED_VALUE"""),1641)</f>
        <v>1641</v>
      </c>
      <c r="AN128" s="8">
        <f ca="1">IFERROR(__xludf.DUMMYFUNCTION("""COMPUTED_VALUE"""),992)</f>
        <v>992</v>
      </c>
      <c r="AO128" s="8">
        <f ca="1">IFERROR(__xludf.DUMMYFUNCTION("""COMPUTED_VALUE"""),1158)</f>
        <v>1158</v>
      </c>
      <c r="AP128" s="8"/>
      <c r="AQ128" s="8"/>
      <c r="AR128" s="8"/>
      <c r="AS128" s="8"/>
      <c r="AT128" s="8"/>
      <c r="AU128" s="8"/>
      <c r="AV128" s="8"/>
      <c r="AW128" s="8"/>
      <c r="AX128" s="8"/>
      <c r="AY128" s="8"/>
    </row>
    <row r="129" spans="1:51" ht="13.2" x14ac:dyDescent="0.25">
      <c r="A129" s="12" t="str">
        <f ca="1">IFERROR(__xludf.DUMMYFUNCTION("""COMPUTED_VALUE"""),"                  left Medial septal complex")</f>
        <v xml:space="preserve">                  left Medial septal complex</v>
      </c>
      <c r="B129" s="12">
        <f ca="1">IFERROR(__xludf.DUMMYFUNCTION("""COMPUTED_VALUE"""),1386)</f>
        <v>1386</v>
      </c>
      <c r="C129" s="12">
        <f ca="1">IFERROR(__xludf.DUMMYFUNCTION("""COMPUTED_VALUE"""),1721)</f>
        <v>1721</v>
      </c>
      <c r="D129" s="12">
        <f ca="1">IFERROR(__xludf.DUMMYFUNCTION("""COMPUTED_VALUE"""),3629)</f>
        <v>3629</v>
      </c>
      <c r="E129" s="12">
        <f ca="1">IFERROR(__xludf.DUMMYFUNCTION("""COMPUTED_VALUE"""),2540)</f>
        <v>2540</v>
      </c>
      <c r="F129" s="12">
        <f ca="1">IFERROR(__xludf.DUMMYFUNCTION("""COMPUTED_VALUE"""),1589)</f>
        <v>1589</v>
      </c>
      <c r="G129" s="12">
        <f ca="1">IFERROR(__xludf.DUMMYFUNCTION("""COMPUTED_VALUE"""),627)</f>
        <v>627</v>
      </c>
      <c r="H129" s="12">
        <f ca="1">IFERROR(__xludf.DUMMYFUNCTION("""COMPUTED_VALUE"""),1252)</f>
        <v>1252</v>
      </c>
      <c r="I129" s="12">
        <f ca="1">IFERROR(__xludf.DUMMYFUNCTION("""COMPUTED_VALUE"""),1082)</f>
        <v>1082</v>
      </c>
      <c r="J129" s="12">
        <f ca="1">IFERROR(__xludf.DUMMYFUNCTION("""COMPUTED_VALUE"""),1512)</f>
        <v>1512</v>
      </c>
      <c r="K129" s="12">
        <f ca="1">IFERROR(__xludf.DUMMYFUNCTION("""COMPUTED_VALUE"""),1453)</f>
        <v>1453</v>
      </c>
      <c r="L129" s="12">
        <f ca="1">IFERROR(__xludf.DUMMYFUNCTION("""COMPUTED_VALUE"""),2944)</f>
        <v>2944</v>
      </c>
      <c r="M129" s="12">
        <f ca="1">IFERROR(__xludf.DUMMYFUNCTION("""COMPUTED_VALUE"""),1853)</f>
        <v>1853</v>
      </c>
      <c r="N129" s="12">
        <f ca="1">IFERROR(__xludf.DUMMYFUNCTION("""COMPUTED_VALUE"""),4588)</f>
        <v>4588</v>
      </c>
      <c r="O129" s="12">
        <f ca="1">IFERROR(__xludf.DUMMYFUNCTION("""COMPUTED_VALUE"""),1709)</f>
        <v>1709</v>
      </c>
      <c r="P129" s="12">
        <f ca="1">IFERROR(__xludf.DUMMYFUNCTION("""COMPUTED_VALUE"""),1169)</f>
        <v>1169</v>
      </c>
      <c r="Q129" s="12">
        <f ca="1">IFERROR(__xludf.DUMMYFUNCTION("""COMPUTED_VALUE"""),2162)</f>
        <v>2162</v>
      </c>
      <c r="R129" s="12">
        <f ca="1">IFERROR(__xludf.DUMMYFUNCTION("""COMPUTED_VALUE"""),817)</f>
        <v>817</v>
      </c>
      <c r="S129" s="12">
        <f ca="1">IFERROR(__xludf.DUMMYFUNCTION("""COMPUTED_VALUE"""),819)</f>
        <v>819</v>
      </c>
      <c r="T129" s="12">
        <f ca="1">IFERROR(__xludf.DUMMYFUNCTION("""COMPUTED_VALUE"""),1113)</f>
        <v>1113</v>
      </c>
      <c r="U129" s="12">
        <f ca="1">IFERROR(__xludf.DUMMYFUNCTION("""COMPUTED_VALUE"""),601)</f>
        <v>601</v>
      </c>
      <c r="V129" s="12">
        <f ca="1">IFERROR(__xludf.DUMMYFUNCTION("""COMPUTED_VALUE"""),1186)</f>
        <v>1186</v>
      </c>
      <c r="W129" s="12">
        <f ca="1">IFERROR(__xludf.DUMMYFUNCTION("""COMPUTED_VALUE"""),3844)</f>
        <v>3844</v>
      </c>
      <c r="X129" s="12">
        <f ca="1">IFERROR(__xludf.DUMMYFUNCTION("""COMPUTED_VALUE"""),2849)</f>
        <v>2849</v>
      </c>
      <c r="Y129" s="12">
        <f ca="1">IFERROR(__xludf.DUMMYFUNCTION("""COMPUTED_VALUE"""),1985)</f>
        <v>1985</v>
      </c>
      <c r="Z129" s="12">
        <f ca="1">IFERROR(__xludf.DUMMYFUNCTION("""COMPUTED_VALUE"""),1202)</f>
        <v>1202</v>
      </c>
      <c r="AA129" s="12">
        <f ca="1">IFERROR(__xludf.DUMMYFUNCTION("""COMPUTED_VALUE"""),1509)</f>
        <v>1509</v>
      </c>
      <c r="AB129" s="12">
        <f ca="1">IFERROR(__xludf.DUMMYFUNCTION("""COMPUTED_VALUE"""),1043)</f>
        <v>1043</v>
      </c>
      <c r="AC129" s="12">
        <f ca="1">IFERROR(__xludf.DUMMYFUNCTION("""COMPUTED_VALUE"""),903)</f>
        <v>903</v>
      </c>
      <c r="AD129" s="12">
        <f ca="1">IFERROR(__xludf.DUMMYFUNCTION("""COMPUTED_VALUE"""),1420)</f>
        <v>1420</v>
      </c>
      <c r="AE129" s="12">
        <f ca="1">IFERROR(__xludf.DUMMYFUNCTION("""COMPUTED_VALUE"""),1445)</f>
        <v>1445</v>
      </c>
      <c r="AF129" s="8">
        <f ca="1">IFERROR(__xludf.DUMMYFUNCTION("""COMPUTED_VALUE"""),3297)</f>
        <v>3297</v>
      </c>
      <c r="AG129" s="8">
        <f ca="1">IFERROR(__xludf.DUMMYFUNCTION("""COMPUTED_VALUE"""),1329)</f>
        <v>1329</v>
      </c>
      <c r="AH129" s="8">
        <f ca="1">IFERROR(__xludf.DUMMYFUNCTION("""COMPUTED_VALUE"""),2130)</f>
        <v>2130</v>
      </c>
      <c r="AI129" s="8">
        <f ca="1">IFERROR(__xludf.DUMMYFUNCTION("""COMPUTED_VALUE"""),999)</f>
        <v>999</v>
      </c>
      <c r="AJ129" s="8">
        <f ca="1">IFERROR(__xludf.DUMMYFUNCTION("""COMPUTED_VALUE"""),1012)</f>
        <v>1012</v>
      </c>
      <c r="AK129" s="8">
        <f ca="1">IFERROR(__xludf.DUMMYFUNCTION("""COMPUTED_VALUE"""),136)</f>
        <v>136</v>
      </c>
      <c r="AL129" s="8">
        <f ca="1">IFERROR(__xludf.DUMMYFUNCTION("""COMPUTED_VALUE"""),725)</f>
        <v>725</v>
      </c>
      <c r="AM129" s="8">
        <f ca="1">IFERROR(__xludf.DUMMYFUNCTION("""COMPUTED_VALUE"""),1188)</f>
        <v>1188</v>
      </c>
      <c r="AN129" s="8">
        <f ca="1">IFERROR(__xludf.DUMMYFUNCTION("""COMPUTED_VALUE"""),805)</f>
        <v>805</v>
      </c>
      <c r="AO129" s="8">
        <f ca="1">IFERROR(__xludf.DUMMYFUNCTION("""COMPUTED_VALUE"""),490)</f>
        <v>490</v>
      </c>
      <c r="AP129" s="8"/>
      <c r="AQ129" s="8"/>
      <c r="AR129" s="8"/>
      <c r="AS129" s="8"/>
      <c r="AT129" s="8"/>
      <c r="AU129" s="8"/>
      <c r="AV129" s="8"/>
      <c r="AW129" s="8"/>
      <c r="AX129" s="8"/>
      <c r="AY129" s="8"/>
    </row>
    <row r="130" spans="1:51" ht="13.2" x14ac:dyDescent="0.25">
      <c r="A130" s="12" t="str">
        <f ca="1">IFERROR(__xludf.DUMMYFUNCTION("""COMPUTED_VALUE"""),"                  left Triangular nucleus of septum")</f>
        <v xml:space="preserve">                  left Triangular nucleus of septum</v>
      </c>
      <c r="B130" s="12">
        <f ca="1">IFERROR(__xludf.DUMMYFUNCTION("""COMPUTED_VALUE"""),222)</f>
        <v>222</v>
      </c>
      <c r="C130" s="12">
        <f ca="1">IFERROR(__xludf.DUMMYFUNCTION("""COMPUTED_VALUE"""),723)</f>
        <v>723</v>
      </c>
      <c r="D130" s="12">
        <f ca="1">IFERROR(__xludf.DUMMYFUNCTION("""COMPUTED_VALUE"""),992)</f>
        <v>992</v>
      </c>
      <c r="E130" s="12">
        <f ca="1">IFERROR(__xludf.DUMMYFUNCTION("""COMPUTED_VALUE"""),932)</f>
        <v>932</v>
      </c>
      <c r="F130" s="12">
        <f ca="1">IFERROR(__xludf.DUMMYFUNCTION("""COMPUTED_VALUE"""),761)</f>
        <v>761</v>
      </c>
      <c r="G130" s="12">
        <f ca="1">IFERROR(__xludf.DUMMYFUNCTION("""COMPUTED_VALUE"""),516)</f>
        <v>516</v>
      </c>
      <c r="H130" s="12">
        <f ca="1">IFERROR(__xludf.DUMMYFUNCTION("""COMPUTED_VALUE"""),344)</f>
        <v>344</v>
      </c>
      <c r="I130" s="12">
        <f ca="1">IFERROR(__xludf.DUMMYFUNCTION("""COMPUTED_VALUE"""),406)</f>
        <v>406</v>
      </c>
      <c r="J130" s="12">
        <f ca="1">IFERROR(__xludf.DUMMYFUNCTION("""COMPUTED_VALUE"""),423)</f>
        <v>423</v>
      </c>
      <c r="K130" s="12">
        <f ca="1">IFERROR(__xludf.DUMMYFUNCTION("""COMPUTED_VALUE"""),460)</f>
        <v>460</v>
      </c>
      <c r="L130" s="12">
        <f ca="1">IFERROR(__xludf.DUMMYFUNCTION("""COMPUTED_VALUE"""),616)</f>
        <v>616</v>
      </c>
      <c r="M130" s="12">
        <f ca="1">IFERROR(__xludf.DUMMYFUNCTION("""COMPUTED_VALUE"""),995)</f>
        <v>995</v>
      </c>
      <c r="N130" s="12">
        <f ca="1">IFERROR(__xludf.DUMMYFUNCTION("""COMPUTED_VALUE"""),3085)</f>
        <v>3085</v>
      </c>
      <c r="O130" s="12">
        <f ca="1">IFERROR(__xludf.DUMMYFUNCTION("""COMPUTED_VALUE"""),704)</f>
        <v>704</v>
      </c>
      <c r="P130" s="12">
        <f ca="1">IFERROR(__xludf.DUMMYFUNCTION("""COMPUTED_VALUE"""),373)</f>
        <v>373</v>
      </c>
      <c r="Q130" s="12">
        <f ca="1">IFERROR(__xludf.DUMMYFUNCTION("""COMPUTED_VALUE"""),588)</f>
        <v>588</v>
      </c>
      <c r="R130" s="12">
        <f ca="1">IFERROR(__xludf.DUMMYFUNCTION("""COMPUTED_VALUE"""),145)</f>
        <v>145</v>
      </c>
      <c r="S130" s="12">
        <f ca="1">IFERROR(__xludf.DUMMYFUNCTION("""COMPUTED_VALUE"""),294)</f>
        <v>294</v>
      </c>
      <c r="T130" s="12">
        <f ca="1">IFERROR(__xludf.DUMMYFUNCTION("""COMPUTED_VALUE"""),282)</f>
        <v>282</v>
      </c>
      <c r="U130" s="12">
        <f ca="1">IFERROR(__xludf.DUMMYFUNCTION("""COMPUTED_VALUE"""),306)</f>
        <v>306</v>
      </c>
      <c r="V130" s="12">
        <f ca="1">IFERROR(__xludf.DUMMYFUNCTION("""COMPUTED_VALUE"""),275)</f>
        <v>275</v>
      </c>
      <c r="W130" s="12">
        <f ca="1">IFERROR(__xludf.DUMMYFUNCTION("""COMPUTED_VALUE"""),1158)</f>
        <v>1158</v>
      </c>
      <c r="X130" s="12">
        <f ca="1">IFERROR(__xludf.DUMMYFUNCTION("""COMPUTED_VALUE"""),1060)</f>
        <v>1060</v>
      </c>
      <c r="Y130" s="12">
        <f ca="1">IFERROR(__xludf.DUMMYFUNCTION("""COMPUTED_VALUE"""),433)</f>
        <v>433</v>
      </c>
      <c r="Z130" s="12">
        <f ca="1">IFERROR(__xludf.DUMMYFUNCTION("""COMPUTED_VALUE"""),962)</f>
        <v>962</v>
      </c>
      <c r="AA130" s="12">
        <f ca="1">IFERROR(__xludf.DUMMYFUNCTION("""COMPUTED_VALUE"""),1729)</f>
        <v>1729</v>
      </c>
      <c r="AB130" s="12">
        <f ca="1">IFERROR(__xludf.DUMMYFUNCTION("""COMPUTED_VALUE"""),240)</f>
        <v>240</v>
      </c>
      <c r="AC130" s="12">
        <f ca="1">IFERROR(__xludf.DUMMYFUNCTION("""COMPUTED_VALUE"""),613)</f>
        <v>613</v>
      </c>
      <c r="AD130" s="12">
        <f ca="1">IFERROR(__xludf.DUMMYFUNCTION("""COMPUTED_VALUE"""),318)</f>
        <v>318</v>
      </c>
      <c r="AE130" s="12">
        <f ca="1">IFERROR(__xludf.DUMMYFUNCTION("""COMPUTED_VALUE"""),1199)</f>
        <v>1199</v>
      </c>
      <c r="AF130" s="8">
        <f ca="1">IFERROR(__xludf.DUMMYFUNCTION("""COMPUTED_VALUE"""),1534)</f>
        <v>1534</v>
      </c>
      <c r="AG130" s="8">
        <f ca="1">IFERROR(__xludf.DUMMYFUNCTION("""COMPUTED_VALUE"""),970)</f>
        <v>970</v>
      </c>
      <c r="AH130" s="8">
        <f ca="1">IFERROR(__xludf.DUMMYFUNCTION("""COMPUTED_VALUE"""),552)</f>
        <v>552</v>
      </c>
      <c r="AI130" s="8">
        <f ca="1">IFERROR(__xludf.DUMMYFUNCTION("""COMPUTED_VALUE"""),226)</f>
        <v>226</v>
      </c>
      <c r="AJ130" s="8">
        <f ca="1">IFERROR(__xludf.DUMMYFUNCTION("""COMPUTED_VALUE"""),350)</f>
        <v>350</v>
      </c>
      <c r="AK130" s="8">
        <f ca="1">IFERROR(__xludf.DUMMYFUNCTION("""COMPUTED_VALUE"""),133)</f>
        <v>133</v>
      </c>
      <c r="AL130" s="8">
        <f ca="1">IFERROR(__xludf.DUMMYFUNCTION("""COMPUTED_VALUE"""),324)</f>
        <v>324</v>
      </c>
      <c r="AM130" s="8">
        <f ca="1">IFERROR(__xludf.DUMMYFUNCTION("""COMPUTED_VALUE"""),453)</f>
        <v>453</v>
      </c>
      <c r="AN130" s="8">
        <f ca="1">IFERROR(__xludf.DUMMYFUNCTION("""COMPUTED_VALUE"""),187)</f>
        <v>187</v>
      </c>
      <c r="AO130" s="8">
        <f ca="1">IFERROR(__xludf.DUMMYFUNCTION("""COMPUTED_VALUE"""),668)</f>
        <v>668</v>
      </c>
      <c r="AP130" s="8"/>
      <c r="AQ130" s="8"/>
      <c r="AR130" s="8"/>
      <c r="AS130" s="8"/>
      <c r="AT130" s="8"/>
      <c r="AU130" s="8"/>
      <c r="AV130" s="8"/>
      <c r="AW130" s="8"/>
      <c r="AX130" s="8"/>
      <c r="AY130" s="8"/>
    </row>
    <row r="131" spans="1:51" ht="13.2" x14ac:dyDescent="0.25">
      <c r="A131" s="12" t="str">
        <f ca="1">IFERROR(__xludf.DUMMYFUNCTION("""COMPUTED_VALUE"""),"               left Pallidum, caudal region")</f>
        <v xml:space="preserve">               left Pallidum, caudal region</v>
      </c>
      <c r="B131" s="12">
        <f ca="1">IFERROR(__xludf.DUMMYFUNCTION("""COMPUTED_VALUE"""),1853)</f>
        <v>1853</v>
      </c>
      <c r="C131" s="12">
        <f ca="1">IFERROR(__xludf.DUMMYFUNCTION("""COMPUTED_VALUE"""),4422)</f>
        <v>4422</v>
      </c>
      <c r="D131" s="12">
        <f ca="1">IFERROR(__xludf.DUMMYFUNCTION("""COMPUTED_VALUE"""),7868)</f>
        <v>7868</v>
      </c>
      <c r="E131" s="12">
        <f ca="1">IFERROR(__xludf.DUMMYFUNCTION("""COMPUTED_VALUE"""),3378)</f>
        <v>3378</v>
      </c>
      <c r="F131" s="12">
        <f ca="1">IFERROR(__xludf.DUMMYFUNCTION("""COMPUTED_VALUE"""),6116)</f>
        <v>6116</v>
      </c>
      <c r="G131" s="12">
        <f ca="1">IFERROR(__xludf.DUMMYFUNCTION("""COMPUTED_VALUE"""),3014)</f>
        <v>3014</v>
      </c>
      <c r="H131" s="12">
        <f ca="1">IFERROR(__xludf.DUMMYFUNCTION("""COMPUTED_VALUE"""),2774)</f>
        <v>2774</v>
      </c>
      <c r="I131" s="12">
        <f ca="1">IFERROR(__xludf.DUMMYFUNCTION("""COMPUTED_VALUE"""),3409)</f>
        <v>3409</v>
      </c>
      <c r="J131" s="12">
        <f ca="1">IFERROR(__xludf.DUMMYFUNCTION("""COMPUTED_VALUE"""),2702)</f>
        <v>2702</v>
      </c>
      <c r="K131" s="12">
        <f ca="1">IFERROR(__xludf.DUMMYFUNCTION("""COMPUTED_VALUE"""),2896)</f>
        <v>2896</v>
      </c>
      <c r="L131" s="12">
        <f ca="1">IFERROR(__xludf.DUMMYFUNCTION("""COMPUTED_VALUE"""),6589)</f>
        <v>6589</v>
      </c>
      <c r="M131" s="12">
        <f ca="1">IFERROR(__xludf.DUMMYFUNCTION("""COMPUTED_VALUE"""),8272)</f>
        <v>8272</v>
      </c>
      <c r="N131" s="12">
        <f ca="1">IFERROR(__xludf.DUMMYFUNCTION("""COMPUTED_VALUE"""),6207)</f>
        <v>6207</v>
      </c>
      <c r="O131" s="12">
        <f ca="1">IFERROR(__xludf.DUMMYFUNCTION("""COMPUTED_VALUE"""),6196)</f>
        <v>6196</v>
      </c>
      <c r="P131" s="12">
        <f ca="1">IFERROR(__xludf.DUMMYFUNCTION("""COMPUTED_VALUE"""),1521)</f>
        <v>1521</v>
      </c>
      <c r="Q131" s="12">
        <f ca="1">IFERROR(__xludf.DUMMYFUNCTION("""COMPUTED_VALUE"""),4407)</f>
        <v>4407</v>
      </c>
      <c r="R131" s="12">
        <f ca="1">IFERROR(__xludf.DUMMYFUNCTION("""COMPUTED_VALUE"""),1713)</f>
        <v>1713</v>
      </c>
      <c r="S131" s="12">
        <f ca="1">IFERROR(__xludf.DUMMYFUNCTION("""COMPUTED_VALUE"""),1886)</f>
        <v>1886</v>
      </c>
      <c r="T131" s="12">
        <f ca="1">IFERROR(__xludf.DUMMYFUNCTION("""COMPUTED_VALUE"""),4507)</f>
        <v>4507</v>
      </c>
      <c r="U131" s="12">
        <f ca="1">IFERROR(__xludf.DUMMYFUNCTION("""COMPUTED_VALUE"""),3588)</f>
        <v>3588</v>
      </c>
      <c r="V131" s="12">
        <f ca="1">IFERROR(__xludf.DUMMYFUNCTION("""COMPUTED_VALUE"""),5740)</f>
        <v>5740</v>
      </c>
      <c r="W131" s="12">
        <f ca="1">IFERROR(__xludf.DUMMYFUNCTION("""COMPUTED_VALUE"""),9817)</f>
        <v>9817</v>
      </c>
      <c r="X131" s="12">
        <f ca="1">IFERROR(__xludf.DUMMYFUNCTION("""COMPUTED_VALUE"""),10057)</f>
        <v>10057</v>
      </c>
      <c r="Y131" s="12">
        <f ca="1">IFERROR(__xludf.DUMMYFUNCTION("""COMPUTED_VALUE"""),6506)</f>
        <v>6506</v>
      </c>
      <c r="Z131" s="12">
        <f ca="1">IFERROR(__xludf.DUMMYFUNCTION("""COMPUTED_VALUE"""),10036)</f>
        <v>10036</v>
      </c>
      <c r="AA131" s="12">
        <f ca="1">IFERROR(__xludf.DUMMYFUNCTION("""COMPUTED_VALUE"""),5291)</f>
        <v>5291</v>
      </c>
      <c r="AB131" s="12">
        <f ca="1">IFERROR(__xludf.DUMMYFUNCTION("""COMPUTED_VALUE"""),5049)</f>
        <v>5049</v>
      </c>
      <c r="AC131" s="12">
        <f ca="1">IFERROR(__xludf.DUMMYFUNCTION("""COMPUTED_VALUE"""),5143)</f>
        <v>5143</v>
      </c>
      <c r="AD131" s="12">
        <f ca="1">IFERROR(__xludf.DUMMYFUNCTION("""COMPUTED_VALUE"""),5797)</f>
        <v>5797</v>
      </c>
      <c r="AE131" s="12">
        <f ca="1">IFERROR(__xludf.DUMMYFUNCTION("""COMPUTED_VALUE"""),4782)</f>
        <v>4782</v>
      </c>
      <c r="AF131" s="8">
        <f ca="1">IFERROR(__xludf.DUMMYFUNCTION("""COMPUTED_VALUE"""),17501)</f>
        <v>17501</v>
      </c>
      <c r="AG131" s="8">
        <f ca="1">IFERROR(__xludf.DUMMYFUNCTION("""COMPUTED_VALUE"""),4875)</f>
        <v>4875</v>
      </c>
      <c r="AH131" s="8">
        <f ca="1">IFERROR(__xludf.DUMMYFUNCTION("""COMPUTED_VALUE"""),5504)</f>
        <v>5504</v>
      </c>
      <c r="AI131" s="8">
        <f ca="1">IFERROR(__xludf.DUMMYFUNCTION("""COMPUTED_VALUE"""),7801)</f>
        <v>7801</v>
      </c>
      <c r="AJ131" s="8">
        <f ca="1">IFERROR(__xludf.DUMMYFUNCTION("""COMPUTED_VALUE"""),4259)</f>
        <v>4259</v>
      </c>
      <c r="AK131" s="8">
        <f ca="1">IFERROR(__xludf.DUMMYFUNCTION("""COMPUTED_VALUE"""),342)</f>
        <v>342</v>
      </c>
      <c r="AL131" s="8">
        <f ca="1">IFERROR(__xludf.DUMMYFUNCTION("""COMPUTED_VALUE"""),1225)</f>
        <v>1225</v>
      </c>
      <c r="AM131" s="8">
        <f ca="1">IFERROR(__xludf.DUMMYFUNCTION("""COMPUTED_VALUE"""),6607)</f>
        <v>6607</v>
      </c>
      <c r="AN131" s="8">
        <f ca="1">IFERROR(__xludf.DUMMYFUNCTION("""COMPUTED_VALUE"""),3162)</f>
        <v>3162</v>
      </c>
      <c r="AO131" s="8">
        <f ca="1">IFERROR(__xludf.DUMMYFUNCTION("""COMPUTED_VALUE"""),2565)</f>
        <v>2565</v>
      </c>
      <c r="AP131" s="8"/>
      <c r="AQ131" s="8"/>
      <c r="AR131" s="8"/>
      <c r="AS131" s="8"/>
      <c r="AT131" s="8"/>
      <c r="AU131" s="8"/>
      <c r="AV131" s="8"/>
      <c r="AW131" s="8"/>
      <c r="AX131" s="8"/>
      <c r="AY131" s="8"/>
    </row>
    <row r="132" spans="1:51" ht="13.2" x14ac:dyDescent="0.25">
      <c r="A132" s="12" t="str">
        <f ca="1">IFERROR(__xludf.DUMMYFUNCTION("""COMPUTED_VALUE"""),"      left Brain stem")</f>
        <v xml:space="preserve">      left Brain stem</v>
      </c>
      <c r="B132" s="12">
        <f ca="1">IFERROR(__xludf.DUMMYFUNCTION("""COMPUTED_VALUE"""),159044)</f>
        <v>159044</v>
      </c>
      <c r="C132" s="12">
        <f ca="1">IFERROR(__xludf.DUMMYFUNCTION("""COMPUTED_VALUE"""),298591)</f>
        <v>298591</v>
      </c>
      <c r="D132" s="12">
        <f ca="1">IFERROR(__xludf.DUMMYFUNCTION("""COMPUTED_VALUE"""),330989)</f>
        <v>330989</v>
      </c>
      <c r="E132" s="12">
        <f ca="1">IFERROR(__xludf.DUMMYFUNCTION("""COMPUTED_VALUE"""),276134)</f>
        <v>276134</v>
      </c>
      <c r="F132" s="12">
        <f ca="1">IFERROR(__xludf.DUMMYFUNCTION("""COMPUTED_VALUE"""),283531)</f>
        <v>283531</v>
      </c>
      <c r="G132" s="12">
        <f ca="1">IFERROR(__xludf.DUMMYFUNCTION("""COMPUTED_VALUE"""),150071)</f>
        <v>150071</v>
      </c>
      <c r="H132" s="12">
        <f ca="1">IFERROR(__xludf.DUMMYFUNCTION("""COMPUTED_VALUE"""),159439)</f>
        <v>159439</v>
      </c>
      <c r="I132" s="12">
        <f ca="1">IFERROR(__xludf.DUMMYFUNCTION("""COMPUTED_VALUE"""),161299)</f>
        <v>161299</v>
      </c>
      <c r="J132" s="12">
        <f ca="1">IFERROR(__xludf.DUMMYFUNCTION("""COMPUTED_VALUE"""),136429)</f>
        <v>136429</v>
      </c>
      <c r="K132" s="12">
        <f ca="1">IFERROR(__xludf.DUMMYFUNCTION("""COMPUTED_VALUE"""),179236)</f>
        <v>179236</v>
      </c>
      <c r="L132" s="12">
        <f ca="1">IFERROR(__xludf.DUMMYFUNCTION("""COMPUTED_VALUE"""),264847)</f>
        <v>264847</v>
      </c>
      <c r="M132" s="12">
        <f ca="1">IFERROR(__xludf.DUMMYFUNCTION("""COMPUTED_VALUE"""),293804)</f>
        <v>293804</v>
      </c>
      <c r="N132" s="12">
        <f ca="1">IFERROR(__xludf.DUMMYFUNCTION("""COMPUTED_VALUE"""),376839)</f>
        <v>376839</v>
      </c>
      <c r="O132" s="12">
        <f ca="1">IFERROR(__xludf.DUMMYFUNCTION("""COMPUTED_VALUE"""),270331)</f>
        <v>270331</v>
      </c>
      <c r="P132" s="12">
        <f ca="1">IFERROR(__xludf.DUMMYFUNCTION("""COMPUTED_VALUE"""),114663)</f>
        <v>114663</v>
      </c>
      <c r="Q132" s="12">
        <f ca="1">IFERROR(__xludf.DUMMYFUNCTION("""COMPUTED_VALUE"""),197375)</f>
        <v>197375</v>
      </c>
      <c r="R132" s="12">
        <f ca="1">IFERROR(__xludf.DUMMYFUNCTION("""COMPUTED_VALUE"""),100418)</f>
        <v>100418</v>
      </c>
      <c r="S132" s="12">
        <f ca="1">IFERROR(__xludf.DUMMYFUNCTION("""COMPUTED_VALUE"""),114694)</f>
        <v>114694</v>
      </c>
      <c r="T132" s="12">
        <f ca="1">IFERROR(__xludf.DUMMYFUNCTION("""COMPUTED_VALUE"""),174055)</f>
        <v>174055</v>
      </c>
      <c r="U132" s="12">
        <f ca="1">IFERROR(__xludf.DUMMYFUNCTION("""COMPUTED_VALUE"""),160853)</f>
        <v>160853</v>
      </c>
      <c r="V132" s="12">
        <f ca="1">IFERROR(__xludf.DUMMYFUNCTION("""COMPUTED_VALUE"""),247691)</f>
        <v>247691</v>
      </c>
      <c r="W132" s="12">
        <f ca="1">IFERROR(__xludf.DUMMYFUNCTION("""COMPUTED_VALUE"""),228090)</f>
        <v>228090</v>
      </c>
      <c r="X132" s="12">
        <f ca="1">IFERROR(__xludf.DUMMYFUNCTION("""COMPUTED_VALUE"""),571964)</f>
        <v>571964</v>
      </c>
      <c r="Y132" s="12">
        <f ca="1">IFERROR(__xludf.DUMMYFUNCTION("""COMPUTED_VALUE"""),231363)</f>
        <v>231363</v>
      </c>
      <c r="Z132" s="12">
        <f ca="1">IFERROR(__xludf.DUMMYFUNCTION("""COMPUTED_VALUE"""),298497)</f>
        <v>298497</v>
      </c>
      <c r="AA132" s="12">
        <f ca="1">IFERROR(__xludf.DUMMYFUNCTION("""COMPUTED_VALUE"""),130917)</f>
        <v>130917</v>
      </c>
      <c r="AB132" s="12">
        <f ca="1">IFERROR(__xludf.DUMMYFUNCTION("""COMPUTED_VALUE"""),237227)</f>
        <v>237227</v>
      </c>
      <c r="AC132" s="12">
        <f ca="1">IFERROR(__xludf.DUMMYFUNCTION("""COMPUTED_VALUE"""),152862)</f>
        <v>152862</v>
      </c>
      <c r="AD132" s="12">
        <f ca="1">IFERROR(__xludf.DUMMYFUNCTION("""COMPUTED_VALUE"""),193879)</f>
        <v>193879</v>
      </c>
      <c r="AE132" s="12">
        <f ca="1">IFERROR(__xludf.DUMMYFUNCTION("""COMPUTED_VALUE"""),354933)</f>
        <v>354933</v>
      </c>
      <c r="AF132" s="8">
        <f ca="1">IFERROR(__xludf.DUMMYFUNCTION("""COMPUTED_VALUE"""),369744)</f>
        <v>369744</v>
      </c>
      <c r="AG132" s="8">
        <f ca="1">IFERROR(__xludf.DUMMYFUNCTION("""COMPUTED_VALUE"""),134712)</f>
        <v>134712</v>
      </c>
      <c r="AH132" s="8">
        <f ca="1">IFERROR(__xludf.DUMMYFUNCTION("""COMPUTED_VALUE"""),230930)</f>
        <v>230930</v>
      </c>
      <c r="AI132" s="8">
        <f ca="1">IFERROR(__xludf.DUMMYFUNCTION("""COMPUTED_VALUE"""),190320)</f>
        <v>190320</v>
      </c>
      <c r="AJ132" s="8">
        <f ca="1">IFERROR(__xludf.DUMMYFUNCTION("""COMPUTED_VALUE"""),180500)</f>
        <v>180500</v>
      </c>
      <c r="AK132" s="8">
        <f ca="1">IFERROR(__xludf.DUMMYFUNCTION("""COMPUTED_VALUE"""),54113)</f>
        <v>54113</v>
      </c>
      <c r="AL132" s="8">
        <f ca="1">IFERROR(__xludf.DUMMYFUNCTION("""COMPUTED_VALUE"""),118796)</f>
        <v>118796</v>
      </c>
      <c r="AM132" s="8">
        <f ca="1">IFERROR(__xludf.DUMMYFUNCTION("""COMPUTED_VALUE"""),144271)</f>
        <v>144271</v>
      </c>
      <c r="AN132" s="8">
        <f ca="1">IFERROR(__xludf.DUMMYFUNCTION("""COMPUTED_VALUE"""),136905)</f>
        <v>136905</v>
      </c>
      <c r="AO132" s="8">
        <f ca="1">IFERROR(__xludf.DUMMYFUNCTION("""COMPUTED_VALUE"""),101888)</f>
        <v>101888</v>
      </c>
      <c r="AP132" s="8"/>
      <c r="AQ132" s="8"/>
      <c r="AR132" s="8"/>
      <c r="AS132" s="8"/>
      <c r="AT132" s="8"/>
      <c r="AU132" s="8"/>
      <c r="AV132" s="8"/>
      <c r="AW132" s="8"/>
      <c r="AX132" s="8"/>
      <c r="AY132" s="8"/>
    </row>
    <row r="133" spans="1:51" ht="13.2" x14ac:dyDescent="0.25">
      <c r="A133" s="12" t="str">
        <f ca="1">IFERROR(__xludf.DUMMYFUNCTION("""COMPUTED_VALUE"""),"         left Interbrain")</f>
        <v xml:space="preserve">         left Interbrain</v>
      </c>
      <c r="B133" s="12">
        <f ca="1">IFERROR(__xludf.DUMMYFUNCTION("""COMPUTED_VALUE"""),52466)</f>
        <v>52466</v>
      </c>
      <c r="C133" s="12">
        <f ca="1">IFERROR(__xludf.DUMMYFUNCTION("""COMPUTED_VALUE"""),119912)</f>
        <v>119912</v>
      </c>
      <c r="D133" s="12">
        <f ca="1">IFERROR(__xludf.DUMMYFUNCTION("""COMPUTED_VALUE"""),120134)</f>
        <v>120134</v>
      </c>
      <c r="E133" s="12">
        <f ca="1">IFERROR(__xludf.DUMMYFUNCTION("""COMPUTED_VALUE"""),102256)</f>
        <v>102256</v>
      </c>
      <c r="F133" s="12">
        <f ca="1">IFERROR(__xludf.DUMMYFUNCTION("""COMPUTED_VALUE"""),104483)</f>
        <v>104483</v>
      </c>
      <c r="G133" s="12">
        <f ca="1">IFERROR(__xludf.DUMMYFUNCTION("""COMPUTED_VALUE"""),53199)</f>
        <v>53199</v>
      </c>
      <c r="H133" s="12">
        <f ca="1">IFERROR(__xludf.DUMMYFUNCTION("""COMPUTED_VALUE"""),69923)</f>
        <v>69923</v>
      </c>
      <c r="I133" s="12">
        <f ca="1">IFERROR(__xludf.DUMMYFUNCTION("""COMPUTED_VALUE"""),67189)</f>
        <v>67189</v>
      </c>
      <c r="J133" s="12">
        <f ca="1">IFERROR(__xludf.DUMMYFUNCTION("""COMPUTED_VALUE"""),66890)</f>
        <v>66890</v>
      </c>
      <c r="K133" s="12">
        <f ca="1">IFERROR(__xludf.DUMMYFUNCTION("""COMPUTED_VALUE"""),69171)</f>
        <v>69171</v>
      </c>
      <c r="L133" s="12">
        <f ca="1">IFERROR(__xludf.DUMMYFUNCTION("""COMPUTED_VALUE"""),106859)</f>
        <v>106859</v>
      </c>
      <c r="M133" s="12">
        <f ca="1">IFERROR(__xludf.DUMMYFUNCTION("""COMPUTED_VALUE"""),110554)</f>
        <v>110554</v>
      </c>
      <c r="N133" s="12">
        <f ca="1">IFERROR(__xludf.DUMMYFUNCTION("""COMPUTED_VALUE"""),199381)</f>
        <v>199381</v>
      </c>
      <c r="O133" s="12">
        <f ca="1">IFERROR(__xludf.DUMMYFUNCTION("""COMPUTED_VALUE"""),98739)</f>
        <v>98739</v>
      </c>
      <c r="P133" s="12">
        <f ca="1">IFERROR(__xludf.DUMMYFUNCTION("""COMPUTED_VALUE"""),46614)</f>
        <v>46614</v>
      </c>
      <c r="Q133" s="12">
        <f ca="1">IFERROR(__xludf.DUMMYFUNCTION("""COMPUTED_VALUE"""),82900)</f>
        <v>82900</v>
      </c>
      <c r="R133" s="12">
        <f ca="1">IFERROR(__xludf.DUMMYFUNCTION("""COMPUTED_VALUE"""),47621)</f>
        <v>47621</v>
      </c>
      <c r="S133" s="12">
        <f ca="1">IFERROR(__xludf.DUMMYFUNCTION("""COMPUTED_VALUE"""),44196)</f>
        <v>44196</v>
      </c>
      <c r="T133" s="12">
        <f ca="1">IFERROR(__xludf.DUMMYFUNCTION("""COMPUTED_VALUE"""),71739)</f>
        <v>71739</v>
      </c>
      <c r="U133" s="12">
        <f ca="1">IFERROR(__xludf.DUMMYFUNCTION("""COMPUTED_VALUE"""),55985)</f>
        <v>55985</v>
      </c>
      <c r="V133" s="12">
        <f ca="1">IFERROR(__xludf.DUMMYFUNCTION("""COMPUTED_VALUE"""),112830)</f>
        <v>112830</v>
      </c>
      <c r="W133" s="12">
        <f ca="1">IFERROR(__xludf.DUMMYFUNCTION("""COMPUTED_VALUE"""),99435)</f>
        <v>99435</v>
      </c>
      <c r="X133" s="12">
        <f ca="1">IFERROR(__xludf.DUMMYFUNCTION("""COMPUTED_VALUE"""),230701)</f>
        <v>230701</v>
      </c>
      <c r="Y133" s="12">
        <f ca="1">IFERROR(__xludf.DUMMYFUNCTION("""COMPUTED_VALUE"""),77714)</f>
        <v>77714</v>
      </c>
      <c r="Z133" s="12">
        <f ca="1">IFERROR(__xludf.DUMMYFUNCTION("""COMPUTED_VALUE"""),163188)</f>
        <v>163188</v>
      </c>
      <c r="AA133" s="12">
        <f ca="1">IFERROR(__xludf.DUMMYFUNCTION("""COMPUTED_VALUE"""),74978)</f>
        <v>74978</v>
      </c>
      <c r="AB133" s="12">
        <f ca="1">IFERROR(__xludf.DUMMYFUNCTION("""COMPUTED_VALUE"""),111461)</f>
        <v>111461</v>
      </c>
      <c r="AC133" s="12">
        <f ca="1">IFERROR(__xludf.DUMMYFUNCTION("""COMPUTED_VALUE"""),47049)</f>
        <v>47049</v>
      </c>
      <c r="AD133" s="12">
        <f ca="1">IFERROR(__xludf.DUMMYFUNCTION("""COMPUTED_VALUE"""),81422)</f>
        <v>81422</v>
      </c>
      <c r="AE133" s="12">
        <f ca="1">IFERROR(__xludf.DUMMYFUNCTION("""COMPUTED_VALUE"""),114096)</f>
        <v>114096</v>
      </c>
      <c r="AF133" s="8">
        <f ca="1">IFERROR(__xludf.DUMMYFUNCTION("""COMPUTED_VALUE"""),171664)</f>
        <v>171664</v>
      </c>
      <c r="AG133" s="8">
        <f ca="1">IFERROR(__xludf.DUMMYFUNCTION("""COMPUTED_VALUE"""),68219)</f>
        <v>68219</v>
      </c>
      <c r="AH133" s="8">
        <f ca="1">IFERROR(__xludf.DUMMYFUNCTION("""COMPUTED_VALUE"""),101179)</f>
        <v>101179</v>
      </c>
      <c r="AI133" s="8">
        <f ca="1">IFERROR(__xludf.DUMMYFUNCTION("""COMPUTED_VALUE"""),85007)</f>
        <v>85007</v>
      </c>
      <c r="AJ133" s="8">
        <f ca="1">IFERROR(__xludf.DUMMYFUNCTION("""COMPUTED_VALUE"""),63350)</f>
        <v>63350</v>
      </c>
      <c r="AK133" s="8">
        <f ca="1">IFERROR(__xludf.DUMMYFUNCTION("""COMPUTED_VALUE"""),7494)</f>
        <v>7494</v>
      </c>
      <c r="AL133" s="8">
        <f ca="1">IFERROR(__xludf.DUMMYFUNCTION("""COMPUTED_VALUE"""),37531)</f>
        <v>37531</v>
      </c>
      <c r="AM133" s="8">
        <f ca="1">IFERROR(__xludf.DUMMYFUNCTION("""COMPUTED_VALUE"""),80048)</f>
        <v>80048</v>
      </c>
      <c r="AN133" s="8">
        <f ca="1">IFERROR(__xludf.DUMMYFUNCTION("""COMPUTED_VALUE"""),62718)</f>
        <v>62718</v>
      </c>
      <c r="AO133" s="8">
        <f ca="1">IFERROR(__xludf.DUMMYFUNCTION("""COMPUTED_VALUE"""),36774)</f>
        <v>36774</v>
      </c>
      <c r="AP133" s="8"/>
      <c r="AQ133" s="8"/>
      <c r="AR133" s="8"/>
      <c r="AS133" s="8"/>
      <c r="AT133" s="8"/>
      <c r="AU133" s="8"/>
      <c r="AV133" s="8"/>
      <c r="AW133" s="8"/>
      <c r="AX133" s="8"/>
      <c r="AY133" s="8"/>
    </row>
    <row r="134" spans="1:51" ht="13.2" x14ac:dyDescent="0.25">
      <c r="A134" s="12" t="str">
        <f ca="1">IFERROR(__xludf.DUMMYFUNCTION("""COMPUTED_VALUE"""),"            left Thalamus")</f>
        <v xml:space="preserve">            left Thalamus</v>
      </c>
      <c r="B134" s="12">
        <f ca="1">IFERROR(__xludf.DUMMYFUNCTION("""COMPUTED_VALUE"""),16429)</f>
        <v>16429</v>
      </c>
      <c r="C134" s="12">
        <f ca="1">IFERROR(__xludf.DUMMYFUNCTION("""COMPUTED_VALUE"""),56458)</f>
        <v>56458</v>
      </c>
      <c r="D134" s="12">
        <f ca="1">IFERROR(__xludf.DUMMYFUNCTION("""COMPUTED_VALUE"""),52701)</f>
        <v>52701</v>
      </c>
      <c r="E134" s="12">
        <f ca="1">IFERROR(__xludf.DUMMYFUNCTION("""COMPUTED_VALUE"""),47241)</f>
        <v>47241</v>
      </c>
      <c r="F134" s="12">
        <f ca="1">IFERROR(__xludf.DUMMYFUNCTION("""COMPUTED_VALUE"""),43652)</f>
        <v>43652</v>
      </c>
      <c r="G134" s="12">
        <f ca="1">IFERROR(__xludf.DUMMYFUNCTION("""COMPUTED_VALUE"""),25481)</f>
        <v>25481</v>
      </c>
      <c r="H134" s="12">
        <f ca="1">IFERROR(__xludf.DUMMYFUNCTION("""COMPUTED_VALUE"""),28062)</f>
        <v>28062</v>
      </c>
      <c r="I134" s="12">
        <f ca="1">IFERROR(__xludf.DUMMYFUNCTION("""COMPUTED_VALUE"""),33260)</f>
        <v>33260</v>
      </c>
      <c r="J134" s="12">
        <f ca="1">IFERROR(__xludf.DUMMYFUNCTION("""COMPUTED_VALUE"""),33429)</f>
        <v>33429</v>
      </c>
      <c r="K134" s="12">
        <f ca="1">IFERROR(__xludf.DUMMYFUNCTION("""COMPUTED_VALUE"""),29521)</f>
        <v>29521</v>
      </c>
      <c r="L134" s="12">
        <f ca="1">IFERROR(__xludf.DUMMYFUNCTION("""COMPUTED_VALUE"""),37698)</f>
        <v>37698</v>
      </c>
      <c r="M134" s="12">
        <f ca="1">IFERROR(__xludf.DUMMYFUNCTION("""COMPUTED_VALUE"""),45889)</f>
        <v>45889</v>
      </c>
      <c r="N134" s="12">
        <f ca="1">IFERROR(__xludf.DUMMYFUNCTION("""COMPUTED_VALUE"""),144190)</f>
        <v>144190</v>
      </c>
      <c r="O134" s="12">
        <f ca="1">IFERROR(__xludf.DUMMYFUNCTION("""COMPUTED_VALUE"""),40073)</f>
        <v>40073</v>
      </c>
      <c r="P134" s="12">
        <f ca="1">IFERROR(__xludf.DUMMYFUNCTION("""COMPUTED_VALUE"""),17455)</f>
        <v>17455</v>
      </c>
      <c r="Q134" s="12">
        <f ca="1">IFERROR(__xludf.DUMMYFUNCTION("""COMPUTED_VALUE"""),33075)</f>
        <v>33075</v>
      </c>
      <c r="R134" s="12">
        <f ca="1">IFERROR(__xludf.DUMMYFUNCTION("""COMPUTED_VALUE"""),15303)</f>
        <v>15303</v>
      </c>
      <c r="S134" s="12">
        <f ca="1">IFERROR(__xludf.DUMMYFUNCTION("""COMPUTED_VALUE"""),19721)</f>
        <v>19721</v>
      </c>
      <c r="T134" s="12">
        <f ca="1">IFERROR(__xludf.DUMMYFUNCTION("""COMPUTED_VALUE"""),30926)</f>
        <v>30926</v>
      </c>
      <c r="U134" s="12">
        <f ca="1">IFERROR(__xludf.DUMMYFUNCTION("""COMPUTED_VALUE"""),27238)</f>
        <v>27238</v>
      </c>
      <c r="V134" s="12">
        <f ca="1">IFERROR(__xludf.DUMMYFUNCTION("""COMPUTED_VALUE"""),51438)</f>
        <v>51438</v>
      </c>
      <c r="W134" s="12">
        <f ca="1">IFERROR(__xludf.DUMMYFUNCTION("""COMPUTED_VALUE"""),32799)</f>
        <v>32799</v>
      </c>
      <c r="X134" s="12">
        <f ca="1">IFERROR(__xludf.DUMMYFUNCTION("""COMPUTED_VALUE"""),93321)</f>
        <v>93321</v>
      </c>
      <c r="Y134" s="12">
        <f ca="1">IFERROR(__xludf.DUMMYFUNCTION("""COMPUTED_VALUE"""),31707)</f>
        <v>31707</v>
      </c>
      <c r="Z134" s="12">
        <f ca="1">IFERROR(__xludf.DUMMYFUNCTION("""COMPUTED_VALUE"""),82177)</f>
        <v>82177</v>
      </c>
      <c r="AA134" s="12">
        <f ca="1">IFERROR(__xludf.DUMMYFUNCTION("""COMPUTED_VALUE"""),22280)</f>
        <v>22280</v>
      </c>
      <c r="AB134" s="12">
        <f ca="1">IFERROR(__xludf.DUMMYFUNCTION("""COMPUTED_VALUE"""),41219)</f>
        <v>41219</v>
      </c>
      <c r="AC134" s="12">
        <f ca="1">IFERROR(__xludf.DUMMYFUNCTION("""COMPUTED_VALUE"""),30585)</f>
        <v>30585</v>
      </c>
      <c r="AD134" s="12">
        <f ca="1">IFERROR(__xludf.DUMMYFUNCTION("""COMPUTED_VALUE"""),21097)</f>
        <v>21097</v>
      </c>
      <c r="AE134" s="12">
        <f ca="1">IFERROR(__xludf.DUMMYFUNCTION("""COMPUTED_VALUE"""),42458)</f>
        <v>42458</v>
      </c>
      <c r="AF134" s="8">
        <f ca="1">IFERROR(__xludf.DUMMYFUNCTION("""COMPUTED_VALUE"""),66894)</f>
        <v>66894</v>
      </c>
      <c r="AG134" s="8">
        <f ca="1">IFERROR(__xludf.DUMMYFUNCTION("""COMPUTED_VALUE"""),23570)</f>
        <v>23570</v>
      </c>
      <c r="AH134" s="8">
        <f ca="1">IFERROR(__xludf.DUMMYFUNCTION("""COMPUTED_VALUE"""),30629)</f>
        <v>30629</v>
      </c>
      <c r="AI134" s="8">
        <f ca="1">IFERROR(__xludf.DUMMYFUNCTION("""COMPUTED_VALUE"""),27057)</f>
        <v>27057</v>
      </c>
      <c r="AJ134" s="8">
        <f ca="1">IFERROR(__xludf.DUMMYFUNCTION("""COMPUTED_VALUE"""),30460)</f>
        <v>30460</v>
      </c>
      <c r="AK134" s="8">
        <f ca="1">IFERROR(__xludf.DUMMYFUNCTION("""COMPUTED_VALUE"""),2658)</f>
        <v>2658</v>
      </c>
      <c r="AL134" s="8">
        <f ca="1">IFERROR(__xludf.DUMMYFUNCTION("""COMPUTED_VALUE"""),11618)</f>
        <v>11618</v>
      </c>
      <c r="AM134" s="8">
        <f ca="1">IFERROR(__xludf.DUMMYFUNCTION("""COMPUTED_VALUE"""),22940)</f>
        <v>22940</v>
      </c>
      <c r="AN134" s="8">
        <f ca="1">IFERROR(__xludf.DUMMYFUNCTION("""COMPUTED_VALUE"""),21731)</f>
        <v>21731</v>
      </c>
      <c r="AO134" s="8">
        <f ca="1">IFERROR(__xludf.DUMMYFUNCTION("""COMPUTED_VALUE"""),20139)</f>
        <v>20139</v>
      </c>
      <c r="AP134" s="8"/>
      <c r="AQ134" s="8"/>
      <c r="AR134" s="8"/>
      <c r="AS134" s="8"/>
      <c r="AT134" s="8"/>
      <c r="AU134" s="8"/>
      <c r="AV134" s="8"/>
      <c r="AW134" s="8"/>
      <c r="AX134" s="8"/>
      <c r="AY134" s="8"/>
    </row>
    <row r="135" spans="1:51" ht="13.2" x14ac:dyDescent="0.25">
      <c r="A135" s="12" t="str">
        <f ca="1">IFERROR(__xludf.DUMMYFUNCTION("""COMPUTED_VALUE"""),"               left Thalamus, sensory-motor cortex related")</f>
        <v xml:space="preserve">               left Thalamus, sensory-motor cortex related</v>
      </c>
      <c r="B135" s="12">
        <f ca="1">IFERROR(__xludf.DUMMYFUNCTION("""COMPUTED_VALUE"""),3865)</f>
        <v>3865</v>
      </c>
      <c r="C135" s="12">
        <f ca="1">IFERROR(__xludf.DUMMYFUNCTION("""COMPUTED_VALUE"""),11694)</f>
        <v>11694</v>
      </c>
      <c r="D135" s="12">
        <f ca="1">IFERROR(__xludf.DUMMYFUNCTION("""COMPUTED_VALUE"""),13350)</f>
        <v>13350</v>
      </c>
      <c r="E135" s="12">
        <f ca="1">IFERROR(__xludf.DUMMYFUNCTION("""COMPUTED_VALUE"""),9725)</f>
        <v>9725</v>
      </c>
      <c r="F135" s="12">
        <f ca="1">IFERROR(__xludf.DUMMYFUNCTION("""COMPUTED_VALUE"""),10671)</f>
        <v>10671</v>
      </c>
      <c r="G135" s="12">
        <f ca="1">IFERROR(__xludf.DUMMYFUNCTION("""COMPUTED_VALUE"""),5729)</f>
        <v>5729</v>
      </c>
      <c r="H135" s="12">
        <f ca="1">IFERROR(__xludf.DUMMYFUNCTION("""COMPUTED_VALUE"""),6224)</f>
        <v>6224</v>
      </c>
      <c r="I135" s="12">
        <f ca="1">IFERROR(__xludf.DUMMYFUNCTION("""COMPUTED_VALUE"""),7488)</f>
        <v>7488</v>
      </c>
      <c r="J135" s="12">
        <f ca="1">IFERROR(__xludf.DUMMYFUNCTION("""COMPUTED_VALUE"""),7758)</f>
        <v>7758</v>
      </c>
      <c r="K135" s="12">
        <f ca="1">IFERROR(__xludf.DUMMYFUNCTION("""COMPUTED_VALUE"""),6464)</f>
        <v>6464</v>
      </c>
      <c r="L135" s="12">
        <f ca="1">IFERROR(__xludf.DUMMYFUNCTION("""COMPUTED_VALUE"""),8359)</f>
        <v>8359</v>
      </c>
      <c r="M135" s="12">
        <f ca="1">IFERROR(__xludf.DUMMYFUNCTION("""COMPUTED_VALUE"""),10384)</f>
        <v>10384</v>
      </c>
      <c r="N135" s="12">
        <f ca="1">IFERROR(__xludf.DUMMYFUNCTION("""COMPUTED_VALUE"""),42607)</f>
        <v>42607</v>
      </c>
      <c r="O135" s="12">
        <f ca="1">IFERROR(__xludf.DUMMYFUNCTION("""COMPUTED_VALUE"""),8124)</f>
        <v>8124</v>
      </c>
      <c r="P135" s="12">
        <f ca="1">IFERROR(__xludf.DUMMYFUNCTION("""COMPUTED_VALUE"""),4226)</f>
        <v>4226</v>
      </c>
      <c r="Q135" s="12">
        <f ca="1">IFERROR(__xludf.DUMMYFUNCTION("""COMPUTED_VALUE"""),5909)</f>
        <v>5909</v>
      </c>
      <c r="R135" s="12">
        <f ca="1">IFERROR(__xludf.DUMMYFUNCTION("""COMPUTED_VALUE"""),2504)</f>
        <v>2504</v>
      </c>
      <c r="S135" s="12">
        <f ca="1">IFERROR(__xludf.DUMMYFUNCTION("""COMPUTED_VALUE"""),3307)</f>
        <v>3307</v>
      </c>
      <c r="T135" s="12">
        <f ca="1">IFERROR(__xludf.DUMMYFUNCTION("""COMPUTED_VALUE"""),6414)</f>
        <v>6414</v>
      </c>
      <c r="U135" s="12">
        <f ca="1">IFERROR(__xludf.DUMMYFUNCTION("""COMPUTED_VALUE"""),7269)</f>
        <v>7269</v>
      </c>
      <c r="V135" s="12">
        <f ca="1">IFERROR(__xludf.DUMMYFUNCTION("""COMPUTED_VALUE"""),11613)</f>
        <v>11613</v>
      </c>
      <c r="W135" s="12">
        <f ca="1">IFERROR(__xludf.DUMMYFUNCTION("""COMPUTED_VALUE"""),6839)</f>
        <v>6839</v>
      </c>
      <c r="X135" s="12">
        <f ca="1">IFERROR(__xludf.DUMMYFUNCTION("""COMPUTED_VALUE"""),17713)</f>
        <v>17713</v>
      </c>
      <c r="Y135" s="12">
        <f ca="1">IFERROR(__xludf.DUMMYFUNCTION("""COMPUTED_VALUE"""),6395)</f>
        <v>6395</v>
      </c>
      <c r="Z135" s="12">
        <f ca="1">IFERROR(__xludf.DUMMYFUNCTION("""COMPUTED_VALUE"""),15067)</f>
        <v>15067</v>
      </c>
      <c r="AA135" s="12">
        <f ca="1">IFERROR(__xludf.DUMMYFUNCTION("""COMPUTED_VALUE"""),6705)</f>
        <v>6705</v>
      </c>
      <c r="AB135" s="12">
        <f ca="1">IFERROR(__xludf.DUMMYFUNCTION("""COMPUTED_VALUE"""),10621)</f>
        <v>10621</v>
      </c>
      <c r="AC135" s="12">
        <f ca="1">IFERROR(__xludf.DUMMYFUNCTION("""COMPUTED_VALUE"""),8353)</f>
        <v>8353</v>
      </c>
      <c r="AD135" s="12">
        <f ca="1">IFERROR(__xludf.DUMMYFUNCTION("""COMPUTED_VALUE"""),4546)</f>
        <v>4546</v>
      </c>
      <c r="AE135" s="12">
        <f ca="1">IFERROR(__xludf.DUMMYFUNCTION("""COMPUTED_VALUE"""),11728)</f>
        <v>11728</v>
      </c>
      <c r="AF135" s="8">
        <f ca="1">IFERROR(__xludf.DUMMYFUNCTION("""COMPUTED_VALUE"""),12140)</f>
        <v>12140</v>
      </c>
      <c r="AG135" s="8">
        <f ca="1">IFERROR(__xludf.DUMMYFUNCTION("""COMPUTED_VALUE"""),6594)</f>
        <v>6594</v>
      </c>
      <c r="AH135" s="8">
        <f ca="1">IFERROR(__xludf.DUMMYFUNCTION("""COMPUTED_VALUE"""),7120)</f>
        <v>7120</v>
      </c>
      <c r="AI135" s="8">
        <f ca="1">IFERROR(__xludf.DUMMYFUNCTION("""COMPUTED_VALUE"""),7144)</f>
        <v>7144</v>
      </c>
      <c r="AJ135" s="8">
        <f ca="1">IFERROR(__xludf.DUMMYFUNCTION("""COMPUTED_VALUE"""),4063)</f>
        <v>4063</v>
      </c>
      <c r="AK135" s="8">
        <f ca="1">IFERROR(__xludf.DUMMYFUNCTION("""COMPUTED_VALUE"""),1012)</f>
        <v>1012</v>
      </c>
      <c r="AL135" s="8">
        <f ca="1">IFERROR(__xludf.DUMMYFUNCTION("""COMPUTED_VALUE"""),2945)</f>
        <v>2945</v>
      </c>
      <c r="AM135" s="8">
        <f ca="1">IFERROR(__xludf.DUMMYFUNCTION("""COMPUTED_VALUE"""),4462)</f>
        <v>4462</v>
      </c>
      <c r="AN135" s="8">
        <f ca="1">IFERROR(__xludf.DUMMYFUNCTION("""COMPUTED_VALUE"""),4574)</f>
        <v>4574</v>
      </c>
      <c r="AO135" s="8">
        <f ca="1">IFERROR(__xludf.DUMMYFUNCTION("""COMPUTED_VALUE"""),2889)</f>
        <v>2889</v>
      </c>
      <c r="AP135" s="8"/>
      <c r="AQ135" s="8"/>
      <c r="AR135" s="8"/>
      <c r="AS135" s="8"/>
      <c r="AT135" s="8"/>
      <c r="AU135" s="8"/>
      <c r="AV135" s="8"/>
      <c r="AW135" s="8"/>
      <c r="AX135" s="8"/>
      <c r="AY135" s="8"/>
    </row>
    <row r="136" spans="1:51" ht="13.2" x14ac:dyDescent="0.25">
      <c r="A136" s="12" t="str">
        <f ca="1">IFERROR(__xludf.DUMMYFUNCTION("""COMPUTED_VALUE"""),"                  left Ventral group of the dorsal thalamus")</f>
        <v xml:space="preserve">                  left Ventral group of the dorsal thalamus</v>
      </c>
      <c r="B136" s="12">
        <f ca="1">IFERROR(__xludf.DUMMYFUNCTION("""COMPUTED_VALUE"""),1334)</f>
        <v>1334</v>
      </c>
      <c r="C136" s="12">
        <f ca="1">IFERROR(__xludf.DUMMYFUNCTION("""COMPUTED_VALUE"""),5649)</f>
        <v>5649</v>
      </c>
      <c r="D136" s="12">
        <f ca="1">IFERROR(__xludf.DUMMYFUNCTION("""COMPUTED_VALUE"""),7153)</f>
        <v>7153</v>
      </c>
      <c r="E136" s="12">
        <f ca="1">IFERROR(__xludf.DUMMYFUNCTION("""COMPUTED_VALUE"""),4545)</f>
        <v>4545</v>
      </c>
      <c r="F136" s="12">
        <f ca="1">IFERROR(__xludf.DUMMYFUNCTION("""COMPUTED_VALUE"""),5081)</f>
        <v>5081</v>
      </c>
      <c r="G136" s="12">
        <f ca="1">IFERROR(__xludf.DUMMYFUNCTION("""COMPUTED_VALUE"""),2776)</f>
        <v>2776</v>
      </c>
      <c r="H136" s="12">
        <f ca="1">IFERROR(__xludf.DUMMYFUNCTION("""COMPUTED_VALUE"""),2450)</f>
        <v>2450</v>
      </c>
      <c r="I136" s="12">
        <f ca="1">IFERROR(__xludf.DUMMYFUNCTION("""COMPUTED_VALUE"""),3757)</f>
        <v>3757</v>
      </c>
      <c r="J136" s="12">
        <f ca="1">IFERROR(__xludf.DUMMYFUNCTION("""COMPUTED_VALUE"""),2570)</f>
        <v>2570</v>
      </c>
      <c r="K136" s="12">
        <f ca="1">IFERROR(__xludf.DUMMYFUNCTION("""COMPUTED_VALUE"""),2941)</f>
        <v>2941</v>
      </c>
      <c r="L136" s="12">
        <f ca="1">IFERROR(__xludf.DUMMYFUNCTION("""COMPUTED_VALUE"""),5287)</f>
        <v>5287</v>
      </c>
      <c r="M136" s="12">
        <f ca="1">IFERROR(__xludf.DUMMYFUNCTION("""COMPUTED_VALUE"""),6562)</f>
        <v>6562</v>
      </c>
      <c r="N136" s="12">
        <f ca="1">IFERROR(__xludf.DUMMYFUNCTION("""COMPUTED_VALUE"""),31676)</f>
        <v>31676</v>
      </c>
      <c r="O136" s="12">
        <f ca="1">IFERROR(__xludf.DUMMYFUNCTION("""COMPUTED_VALUE"""),3718)</f>
        <v>3718</v>
      </c>
      <c r="P136" s="12">
        <f ca="1">IFERROR(__xludf.DUMMYFUNCTION("""COMPUTED_VALUE"""),1894)</f>
        <v>1894</v>
      </c>
      <c r="Q136" s="12">
        <f ca="1">IFERROR(__xludf.DUMMYFUNCTION("""COMPUTED_VALUE"""),2973)</f>
        <v>2973</v>
      </c>
      <c r="R136" s="12">
        <f ca="1">IFERROR(__xludf.DUMMYFUNCTION("""COMPUTED_VALUE"""),1222)</f>
        <v>1222</v>
      </c>
      <c r="S136" s="12">
        <f ca="1">IFERROR(__xludf.DUMMYFUNCTION("""COMPUTED_VALUE"""),1464)</f>
        <v>1464</v>
      </c>
      <c r="T136" s="12">
        <f ca="1">IFERROR(__xludf.DUMMYFUNCTION("""COMPUTED_VALUE"""),3864)</f>
        <v>3864</v>
      </c>
      <c r="U136" s="12">
        <f ca="1">IFERROR(__xludf.DUMMYFUNCTION("""COMPUTED_VALUE"""),4664)</f>
        <v>4664</v>
      </c>
      <c r="V136" s="12">
        <f ca="1">IFERROR(__xludf.DUMMYFUNCTION("""COMPUTED_VALUE"""),7894)</f>
        <v>7894</v>
      </c>
      <c r="W136" s="12">
        <f ca="1">IFERROR(__xludf.DUMMYFUNCTION("""COMPUTED_VALUE"""),3508)</f>
        <v>3508</v>
      </c>
      <c r="X136" s="12">
        <f ca="1">IFERROR(__xludf.DUMMYFUNCTION("""COMPUTED_VALUE"""),9250)</f>
        <v>9250</v>
      </c>
      <c r="Y136" s="12">
        <f ca="1">IFERROR(__xludf.DUMMYFUNCTION("""COMPUTED_VALUE"""),2927)</f>
        <v>2927</v>
      </c>
      <c r="Z136" s="12">
        <f ca="1">IFERROR(__xludf.DUMMYFUNCTION("""COMPUTED_VALUE"""),9150)</f>
        <v>9150</v>
      </c>
      <c r="AA136" s="12">
        <f ca="1">IFERROR(__xludf.DUMMYFUNCTION("""COMPUTED_VALUE"""),4249)</f>
        <v>4249</v>
      </c>
      <c r="AB136" s="12">
        <f ca="1">IFERROR(__xludf.DUMMYFUNCTION("""COMPUTED_VALUE"""),5303)</f>
        <v>5303</v>
      </c>
      <c r="AC136" s="12">
        <f ca="1">IFERROR(__xludf.DUMMYFUNCTION("""COMPUTED_VALUE"""),5183)</f>
        <v>5183</v>
      </c>
      <c r="AD136" s="12">
        <f ca="1">IFERROR(__xludf.DUMMYFUNCTION("""COMPUTED_VALUE"""),2117)</f>
        <v>2117</v>
      </c>
      <c r="AE136" s="12">
        <f ca="1">IFERROR(__xludf.DUMMYFUNCTION("""COMPUTED_VALUE"""),6901)</f>
        <v>6901</v>
      </c>
      <c r="AF136" s="8">
        <f ca="1">IFERROR(__xludf.DUMMYFUNCTION("""COMPUTED_VALUE"""),9070)</f>
        <v>9070</v>
      </c>
      <c r="AG136" s="8">
        <f ca="1">IFERROR(__xludf.DUMMYFUNCTION("""COMPUTED_VALUE"""),2538)</f>
        <v>2538</v>
      </c>
      <c r="AH136" s="8">
        <f ca="1">IFERROR(__xludf.DUMMYFUNCTION("""COMPUTED_VALUE"""),2862)</f>
        <v>2862</v>
      </c>
      <c r="AI136" s="8">
        <f ca="1">IFERROR(__xludf.DUMMYFUNCTION("""COMPUTED_VALUE"""),3261)</f>
        <v>3261</v>
      </c>
      <c r="AJ136" s="8">
        <f ca="1">IFERROR(__xludf.DUMMYFUNCTION("""COMPUTED_VALUE"""),2064)</f>
        <v>2064</v>
      </c>
      <c r="AK136" s="8">
        <f ca="1">IFERROR(__xludf.DUMMYFUNCTION("""COMPUTED_VALUE"""),259)</f>
        <v>259</v>
      </c>
      <c r="AL136" s="8">
        <f ca="1">IFERROR(__xludf.DUMMYFUNCTION("""COMPUTED_VALUE"""),1791)</f>
        <v>1791</v>
      </c>
      <c r="AM136" s="8">
        <f ca="1">IFERROR(__xludf.DUMMYFUNCTION("""COMPUTED_VALUE"""),2420)</f>
        <v>2420</v>
      </c>
      <c r="AN136" s="8">
        <f ca="1">IFERROR(__xludf.DUMMYFUNCTION("""COMPUTED_VALUE"""),2177)</f>
        <v>2177</v>
      </c>
      <c r="AO136" s="8">
        <f ca="1">IFERROR(__xludf.DUMMYFUNCTION("""COMPUTED_VALUE"""),1151)</f>
        <v>1151</v>
      </c>
      <c r="AP136" s="8"/>
      <c r="AQ136" s="8"/>
      <c r="AR136" s="8"/>
      <c r="AS136" s="8"/>
      <c r="AT136" s="8"/>
      <c r="AU136" s="8"/>
      <c r="AV136" s="8"/>
      <c r="AW136" s="8"/>
      <c r="AX136" s="8"/>
      <c r="AY136" s="8"/>
    </row>
    <row r="137" spans="1:51" ht="13.2" x14ac:dyDescent="0.25">
      <c r="A137" s="12" t="str">
        <f ca="1">IFERROR(__xludf.DUMMYFUNCTION("""COMPUTED_VALUE"""),"               left Thalamus, polymodal association cortex related")</f>
        <v xml:space="preserve">               left Thalamus, polymodal association cortex related</v>
      </c>
      <c r="B137" s="12">
        <f ca="1">IFERROR(__xludf.DUMMYFUNCTION("""COMPUTED_VALUE"""),11230)</f>
        <v>11230</v>
      </c>
      <c r="C137" s="12">
        <f ca="1">IFERROR(__xludf.DUMMYFUNCTION("""COMPUTED_VALUE"""),41062)</f>
        <v>41062</v>
      </c>
      <c r="D137" s="12">
        <f ca="1">IFERROR(__xludf.DUMMYFUNCTION("""COMPUTED_VALUE"""),36268)</f>
        <v>36268</v>
      </c>
      <c r="E137" s="12">
        <f ca="1">IFERROR(__xludf.DUMMYFUNCTION("""COMPUTED_VALUE"""),34354)</f>
        <v>34354</v>
      </c>
      <c r="F137" s="12">
        <f ca="1">IFERROR(__xludf.DUMMYFUNCTION("""COMPUTED_VALUE"""),29789)</f>
        <v>29789</v>
      </c>
      <c r="G137" s="12">
        <f ca="1">IFERROR(__xludf.DUMMYFUNCTION("""COMPUTED_VALUE"""),17977)</f>
        <v>17977</v>
      </c>
      <c r="H137" s="12">
        <f ca="1">IFERROR(__xludf.DUMMYFUNCTION("""COMPUTED_VALUE"""),19957)</f>
        <v>19957</v>
      </c>
      <c r="I137" s="12">
        <f ca="1">IFERROR(__xludf.DUMMYFUNCTION("""COMPUTED_VALUE"""),24010)</f>
        <v>24010</v>
      </c>
      <c r="J137" s="12">
        <f ca="1">IFERROR(__xludf.DUMMYFUNCTION("""COMPUTED_VALUE"""),23409)</f>
        <v>23409</v>
      </c>
      <c r="K137" s="12">
        <f ca="1">IFERROR(__xludf.DUMMYFUNCTION("""COMPUTED_VALUE"""),21190)</f>
        <v>21190</v>
      </c>
      <c r="L137" s="12">
        <f ca="1">IFERROR(__xludf.DUMMYFUNCTION("""COMPUTED_VALUE"""),26671)</f>
        <v>26671</v>
      </c>
      <c r="M137" s="12">
        <f ca="1">IFERROR(__xludf.DUMMYFUNCTION("""COMPUTED_VALUE"""),32465)</f>
        <v>32465</v>
      </c>
      <c r="N137" s="12">
        <f ca="1">IFERROR(__xludf.DUMMYFUNCTION("""COMPUTED_VALUE"""),95445)</f>
        <v>95445</v>
      </c>
      <c r="O137" s="12">
        <f ca="1">IFERROR(__xludf.DUMMYFUNCTION("""COMPUTED_VALUE"""),29191)</f>
        <v>29191</v>
      </c>
      <c r="P137" s="12">
        <f ca="1">IFERROR(__xludf.DUMMYFUNCTION("""COMPUTED_VALUE"""),11979)</f>
        <v>11979</v>
      </c>
      <c r="Q137" s="12">
        <f ca="1">IFERROR(__xludf.DUMMYFUNCTION("""COMPUTED_VALUE"""),24749)</f>
        <v>24749</v>
      </c>
      <c r="R137" s="12">
        <f ca="1">IFERROR(__xludf.DUMMYFUNCTION("""COMPUTED_VALUE"""),12079)</f>
        <v>12079</v>
      </c>
      <c r="S137" s="12">
        <f ca="1">IFERROR(__xludf.DUMMYFUNCTION("""COMPUTED_VALUE"""),15311)</f>
        <v>15311</v>
      </c>
      <c r="T137" s="12">
        <f ca="1">IFERROR(__xludf.DUMMYFUNCTION("""COMPUTED_VALUE"""),23019)</f>
        <v>23019</v>
      </c>
      <c r="U137" s="12">
        <f ca="1">IFERROR(__xludf.DUMMYFUNCTION("""COMPUTED_VALUE"""),18314)</f>
        <v>18314</v>
      </c>
      <c r="V137" s="12">
        <f ca="1">IFERROR(__xludf.DUMMYFUNCTION("""COMPUTED_VALUE"""),36701)</f>
        <v>36701</v>
      </c>
      <c r="W137" s="12">
        <f ca="1">IFERROR(__xludf.DUMMYFUNCTION("""COMPUTED_VALUE"""),23961)</f>
        <v>23961</v>
      </c>
      <c r="X137" s="12">
        <f ca="1">IFERROR(__xludf.DUMMYFUNCTION("""COMPUTED_VALUE"""),70140)</f>
        <v>70140</v>
      </c>
      <c r="Y137" s="12">
        <f ca="1">IFERROR(__xludf.DUMMYFUNCTION("""COMPUTED_VALUE"""),23321)</f>
        <v>23321</v>
      </c>
      <c r="Z137" s="12">
        <f ca="1">IFERROR(__xludf.DUMMYFUNCTION("""COMPUTED_VALUE"""),62486)</f>
        <v>62486</v>
      </c>
      <c r="AA137" s="12">
        <f ca="1">IFERROR(__xludf.DUMMYFUNCTION("""COMPUTED_VALUE"""),14299)</f>
        <v>14299</v>
      </c>
      <c r="AB137" s="12">
        <f ca="1">IFERROR(__xludf.DUMMYFUNCTION("""COMPUTED_VALUE"""),27715)</f>
        <v>27715</v>
      </c>
      <c r="AC137" s="12">
        <f ca="1">IFERROR(__xludf.DUMMYFUNCTION("""COMPUTED_VALUE"""),20689)</f>
        <v>20689</v>
      </c>
      <c r="AD137" s="12">
        <f ca="1">IFERROR(__xludf.DUMMYFUNCTION("""COMPUTED_VALUE"""),15174)</f>
        <v>15174</v>
      </c>
      <c r="AE137" s="12">
        <f ca="1">IFERROR(__xludf.DUMMYFUNCTION("""COMPUTED_VALUE"""),27224)</f>
        <v>27224</v>
      </c>
      <c r="AF137" s="8">
        <f ca="1">IFERROR(__xludf.DUMMYFUNCTION("""COMPUTED_VALUE"""),51532)</f>
        <v>51532</v>
      </c>
      <c r="AG137" s="8">
        <f ca="1">IFERROR(__xludf.DUMMYFUNCTION("""COMPUTED_VALUE"""),15672)</f>
        <v>15672</v>
      </c>
      <c r="AH137" s="8">
        <f ca="1">IFERROR(__xludf.DUMMYFUNCTION("""COMPUTED_VALUE"""),21501)</f>
        <v>21501</v>
      </c>
      <c r="AI137" s="8">
        <f ca="1">IFERROR(__xludf.DUMMYFUNCTION("""COMPUTED_VALUE"""),17736)</f>
        <v>17736</v>
      </c>
      <c r="AJ137" s="8">
        <f ca="1">IFERROR(__xludf.DUMMYFUNCTION("""COMPUTED_VALUE"""),25028)</f>
        <v>25028</v>
      </c>
      <c r="AK137" s="8">
        <f ca="1">IFERROR(__xludf.DUMMYFUNCTION("""COMPUTED_VALUE"""),1468)</f>
        <v>1468</v>
      </c>
      <c r="AL137" s="8">
        <f ca="1">IFERROR(__xludf.DUMMYFUNCTION("""COMPUTED_VALUE"""),7680)</f>
        <v>7680</v>
      </c>
      <c r="AM137" s="8">
        <f ca="1">IFERROR(__xludf.DUMMYFUNCTION("""COMPUTED_VALUE"""),17229)</f>
        <v>17229</v>
      </c>
      <c r="AN137" s="8">
        <f ca="1">IFERROR(__xludf.DUMMYFUNCTION("""COMPUTED_VALUE"""),15672)</f>
        <v>15672</v>
      </c>
      <c r="AO137" s="8">
        <f ca="1">IFERROR(__xludf.DUMMYFUNCTION("""COMPUTED_VALUE"""),16035)</f>
        <v>16035</v>
      </c>
      <c r="AP137" s="8"/>
      <c r="AQ137" s="8"/>
      <c r="AR137" s="8"/>
      <c r="AS137" s="8"/>
      <c r="AT137" s="8"/>
      <c r="AU137" s="8"/>
      <c r="AV137" s="8"/>
      <c r="AW137" s="8"/>
      <c r="AX137" s="8"/>
      <c r="AY137" s="8"/>
    </row>
    <row r="138" spans="1:51" ht="13.2" x14ac:dyDescent="0.25">
      <c r="A138" s="12" t="str">
        <f ca="1">IFERROR(__xludf.DUMMYFUNCTION("""COMPUTED_VALUE"""),"            left Hypothalamus")</f>
        <v xml:space="preserve">            left Hypothalamus</v>
      </c>
      <c r="B138" s="12">
        <f ca="1">IFERROR(__xludf.DUMMYFUNCTION("""COMPUTED_VALUE"""),36037)</f>
        <v>36037</v>
      </c>
      <c r="C138" s="12">
        <f ca="1">IFERROR(__xludf.DUMMYFUNCTION("""COMPUTED_VALUE"""),63454)</f>
        <v>63454</v>
      </c>
      <c r="D138" s="12">
        <f ca="1">IFERROR(__xludf.DUMMYFUNCTION("""COMPUTED_VALUE"""),67433)</f>
        <v>67433</v>
      </c>
      <c r="E138" s="12">
        <f ca="1">IFERROR(__xludf.DUMMYFUNCTION("""COMPUTED_VALUE"""),55015)</f>
        <v>55015</v>
      </c>
      <c r="F138" s="12">
        <f ca="1">IFERROR(__xludf.DUMMYFUNCTION("""COMPUTED_VALUE"""),60831)</f>
        <v>60831</v>
      </c>
      <c r="G138" s="12">
        <f ca="1">IFERROR(__xludf.DUMMYFUNCTION("""COMPUTED_VALUE"""),27718)</f>
        <v>27718</v>
      </c>
      <c r="H138" s="12">
        <f ca="1">IFERROR(__xludf.DUMMYFUNCTION("""COMPUTED_VALUE"""),41861)</f>
        <v>41861</v>
      </c>
      <c r="I138" s="12">
        <f ca="1">IFERROR(__xludf.DUMMYFUNCTION("""COMPUTED_VALUE"""),33929)</f>
        <v>33929</v>
      </c>
      <c r="J138" s="12">
        <f ca="1">IFERROR(__xludf.DUMMYFUNCTION("""COMPUTED_VALUE"""),33461)</f>
        <v>33461</v>
      </c>
      <c r="K138" s="12">
        <f ca="1">IFERROR(__xludf.DUMMYFUNCTION("""COMPUTED_VALUE"""),39650)</f>
        <v>39650</v>
      </c>
      <c r="L138" s="12">
        <f ca="1">IFERROR(__xludf.DUMMYFUNCTION("""COMPUTED_VALUE"""),69161)</f>
        <v>69161</v>
      </c>
      <c r="M138" s="12">
        <f ca="1">IFERROR(__xludf.DUMMYFUNCTION("""COMPUTED_VALUE"""),64665)</f>
        <v>64665</v>
      </c>
      <c r="N138" s="12">
        <f ca="1">IFERROR(__xludf.DUMMYFUNCTION("""COMPUTED_VALUE"""),55191)</f>
        <v>55191</v>
      </c>
      <c r="O138" s="12">
        <f ca="1">IFERROR(__xludf.DUMMYFUNCTION("""COMPUTED_VALUE"""),58666)</f>
        <v>58666</v>
      </c>
      <c r="P138" s="12">
        <f ca="1">IFERROR(__xludf.DUMMYFUNCTION("""COMPUTED_VALUE"""),29159)</f>
        <v>29159</v>
      </c>
      <c r="Q138" s="12">
        <f ca="1">IFERROR(__xludf.DUMMYFUNCTION("""COMPUTED_VALUE"""),49825)</f>
        <v>49825</v>
      </c>
      <c r="R138" s="12">
        <f ca="1">IFERROR(__xludf.DUMMYFUNCTION("""COMPUTED_VALUE"""),32318)</f>
        <v>32318</v>
      </c>
      <c r="S138" s="12">
        <f ca="1">IFERROR(__xludf.DUMMYFUNCTION("""COMPUTED_VALUE"""),24475)</f>
        <v>24475</v>
      </c>
      <c r="T138" s="12">
        <f ca="1">IFERROR(__xludf.DUMMYFUNCTION("""COMPUTED_VALUE"""),40813)</f>
        <v>40813</v>
      </c>
      <c r="U138" s="12">
        <f ca="1">IFERROR(__xludf.DUMMYFUNCTION("""COMPUTED_VALUE"""),28747)</f>
        <v>28747</v>
      </c>
      <c r="V138" s="12">
        <f ca="1">IFERROR(__xludf.DUMMYFUNCTION("""COMPUTED_VALUE"""),61392)</f>
        <v>61392</v>
      </c>
      <c r="W138" s="12">
        <f ca="1">IFERROR(__xludf.DUMMYFUNCTION("""COMPUTED_VALUE"""),66636)</f>
        <v>66636</v>
      </c>
      <c r="X138" s="12">
        <f ca="1">IFERROR(__xludf.DUMMYFUNCTION("""COMPUTED_VALUE"""),137380)</f>
        <v>137380</v>
      </c>
      <c r="Y138" s="12">
        <f ca="1">IFERROR(__xludf.DUMMYFUNCTION("""COMPUTED_VALUE"""),46007)</f>
        <v>46007</v>
      </c>
      <c r="Z138" s="12">
        <f ca="1">IFERROR(__xludf.DUMMYFUNCTION("""COMPUTED_VALUE"""),81011)</f>
        <v>81011</v>
      </c>
      <c r="AA138" s="12">
        <f ca="1">IFERROR(__xludf.DUMMYFUNCTION("""COMPUTED_VALUE"""),52698)</f>
        <v>52698</v>
      </c>
      <c r="AB138" s="12">
        <f ca="1">IFERROR(__xludf.DUMMYFUNCTION("""COMPUTED_VALUE"""),70242)</f>
        <v>70242</v>
      </c>
      <c r="AC138" s="12">
        <f ca="1">IFERROR(__xludf.DUMMYFUNCTION("""COMPUTED_VALUE"""),16464)</f>
        <v>16464</v>
      </c>
      <c r="AD138" s="12">
        <f ca="1">IFERROR(__xludf.DUMMYFUNCTION("""COMPUTED_VALUE"""),60325)</f>
        <v>60325</v>
      </c>
      <c r="AE138" s="12">
        <f ca="1">IFERROR(__xludf.DUMMYFUNCTION("""COMPUTED_VALUE"""),71638)</f>
        <v>71638</v>
      </c>
      <c r="AF138" s="8">
        <f ca="1">IFERROR(__xludf.DUMMYFUNCTION("""COMPUTED_VALUE"""),104770)</f>
        <v>104770</v>
      </c>
      <c r="AG138" s="8">
        <f ca="1">IFERROR(__xludf.DUMMYFUNCTION("""COMPUTED_VALUE"""),44649)</f>
        <v>44649</v>
      </c>
      <c r="AH138" s="8">
        <f ca="1">IFERROR(__xludf.DUMMYFUNCTION("""COMPUTED_VALUE"""),70550)</f>
        <v>70550</v>
      </c>
      <c r="AI138" s="8">
        <f ca="1">IFERROR(__xludf.DUMMYFUNCTION("""COMPUTED_VALUE"""),57950)</f>
        <v>57950</v>
      </c>
      <c r="AJ138" s="8">
        <f ca="1">IFERROR(__xludf.DUMMYFUNCTION("""COMPUTED_VALUE"""),32890)</f>
        <v>32890</v>
      </c>
      <c r="AK138" s="8">
        <f ca="1">IFERROR(__xludf.DUMMYFUNCTION("""COMPUTED_VALUE"""),4836)</f>
        <v>4836</v>
      </c>
      <c r="AL138" s="8">
        <f ca="1">IFERROR(__xludf.DUMMYFUNCTION("""COMPUTED_VALUE"""),25913)</f>
        <v>25913</v>
      </c>
      <c r="AM138" s="8">
        <f ca="1">IFERROR(__xludf.DUMMYFUNCTION("""COMPUTED_VALUE"""),57108)</f>
        <v>57108</v>
      </c>
      <c r="AN138" s="8">
        <f ca="1">IFERROR(__xludf.DUMMYFUNCTION("""COMPUTED_VALUE"""),40987)</f>
        <v>40987</v>
      </c>
      <c r="AO138" s="8">
        <f ca="1">IFERROR(__xludf.DUMMYFUNCTION("""COMPUTED_VALUE"""),16635)</f>
        <v>16635</v>
      </c>
      <c r="AP138" s="8"/>
      <c r="AQ138" s="8"/>
      <c r="AR138" s="8"/>
      <c r="AS138" s="8"/>
      <c r="AT138" s="8"/>
      <c r="AU138" s="8"/>
      <c r="AV138" s="8"/>
      <c r="AW138" s="8"/>
      <c r="AX138" s="8"/>
      <c r="AY138" s="8"/>
    </row>
    <row r="139" spans="1:51" ht="13.2" x14ac:dyDescent="0.25">
      <c r="A139" s="12" t="str">
        <f ca="1">IFERROR(__xludf.DUMMYFUNCTION("""COMPUTED_VALUE"""),"               left Periventricular zone")</f>
        <v xml:space="preserve">               left Periventricular zone</v>
      </c>
      <c r="B139" s="12">
        <f ca="1">IFERROR(__xludf.DUMMYFUNCTION("""COMPUTED_VALUE"""),2614)</f>
        <v>2614</v>
      </c>
      <c r="C139" s="12">
        <f ca="1">IFERROR(__xludf.DUMMYFUNCTION("""COMPUTED_VALUE"""),3364)</f>
        <v>3364</v>
      </c>
      <c r="D139" s="12">
        <f ca="1">IFERROR(__xludf.DUMMYFUNCTION("""COMPUTED_VALUE"""),5038)</f>
        <v>5038</v>
      </c>
      <c r="E139" s="12">
        <f ca="1">IFERROR(__xludf.DUMMYFUNCTION("""COMPUTED_VALUE"""),3978)</f>
        <v>3978</v>
      </c>
      <c r="F139" s="12">
        <f ca="1">IFERROR(__xludf.DUMMYFUNCTION("""COMPUTED_VALUE"""),2959)</f>
        <v>2959</v>
      </c>
      <c r="G139" s="12">
        <f ca="1">IFERROR(__xludf.DUMMYFUNCTION("""COMPUTED_VALUE"""),2137)</f>
        <v>2137</v>
      </c>
      <c r="H139" s="12">
        <f ca="1">IFERROR(__xludf.DUMMYFUNCTION("""COMPUTED_VALUE"""),2435)</f>
        <v>2435</v>
      </c>
      <c r="I139" s="12">
        <f ca="1">IFERROR(__xludf.DUMMYFUNCTION("""COMPUTED_VALUE"""),1736)</f>
        <v>1736</v>
      </c>
      <c r="J139" s="12">
        <f ca="1">IFERROR(__xludf.DUMMYFUNCTION("""COMPUTED_VALUE"""),3098)</f>
        <v>3098</v>
      </c>
      <c r="K139" s="12">
        <f ca="1">IFERROR(__xludf.DUMMYFUNCTION("""COMPUTED_VALUE"""),2504)</f>
        <v>2504</v>
      </c>
      <c r="L139" s="12">
        <f ca="1">IFERROR(__xludf.DUMMYFUNCTION("""COMPUTED_VALUE"""),3013)</f>
        <v>3013</v>
      </c>
      <c r="M139" s="12">
        <f ca="1">IFERROR(__xludf.DUMMYFUNCTION("""COMPUTED_VALUE"""),2434)</f>
        <v>2434</v>
      </c>
      <c r="N139" s="12">
        <f ca="1">IFERROR(__xludf.DUMMYFUNCTION("""COMPUTED_VALUE"""),2480)</f>
        <v>2480</v>
      </c>
      <c r="O139" s="12">
        <f ca="1">IFERROR(__xludf.DUMMYFUNCTION("""COMPUTED_VALUE"""),2562)</f>
        <v>2562</v>
      </c>
      <c r="P139" s="12">
        <f ca="1">IFERROR(__xludf.DUMMYFUNCTION("""COMPUTED_VALUE"""),2353)</f>
        <v>2353</v>
      </c>
      <c r="Q139" s="12">
        <f ca="1">IFERROR(__xludf.DUMMYFUNCTION("""COMPUTED_VALUE"""),3245)</f>
        <v>3245</v>
      </c>
      <c r="R139" s="12">
        <f ca="1">IFERROR(__xludf.DUMMYFUNCTION("""COMPUTED_VALUE"""),2700)</f>
        <v>2700</v>
      </c>
      <c r="S139" s="12">
        <f ca="1">IFERROR(__xludf.DUMMYFUNCTION("""COMPUTED_VALUE"""),1726)</f>
        <v>1726</v>
      </c>
      <c r="T139" s="12">
        <f ca="1">IFERROR(__xludf.DUMMYFUNCTION("""COMPUTED_VALUE"""),1347)</f>
        <v>1347</v>
      </c>
      <c r="U139" s="12">
        <f ca="1">IFERROR(__xludf.DUMMYFUNCTION("""COMPUTED_VALUE"""),2560)</f>
        <v>2560</v>
      </c>
      <c r="V139" s="12">
        <f ca="1">IFERROR(__xludf.DUMMYFUNCTION("""COMPUTED_VALUE"""),3267)</f>
        <v>3267</v>
      </c>
      <c r="W139" s="12">
        <f ca="1">IFERROR(__xludf.DUMMYFUNCTION("""COMPUTED_VALUE"""),3302)</f>
        <v>3302</v>
      </c>
      <c r="X139" s="12">
        <f ca="1">IFERROR(__xludf.DUMMYFUNCTION("""COMPUTED_VALUE"""),9562)</f>
        <v>9562</v>
      </c>
      <c r="Y139" s="12">
        <f ca="1">IFERROR(__xludf.DUMMYFUNCTION("""COMPUTED_VALUE"""),1931)</f>
        <v>1931</v>
      </c>
      <c r="Z139" s="12">
        <f ca="1">IFERROR(__xludf.DUMMYFUNCTION("""COMPUTED_VALUE"""),5838)</f>
        <v>5838</v>
      </c>
      <c r="AA139" s="12">
        <f ca="1">IFERROR(__xludf.DUMMYFUNCTION("""COMPUTED_VALUE"""),3763)</f>
        <v>3763</v>
      </c>
      <c r="AB139" s="12">
        <f ca="1">IFERROR(__xludf.DUMMYFUNCTION("""COMPUTED_VALUE"""),2892)</f>
        <v>2892</v>
      </c>
      <c r="AC139" s="12">
        <f ca="1">IFERROR(__xludf.DUMMYFUNCTION("""COMPUTED_VALUE"""),575)</f>
        <v>575</v>
      </c>
      <c r="AD139" s="12">
        <f ca="1">IFERROR(__xludf.DUMMYFUNCTION("""COMPUTED_VALUE"""),4897)</f>
        <v>4897</v>
      </c>
      <c r="AE139" s="12">
        <f ca="1">IFERROR(__xludf.DUMMYFUNCTION("""COMPUTED_VALUE"""),3060)</f>
        <v>3060</v>
      </c>
      <c r="AF139" s="8">
        <f ca="1">IFERROR(__xludf.DUMMYFUNCTION("""COMPUTED_VALUE"""),4160)</f>
        <v>4160</v>
      </c>
      <c r="AG139" s="8">
        <f ca="1">IFERROR(__xludf.DUMMYFUNCTION("""COMPUTED_VALUE"""),3484)</f>
        <v>3484</v>
      </c>
      <c r="AH139" s="8">
        <f ca="1">IFERROR(__xludf.DUMMYFUNCTION("""COMPUTED_VALUE"""),2767)</f>
        <v>2767</v>
      </c>
      <c r="AI139" s="8">
        <f ca="1">IFERROR(__xludf.DUMMYFUNCTION("""COMPUTED_VALUE"""),5608)</f>
        <v>5608</v>
      </c>
      <c r="AJ139" s="8">
        <f ca="1">IFERROR(__xludf.DUMMYFUNCTION("""COMPUTED_VALUE"""),1936)</f>
        <v>1936</v>
      </c>
      <c r="AK139" s="8">
        <f ca="1">IFERROR(__xludf.DUMMYFUNCTION("""COMPUTED_VALUE"""),504)</f>
        <v>504</v>
      </c>
      <c r="AL139" s="8">
        <f ca="1">IFERROR(__xludf.DUMMYFUNCTION("""COMPUTED_VALUE"""),1401)</f>
        <v>1401</v>
      </c>
      <c r="AM139" s="8">
        <f ca="1">IFERROR(__xludf.DUMMYFUNCTION("""COMPUTED_VALUE"""),3513)</f>
        <v>3513</v>
      </c>
      <c r="AN139" s="8">
        <f ca="1">IFERROR(__xludf.DUMMYFUNCTION("""COMPUTED_VALUE"""),2299)</f>
        <v>2299</v>
      </c>
      <c r="AO139" s="8">
        <f ca="1">IFERROR(__xludf.DUMMYFUNCTION("""COMPUTED_VALUE"""),1496)</f>
        <v>1496</v>
      </c>
      <c r="AP139" s="8"/>
      <c r="AQ139" s="8"/>
      <c r="AR139" s="8"/>
      <c r="AS139" s="8"/>
      <c r="AT139" s="8"/>
      <c r="AU139" s="8"/>
      <c r="AV139" s="8"/>
      <c r="AW139" s="8"/>
      <c r="AX139" s="8"/>
      <c r="AY139" s="8"/>
    </row>
    <row r="140" spans="1:51" ht="13.2" x14ac:dyDescent="0.25">
      <c r="A140" s="12" t="str">
        <f ca="1">IFERROR(__xludf.DUMMYFUNCTION("""COMPUTED_VALUE"""),"               left Periventricular region")</f>
        <v xml:space="preserve">               left Periventricular region</v>
      </c>
      <c r="B140" s="12">
        <f ca="1">IFERROR(__xludf.DUMMYFUNCTION("""COMPUTED_VALUE"""),7611)</f>
        <v>7611</v>
      </c>
      <c r="C140" s="12">
        <f ca="1">IFERROR(__xludf.DUMMYFUNCTION("""COMPUTED_VALUE"""),10256)</f>
        <v>10256</v>
      </c>
      <c r="D140" s="12">
        <f ca="1">IFERROR(__xludf.DUMMYFUNCTION("""COMPUTED_VALUE"""),15580)</f>
        <v>15580</v>
      </c>
      <c r="E140" s="12">
        <f ca="1">IFERROR(__xludf.DUMMYFUNCTION("""COMPUTED_VALUE"""),9998)</f>
        <v>9998</v>
      </c>
      <c r="F140" s="12">
        <f ca="1">IFERROR(__xludf.DUMMYFUNCTION("""COMPUTED_VALUE"""),11033)</f>
        <v>11033</v>
      </c>
      <c r="G140" s="12">
        <f ca="1">IFERROR(__xludf.DUMMYFUNCTION("""COMPUTED_VALUE"""),4711)</f>
        <v>4711</v>
      </c>
      <c r="H140" s="12">
        <f ca="1">IFERROR(__xludf.DUMMYFUNCTION("""COMPUTED_VALUE"""),8278)</f>
        <v>8278</v>
      </c>
      <c r="I140" s="12">
        <f ca="1">IFERROR(__xludf.DUMMYFUNCTION("""COMPUTED_VALUE"""),7338)</f>
        <v>7338</v>
      </c>
      <c r="J140" s="12">
        <f ca="1">IFERROR(__xludf.DUMMYFUNCTION("""COMPUTED_VALUE"""),7099)</f>
        <v>7099</v>
      </c>
      <c r="K140" s="12">
        <f ca="1">IFERROR(__xludf.DUMMYFUNCTION("""COMPUTED_VALUE"""),7013)</f>
        <v>7013</v>
      </c>
      <c r="L140" s="12">
        <f ca="1">IFERROR(__xludf.DUMMYFUNCTION("""COMPUTED_VALUE"""),12901)</f>
        <v>12901</v>
      </c>
      <c r="M140" s="12">
        <f ca="1">IFERROR(__xludf.DUMMYFUNCTION("""COMPUTED_VALUE"""),11615)</f>
        <v>11615</v>
      </c>
      <c r="N140" s="12">
        <f ca="1">IFERROR(__xludf.DUMMYFUNCTION("""COMPUTED_VALUE"""),6825)</f>
        <v>6825</v>
      </c>
      <c r="O140" s="12">
        <f ca="1">IFERROR(__xludf.DUMMYFUNCTION("""COMPUTED_VALUE"""),10128)</f>
        <v>10128</v>
      </c>
      <c r="P140" s="12">
        <f ca="1">IFERROR(__xludf.DUMMYFUNCTION("""COMPUTED_VALUE"""),6453)</f>
        <v>6453</v>
      </c>
      <c r="Q140" s="12">
        <f ca="1">IFERROR(__xludf.DUMMYFUNCTION("""COMPUTED_VALUE"""),12398)</f>
        <v>12398</v>
      </c>
      <c r="R140" s="12">
        <f ca="1">IFERROR(__xludf.DUMMYFUNCTION("""COMPUTED_VALUE"""),6848)</f>
        <v>6848</v>
      </c>
      <c r="S140" s="12">
        <f ca="1">IFERROR(__xludf.DUMMYFUNCTION("""COMPUTED_VALUE"""),5493)</f>
        <v>5493</v>
      </c>
      <c r="T140" s="12">
        <f ca="1">IFERROR(__xludf.DUMMYFUNCTION("""COMPUTED_VALUE"""),7140)</f>
        <v>7140</v>
      </c>
      <c r="U140" s="12">
        <f ca="1">IFERROR(__xludf.DUMMYFUNCTION("""COMPUTED_VALUE"""),4477)</f>
        <v>4477</v>
      </c>
      <c r="V140" s="12">
        <f ca="1">IFERROR(__xludf.DUMMYFUNCTION("""COMPUTED_VALUE"""),9376)</f>
        <v>9376</v>
      </c>
      <c r="W140" s="12">
        <f ca="1">IFERROR(__xludf.DUMMYFUNCTION("""COMPUTED_VALUE"""),14539)</f>
        <v>14539</v>
      </c>
      <c r="X140" s="12">
        <f ca="1">IFERROR(__xludf.DUMMYFUNCTION("""COMPUTED_VALUE"""),26524)</f>
        <v>26524</v>
      </c>
      <c r="Y140" s="12">
        <f ca="1">IFERROR(__xludf.DUMMYFUNCTION("""COMPUTED_VALUE"""),9463)</f>
        <v>9463</v>
      </c>
      <c r="Z140" s="12">
        <f ca="1">IFERROR(__xludf.DUMMYFUNCTION("""COMPUTED_VALUE"""),14720)</f>
        <v>14720</v>
      </c>
      <c r="AA140" s="12">
        <f ca="1">IFERROR(__xludf.DUMMYFUNCTION("""COMPUTED_VALUE"""),9336)</f>
        <v>9336</v>
      </c>
      <c r="AB140" s="12">
        <f ca="1">IFERROR(__xludf.DUMMYFUNCTION("""COMPUTED_VALUE"""),5771)</f>
        <v>5771</v>
      </c>
      <c r="AC140" s="12">
        <f ca="1">IFERROR(__xludf.DUMMYFUNCTION("""COMPUTED_VALUE"""),1900)</f>
        <v>1900</v>
      </c>
      <c r="AD140" s="12">
        <f ca="1">IFERROR(__xludf.DUMMYFUNCTION("""COMPUTED_VALUE"""),11562)</f>
        <v>11562</v>
      </c>
      <c r="AE140" s="12">
        <f ca="1">IFERROR(__xludf.DUMMYFUNCTION("""COMPUTED_VALUE"""),10425)</f>
        <v>10425</v>
      </c>
      <c r="AF140" s="8">
        <f ca="1">IFERROR(__xludf.DUMMYFUNCTION("""COMPUTED_VALUE"""),14245)</f>
        <v>14245</v>
      </c>
      <c r="AG140" s="8">
        <f ca="1">IFERROR(__xludf.DUMMYFUNCTION("""COMPUTED_VALUE"""),8087)</f>
        <v>8087</v>
      </c>
      <c r="AH140" s="8">
        <f ca="1">IFERROR(__xludf.DUMMYFUNCTION("""COMPUTED_VALUE"""),14633)</f>
        <v>14633</v>
      </c>
      <c r="AI140" s="8">
        <f ca="1">IFERROR(__xludf.DUMMYFUNCTION("""COMPUTED_VALUE"""),11761)</f>
        <v>11761</v>
      </c>
      <c r="AJ140" s="8">
        <f ca="1">IFERROR(__xludf.DUMMYFUNCTION("""COMPUTED_VALUE"""),5231)</f>
        <v>5231</v>
      </c>
      <c r="AK140" s="8">
        <f ca="1">IFERROR(__xludf.DUMMYFUNCTION("""COMPUTED_VALUE"""),565)</f>
        <v>565</v>
      </c>
      <c r="AL140" s="8">
        <f ca="1">IFERROR(__xludf.DUMMYFUNCTION("""COMPUTED_VALUE"""),4278)</f>
        <v>4278</v>
      </c>
      <c r="AM140" s="8">
        <f ca="1">IFERROR(__xludf.DUMMYFUNCTION("""COMPUTED_VALUE"""),9980)</f>
        <v>9980</v>
      </c>
      <c r="AN140" s="8">
        <f ca="1">IFERROR(__xludf.DUMMYFUNCTION("""COMPUTED_VALUE"""),5139)</f>
        <v>5139</v>
      </c>
      <c r="AO140" s="8">
        <f ca="1">IFERROR(__xludf.DUMMYFUNCTION("""COMPUTED_VALUE"""),2871)</f>
        <v>2871</v>
      </c>
      <c r="AP140" s="8"/>
      <c r="AQ140" s="8"/>
      <c r="AR140" s="8"/>
      <c r="AS140" s="8"/>
      <c r="AT140" s="8"/>
      <c r="AU140" s="8"/>
      <c r="AV140" s="8"/>
      <c r="AW140" s="8"/>
      <c r="AX140" s="8"/>
      <c r="AY140" s="8"/>
    </row>
    <row r="141" spans="1:51" ht="13.2" x14ac:dyDescent="0.25">
      <c r="A141" s="12" t="str">
        <f ca="1">IFERROR(__xludf.DUMMYFUNCTION("""COMPUTED_VALUE"""),"               left Hypothalamic medial zone")</f>
        <v xml:space="preserve">               left Hypothalamic medial zone</v>
      </c>
      <c r="B141" s="12">
        <f ca="1">IFERROR(__xludf.DUMMYFUNCTION("""COMPUTED_VALUE"""),10472)</f>
        <v>10472</v>
      </c>
      <c r="C141" s="12">
        <f ca="1">IFERROR(__xludf.DUMMYFUNCTION("""COMPUTED_VALUE"""),18372)</f>
        <v>18372</v>
      </c>
      <c r="D141" s="12">
        <f ca="1">IFERROR(__xludf.DUMMYFUNCTION("""COMPUTED_VALUE"""),17305)</f>
        <v>17305</v>
      </c>
      <c r="E141" s="12">
        <f ca="1">IFERROR(__xludf.DUMMYFUNCTION("""COMPUTED_VALUE"""),17114)</f>
        <v>17114</v>
      </c>
      <c r="F141" s="12">
        <f ca="1">IFERROR(__xludf.DUMMYFUNCTION("""COMPUTED_VALUE"""),17903)</f>
        <v>17903</v>
      </c>
      <c r="G141" s="12">
        <f ca="1">IFERROR(__xludf.DUMMYFUNCTION("""COMPUTED_VALUE"""),8858)</f>
        <v>8858</v>
      </c>
      <c r="H141" s="12">
        <f ca="1">IFERROR(__xludf.DUMMYFUNCTION("""COMPUTED_VALUE"""),12683)</f>
        <v>12683</v>
      </c>
      <c r="I141" s="12">
        <f ca="1">IFERROR(__xludf.DUMMYFUNCTION("""COMPUTED_VALUE"""),9041)</f>
        <v>9041</v>
      </c>
      <c r="J141" s="12">
        <f ca="1">IFERROR(__xludf.DUMMYFUNCTION("""COMPUTED_VALUE"""),8991)</f>
        <v>8991</v>
      </c>
      <c r="K141" s="12">
        <f ca="1">IFERROR(__xludf.DUMMYFUNCTION("""COMPUTED_VALUE"""),11089)</f>
        <v>11089</v>
      </c>
      <c r="L141" s="12">
        <f ca="1">IFERROR(__xludf.DUMMYFUNCTION("""COMPUTED_VALUE"""),18533)</f>
        <v>18533</v>
      </c>
      <c r="M141" s="12">
        <f ca="1">IFERROR(__xludf.DUMMYFUNCTION("""COMPUTED_VALUE"""),18194)</f>
        <v>18194</v>
      </c>
      <c r="N141" s="12">
        <f ca="1">IFERROR(__xludf.DUMMYFUNCTION("""COMPUTED_VALUE"""),15359)</f>
        <v>15359</v>
      </c>
      <c r="O141" s="12">
        <f ca="1">IFERROR(__xludf.DUMMYFUNCTION("""COMPUTED_VALUE"""),14710)</f>
        <v>14710</v>
      </c>
      <c r="P141" s="12">
        <f ca="1">IFERROR(__xludf.DUMMYFUNCTION("""COMPUTED_VALUE"""),7911)</f>
        <v>7911</v>
      </c>
      <c r="Q141" s="12">
        <f ca="1">IFERROR(__xludf.DUMMYFUNCTION("""COMPUTED_VALUE"""),14128)</f>
        <v>14128</v>
      </c>
      <c r="R141" s="12">
        <f ca="1">IFERROR(__xludf.DUMMYFUNCTION("""COMPUTED_VALUE"""),8194)</f>
        <v>8194</v>
      </c>
      <c r="S141" s="12">
        <f ca="1">IFERROR(__xludf.DUMMYFUNCTION("""COMPUTED_VALUE"""),6070)</f>
        <v>6070</v>
      </c>
      <c r="T141" s="12">
        <f ca="1">IFERROR(__xludf.DUMMYFUNCTION("""COMPUTED_VALUE"""),10992)</f>
        <v>10992</v>
      </c>
      <c r="U141" s="12">
        <f ca="1">IFERROR(__xludf.DUMMYFUNCTION("""COMPUTED_VALUE"""),8842)</f>
        <v>8842</v>
      </c>
      <c r="V141" s="12">
        <f ca="1">IFERROR(__xludf.DUMMYFUNCTION("""COMPUTED_VALUE"""),20271)</f>
        <v>20271</v>
      </c>
      <c r="W141" s="12">
        <f ca="1">IFERROR(__xludf.DUMMYFUNCTION("""COMPUTED_VALUE"""),15009)</f>
        <v>15009</v>
      </c>
      <c r="X141" s="12">
        <f ca="1">IFERROR(__xludf.DUMMYFUNCTION("""COMPUTED_VALUE"""),42889)</f>
        <v>42889</v>
      </c>
      <c r="Y141" s="12">
        <f ca="1">IFERROR(__xludf.DUMMYFUNCTION("""COMPUTED_VALUE"""),9808)</f>
        <v>9808</v>
      </c>
      <c r="Z141" s="12">
        <f ca="1">IFERROR(__xludf.DUMMYFUNCTION("""COMPUTED_VALUE"""),24408)</f>
        <v>24408</v>
      </c>
      <c r="AA141" s="12">
        <f ca="1">IFERROR(__xludf.DUMMYFUNCTION("""COMPUTED_VALUE"""),16721)</f>
        <v>16721</v>
      </c>
      <c r="AB141" s="12">
        <f ca="1">IFERROR(__xludf.DUMMYFUNCTION("""COMPUTED_VALUE"""),17219)</f>
        <v>17219</v>
      </c>
      <c r="AC141" s="12">
        <f ca="1">IFERROR(__xludf.DUMMYFUNCTION("""COMPUTED_VALUE"""),4761)</f>
        <v>4761</v>
      </c>
      <c r="AD141" s="12">
        <f ca="1">IFERROR(__xludf.DUMMYFUNCTION("""COMPUTED_VALUE"""),17043)</f>
        <v>17043</v>
      </c>
      <c r="AE141" s="12">
        <f ca="1">IFERROR(__xludf.DUMMYFUNCTION("""COMPUTED_VALUE"""),20626)</f>
        <v>20626</v>
      </c>
      <c r="AF141" s="8">
        <f ca="1">IFERROR(__xludf.DUMMYFUNCTION("""COMPUTED_VALUE"""),31041)</f>
        <v>31041</v>
      </c>
      <c r="AG141" s="8">
        <f ca="1">IFERROR(__xludf.DUMMYFUNCTION("""COMPUTED_VALUE"""),12385)</f>
        <v>12385</v>
      </c>
      <c r="AH141" s="8">
        <f ca="1">IFERROR(__xludf.DUMMYFUNCTION("""COMPUTED_VALUE"""),24178)</f>
        <v>24178</v>
      </c>
      <c r="AI141" s="8">
        <f ca="1">IFERROR(__xludf.DUMMYFUNCTION("""COMPUTED_VALUE"""),14530)</f>
        <v>14530</v>
      </c>
      <c r="AJ141" s="8">
        <f ca="1">IFERROR(__xludf.DUMMYFUNCTION("""COMPUTED_VALUE"""),11000)</f>
        <v>11000</v>
      </c>
      <c r="AK141" s="8">
        <f ca="1">IFERROR(__xludf.DUMMYFUNCTION("""COMPUTED_VALUE"""),1734)</f>
        <v>1734</v>
      </c>
      <c r="AL141" s="8">
        <f ca="1">IFERROR(__xludf.DUMMYFUNCTION("""COMPUTED_VALUE"""),8327)</f>
        <v>8327</v>
      </c>
      <c r="AM141" s="8">
        <f ca="1">IFERROR(__xludf.DUMMYFUNCTION("""COMPUTED_VALUE"""),15966)</f>
        <v>15966</v>
      </c>
      <c r="AN141" s="8">
        <f ca="1">IFERROR(__xludf.DUMMYFUNCTION("""COMPUTED_VALUE"""),11546)</f>
        <v>11546</v>
      </c>
      <c r="AO141" s="8">
        <f ca="1">IFERROR(__xludf.DUMMYFUNCTION("""COMPUTED_VALUE"""),4314)</f>
        <v>4314</v>
      </c>
      <c r="AP141" s="8"/>
      <c r="AQ141" s="8"/>
      <c r="AR141" s="8"/>
      <c r="AS141" s="8"/>
      <c r="AT141" s="8"/>
      <c r="AU141" s="8"/>
      <c r="AV141" s="8"/>
      <c r="AW141" s="8"/>
      <c r="AX141" s="8"/>
      <c r="AY141" s="8"/>
    </row>
    <row r="142" spans="1:51" ht="13.2" x14ac:dyDescent="0.25">
      <c r="A142" s="12" t="str">
        <f ca="1">IFERROR(__xludf.DUMMYFUNCTION("""COMPUTED_VALUE"""),"               left Hypothalamic lateral zone")</f>
        <v xml:space="preserve">               left Hypothalamic lateral zone</v>
      </c>
      <c r="B142" s="12">
        <f ca="1">IFERROR(__xludf.DUMMYFUNCTION("""COMPUTED_VALUE"""),8104)</f>
        <v>8104</v>
      </c>
      <c r="C142" s="12">
        <f ca="1">IFERROR(__xludf.DUMMYFUNCTION("""COMPUTED_VALUE"""),17940)</f>
        <v>17940</v>
      </c>
      <c r="D142" s="12">
        <f ca="1">IFERROR(__xludf.DUMMYFUNCTION("""COMPUTED_VALUE"""),15855)</f>
        <v>15855</v>
      </c>
      <c r="E142" s="12">
        <f ca="1">IFERROR(__xludf.DUMMYFUNCTION("""COMPUTED_VALUE"""),12874)</f>
        <v>12874</v>
      </c>
      <c r="F142" s="12">
        <f ca="1">IFERROR(__xludf.DUMMYFUNCTION("""COMPUTED_VALUE"""),16776)</f>
        <v>16776</v>
      </c>
      <c r="G142" s="12">
        <f ca="1">IFERROR(__xludf.DUMMYFUNCTION("""COMPUTED_VALUE"""),6554)</f>
        <v>6554</v>
      </c>
      <c r="H142" s="12">
        <f ca="1">IFERROR(__xludf.DUMMYFUNCTION("""COMPUTED_VALUE"""),9547)</f>
        <v>9547</v>
      </c>
      <c r="I142" s="12">
        <f ca="1">IFERROR(__xludf.DUMMYFUNCTION("""COMPUTED_VALUE"""),8666)</f>
        <v>8666</v>
      </c>
      <c r="J142" s="12">
        <f ca="1">IFERROR(__xludf.DUMMYFUNCTION("""COMPUTED_VALUE"""),6790)</f>
        <v>6790</v>
      </c>
      <c r="K142" s="12">
        <f ca="1">IFERROR(__xludf.DUMMYFUNCTION("""COMPUTED_VALUE"""),10296)</f>
        <v>10296</v>
      </c>
      <c r="L142" s="12">
        <f ca="1">IFERROR(__xludf.DUMMYFUNCTION("""COMPUTED_VALUE"""),19581)</f>
        <v>19581</v>
      </c>
      <c r="M142" s="12">
        <f ca="1">IFERROR(__xludf.DUMMYFUNCTION("""COMPUTED_VALUE"""),19584)</f>
        <v>19584</v>
      </c>
      <c r="N142" s="12">
        <f ca="1">IFERROR(__xludf.DUMMYFUNCTION("""COMPUTED_VALUE"""),20872)</f>
        <v>20872</v>
      </c>
      <c r="O142" s="12">
        <f ca="1">IFERROR(__xludf.DUMMYFUNCTION("""COMPUTED_VALUE"""),19192)</f>
        <v>19192</v>
      </c>
      <c r="P142" s="12">
        <f ca="1">IFERROR(__xludf.DUMMYFUNCTION("""COMPUTED_VALUE"""),6564)</f>
        <v>6564</v>
      </c>
      <c r="Q142" s="12">
        <f ca="1">IFERROR(__xludf.DUMMYFUNCTION("""COMPUTED_VALUE"""),9455)</f>
        <v>9455</v>
      </c>
      <c r="R142" s="12">
        <f ca="1">IFERROR(__xludf.DUMMYFUNCTION("""COMPUTED_VALUE"""),7496)</f>
        <v>7496</v>
      </c>
      <c r="S142" s="12">
        <f ca="1">IFERROR(__xludf.DUMMYFUNCTION("""COMPUTED_VALUE"""),5968)</f>
        <v>5968</v>
      </c>
      <c r="T142" s="12">
        <f ca="1">IFERROR(__xludf.DUMMYFUNCTION("""COMPUTED_VALUE"""),11171)</f>
        <v>11171</v>
      </c>
      <c r="U142" s="12">
        <f ca="1">IFERROR(__xludf.DUMMYFUNCTION("""COMPUTED_VALUE"""),6574)</f>
        <v>6574</v>
      </c>
      <c r="V142" s="12">
        <f ca="1">IFERROR(__xludf.DUMMYFUNCTION("""COMPUTED_VALUE"""),16274)</f>
        <v>16274</v>
      </c>
      <c r="W142" s="12">
        <f ca="1">IFERROR(__xludf.DUMMYFUNCTION("""COMPUTED_VALUE"""),17709)</f>
        <v>17709</v>
      </c>
      <c r="X142" s="12">
        <f ca="1">IFERROR(__xludf.DUMMYFUNCTION("""COMPUTED_VALUE"""),31778)</f>
        <v>31778</v>
      </c>
      <c r="Y142" s="12">
        <f ca="1">IFERROR(__xludf.DUMMYFUNCTION("""COMPUTED_VALUE"""),14939)</f>
        <v>14939</v>
      </c>
      <c r="Z142" s="12">
        <f ca="1">IFERROR(__xludf.DUMMYFUNCTION("""COMPUTED_VALUE"""),18562)</f>
        <v>18562</v>
      </c>
      <c r="AA142" s="12">
        <f ca="1">IFERROR(__xludf.DUMMYFUNCTION("""COMPUTED_VALUE"""),12025)</f>
        <v>12025</v>
      </c>
      <c r="AB142" s="12">
        <f ca="1">IFERROR(__xludf.DUMMYFUNCTION("""COMPUTED_VALUE"""),25641)</f>
        <v>25641</v>
      </c>
      <c r="AC142" s="12">
        <f ca="1">IFERROR(__xludf.DUMMYFUNCTION("""COMPUTED_VALUE"""),5785)</f>
        <v>5785</v>
      </c>
      <c r="AD142" s="12">
        <f ca="1">IFERROR(__xludf.DUMMYFUNCTION("""COMPUTED_VALUE"""),14914)</f>
        <v>14914</v>
      </c>
      <c r="AE142" s="12">
        <f ca="1">IFERROR(__xludf.DUMMYFUNCTION("""COMPUTED_VALUE"""),21088)</f>
        <v>21088</v>
      </c>
      <c r="AF142" s="8">
        <f ca="1">IFERROR(__xludf.DUMMYFUNCTION("""COMPUTED_VALUE"""),30494)</f>
        <v>30494</v>
      </c>
      <c r="AG142" s="8">
        <f ca="1">IFERROR(__xludf.DUMMYFUNCTION("""COMPUTED_VALUE"""),11528)</f>
        <v>11528</v>
      </c>
      <c r="AH142" s="8">
        <f ca="1">IFERROR(__xludf.DUMMYFUNCTION("""COMPUTED_VALUE"""),13365)</f>
        <v>13365</v>
      </c>
      <c r="AI142" s="8">
        <f ca="1">IFERROR(__xludf.DUMMYFUNCTION("""COMPUTED_VALUE"""),12994)</f>
        <v>12994</v>
      </c>
      <c r="AJ142" s="8">
        <f ca="1">IFERROR(__xludf.DUMMYFUNCTION("""COMPUTED_VALUE"""),7649)</f>
        <v>7649</v>
      </c>
      <c r="AK142" s="8">
        <f ca="1">IFERROR(__xludf.DUMMYFUNCTION("""COMPUTED_VALUE"""),1446)</f>
        <v>1446</v>
      </c>
      <c r="AL142" s="8">
        <f ca="1">IFERROR(__xludf.DUMMYFUNCTION("""COMPUTED_VALUE"""),5367)</f>
        <v>5367</v>
      </c>
      <c r="AM142" s="8">
        <f ca="1">IFERROR(__xludf.DUMMYFUNCTION("""COMPUTED_VALUE"""),16075)</f>
        <v>16075</v>
      </c>
      <c r="AN142" s="8">
        <f ca="1">IFERROR(__xludf.DUMMYFUNCTION("""COMPUTED_VALUE"""),12855)</f>
        <v>12855</v>
      </c>
      <c r="AO142" s="8">
        <f ca="1">IFERROR(__xludf.DUMMYFUNCTION("""COMPUTED_VALUE"""),4907)</f>
        <v>4907</v>
      </c>
      <c r="AP142" s="8"/>
      <c r="AQ142" s="8"/>
      <c r="AR142" s="8"/>
      <c r="AS142" s="8"/>
      <c r="AT142" s="8"/>
      <c r="AU142" s="8"/>
      <c r="AV142" s="8"/>
      <c r="AW142" s="8"/>
      <c r="AX142" s="8"/>
      <c r="AY142" s="8"/>
    </row>
    <row r="143" spans="1:51" ht="13.2" x14ac:dyDescent="0.25">
      <c r="A143" s="12" t="str">
        <f ca="1">IFERROR(__xludf.DUMMYFUNCTION("""COMPUTED_VALUE"""),"         left Midbrain")</f>
        <v xml:space="preserve">         left Midbrain</v>
      </c>
      <c r="B143" s="12">
        <f ca="1">IFERROR(__xludf.DUMMYFUNCTION("""COMPUTED_VALUE"""),77909)</f>
        <v>77909</v>
      </c>
      <c r="C143" s="12">
        <f ca="1">IFERROR(__xludf.DUMMYFUNCTION("""COMPUTED_VALUE"""),131352)</f>
        <v>131352</v>
      </c>
      <c r="D143" s="12">
        <f ca="1">IFERROR(__xludf.DUMMYFUNCTION("""COMPUTED_VALUE"""),157418)</f>
        <v>157418</v>
      </c>
      <c r="E143" s="12">
        <f ca="1">IFERROR(__xludf.DUMMYFUNCTION("""COMPUTED_VALUE"""),118006)</f>
        <v>118006</v>
      </c>
      <c r="F143" s="12">
        <f ca="1">IFERROR(__xludf.DUMMYFUNCTION("""COMPUTED_VALUE"""),133760)</f>
        <v>133760</v>
      </c>
      <c r="G143" s="12">
        <f ca="1">IFERROR(__xludf.DUMMYFUNCTION("""COMPUTED_VALUE"""),77048)</f>
        <v>77048</v>
      </c>
      <c r="H143" s="12">
        <f ca="1">IFERROR(__xludf.DUMMYFUNCTION("""COMPUTED_VALUE"""),72906)</f>
        <v>72906</v>
      </c>
      <c r="I143" s="12">
        <f ca="1">IFERROR(__xludf.DUMMYFUNCTION("""COMPUTED_VALUE"""),75029)</f>
        <v>75029</v>
      </c>
      <c r="J143" s="12">
        <f ca="1">IFERROR(__xludf.DUMMYFUNCTION("""COMPUTED_VALUE"""),58172)</f>
        <v>58172</v>
      </c>
      <c r="K143" s="12">
        <f ca="1">IFERROR(__xludf.DUMMYFUNCTION("""COMPUTED_VALUE"""),86317)</f>
        <v>86317</v>
      </c>
      <c r="L143" s="12">
        <f ca="1">IFERROR(__xludf.DUMMYFUNCTION("""COMPUTED_VALUE"""),109449)</f>
        <v>109449</v>
      </c>
      <c r="M143" s="12">
        <f ca="1">IFERROR(__xludf.DUMMYFUNCTION("""COMPUTED_VALUE"""),132118)</f>
        <v>132118</v>
      </c>
      <c r="N143" s="12">
        <f ca="1">IFERROR(__xludf.DUMMYFUNCTION("""COMPUTED_VALUE"""),121900)</f>
        <v>121900</v>
      </c>
      <c r="O143" s="12">
        <f ca="1">IFERROR(__xludf.DUMMYFUNCTION("""COMPUTED_VALUE"""),130195)</f>
        <v>130195</v>
      </c>
      <c r="P143" s="12">
        <f ca="1">IFERROR(__xludf.DUMMYFUNCTION("""COMPUTED_VALUE"""),53348)</f>
        <v>53348</v>
      </c>
      <c r="Q143" s="12">
        <f ca="1">IFERROR(__xludf.DUMMYFUNCTION("""COMPUTED_VALUE"""),90079)</f>
        <v>90079</v>
      </c>
      <c r="R143" s="12">
        <f ca="1">IFERROR(__xludf.DUMMYFUNCTION("""COMPUTED_VALUE"""),38510)</f>
        <v>38510</v>
      </c>
      <c r="S143" s="12">
        <f ca="1">IFERROR(__xludf.DUMMYFUNCTION("""COMPUTED_VALUE"""),55553)</f>
        <v>55553</v>
      </c>
      <c r="T143" s="12">
        <f ca="1">IFERROR(__xludf.DUMMYFUNCTION("""COMPUTED_VALUE"""),75616)</f>
        <v>75616</v>
      </c>
      <c r="U143" s="12">
        <f ca="1">IFERROR(__xludf.DUMMYFUNCTION("""COMPUTED_VALUE"""),89433)</f>
        <v>89433</v>
      </c>
      <c r="V143" s="12">
        <f ca="1">IFERROR(__xludf.DUMMYFUNCTION("""COMPUTED_VALUE"""),107553)</f>
        <v>107553</v>
      </c>
      <c r="W143" s="12">
        <f ca="1">IFERROR(__xludf.DUMMYFUNCTION("""COMPUTED_VALUE"""),97973)</f>
        <v>97973</v>
      </c>
      <c r="X143" s="12">
        <f ca="1">IFERROR(__xludf.DUMMYFUNCTION("""COMPUTED_VALUE"""),216308)</f>
        <v>216308</v>
      </c>
      <c r="Y143" s="12">
        <f ca="1">IFERROR(__xludf.DUMMYFUNCTION("""COMPUTED_VALUE"""),123638)</f>
        <v>123638</v>
      </c>
      <c r="Z143" s="12">
        <f ca="1">IFERROR(__xludf.DUMMYFUNCTION("""COMPUTED_VALUE"""),120498)</f>
        <v>120498</v>
      </c>
      <c r="AA143" s="12">
        <f ca="1">IFERROR(__xludf.DUMMYFUNCTION("""COMPUTED_VALUE"""),37176)</f>
        <v>37176</v>
      </c>
      <c r="AB143" s="12">
        <f ca="1">IFERROR(__xludf.DUMMYFUNCTION("""COMPUTED_VALUE"""),83300)</f>
        <v>83300</v>
      </c>
      <c r="AC143" s="12">
        <f ca="1">IFERROR(__xludf.DUMMYFUNCTION("""COMPUTED_VALUE"""),90382)</f>
        <v>90382</v>
      </c>
      <c r="AD143" s="12">
        <f ca="1">IFERROR(__xludf.DUMMYFUNCTION("""COMPUTED_VALUE"""),78244)</f>
        <v>78244</v>
      </c>
      <c r="AE143" s="12">
        <f ca="1">IFERROR(__xludf.DUMMYFUNCTION("""COMPUTED_VALUE"""),181525)</f>
        <v>181525</v>
      </c>
      <c r="AF143" s="8">
        <f ca="1">IFERROR(__xludf.DUMMYFUNCTION("""COMPUTED_VALUE"""),150089)</f>
        <v>150089</v>
      </c>
      <c r="AG143" s="8">
        <f ca="1">IFERROR(__xludf.DUMMYFUNCTION("""COMPUTED_VALUE"""),50803)</f>
        <v>50803</v>
      </c>
      <c r="AH143" s="8">
        <f ca="1">IFERROR(__xludf.DUMMYFUNCTION("""COMPUTED_VALUE"""),109197)</f>
        <v>109197</v>
      </c>
      <c r="AI143" s="8">
        <f ca="1">IFERROR(__xludf.DUMMYFUNCTION("""COMPUTED_VALUE"""),74875)</f>
        <v>74875</v>
      </c>
      <c r="AJ143" s="8">
        <f ca="1">IFERROR(__xludf.DUMMYFUNCTION("""COMPUTED_VALUE"""),102378)</f>
        <v>102378</v>
      </c>
      <c r="AK143" s="8">
        <f ca="1">IFERROR(__xludf.DUMMYFUNCTION("""COMPUTED_VALUE"""),42994)</f>
        <v>42994</v>
      </c>
      <c r="AL143" s="8">
        <f ca="1">IFERROR(__xludf.DUMMYFUNCTION("""COMPUTED_VALUE"""),59558)</f>
        <v>59558</v>
      </c>
      <c r="AM143" s="8">
        <f ca="1">IFERROR(__xludf.DUMMYFUNCTION("""COMPUTED_VALUE"""),37199)</f>
        <v>37199</v>
      </c>
      <c r="AN143" s="8">
        <f ca="1">IFERROR(__xludf.DUMMYFUNCTION("""COMPUTED_VALUE"""),51164)</f>
        <v>51164</v>
      </c>
      <c r="AO143" s="8">
        <f ca="1">IFERROR(__xludf.DUMMYFUNCTION("""COMPUTED_VALUE"""),56061)</f>
        <v>56061</v>
      </c>
      <c r="AP143" s="8"/>
      <c r="AQ143" s="8"/>
      <c r="AR143" s="8"/>
      <c r="AS143" s="8"/>
      <c r="AT143" s="8"/>
      <c r="AU143" s="8"/>
      <c r="AV143" s="8"/>
      <c r="AW143" s="8"/>
      <c r="AX143" s="8"/>
      <c r="AY143" s="8"/>
    </row>
    <row r="144" spans="1:51" ht="13.2" x14ac:dyDescent="0.25">
      <c r="A144" s="12" t="str">
        <f ca="1">IFERROR(__xludf.DUMMYFUNCTION("""COMPUTED_VALUE"""),"            left Midbrain, sensory related")</f>
        <v xml:space="preserve">            left Midbrain, sensory related</v>
      </c>
      <c r="B144" s="12">
        <f ca="1">IFERROR(__xludf.DUMMYFUNCTION("""COMPUTED_VALUE"""),25962)</f>
        <v>25962</v>
      </c>
      <c r="C144" s="12">
        <f ca="1">IFERROR(__xludf.DUMMYFUNCTION("""COMPUTED_VALUE"""),28253)</f>
        <v>28253</v>
      </c>
      <c r="D144" s="12">
        <f ca="1">IFERROR(__xludf.DUMMYFUNCTION("""COMPUTED_VALUE"""),38491)</f>
        <v>38491</v>
      </c>
      <c r="E144" s="12">
        <f ca="1">IFERROR(__xludf.DUMMYFUNCTION("""COMPUTED_VALUE"""),24629)</f>
        <v>24629</v>
      </c>
      <c r="F144" s="12">
        <f ca="1">IFERROR(__xludf.DUMMYFUNCTION("""COMPUTED_VALUE"""),30679)</f>
        <v>30679</v>
      </c>
      <c r="G144" s="12">
        <f ca="1">IFERROR(__xludf.DUMMYFUNCTION("""COMPUTED_VALUE"""),23201)</f>
        <v>23201</v>
      </c>
      <c r="H144" s="12">
        <f ca="1">IFERROR(__xludf.DUMMYFUNCTION("""COMPUTED_VALUE"""),12822)</f>
        <v>12822</v>
      </c>
      <c r="I144" s="12">
        <f ca="1">IFERROR(__xludf.DUMMYFUNCTION("""COMPUTED_VALUE"""),20086)</f>
        <v>20086</v>
      </c>
      <c r="J144" s="12">
        <f ca="1">IFERROR(__xludf.DUMMYFUNCTION("""COMPUTED_VALUE"""),13931)</f>
        <v>13931</v>
      </c>
      <c r="K144" s="12">
        <f ca="1">IFERROR(__xludf.DUMMYFUNCTION("""COMPUTED_VALUE"""),19390)</f>
        <v>19390</v>
      </c>
      <c r="L144" s="12">
        <f ca="1">IFERROR(__xludf.DUMMYFUNCTION("""COMPUTED_VALUE"""),29219)</f>
        <v>29219</v>
      </c>
      <c r="M144" s="12">
        <f ca="1">IFERROR(__xludf.DUMMYFUNCTION("""COMPUTED_VALUE"""),39171)</f>
        <v>39171</v>
      </c>
      <c r="N144" s="12">
        <f ca="1">IFERROR(__xludf.DUMMYFUNCTION("""COMPUTED_VALUE"""),10934)</f>
        <v>10934</v>
      </c>
      <c r="O144" s="12">
        <f ca="1">IFERROR(__xludf.DUMMYFUNCTION("""COMPUTED_VALUE"""),37475)</f>
        <v>37475</v>
      </c>
      <c r="P144" s="12">
        <f ca="1">IFERROR(__xludf.DUMMYFUNCTION("""COMPUTED_VALUE"""),16439)</f>
        <v>16439</v>
      </c>
      <c r="Q144" s="12">
        <f ca="1">IFERROR(__xludf.DUMMYFUNCTION("""COMPUTED_VALUE"""),20935)</f>
        <v>20935</v>
      </c>
      <c r="R144" s="12">
        <f ca="1">IFERROR(__xludf.DUMMYFUNCTION("""COMPUTED_VALUE"""),12586)</f>
        <v>12586</v>
      </c>
      <c r="S144" s="12">
        <f ca="1">IFERROR(__xludf.DUMMYFUNCTION("""COMPUTED_VALUE"""),12687)</f>
        <v>12687</v>
      </c>
      <c r="T144" s="12">
        <f ca="1">IFERROR(__xludf.DUMMYFUNCTION("""COMPUTED_VALUE"""),22138)</f>
        <v>22138</v>
      </c>
      <c r="U144" s="12">
        <f ca="1">IFERROR(__xludf.DUMMYFUNCTION("""COMPUTED_VALUE"""),38808)</f>
        <v>38808</v>
      </c>
      <c r="V144" s="12">
        <f ca="1">IFERROR(__xludf.DUMMYFUNCTION("""COMPUTED_VALUE"""),29293)</f>
        <v>29293</v>
      </c>
      <c r="W144" s="12">
        <f ca="1">IFERROR(__xludf.DUMMYFUNCTION("""COMPUTED_VALUE"""),13875)</f>
        <v>13875</v>
      </c>
      <c r="X144" s="12">
        <f ca="1">IFERROR(__xludf.DUMMYFUNCTION("""COMPUTED_VALUE"""),60890)</f>
        <v>60890</v>
      </c>
      <c r="Y144" s="12">
        <f ca="1">IFERROR(__xludf.DUMMYFUNCTION("""COMPUTED_VALUE"""),33987)</f>
        <v>33987</v>
      </c>
      <c r="Z144" s="12">
        <f ca="1">IFERROR(__xludf.DUMMYFUNCTION("""COMPUTED_VALUE"""),5401)</f>
        <v>5401</v>
      </c>
      <c r="AA144" s="12">
        <f ca="1">IFERROR(__xludf.DUMMYFUNCTION("""COMPUTED_VALUE"""),7881)</f>
        <v>7881</v>
      </c>
      <c r="AB144" s="12">
        <f ca="1">IFERROR(__xludf.DUMMYFUNCTION("""COMPUTED_VALUE"""),18671)</f>
        <v>18671</v>
      </c>
      <c r="AC144" s="12">
        <f ca="1">IFERROR(__xludf.DUMMYFUNCTION("""COMPUTED_VALUE"""),25862)</f>
        <v>25862</v>
      </c>
      <c r="AD144" s="12">
        <f ca="1">IFERROR(__xludf.DUMMYFUNCTION("""COMPUTED_VALUE"""),25801)</f>
        <v>25801</v>
      </c>
      <c r="AE144" s="12">
        <f ca="1">IFERROR(__xludf.DUMMYFUNCTION("""COMPUTED_VALUE"""),50072)</f>
        <v>50072</v>
      </c>
      <c r="AF144" s="8">
        <f ca="1">IFERROR(__xludf.DUMMYFUNCTION("""COMPUTED_VALUE"""),49606)</f>
        <v>49606</v>
      </c>
      <c r="AG144" s="8">
        <f ca="1">IFERROR(__xludf.DUMMYFUNCTION("""COMPUTED_VALUE"""),8486)</f>
        <v>8486</v>
      </c>
      <c r="AH144" s="8">
        <f ca="1">IFERROR(__xludf.DUMMYFUNCTION("""COMPUTED_VALUE"""),32349)</f>
        <v>32349</v>
      </c>
      <c r="AI144" s="8">
        <f ca="1">IFERROR(__xludf.DUMMYFUNCTION("""COMPUTED_VALUE"""),21445)</f>
        <v>21445</v>
      </c>
      <c r="AJ144" s="8">
        <f ca="1">IFERROR(__xludf.DUMMYFUNCTION("""COMPUTED_VALUE"""),26237)</f>
        <v>26237</v>
      </c>
      <c r="AK144" s="8">
        <f ca="1">IFERROR(__xludf.DUMMYFUNCTION("""COMPUTED_VALUE"""),9201)</f>
        <v>9201</v>
      </c>
      <c r="AL144" s="8">
        <f ca="1">IFERROR(__xludf.DUMMYFUNCTION("""COMPUTED_VALUE"""),15987)</f>
        <v>15987</v>
      </c>
      <c r="AM144" s="8">
        <f ca="1">IFERROR(__xludf.DUMMYFUNCTION("""COMPUTED_VALUE"""),7609)</f>
        <v>7609</v>
      </c>
      <c r="AN144" s="8">
        <f ca="1">IFERROR(__xludf.DUMMYFUNCTION("""COMPUTED_VALUE"""),15228)</f>
        <v>15228</v>
      </c>
      <c r="AO144" s="8">
        <f ca="1">IFERROR(__xludf.DUMMYFUNCTION("""COMPUTED_VALUE"""),15826)</f>
        <v>15826</v>
      </c>
      <c r="AP144" s="8"/>
      <c r="AQ144" s="8"/>
      <c r="AR144" s="8"/>
      <c r="AS144" s="8"/>
      <c r="AT144" s="8"/>
      <c r="AU144" s="8"/>
      <c r="AV144" s="8"/>
      <c r="AW144" s="8"/>
      <c r="AX144" s="8"/>
      <c r="AY144" s="8"/>
    </row>
    <row r="145" spans="1:51" ht="13.2" x14ac:dyDescent="0.25">
      <c r="A145" s="12" t="str">
        <f ca="1">IFERROR(__xludf.DUMMYFUNCTION("""COMPUTED_VALUE"""),"               left Superior colliculus, sensory related")</f>
        <v xml:space="preserve">               left Superior colliculus, sensory related</v>
      </c>
      <c r="B145" s="12">
        <f ca="1">IFERROR(__xludf.DUMMYFUNCTION("""COMPUTED_VALUE"""),11295)</f>
        <v>11295</v>
      </c>
      <c r="C145" s="12">
        <f ca="1">IFERROR(__xludf.DUMMYFUNCTION("""COMPUTED_VALUE"""),9964)</f>
        <v>9964</v>
      </c>
      <c r="D145" s="12">
        <f ca="1">IFERROR(__xludf.DUMMYFUNCTION("""COMPUTED_VALUE"""),11115)</f>
        <v>11115</v>
      </c>
      <c r="E145" s="12">
        <f ca="1">IFERROR(__xludf.DUMMYFUNCTION("""COMPUTED_VALUE"""),14029)</f>
        <v>14029</v>
      </c>
      <c r="F145" s="12">
        <f ca="1">IFERROR(__xludf.DUMMYFUNCTION("""COMPUTED_VALUE"""),9305)</f>
        <v>9305</v>
      </c>
      <c r="G145" s="12">
        <f ca="1">IFERROR(__xludf.DUMMYFUNCTION("""COMPUTED_VALUE"""),7219)</f>
        <v>7219</v>
      </c>
      <c r="H145" s="12">
        <f ca="1">IFERROR(__xludf.DUMMYFUNCTION("""COMPUTED_VALUE"""),8037)</f>
        <v>8037</v>
      </c>
      <c r="I145" s="12">
        <f ca="1">IFERROR(__xludf.DUMMYFUNCTION("""COMPUTED_VALUE"""),8365)</f>
        <v>8365</v>
      </c>
      <c r="J145" s="12">
        <f ca="1">IFERROR(__xludf.DUMMYFUNCTION("""COMPUTED_VALUE"""),7120)</f>
        <v>7120</v>
      </c>
      <c r="K145" s="12">
        <f ca="1">IFERROR(__xludf.DUMMYFUNCTION("""COMPUTED_VALUE"""),6261)</f>
        <v>6261</v>
      </c>
      <c r="L145" s="12">
        <f ca="1">IFERROR(__xludf.DUMMYFUNCTION("""COMPUTED_VALUE"""),8814)</f>
        <v>8814</v>
      </c>
      <c r="M145" s="12">
        <f ca="1">IFERROR(__xludf.DUMMYFUNCTION("""COMPUTED_VALUE"""),11751)</f>
        <v>11751</v>
      </c>
      <c r="N145" s="12">
        <f ca="1">IFERROR(__xludf.DUMMYFUNCTION("""COMPUTED_VALUE"""),4587)</f>
        <v>4587</v>
      </c>
      <c r="O145" s="12">
        <f ca="1">IFERROR(__xludf.DUMMYFUNCTION("""COMPUTED_VALUE"""),14120)</f>
        <v>14120</v>
      </c>
      <c r="P145" s="12">
        <f ca="1">IFERROR(__xludf.DUMMYFUNCTION("""COMPUTED_VALUE"""),5775)</f>
        <v>5775</v>
      </c>
      <c r="Q145" s="12">
        <f ca="1">IFERROR(__xludf.DUMMYFUNCTION("""COMPUTED_VALUE"""),8702)</f>
        <v>8702</v>
      </c>
      <c r="R145" s="12">
        <f ca="1">IFERROR(__xludf.DUMMYFUNCTION("""COMPUTED_VALUE"""),2752)</f>
        <v>2752</v>
      </c>
      <c r="S145" s="12">
        <f ca="1">IFERROR(__xludf.DUMMYFUNCTION("""COMPUTED_VALUE"""),8508)</f>
        <v>8508</v>
      </c>
      <c r="T145" s="12">
        <f ca="1">IFERROR(__xludf.DUMMYFUNCTION("""COMPUTED_VALUE"""),8411)</f>
        <v>8411</v>
      </c>
      <c r="U145" s="12">
        <f ca="1">IFERROR(__xludf.DUMMYFUNCTION("""COMPUTED_VALUE"""),18449)</f>
        <v>18449</v>
      </c>
      <c r="V145" s="12">
        <f ca="1">IFERROR(__xludf.DUMMYFUNCTION("""COMPUTED_VALUE"""),7431)</f>
        <v>7431</v>
      </c>
      <c r="W145" s="12">
        <f ca="1">IFERROR(__xludf.DUMMYFUNCTION("""COMPUTED_VALUE"""),1972)</f>
        <v>1972</v>
      </c>
      <c r="X145" s="12">
        <f ca="1">IFERROR(__xludf.DUMMYFUNCTION("""COMPUTED_VALUE"""),16596)</f>
        <v>16596</v>
      </c>
      <c r="Y145" s="12">
        <f ca="1">IFERROR(__xludf.DUMMYFUNCTION("""COMPUTED_VALUE"""),10130)</f>
        <v>10130</v>
      </c>
      <c r="Z145" s="12">
        <f ca="1">IFERROR(__xludf.DUMMYFUNCTION("""COMPUTED_VALUE"""),2762)</f>
        <v>2762</v>
      </c>
      <c r="AA145" s="12">
        <f ca="1">IFERROR(__xludf.DUMMYFUNCTION("""COMPUTED_VALUE"""),637)</f>
        <v>637</v>
      </c>
      <c r="AB145" s="12">
        <f ca="1">IFERROR(__xludf.DUMMYFUNCTION("""COMPUTED_VALUE"""),10056)</f>
        <v>10056</v>
      </c>
      <c r="AC145" s="12">
        <f ca="1">IFERROR(__xludf.DUMMYFUNCTION("""COMPUTED_VALUE"""),10067)</f>
        <v>10067</v>
      </c>
      <c r="AD145" s="12">
        <f ca="1">IFERROR(__xludf.DUMMYFUNCTION("""COMPUTED_VALUE"""),11583)</f>
        <v>11583</v>
      </c>
      <c r="AE145" s="12">
        <f ca="1">IFERROR(__xludf.DUMMYFUNCTION("""COMPUTED_VALUE"""),28676)</f>
        <v>28676</v>
      </c>
      <c r="AF145" s="8">
        <f ca="1">IFERROR(__xludf.DUMMYFUNCTION("""COMPUTED_VALUE"""),25861)</f>
        <v>25861</v>
      </c>
      <c r="AG145" s="8">
        <f ca="1">IFERROR(__xludf.DUMMYFUNCTION("""COMPUTED_VALUE"""),5028)</f>
        <v>5028</v>
      </c>
      <c r="AH145" s="8">
        <f ca="1">IFERROR(__xludf.DUMMYFUNCTION("""COMPUTED_VALUE"""),5464)</f>
        <v>5464</v>
      </c>
      <c r="AI145" s="8">
        <f ca="1">IFERROR(__xludf.DUMMYFUNCTION("""COMPUTED_VALUE"""),5416)</f>
        <v>5416</v>
      </c>
      <c r="AJ145" s="8">
        <f ca="1">IFERROR(__xludf.DUMMYFUNCTION("""COMPUTED_VALUE"""),10982)</f>
        <v>10982</v>
      </c>
      <c r="AK145" s="8">
        <f ca="1">IFERROR(__xludf.DUMMYFUNCTION("""COMPUTED_VALUE"""),3480)</f>
        <v>3480</v>
      </c>
      <c r="AL145" s="8">
        <f ca="1">IFERROR(__xludf.DUMMYFUNCTION("""COMPUTED_VALUE"""),8514)</f>
        <v>8514</v>
      </c>
      <c r="AM145" s="8">
        <f ca="1">IFERROR(__xludf.DUMMYFUNCTION("""COMPUTED_VALUE"""),2413)</f>
        <v>2413</v>
      </c>
      <c r="AN145" s="8">
        <f ca="1">IFERROR(__xludf.DUMMYFUNCTION("""COMPUTED_VALUE"""),5937)</f>
        <v>5937</v>
      </c>
      <c r="AO145" s="8">
        <f ca="1">IFERROR(__xludf.DUMMYFUNCTION("""COMPUTED_VALUE"""),8799)</f>
        <v>8799</v>
      </c>
      <c r="AP145" s="8"/>
      <c r="AQ145" s="8"/>
      <c r="AR145" s="8"/>
      <c r="AS145" s="8"/>
      <c r="AT145" s="8"/>
      <c r="AU145" s="8"/>
      <c r="AV145" s="8"/>
      <c r="AW145" s="8"/>
      <c r="AX145" s="8"/>
      <c r="AY145" s="8"/>
    </row>
    <row r="146" spans="1:51" ht="13.2" x14ac:dyDescent="0.25">
      <c r="A146" s="12" t="str">
        <f ca="1">IFERROR(__xludf.DUMMYFUNCTION("""COMPUTED_VALUE"""),"               left Inferior colliculus")</f>
        <v xml:space="preserve">               left Inferior colliculus</v>
      </c>
      <c r="B146" s="12">
        <f ca="1">IFERROR(__xludf.DUMMYFUNCTION("""COMPUTED_VALUE"""),14307)</f>
        <v>14307</v>
      </c>
      <c r="C146" s="12">
        <f ca="1">IFERROR(__xludf.DUMMYFUNCTION("""COMPUTED_VALUE"""),17785)</f>
        <v>17785</v>
      </c>
      <c r="D146" s="12">
        <f ca="1">IFERROR(__xludf.DUMMYFUNCTION("""COMPUTED_VALUE"""),26529)</f>
        <v>26529</v>
      </c>
      <c r="E146" s="12">
        <f ca="1">IFERROR(__xludf.DUMMYFUNCTION("""COMPUTED_VALUE"""),10110)</f>
        <v>10110</v>
      </c>
      <c r="F146" s="12">
        <f ca="1">IFERROR(__xludf.DUMMYFUNCTION("""COMPUTED_VALUE"""),20499)</f>
        <v>20499</v>
      </c>
      <c r="G146" s="12">
        <f ca="1">IFERROR(__xludf.DUMMYFUNCTION("""COMPUTED_VALUE"""),15693)</f>
        <v>15693</v>
      </c>
      <c r="H146" s="12">
        <f ca="1">IFERROR(__xludf.DUMMYFUNCTION("""COMPUTED_VALUE"""),4594)</f>
        <v>4594</v>
      </c>
      <c r="I146" s="12">
        <f ca="1">IFERROR(__xludf.DUMMYFUNCTION("""COMPUTED_VALUE"""),11392)</f>
        <v>11392</v>
      </c>
      <c r="J146" s="12">
        <f ca="1">IFERROR(__xludf.DUMMYFUNCTION("""COMPUTED_VALUE"""),6459)</f>
        <v>6459</v>
      </c>
      <c r="K146" s="12">
        <f ca="1">IFERROR(__xludf.DUMMYFUNCTION("""COMPUTED_VALUE"""),12887)</f>
        <v>12887</v>
      </c>
      <c r="L146" s="12">
        <f ca="1">IFERROR(__xludf.DUMMYFUNCTION("""COMPUTED_VALUE"""),19863)</f>
        <v>19863</v>
      </c>
      <c r="M146" s="12">
        <f ca="1">IFERROR(__xludf.DUMMYFUNCTION("""COMPUTED_VALUE"""),26881)</f>
        <v>26881</v>
      </c>
      <c r="N146" s="12">
        <f ca="1">IFERROR(__xludf.DUMMYFUNCTION("""COMPUTED_VALUE"""),5535)</f>
        <v>5535</v>
      </c>
      <c r="O146" s="12">
        <f ca="1">IFERROR(__xludf.DUMMYFUNCTION("""COMPUTED_VALUE"""),22657)</f>
        <v>22657</v>
      </c>
      <c r="P146" s="12">
        <f ca="1">IFERROR(__xludf.DUMMYFUNCTION("""COMPUTED_VALUE"""),10507)</f>
        <v>10507</v>
      </c>
      <c r="Q146" s="12">
        <f ca="1">IFERROR(__xludf.DUMMYFUNCTION("""COMPUTED_VALUE"""),11962)</f>
        <v>11962</v>
      </c>
      <c r="R146" s="12">
        <f ca="1">IFERROR(__xludf.DUMMYFUNCTION("""COMPUTED_VALUE"""),9622)</f>
        <v>9622</v>
      </c>
      <c r="S146" s="12">
        <f ca="1">IFERROR(__xludf.DUMMYFUNCTION("""COMPUTED_VALUE"""),4064)</f>
        <v>4064</v>
      </c>
      <c r="T146" s="12">
        <f ca="1">IFERROR(__xludf.DUMMYFUNCTION("""COMPUTED_VALUE"""),13551)</f>
        <v>13551</v>
      </c>
      <c r="U146" s="12">
        <f ca="1">IFERROR(__xludf.DUMMYFUNCTION("""COMPUTED_VALUE"""),19925)</f>
        <v>19925</v>
      </c>
      <c r="V146" s="12">
        <f ca="1">IFERROR(__xludf.DUMMYFUNCTION("""COMPUTED_VALUE"""),21467)</f>
        <v>21467</v>
      </c>
      <c r="W146" s="12">
        <f ca="1">IFERROR(__xludf.DUMMYFUNCTION("""COMPUTED_VALUE"""),10990)</f>
        <v>10990</v>
      </c>
      <c r="X146" s="12">
        <f ca="1">IFERROR(__xludf.DUMMYFUNCTION("""COMPUTED_VALUE"""),42824)</f>
        <v>42824</v>
      </c>
      <c r="Y146" s="12">
        <f ca="1">IFERROR(__xludf.DUMMYFUNCTION("""COMPUTED_VALUE"""),22961)</f>
        <v>22961</v>
      </c>
      <c r="Z146" s="12">
        <f ca="1">IFERROR(__xludf.DUMMYFUNCTION("""COMPUTED_VALUE"""),2300)</f>
        <v>2300</v>
      </c>
      <c r="AA146" s="12">
        <f ca="1">IFERROR(__xludf.DUMMYFUNCTION("""COMPUTED_VALUE"""),6954)</f>
        <v>6954</v>
      </c>
      <c r="AB146" s="12">
        <f ca="1">IFERROR(__xludf.DUMMYFUNCTION("""COMPUTED_VALUE"""),8102)</f>
        <v>8102</v>
      </c>
      <c r="AC146" s="12">
        <f ca="1">IFERROR(__xludf.DUMMYFUNCTION("""COMPUTED_VALUE"""),15236)</f>
        <v>15236</v>
      </c>
      <c r="AD146" s="12">
        <f ca="1">IFERROR(__xludf.DUMMYFUNCTION("""COMPUTED_VALUE"""),13606)</f>
        <v>13606</v>
      </c>
      <c r="AE146" s="12">
        <f ca="1">IFERROR(__xludf.DUMMYFUNCTION("""COMPUTED_VALUE"""),21072)</f>
        <v>21072</v>
      </c>
      <c r="AF146" s="8">
        <f ca="1">IFERROR(__xludf.DUMMYFUNCTION("""COMPUTED_VALUE"""),23538)</f>
        <v>23538</v>
      </c>
      <c r="AG146" s="8">
        <f ca="1">IFERROR(__xludf.DUMMYFUNCTION("""COMPUTED_VALUE"""),3436)</f>
        <v>3436</v>
      </c>
      <c r="AH146" s="8">
        <f ca="1">IFERROR(__xludf.DUMMYFUNCTION("""COMPUTED_VALUE"""),26666)</f>
        <v>26666</v>
      </c>
      <c r="AI146" s="8">
        <f ca="1">IFERROR(__xludf.DUMMYFUNCTION("""COMPUTED_VALUE"""),15435)</f>
        <v>15435</v>
      </c>
      <c r="AJ146" s="8">
        <f ca="1">IFERROR(__xludf.DUMMYFUNCTION("""COMPUTED_VALUE"""),14733)</f>
        <v>14733</v>
      </c>
      <c r="AK146" s="8">
        <f ca="1">IFERROR(__xludf.DUMMYFUNCTION("""COMPUTED_VALUE"""),5614)</f>
        <v>5614</v>
      </c>
      <c r="AL146" s="8">
        <f ca="1">IFERROR(__xludf.DUMMYFUNCTION("""COMPUTED_VALUE"""),7183)</f>
        <v>7183</v>
      </c>
      <c r="AM146" s="8">
        <f ca="1">IFERROR(__xludf.DUMMYFUNCTION("""COMPUTED_VALUE"""),5047)</f>
        <v>5047</v>
      </c>
      <c r="AN146" s="8">
        <f ca="1">IFERROR(__xludf.DUMMYFUNCTION("""COMPUTED_VALUE"""),9082)</f>
        <v>9082</v>
      </c>
      <c r="AO146" s="8">
        <f ca="1">IFERROR(__xludf.DUMMYFUNCTION("""COMPUTED_VALUE"""),6892)</f>
        <v>6892</v>
      </c>
      <c r="AP146" s="8"/>
      <c r="AQ146" s="8"/>
      <c r="AR146" s="8"/>
      <c r="AS146" s="8"/>
      <c r="AT146" s="8"/>
      <c r="AU146" s="8"/>
      <c r="AV146" s="8"/>
      <c r="AW146" s="8"/>
      <c r="AX146" s="8"/>
      <c r="AY146" s="8"/>
    </row>
    <row r="147" spans="1:51" ht="13.2" x14ac:dyDescent="0.25">
      <c r="A147" s="12" t="str">
        <f ca="1">IFERROR(__xludf.DUMMYFUNCTION("""COMPUTED_VALUE"""),"            left Midbrain, motor related")</f>
        <v xml:space="preserve">            left Midbrain, motor related</v>
      </c>
      <c r="B147" s="12">
        <f ca="1">IFERROR(__xludf.DUMMYFUNCTION("""COMPUTED_VALUE"""),40656)</f>
        <v>40656</v>
      </c>
      <c r="C147" s="12">
        <f ca="1">IFERROR(__xludf.DUMMYFUNCTION("""COMPUTED_VALUE"""),80588)</f>
        <v>80588</v>
      </c>
      <c r="D147" s="12">
        <f ca="1">IFERROR(__xludf.DUMMYFUNCTION("""COMPUTED_VALUE"""),93554)</f>
        <v>93554</v>
      </c>
      <c r="E147" s="12">
        <f ca="1">IFERROR(__xludf.DUMMYFUNCTION("""COMPUTED_VALUE"""),72878)</f>
        <v>72878</v>
      </c>
      <c r="F147" s="12">
        <f ca="1">IFERROR(__xludf.DUMMYFUNCTION("""COMPUTED_VALUE"""),77829)</f>
        <v>77829</v>
      </c>
      <c r="G147" s="12">
        <f ca="1">IFERROR(__xludf.DUMMYFUNCTION("""COMPUTED_VALUE"""),42183)</f>
        <v>42183</v>
      </c>
      <c r="H147" s="12">
        <f ca="1">IFERROR(__xludf.DUMMYFUNCTION("""COMPUTED_VALUE"""),48160)</f>
        <v>48160</v>
      </c>
      <c r="I147" s="12">
        <f ca="1">IFERROR(__xludf.DUMMYFUNCTION("""COMPUTED_VALUE"""),43289)</f>
        <v>43289</v>
      </c>
      <c r="J147" s="12">
        <f ca="1">IFERROR(__xludf.DUMMYFUNCTION("""COMPUTED_VALUE"""),34527)</f>
        <v>34527</v>
      </c>
      <c r="K147" s="12">
        <f ca="1">IFERROR(__xludf.DUMMYFUNCTION("""COMPUTED_VALUE"""),53079)</f>
        <v>53079</v>
      </c>
      <c r="L147" s="12">
        <f ca="1">IFERROR(__xludf.DUMMYFUNCTION("""COMPUTED_VALUE"""),60865)</f>
        <v>60865</v>
      </c>
      <c r="M147" s="12">
        <f ca="1">IFERROR(__xludf.DUMMYFUNCTION("""COMPUTED_VALUE"""),72037)</f>
        <v>72037</v>
      </c>
      <c r="N147" s="12">
        <f ca="1">IFERROR(__xludf.DUMMYFUNCTION("""COMPUTED_VALUE"""),75352)</f>
        <v>75352</v>
      </c>
      <c r="O147" s="12">
        <f ca="1">IFERROR(__xludf.DUMMYFUNCTION("""COMPUTED_VALUE"""),71373)</f>
        <v>71373</v>
      </c>
      <c r="P147" s="12">
        <f ca="1">IFERROR(__xludf.DUMMYFUNCTION("""COMPUTED_VALUE"""),29011)</f>
        <v>29011</v>
      </c>
      <c r="Q147" s="12">
        <f ca="1">IFERROR(__xludf.DUMMYFUNCTION("""COMPUTED_VALUE"""),55122)</f>
        <v>55122</v>
      </c>
      <c r="R147" s="12">
        <f ca="1">IFERROR(__xludf.DUMMYFUNCTION("""COMPUTED_VALUE"""),20260)</f>
        <v>20260</v>
      </c>
      <c r="S147" s="12">
        <f ca="1">IFERROR(__xludf.DUMMYFUNCTION("""COMPUTED_VALUE"""),34758)</f>
        <v>34758</v>
      </c>
      <c r="T147" s="12">
        <f ca="1">IFERROR(__xludf.DUMMYFUNCTION("""COMPUTED_VALUE"""),40465)</f>
        <v>40465</v>
      </c>
      <c r="U147" s="12">
        <f ca="1">IFERROR(__xludf.DUMMYFUNCTION("""COMPUTED_VALUE"""),41162)</f>
        <v>41162</v>
      </c>
      <c r="V147" s="12">
        <f ca="1">IFERROR(__xludf.DUMMYFUNCTION("""COMPUTED_VALUE"""),54582)</f>
        <v>54582</v>
      </c>
      <c r="W147" s="12">
        <f ca="1">IFERROR(__xludf.DUMMYFUNCTION("""COMPUTED_VALUE"""),62525)</f>
        <v>62525</v>
      </c>
      <c r="X147" s="12">
        <f ca="1">IFERROR(__xludf.DUMMYFUNCTION("""COMPUTED_VALUE"""),107664)</f>
        <v>107664</v>
      </c>
      <c r="Y147" s="12">
        <f ca="1">IFERROR(__xludf.DUMMYFUNCTION("""COMPUTED_VALUE"""),67105)</f>
        <v>67105</v>
      </c>
      <c r="Z147" s="12">
        <f ca="1">IFERROR(__xludf.DUMMYFUNCTION("""COMPUTED_VALUE"""),83938)</f>
        <v>83938</v>
      </c>
      <c r="AA147" s="12">
        <f ca="1">IFERROR(__xludf.DUMMYFUNCTION("""COMPUTED_VALUE"""),20526)</f>
        <v>20526</v>
      </c>
      <c r="AB147" s="12">
        <f ca="1">IFERROR(__xludf.DUMMYFUNCTION("""COMPUTED_VALUE"""),48628)</f>
        <v>48628</v>
      </c>
      <c r="AC147" s="12">
        <f ca="1">IFERROR(__xludf.DUMMYFUNCTION("""COMPUTED_VALUE"""),52041)</f>
        <v>52041</v>
      </c>
      <c r="AD147" s="12">
        <f ca="1">IFERROR(__xludf.DUMMYFUNCTION("""COMPUTED_VALUE"""),39276)</f>
        <v>39276</v>
      </c>
      <c r="AE147" s="12">
        <f ca="1">IFERROR(__xludf.DUMMYFUNCTION("""COMPUTED_VALUE"""),105382)</f>
        <v>105382</v>
      </c>
      <c r="AF147" s="8">
        <f ca="1">IFERROR(__xludf.DUMMYFUNCTION("""COMPUTED_VALUE"""),76424)</f>
        <v>76424</v>
      </c>
      <c r="AG147" s="8">
        <f ca="1">IFERROR(__xludf.DUMMYFUNCTION("""COMPUTED_VALUE"""),34419)</f>
        <v>34419</v>
      </c>
      <c r="AH147" s="8">
        <f ca="1">IFERROR(__xludf.DUMMYFUNCTION("""COMPUTED_VALUE"""),59916)</f>
        <v>59916</v>
      </c>
      <c r="AI147" s="8">
        <f ca="1">IFERROR(__xludf.DUMMYFUNCTION("""COMPUTED_VALUE"""),40368)</f>
        <v>40368</v>
      </c>
      <c r="AJ147" s="8">
        <f ca="1">IFERROR(__xludf.DUMMYFUNCTION("""COMPUTED_VALUE"""),58559)</f>
        <v>58559</v>
      </c>
      <c r="AK147" s="8">
        <f ca="1">IFERROR(__xludf.DUMMYFUNCTION("""COMPUTED_VALUE"""),27889)</f>
        <v>27889</v>
      </c>
      <c r="AL147" s="8">
        <f ca="1">IFERROR(__xludf.DUMMYFUNCTION("""COMPUTED_VALUE"""),33033)</f>
        <v>33033</v>
      </c>
      <c r="AM147" s="8">
        <f ca="1">IFERROR(__xludf.DUMMYFUNCTION("""COMPUTED_VALUE"""),20659)</f>
        <v>20659</v>
      </c>
      <c r="AN147" s="8">
        <f ca="1">IFERROR(__xludf.DUMMYFUNCTION("""COMPUTED_VALUE"""),26769)</f>
        <v>26769</v>
      </c>
      <c r="AO147" s="8">
        <f ca="1">IFERROR(__xludf.DUMMYFUNCTION("""COMPUTED_VALUE"""),32427)</f>
        <v>32427</v>
      </c>
      <c r="AP147" s="8"/>
      <c r="AQ147" s="8"/>
      <c r="AR147" s="8"/>
      <c r="AS147" s="8"/>
      <c r="AT147" s="8"/>
      <c r="AU147" s="8"/>
      <c r="AV147" s="8"/>
      <c r="AW147" s="8"/>
      <c r="AX147" s="8"/>
      <c r="AY147" s="8"/>
    </row>
    <row r="148" spans="1:51" ht="13.2" x14ac:dyDescent="0.25">
      <c r="A148" s="12" t="str">
        <f ca="1">IFERROR(__xludf.DUMMYFUNCTION("""COMPUTED_VALUE"""),"               left Substantia nigra, reticular part")</f>
        <v xml:space="preserve">               left Substantia nigra, reticular part</v>
      </c>
      <c r="B148" s="12">
        <f ca="1">IFERROR(__xludf.DUMMYFUNCTION("""COMPUTED_VALUE"""),127)</f>
        <v>127</v>
      </c>
      <c r="C148" s="12">
        <f ca="1">IFERROR(__xludf.DUMMYFUNCTION("""COMPUTED_VALUE"""),417)</f>
        <v>417</v>
      </c>
      <c r="D148" s="12">
        <f ca="1">IFERROR(__xludf.DUMMYFUNCTION("""COMPUTED_VALUE"""),833)</f>
        <v>833</v>
      </c>
      <c r="E148" s="12">
        <f ca="1">IFERROR(__xludf.DUMMYFUNCTION("""COMPUTED_VALUE"""),552)</f>
        <v>552</v>
      </c>
      <c r="F148" s="12">
        <f ca="1">IFERROR(__xludf.DUMMYFUNCTION("""COMPUTED_VALUE"""),686)</f>
        <v>686</v>
      </c>
      <c r="G148" s="12">
        <f ca="1">IFERROR(__xludf.DUMMYFUNCTION("""COMPUTED_VALUE"""),117)</f>
        <v>117</v>
      </c>
      <c r="H148" s="12">
        <f ca="1">IFERROR(__xludf.DUMMYFUNCTION("""COMPUTED_VALUE"""),174)</f>
        <v>174</v>
      </c>
      <c r="I148" s="12">
        <f ca="1">IFERROR(__xludf.DUMMYFUNCTION("""COMPUTED_VALUE"""),254)</f>
        <v>254</v>
      </c>
      <c r="J148" s="12">
        <f ca="1">IFERROR(__xludf.DUMMYFUNCTION("""COMPUTED_VALUE"""),295)</f>
        <v>295</v>
      </c>
      <c r="K148" s="12">
        <f ca="1">IFERROR(__xludf.DUMMYFUNCTION("""COMPUTED_VALUE"""),165)</f>
        <v>165</v>
      </c>
      <c r="L148" s="12">
        <f ca="1">IFERROR(__xludf.DUMMYFUNCTION("""COMPUTED_VALUE"""),714)</f>
        <v>714</v>
      </c>
      <c r="M148" s="12">
        <f ca="1">IFERROR(__xludf.DUMMYFUNCTION("""COMPUTED_VALUE"""),313)</f>
        <v>313</v>
      </c>
      <c r="N148" s="12">
        <f ca="1">IFERROR(__xludf.DUMMYFUNCTION("""COMPUTED_VALUE"""),7855)</f>
        <v>7855</v>
      </c>
      <c r="O148" s="12">
        <f ca="1">IFERROR(__xludf.DUMMYFUNCTION("""COMPUTED_VALUE"""),292)</f>
        <v>292</v>
      </c>
      <c r="P148" s="12">
        <f ca="1">IFERROR(__xludf.DUMMYFUNCTION("""COMPUTED_VALUE"""),54)</f>
        <v>54</v>
      </c>
      <c r="Q148" s="12">
        <f ca="1">IFERROR(__xludf.DUMMYFUNCTION("""COMPUTED_VALUE"""),143)</f>
        <v>143</v>
      </c>
      <c r="R148" s="12">
        <f ca="1">IFERROR(__xludf.DUMMYFUNCTION("""COMPUTED_VALUE"""),125)</f>
        <v>125</v>
      </c>
      <c r="S148" s="12">
        <f ca="1">IFERROR(__xludf.DUMMYFUNCTION("""COMPUTED_VALUE"""),178)</f>
        <v>178</v>
      </c>
      <c r="T148" s="12">
        <f ca="1">IFERROR(__xludf.DUMMYFUNCTION("""COMPUTED_VALUE"""),64)</f>
        <v>64</v>
      </c>
      <c r="U148" s="12">
        <f ca="1">IFERROR(__xludf.DUMMYFUNCTION("""COMPUTED_VALUE"""),107)</f>
        <v>107</v>
      </c>
      <c r="V148" s="12">
        <f ca="1">IFERROR(__xludf.DUMMYFUNCTION("""COMPUTED_VALUE"""),531)</f>
        <v>531</v>
      </c>
      <c r="W148" s="12">
        <f ca="1">IFERROR(__xludf.DUMMYFUNCTION("""COMPUTED_VALUE"""),2965)</f>
        <v>2965</v>
      </c>
      <c r="X148" s="12">
        <f ca="1">IFERROR(__xludf.DUMMYFUNCTION("""COMPUTED_VALUE"""),5571)</f>
        <v>5571</v>
      </c>
      <c r="Y148" s="12">
        <f ca="1">IFERROR(__xludf.DUMMYFUNCTION("""COMPUTED_VALUE"""),1361)</f>
        <v>1361</v>
      </c>
      <c r="Z148" s="12">
        <f ca="1">IFERROR(__xludf.DUMMYFUNCTION("""COMPUTED_VALUE"""),5646)</f>
        <v>5646</v>
      </c>
      <c r="AA148" s="12">
        <f ca="1">IFERROR(__xludf.DUMMYFUNCTION("""COMPUTED_VALUE"""),313)</f>
        <v>313</v>
      </c>
      <c r="AB148" s="12">
        <f ca="1">IFERROR(__xludf.DUMMYFUNCTION("""COMPUTED_VALUE"""),1432)</f>
        <v>1432</v>
      </c>
      <c r="AC148" s="12">
        <f ca="1">IFERROR(__xludf.DUMMYFUNCTION("""COMPUTED_VALUE"""),282)</f>
        <v>282</v>
      </c>
      <c r="AD148" s="12">
        <f ca="1">IFERROR(__xludf.DUMMYFUNCTION("""COMPUTED_VALUE"""),626)</f>
        <v>626</v>
      </c>
      <c r="AE148" s="12">
        <f ca="1">IFERROR(__xludf.DUMMYFUNCTION("""COMPUTED_VALUE"""),467)</f>
        <v>467</v>
      </c>
      <c r="AF148" s="8">
        <f ca="1">IFERROR(__xludf.DUMMYFUNCTION("""COMPUTED_VALUE"""),124)</f>
        <v>124</v>
      </c>
      <c r="AG148" s="8">
        <f ca="1">IFERROR(__xludf.DUMMYFUNCTION("""COMPUTED_VALUE"""),194)</f>
        <v>194</v>
      </c>
      <c r="AH148" s="8">
        <f ca="1">IFERROR(__xludf.DUMMYFUNCTION("""COMPUTED_VALUE"""),245)</f>
        <v>245</v>
      </c>
      <c r="AI148" s="8">
        <f ca="1">IFERROR(__xludf.DUMMYFUNCTION("""COMPUTED_VALUE"""),153)</f>
        <v>153</v>
      </c>
      <c r="AJ148" s="8">
        <f ca="1">IFERROR(__xludf.DUMMYFUNCTION("""COMPUTED_VALUE"""),594)</f>
        <v>594</v>
      </c>
      <c r="AK148" s="8">
        <f ca="1">IFERROR(__xludf.DUMMYFUNCTION("""COMPUTED_VALUE"""),139)</f>
        <v>139</v>
      </c>
      <c r="AL148" s="8">
        <f ca="1">IFERROR(__xludf.DUMMYFUNCTION("""COMPUTED_VALUE"""),585)</f>
        <v>585</v>
      </c>
      <c r="AM148" s="8">
        <f ca="1">IFERROR(__xludf.DUMMYFUNCTION("""COMPUTED_VALUE"""),425)</f>
        <v>425</v>
      </c>
      <c r="AN148" s="8">
        <f ca="1">IFERROR(__xludf.DUMMYFUNCTION("""COMPUTED_VALUE"""),189)</f>
        <v>189</v>
      </c>
      <c r="AO148" s="8">
        <f ca="1">IFERROR(__xludf.DUMMYFUNCTION("""COMPUTED_VALUE"""),129)</f>
        <v>129</v>
      </c>
      <c r="AP148" s="8"/>
      <c r="AQ148" s="8"/>
      <c r="AR148" s="8"/>
      <c r="AS148" s="8"/>
      <c r="AT148" s="8"/>
      <c r="AU148" s="8"/>
      <c r="AV148" s="8"/>
      <c r="AW148" s="8"/>
      <c r="AX148" s="8"/>
      <c r="AY148" s="8"/>
    </row>
    <row r="149" spans="1:51" ht="13.2" x14ac:dyDescent="0.25">
      <c r="A149" s="12" t="str">
        <f ca="1">IFERROR(__xludf.DUMMYFUNCTION("""COMPUTED_VALUE"""),"               left Ventral tegmental area")</f>
        <v xml:space="preserve">               left Ventral tegmental area</v>
      </c>
      <c r="B149" s="12">
        <f ca="1">IFERROR(__xludf.DUMMYFUNCTION("""COMPUTED_VALUE"""),331)</f>
        <v>331</v>
      </c>
      <c r="C149" s="12">
        <f ca="1">IFERROR(__xludf.DUMMYFUNCTION("""COMPUTED_VALUE"""),735)</f>
        <v>735</v>
      </c>
      <c r="D149" s="12">
        <f ca="1">IFERROR(__xludf.DUMMYFUNCTION("""COMPUTED_VALUE"""),1133)</f>
        <v>1133</v>
      </c>
      <c r="E149" s="12">
        <f ca="1">IFERROR(__xludf.DUMMYFUNCTION("""COMPUTED_VALUE"""),753)</f>
        <v>753</v>
      </c>
      <c r="F149" s="12">
        <f ca="1">IFERROR(__xludf.DUMMYFUNCTION("""COMPUTED_VALUE"""),886)</f>
        <v>886</v>
      </c>
      <c r="G149" s="12">
        <f ca="1">IFERROR(__xludf.DUMMYFUNCTION("""COMPUTED_VALUE"""),240)</f>
        <v>240</v>
      </c>
      <c r="H149" s="12">
        <f ca="1">IFERROR(__xludf.DUMMYFUNCTION("""COMPUTED_VALUE"""),398)</f>
        <v>398</v>
      </c>
      <c r="I149" s="12">
        <f ca="1">IFERROR(__xludf.DUMMYFUNCTION("""COMPUTED_VALUE"""),344)</f>
        <v>344</v>
      </c>
      <c r="J149" s="12">
        <f ca="1">IFERROR(__xludf.DUMMYFUNCTION("""COMPUTED_VALUE"""),379)</f>
        <v>379</v>
      </c>
      <c r="K149" s="12">
        <f ca="1">IFERROR(__xludf.DUMMYFUNCTION("""COMPUTED_VALUE"""),248)</f>
        <v>248</v>
      </c>
      <c r="L149" s="12">
        <f ca="1">IFERROR(__xludf.DUMMYFUNCTION("""COMPUTED_VALUE"""),747)</f>
        <v>747</v>
      </c>
      <c r="M149" s="12">
        <f ca="1">IFERROR(__xludf.DUMMYFUNCTION("""COMPUTED_VALUE"""),537)</f>
        <v>537</v>
      </c>
      <c r="N149" s="12">
        <f ca="1">IFERROR(__xludf.DUMMYFUNCTION("""COMPUTED_VALUE"""),2779)</f>
        <v>2779</v>
      </c>
      <c r="O149" s="12">
        <f ca="1">IFERROR(__xludf.DUMMYFUNCTION("""COMPUTED_VALUE"""),523)</f>
        <v>523</v>
      </c>
      <c r="P149" s="12">
        <f ca="1">IFERROR(__xludf.DUMMYFUNCTION("""COMPUTED_VALUE"""),193)</f>
        <v>193</v>
      </c>
      <c r="Q149" s="12">
        <f ca="1">IFERROR(__xludf.DUMMYFUNCTION("""COMPUTED_VALUE"""),435)</f>
        <v>435</v>
      </c>
      <c r="R149" s="12">
        <f ca="1">IFERROR(__xludf.DUMMYFUNCTION("""COMPUTED_VALUE"""),145)</f>
        <v>145</v>
      </c>
      <c r="S149" s="12">
        <f ca="1">IFERROR(__xludf.DUMMYFUNCTION("""COMPUTED_VALUE"""),205)</f>
        <v>205</v>
      </c>
      <c r="T149" s="12">
        <f ca="1">IFERROR(__xludf.DUMMYFUNCTION("""COMPUTED_VALUE"""),188)</f>
        <v>188</v>
      </c>
      <c r="U149" s="12">
        <f ca="1">IFERROR(__xludf.DUMMYFUNCTION("""COMPUTED_VALUE"""),187)</f>
        <v>187</v>
      </c>
      <c r="V149" s="12">
        <f ca="1">IFERROR(__xludf.DUMMYFUNCTION("""COMPUTED_VALUE"""),673)</f>
        <v>673</v>
      </c>
      <c r="W149" s="12">
        <f ca="1">IFERROR(__xludf.DUMMYFUNCTION("""COMPUTED_VALUE"""),1192)</f>
        <v>1192</v>
      </c>
      <c r="X149" s="12">
        <f ca="1">IFERROR(__xludf.DUMMYFUNCTION("""COMPUTED_VALUE"""),2151)</f>
        <v>2151</v>
      </c>
      <c r="Y149" s="12">
        <f ca="1">IFERROR(__xludf.DUMMYFUNCTION("""COMPUTED_VALUE"""),620)</f>
        <v>620</v>
      </c>
      <c r="Z149" s="12">
        <f ca="1">IFERROR(__xludf.DUMMYFUNCTION("""COMPUTED_VALUE"""),2785)</f>
        <v>2785</v>
      </c>
      <c r="AA149" s="12">
        <f ca="1">IFERROR(__xludf.DUMMYFUNCTION("""COMPUTED_VALUE"""),344)</f>
        <v>344</v>
      </c>
      <c r="AB149" s="12">
        <f ca="1">IFERROR(__xludf.DUMMYFUNCTION("""COMPUTED_VALUE"""),648)</f>
        <v>648</v>
      </c>
      <c r="AC149" s="12">
        <f ca="1">IFERROR(__xludf.DUMMYFUNCTION("""COMPUTED_VALUE"""),142)</f>
        <v>142</v>
      </c>
      <c r="AD149" s="12">
        <f ca="1">IFERROR(__xludf.DUMMYFUNCTION("""COMPUTED_VALUE"""),718)</f>
        <v>718</v>
      </c>
      <c r="AE149" s="12">
        <f ca="1">IFERROR(__xludf.DUMMYFUNCTION("""COMPUTED_VALUE"""),1032)</f>
        <v>1032</v>
      </c>
      <c r="AF149" s="8">
        <f ca="1">IFERROR(__xludf.DUMMYFUNCTION("""COMPUTED_VALUE"""),381)</f>
        <v>381</v>
      </c>
      <c r="AG149" s="8">
        <f ca="1">IFERROR(__xludf.DUMMYFUNCTION("""COMPUTED_VALUE"""),191)</f>
        <v>191</v>
      </c>
      <c r="AH149" s="8">
        <f ca="1">IFERROR(__xludf.DUMMYFUNCTION("""COMPUTED_VALUE"""),319)</f>
        <v>319</v>
      </c>
      <c r="AI149" s="8">
        <f ca="1">IFERROR(__xludf.DUMMYFUNCTION("""COMPUTED_VALUE"""),224)</f>
        <v>224</v>
      </c>
      <c r="AJ149" s="8">
        <f ca="1">IFERROR(__xludf.DUMMYFUNCTION("""COMPUTED_VALUE"""),327)</f>
        <v>327</v>
      </c>
      <c r="AK149" s="8">
        <f ca="1">IFERROR(__xludf.DUMMYFUNCTION("""COMPUTED_VALUE"""),157)</f>
        <v>157</v>
      </c>
      <c r="AL149" s="8">
        <f ca="1">IFERROR(__xludf.DUMMYFUNCTION("""COMPUTED_VALUE"""),315)</f>
        <v>315</v>
      </c>
      <c r="AM149" s="8">
        <f ca="1">IFERROR(__xludf.DUMMYFUNCTION("""COMPUTED_VALUE"""),788)</f>
        <v>788</v>
      </c>
      <c r="AN149" s="8">
        <f ca="1">IFERROR(__xludf.DUMMYFUNCTION("""COMPUTED_VALUE"""),273)</f>
        <v>273</v>
      </c>
      <c r="AO149" s="8">
        <f ca="1">IFERROR(__xludf.DUMMYFUNCTION("""COMPUTED_VALUE"""),29)</f>
        <v>29</v>
      </c>
      <c r="AP149" s="8"/>
      <c r="AQ149" s="8"/>
      <c r="AR149" s="8"/>
      <c r="AS149" s="8"/>
      <c r="AT149" s="8"/>
      <c r="AU149" s="8"/>
      <c r="AV149" s="8"/>
      <c r="AW149" s="8"/>
      <c r="AX149" s="8"/>
      <c r="AY149" s="8"/>
    </row>
    <row r="150" spans="1:51" ht="13.2" x14ac:dyDescent="0.25">
      <c r="A150" s="12" t="str">
        <f ca="1">IFERROR(__xludf.DUMMYFUNCTION("""COMPUTED_VALUE"""),"               left Midbrain reticular nucleus")</f>
        <v xml:space="preserve">               left Midbrain reticular nucleus</v>
      </c>
      <c r="B150" s="12">
        <f ca="1">IFERROR(__xludf.DUMMYFUNCTION("""COMPUTED_VALUE"""),5645)</f>
        <v>5645</v>
      </c>
      <c r="C150" s="12">
        <f ca="1">IFERROR(__xludf.DUMMYFUNCTION("""COMPUTED_VALUE"""),13013)</f>
        <v>13013</v>
      </c>
      <c r="D150" s="12">
        <f ca="1">IFERROR(__xludf.DUMMYFUNCTION("""COMPUTED_VALUE"""),13984)</f>
        <v>13984</v>
      </c>
      <c r="E150" s="12">
        <f ca="1">IFERROR(__xludf.DUMMYFUNCTION("""COMPUTED_VALUE"""),11641)</f>
        <v>11641</v>
      </c>
      <c r="F150" s="12">
        <f ca="1">IFERROR(__xludf.DUMMYFUNCTION("""COMPUTED_VALUE"""),13490)</f>
        <v>13490</v>
      </c>
      <c r="G150" s="12">
        <f ca="1">IFERROR(__xludf.DUMMYFUNCTION("""COMPUTED_VALUE"""),5512)</f>
        <v>5512</v>
      </c>
      <c r="H150" s="12">
        <f ca="1">IFERROR(__xludf.DUMMYFUNCTION("""COMPUTED_VALUE"""),7045)</f>
        <v>7045</v>
      </c>
      <c r="I150" s="12">
        <f ca="1">IFERROR(__xludf.DUMMYFUNCTION("""COMPUTED_VALUE"""),6080)</f>
        <v>6080</v>
      </c>
      <c r="J150" s="12">
        <f ca="1">IFERROR(__xludf.DUMMYFUNCTION("""COMPUTED_VALUE"""),4951)</f>
        <v>4951</v>
      </c>
      <c r="K150" s="12">
        <f ca="1">IFERROR(__xludf.DUMMYFUNCTION("""COMPUTED_VALUE"""),6794)</f>
        <v>6794</v>
      </c>
      <c r="L150" s="12">
        <f ca="1">IFERROR(__xludf.DUMMYFUNCTION("""COMPUTED_VALUE"""),10377)</f>
        <v>10377</v>
      </c>
      <c r="M150" s="12">
        <f ca="1">IFERROR(__xludf.DUMMYFUNCTION("""COMPUTED_VALUE"""),10127)</f>
        <v>10127</v>
      </c>
      <c r="N150" s="12">
        <f ca="1">IFERROR(__xludf.DUMMYFUNCTION("""COMPUTED_VALUE"""),21750)</f>
        <v>21750</v>
      </c>
      <c r="O150" s="12">
        <f ca="1">IFERROR(__xludf.DUMMYFUNCTION("""COMPUTED_VALUE"""),11363)</f>
        <v>11363</v>
      </c>
      <c r="P150" s="12">
        <f ca="1">IFERROR(__xludf.DUMMYFUNCTION("""COMPUTED_VALUE"""),3848)</f>
        <v>3848</v>
      </c>
      <c r="Q150" s="12">
        <f ca="1">IFERROR(__xludf.DUMMYFUNCTION("""COMPUTED_VALUE"""),7549)</f>
        <v>7549</v>
      </c>
      <c r="R150" s="12">
        <f ca="1">IFERROR(__xludf.DUMMYFUNCTION("""COMPUTED_VALUE"""),2046)</f>
        <v>2046</v>
      </c>
      <c r="S150" s="12">
        <f ca="1">IFERROR(__xludf.DUMMYFUNCTION("""COMPUTED_VALUE"""),4408)</f>
        <v>4408</v>
      </c>
      <c r="T150" s="12">
        <f ca="1">IFERROR(__xludf.DUMMYFUNCTION("""COMPUTED_VALUE"""),6764)</f>
        <v>6764</v>
      </c>
      <c r="U150" s="12">
        <f ca="1">IFERROR(__xludf.DUMMYFUNCTION("""COMPUTED_VALUE"""),5193)</f>
        <v>5193</v>
      </c>
      <c r="V150" s="12">
        <f ca="1">IFERROR(__xludf.DUMMYFUNCTION("""COMPUTED_VALUE"""),9708)</f>
        <v>9708</v>
      </c>
      <c r="W150" s="12">
        <f ca="1">IFERROR(__xludf.DUMMYFUNCTION("""COMPUTED_VALUE"""),17412)</f>
        <v>17412</v>
      </c>
      <c r="X150" s="12">
        <f ca="1">IFERROR(__xludf.DUMMYFUNCTION("""COMPUTED_VALUE"""),21357)</f>
        <v>21357</v>
      </c>
      <c r="Y150" s="12">
        <f ca="1">IFERROR(__xludf.DUMMYFUNCTION("""COMPUTED_VALUE"""),10290)</f>
        <v>10290</v>
      </c>
      <c r="Z150" s="12">
        <f ca="1">IFERROR(__xludf.DUMMYFUNCTION("""COMPUTED_VALUE"""),23426)</f>
        <v>23426</v>
      </c>
      <c r="AA150" s="12">
        <f ca="1">IFERROR(__xludf.DUMMYFUNCTION("""COMPUTED_VALUE"""),2580)</f>
        <v>2580</v>
      </c>
      <c r="AB150" s="12">
        <f ca="1">IFERROR(__xludf.DUMMYFUNCTION("""COMPUTED_VALUE"""),7513)</f>
        <v>7513</v>
      </c>
      <c r="AC150" s="12">
        <f ca="1">IFERROR(__xludf.DUMMYFUNCTION("""COMPUTED_VALUE"""),7051)</f>
        <v>7051</v>
      </c>
      <c r="AD150" s="12">
        <f ca="1">IFERROR(__xludf.DUMMYFUNCTION("""COMPUTED_VALUE"""),7245)</f>
        <v>7245</v>
      </c>
      <c r="AE150" s="12">
        <f ca="1">IFERROR(__xludf.DUMMYFUNCTION("""COMPUTED_VALUE"""),18268)</f>
        <v>18268</v>
      </c>
      <c r="AF150" s="8">
        <f ca="1">IFERROR(__xludf.DUMMYFUNCTION("""COMPUTED_VALUE"""),10122)</f>
        <v>10122</v>
      </c>
      <c r="AG150" s="8">
        <f ca="1">IFERROR(__xludf.DUMMYFUNCTION("""COMPUTED_VALUE"""),6353)</f>
        <v>6353</v>
      </c>
      <c r="AH150" s="8">
        <f ca="1">IFERROR(__xludf.DUMMYFUNCTION("""COMPUTED_VALUE"""),11120)</f>
        <v>11120</v>
      </c>
      <c r="AI150" s="8">
        <f ca="1">IFERROR(__xludf.DUMMYFUNCTION("""COMPUTED_VALUE"""),6546)</f>
        <v>6546</v>
      </c>
      <c r="AJ150" s="8">
        <f ca="1">IFERROR(__xludf.DUMMYFUNCTION("""COMPUTED_VALUE"""),8512)</f>
        <v>8512</v>
      </c>
      <c r="AK150" s="8">
        <f ca="1">IFERROR(__xludf.DUMMYFUNCTION("""COMPUTED_VALUE"""),4640)</f>
        <v>4640</v>
      </c>
      <c r="AL150" s="8">
        <f ca="1">IFERROR(__xludf.DUMMYFUNCTION("""COMPUTED_VALUE"""),6414)</f>
        <v>6414</v>
      </c>
      <c r="AM150" s="8">
        <f ca="1">IFERROR(__xludf.DUMMYFUNCTION("""COMPUTED_VALUE"""),4139)</f>
        <v>4139</v>
      </c>
      <c r="AN150" s="8">
        <f ca="1">IFERROR(__xludf.DUMMYFUNCTION("""COMPUTED_VALUE"""),4210)</f>
        <v>4210</v>
      </c>
      <c r="AO150" s="8">
        <f ca="1">IFERROR(__xludf.DUMMYFUNCTION("""COMPUTED_VALUE"""),3644)</f>
        <v>3644</v>
      </c>
      <c r="AP150" s="8"/>
      <c r="AQ150" s="8"/>
      <c r="AR150" s="8"/>
      <c r="AS150" s="8"/>
      <c r="AT150" s="8"/>
      <c r="AU150" s="8"/>
      <c r="AV150" s="8"/>
      <c r="AW150" s="8"/>
      <c r="AX150" s="8"/>
      <c r="AY150" s="8"/>
    </row>
    <row r="151" spans="1:51" ht="13.2" x14ac:dyDescent="0.25">
      <c r="A151" s="12" t="str">
        <f ca="1">IFERROR(__xludf.DUMMYFUNCTION("""COMPUTED_VALUE"""),"               left Superior colliculus, motor related")</f>
        <v xml:space="preserve">               left Superior colliculus, motor related</v>
      </c>
      <c r="B151" s="12">
        <f ca="1">IFERROR(__xludf.DUMMYFUNCTION("""COMPUTED_VALUE"""),15248)</f>
        <v>15248</v>
      </c>
      <c r="C151" s="12">
        <f ca="1">IFERROR(__xludf.DUMMYFUNCTION("""COMPUTED_VALUE"""),24338)</f>
        <v>24338</v>
      </c>
      <c r="D151" s="12">
        <f ca="1">IFERROR(__xludf.DUMMYFUNCTION("""COMPUTED_VALUE"""),34789)</f>
        <v>34789</v>
      </c>
      <c r="E151" s="12">
        <f ca="1">IFERROR(__xludf.DUMMYFUNCTION("""COMPUTED_VALUE"""),21552)</f>
        <v>21552</v>
      </c>
      <c r="F151" s="12">
        <f ca="1">IFERROR(__xludf.DUMMYFUNCTION("""COMPUTED_VALUE"""),26426)</f>
        <v>26426</v>
      </c>
      <c r="G151" s="12">
        <f ca="1">IFERROR(__xludf.DUMMYFUNCTION("""COMPUTED_VALUE"""),13641)</f>
        <v>13641</v>
      </c>
      <c r="H151" s="12">
        <f ca="1">IFERROR(__xludf.DUMMYFUNCTION("""COMPUTED_VALUE"""),15810)</f>
        <v>15810</v>
      </c>
      <c r="I151" s="12">
        <f ca="1">IFERROR(__xludf.DUMMYFUNCTION("""COMPUTED_VALUE"""),17141)</f>
        <v>17141</v>
      </c>
      <c r="J151" s="12">
        <f ca="1">IFERROR(__xludf.DUMMYFUNCTION("""COMPUTED_VALUE"""),10862)</f>
        <v>10862</v>
      </c>
      <c r="K151" s="12">
        <f ca="1">IFERROR(__xludf.DUMMYFUNCTION("""COMPUTED_VALUE"""),18178)</f>
        <v>18178</v>
      </c>
      <c r="L151" s="12">
        <f ca="1">IFERROR(__xludf.DUMMYFUNCTION("""COMPUTED_VALUE"""),21127)</f>
        <v>21127</v>
      </c>
      <c r="M151" s="12">
        <f ca="1">IFERROR(__xludf.DUMMYFUNCTION("""COMPUTED_VALUE"""),25455)</f>
        <v>25455</v>
      </c>
      <c r="N151" s="12">
        <f ca="1">IFERROR(__xludf.DUMMYFUNCTION("""COMPUTED_VALUE"""),10242)</f>
        <v>10242</v>
      </c>
      <c r="O151" s="12">
        <f ca="1">IFERROR(__xludf.DUMMYFUNCTION("""COMPUTED_VALUE"""),24985)</f>
        <v>24985</v>
      </c>
      <c r="P151" s="12">
        <f ca="1">IFERROR(__xludf.DUMMYFUNCTION("""COMPUTED_VALUE"""),9645)</f>
        <v>9645</v>
      </c>
      <c r="Q151" s="12">
        <f ca="1">IFERROR(__xludf.DUMMYFUNCTION("""COMPUTED_VALUE"""),19520)</f>
        <v>19520</v>
      </c>
      <c r="R151" s="12">
        <f ca="1">IFERROR(__xludf.DUMMYFUNCTION("""COMPUTED_VALUE"""),6921)</f>
        <v>6921</v>
      </c>
      <c r="S151" s="12">
        <f ca="1">IFERROR(__xludf.DUMMYFUNCTION("""COMPUTED_VALUE"""),13684)</f>
        <v>13684</v>
      </c>
      <c r="T151" s="12">
        <f ca="1">IFERROR(__xludf.DUMMYFUNCTION("""COMPUTED_VALUE"""),17004)</f>
        <v>17004</v>
      </c>
      <c r="U151" s="12">
        <f ca="1">IFERROR(__xludf.DUMMYFUNCTION("""COMPUTED_VALUE"""),19459)</f>
        <v>19459</v>
      </c>
      <c r="V151" s="12">
        <f ca="1">IFERROR(__xludf.DUMMYFUNCTION("""COMPUTED_VALUE"""),15086)</f>
        <v>15086</v>
      </c>
      <c r="W151" s="12">
        <f ca="1">IFERROR(__xludf.DUMMYFUNCTION("""COMPUTED_VALUE"""),18602)</f>
        <v>18602</v>
      </c>
      <c r="X151" s="12">
        <f ca="1">IFERROR(__xludf.DUMMYFUNCTION("""COMPUTED_VALUE"""),30306)</f>
        <v>30306</v>
      </c>
      <c r="Y151" s="12">
        <f ca="1">IFERROR(__xludf.DUMMYFUNCTION("""COMPUTED_VALUE"""),26065)</f>
        <v>26065</v>
      </c>
      <c r="Z151" s="12">
        <f ca="1">IFERROR(__xludf.DUMMYFUNCTION("""COMPUTED_VALUE"""),19493)</f>
        <v>19493</v>
      </c>
      <c r="AA151" s="12">
        <f ca="1">IFERROR(__xludf.DUMMYFUNCTION("""COMPUTED_VALUE"""),3294)</f>
        <v>3294</v>
      </c>
      <c r="AB151" s="12">
        <f ca="1">IFERROR(__xludf.DUMMYFUNCTION("""COMPUTED_VALUE"""),23108)</f>
        <v>23108</v>
      </c>
      <c r="AC151" s="12">
        <f ca="1">IFERROR(__xludf.DUMMYFUNCTION("""COMPUTED_VALUE"""),20198)</f>
        <v>20198</v>
      </c>
      <c r="AD151" s="12">
        <f ca="1">IFERROR(__xludf.DUMMYFUNCTION("""COMPUTED_VALUE"""),16381)</f>
        <v>16381</v>
      </c>
      <c r="AE151" s="12">
        <f ca="1">IFERROR(__xludf.DUMMYFUNCTION("""COMPUTED_VALUE"""),42136)</f>
        <v>42136</v>
      </c>
      <c r="AF151" s="8">
        <f ca="1">IFERROR(__xludf.DUMMYFUNCTION("""COMPUTED_VALUE"""),30349)</f>
        <v>30349</v>
      </c>
      <c r="AG151" s="8">
        <f ca="1">IFERROR(__xludf.DUMMYFUNCTION("""COMPUTED_VALUE"""),14451)</f>
        <v>14451</v>
      </c>
      <c r="AH151" s="8">
        <f ca="1">IFERROR(__xludf.DUMMYFUNCTION("""COMPUTED_VALUE"""),19104)</f>
        <v>19104</v>
      </c>
      <c r="AI151" s="8">
        <f ca="1">IFERROR(__xludf.DUMMYFUNCTION("""COMPUTED_VALUE"""),15364)</f>
        <v>15364</v>
      </c>
      <c r="AJ151" s="8">
        <f ca="1">IFERROR(__xludf.DUMMYFUNCTION("""COMPUTED_VALUE"""),26919)</f>
        <v>26919</v>
      </c>
      <c r="AK151" s="8">
        <f ca="1">IFERROR(__xludf.DUMMYFUNCTION("""COMPUTED_VALUE"""),11306)</f>
        <v>11306</v>
      </c>
      <c r="AL151" s="8">
        <f ca="1">IFERROR(__xludf.DUMMYFUNCTION("""COMPUTED_VALUE"""),13389)</f>
        <v>13389</v>
      </c>
      <c r="AM151" s="8">
        <f ca="1">IFERROR(__xludf.DUMMYFUNCTION("""COMPUTED_VALUE"""),5050)</f>
        <v>5050</v>
      </c>
      <c r="AN151" s="8">
        <f ca="1">IFERROR(__xludf.DUMMYFUNCTION("""COMPUTED_VALUE"""),8503)</f>
        <v>8503</v>
      </c>
      <c r="AO151" s="8">
        <f ca="1">IFERROR(__xludf.DUMMYFUNCTION("""COMPUTED_VALUE"""),15992)</f>
        <v>15992</v>
      </c>
      <c r="AP151" s="8"/>
      <c r="AQ151" s="8"/>
      <c r="AR151" s="8"/>
      <c r="AS151" s="8"/>
      <c r="AT151" s="8"/>
      <c r="AU151" s="8"/>
      <c r="AV151" s="8"/>
      <c r="AW151" s="8"/>
      <c r="AX151" s="8"/>
      <c r="AY151" s="8"/>
    </row>
    <row r="152" spans="1:51" ht="13.2" x14ac:dyDescent="0.25">
      <c r="A152" s="12" t="str">
        <f ca="1">IFERROR(__xludf.DUMMYFUNCTION("""COMPUTED_VALUE"""),"               left Periaqueductal gray")</f>
        <v xml:space="preserve">               left Periaqueductal gray</v>
      </c>
      <c r="B152" s="12">
        <f ca="1">IFERROR(__xludf.DUMMYFUNCTION("""COMPUTED_VALUE"""),13749)</f>
        <v>13749</v>
      </c>
      <c r="C152" s="12">
        <f ca="1">IFERROR(__xludf.DUMMYFUNCTION("""COMPUTED_VALUE"""),28573)</f>
        <v>28573</v>
      </c>
      <c r="D152" s="12">
        <f ca="1">IFERROR(__xludf.DUMMYFUNCTION("""COMPUTED_VALUE"""),32198)</f>
        <v>32198</v>
      </c>
      <c r="E152" s="12">
        <f ca="1">IFERROR(__xludf.DUMMYFUNCTION("""COMPUTED_VALUE"""),25006)</f>
        <v>25006</v>
      </c>
      <c r="F152" s="12">
        <f ca="1">IFERROR(__xludf.DUMMYFUNCTION("""COMPUTED_VALUE"""),25305)</f>
        <v>25305</v>
      </c>
      <c r="G152" s="12">
        <f ca="1">IFERROR(__xludf.DUMMYFUNCTION("""COMPUTED_VALUE"""),17049)</f>
        <v>17049</v>
      </c>
      <c r="H152" s="12">
        <f ca="1">IFERROR(__xludf.DUMMYFUNCTION("""COMPUTED_VALUE"""),16232)</f>
        <v>16232</v>
      </c>
      <c r="I152" s="12">
        <f ca="1">IFERROR(__xludf.DUMMYFUNCTION("""COMPUTED_VALUE"""),12539)</f>
        <v>12539</v>
      </c>
      <c r="J152" s="12">
        <f ca="1">IFERROR(__xludf.DUMMYFUNCTION("""COMPUTED_VALUE"""),12445)</f>
        <v>12445</v>
      </c>
      <c r="K152" s="12">
        <f ca="1">IFERROR(__xludf.DUMMYFUNCTION("""COMPUTED_VALUE"""),20939)</f>
        <v>20939</v>
      </c>
      <c r="L152" s="12">
        <f ca="1">IFERROR(__xludf.DUMMYFUNCTION("""COMPUTED_VALUE"""),19155)</f>
        <v>19155</v>
      </c>
      <c r="M152" s="12">
        <f ca="1">IFERROR(__xludf.DUMMYFUNCTION("""COMPUTED_VALUE"""),27259)</f>
        <v>27259</v>
      </c>
      <c r="N152" s="12">
        <f ca="1">IFERROR(__xludf.DUMMYFUNCTION("""COMPUTED_VALUE"""),16538)</f>
        <v>16538</v>
      </c>
      <c r="O152" s="12">
        <f ca="1">IFERROR(__xludf.DUMMYFUNCTION("""COMPUTED_VALUE"""),25317)</f>
        <v>25317</v>
      </c>
      <c r="P152" s="12">
        <f ca="1">IFERROR(__xludf.DUMMYFUNCTION("""COMPUTED_VALUE"""),11316)</f>
        <v>11316</v>
      </c>
      <c r="Q152" s="12">
        <f ca="1">IFERROR(__xludf.DUMMYFUNCTION("""COMPUTED_VALUE"""),19148)</f>
        <v>19148</v>
      </c>
      <c r="R152" s="12">
        <f ca="1">IFERROR(__xludf.DUMMYFUNCTION("""COMPUTED_VALUE"""),8255)</f>
        <v>8255</v>
      </c>
      <c r="S152" s="12">
        <f ca="1">IFERROR(__xludf.DUMMYFUNCTION("""COMPUTED_VALUE"""),12108)</f>
        <v>12108</v>
      </c>
      <c r="T152" s="12">
        <f ca="1">IFERROR(__xludf.DUMMYFUNCTION("""COMPUTED_VALUE"""),11266)</f>
        <v>11266</v>
      </c>
      <c r="U152" s="12">
        <f ca="1">IFERROR(__xludf.DUMMYFUNCTION("""COMPUTED_VALUE"""),12949)</f>
        <v>12949</v>
      </c>
      <c r="V152" s="12">
        <f ca="1">IFERROR(__xludf.DUMMYFUNCTION("""COMPUTED_VALUE"""),17937)</f>
        <v>17937</v>
      </c>
      <c r="W152" s="12">
        <f ca="1">IFERROR(__xludf.DUMMYFUNCTION("""COMPUTED_VALUE"""),9912)</f>
        <v>9912</v>
      </c>
      <c r="X152" s="12">
        <f ca="1">IFERROR(__xludf.DUMMYFUNCTION("""COMPUTED_VALUE"""),29250)</f>
        <v>29250</v>
      </c>
      <c r="Y152" s="12">
        <f ca="1">IFERROR(__xludf.DUMMYFUNCTION("""COMPUTED_VALUE"""),22197)</f>
        <v>22197</v>
      </c>
      <c r="Z152" s="12">
        <f ca="1">IFERROR(__xludf.DUMMYFUNCTION("""COMPUTED_VALUE"""),16204)</f>
        <v>16204</v>
      </c>
      <c r="AA152" s="12">
        <f ca="1">IFERROR(__xludf.DUMMYFUNCTION("""COMPUTED_VALUE"""),10666)</f>
        <v>10666</v>
      </c>
      <c r="AB152" s="12">
        <f ca="1">IFERROR(__xludf.DUMMYFUNCTION("""COMPUTED_VALUE"""),10171)</f>
        <v>10171</v>
      </c>
      <c r="AC152" s="12">
        <f ca="1">IFERROR(__xludf.DUMMYFUNCTION("""COMPUTED_VALUE"""),16734)</f>
        <v>16734</v>
      </c>
      <c r="AD152" s="12">
        <f ca="1">IFERROR(__xludf.DUMMYFUNCTION("""COMPUTED_VALUE"""),9525)</f>
        <v>9525</v>
      </c>
      <c r="AE152" s="12">
        <f ca="1">IFERROR(__xludf.DUMMYFUNCTION("""COMPUTED_VALUE"""),26470)</f>
        <v>26470</v>
      </c>
      <c r="AF152" s="8">
        <f ca="1">IFERROR(__xludf.DUMMYFUNCTION("""COMPUTED_VALUE"""),24097)</f>
        <v>24097</v>
      </c>
      <c r="AG152" s="8">
        <f ca="1">IFERROR(__xludf.DUMMYFUNCTION("""COMPUTED_VALUE"""),8814)</f>
        <v>8814</v>
      </c>
      <c r="AH152" s="8">
        <f ca="1">IFERROR(__xludf.DUMMYFUNCTION("""COMPUTED_VALUE"""),20006)</f>
        <v>20006</v>
      </c>
      <c r="AI152" s="8">
        <f ca="1">IFERROR(__xludf.DUMMYFUNCTION("""COMPUTED_VALUE"""),13254)</f>
        <v>13254</v>
      </c>
      <c r="AJ152" s="8">
        <f ca="1">IFERROR(__xludf.DUMMYFUNCTION("""COMPUTED_VALUE"""),15391)</f>
        <v>15391</v>
      </c>
      <c r="AK152" s="8">
        <f ca="1">IFERROR(__xludf.DUMMYFUNCTION("""COMPUTED_VALUE"""),9038)</f>
        <v>9038</v>
      </c>
      <c r="AL152" s="8">
        <f ca="1">IFERROR(__xludf.DUMMYFUNCTION("""COMPUTED_VALUE"""),7163)</f>
        <v>7163</v>
      </c>
      <c r="AM152" s="8">
        <f ca="1">IFERROR(__xludf.DUMMYFUNCTION("""COMPUTED_VALUE"""),6863)</f>
        <v>6863</v>
      </c>
      <c r="AN152" s="8">
        <f ca="1">IFERROR(__xludf.DUMMYFUNCTION("""COMPUTED_VALUE"""),8094)</f>
        <v>8094</v>
      </c>
      <c r="AO152" s="8">
        <f ca="1">IFERROR(__xludf.DUMMYFUNCTION("""COMPUTED_VALUE"""),8637)</f>
        <v>8637</v>
      </c>
      <c r="AP152" s="8"/>
      <c r="AQ152" s="8"/>
      <c r="AR152" s="8"/>
      <c r="AS152" s="8"/>
      <c r="AT152" s="8"/>
      <c r="AU152" s="8"/>
      <c r="AV152" s="8"/>
      <c r="AW152" s="8"/>
      <c r="AX152" s="8"/>
      <c r="AY152" s="8"/>
    </row>
    <row r="153" spans="1:51" ht="13.2" x14ac:dyDescent="0.25">
      <c r="A153" s="12" t="str">
        <f ca="1">IFERROR(__xludf.DUMMYFUNCTION("""COMPUTED_VALUE"""),"               left Pretectal region")</f>
        <v xml:space="preserve">               left Pretectal region</v>
      </c>
      <c r="B153" s="12">
        <f ca="1">IFERROR(__xludf.DUMMYFUNCTION("""COMPUTED_VALUE"""),3181)</f>
        <v>3181</v>
      </c>
      <c r="C153" s="12">
        <f ca="1">IFERROR(__xludf.DUMMYFUNCTION("""COMPUTED_VALUE"""),9810)</f>
        <v>9810</v>
      </c>
      <c r="D153" s="12">
        <f ca="1">IFERROR(__xludf.DUMMYFUNCTION("""COMPUTED_VALUE"""),5847)</f>
        <v>5847</v>
      </c>
      <c r="E153" s="12">
        <f ca="1">IFERROR(__xludf.DUMMYFUNCTION("""COMPUTED_VALUE"""),10272)</f>
        <v>10272</v>
      </c>
      <c r="F153" s="12">
        <f ca="1">IFERROR(__xludf.DUMMYFUNCTION("""COMPUTED_VALUE"""),6920)</f>
        <v>6920</v>
      </c>
      <c r="G153" s="12">
        <f ca="1">IFERROR(__xludf.DUMMYFUNCTION("""COMPUTED_VALUE"""),3848)</f>
        <v>3848</v>
      </c>
      <c r="H153" s="12">
        <f ca="1">IFERROR(__xludf.DUMMYFUNCTION("""COMPUTED_VALUE"""),6363)</f>
        <v>6363</v>
      </c>
      <c r="I153" s="12">
        <f ca="1">IFERROR(__xludf.DUMMYFUNCTION("""COMPUTED_VALUE"""),5202)</f>
        <v>5202</v>
      </c>
      <c r="J153" s="12">
        <f ca="1">IFERROR(__xludf.DUMMYFUNCTION("""COMPUTED_VALUE"""),3861)</f>
        <v>3861</v>
      </c>
      <c r="K153" s="12">
        <f ca="1">IFERROR(__xludf.DUMMYFUNCTION("""COMPUTED_VALUE"""),4459)</f>
        <v>4459</v>
      </c>
      <c r="L153" s="12">
        <f ca="1">IFERROR(__xludf.DUMMYFUNCTION("""COMPUTED_VALUE"""),5152)</f>
        <v>5152</v>
      </c>
      <c r="M153" s="12">
        <f ca="1">IFERROR(__xludf.DUMMYFUNCTION("""COMPUTED_VALUE"""),5448)</f>
        <v>5448</v>
      </c>
      <c r="N153" s="12">
        <f ca="1">IFERROR(__xludf.DUMMYFUNCTION("""COMPUTED_VALUE"""),8212)</f>
        <v>8212</v>
      </c>
      <c r="O153" s="12">
        <f ca="1">IFERROR(__xludf.DUMMYFUNCTION("""COMPUTED_VALUE"""),5517)</f>
        <v>5517</v>
      </c>
      <c r="P153" s="12">
        <f ca="1">IFERROR(__xludf.DUMMYFUNCTION("""COMPUTED_VALUE"""),2310)</f>
        <v>2310</v>
      </c>
      <c r="Q153" s="12">
        <f ca="1">IFERROR(__xludf.DUMMYFUNCTION("""COMPUTED_VALUE"""),5987)</f>
        <v>5987</v>
      </c>
      <c r="R153" s="12">
        <f ca="1">IFERROR(__xludf.DUMMYFUNCTION("""COMPUTED_VALUE"""),1832)</f>
        <v>1832</v>
      </c>
      <c r="S153" s="12">
        <f ca="1">IFERROR(__xludf.DUMMYFUNCTION("""COMPUTED_VALUE"""),2955)</f>
        <v>2955</v>
      </c>
      <c r="T153" s="12">
        <f ca="1">IFERROR(__xludf.DUMMYFUNCTION("""COMPUTED_VALUE"""),2499)</f>
        <v>2499</v>
      </c>
      <c r="U153" s="12">
        <f ca="1">IFERROR(__xludf.DUMMYFUNCTION("""COMPUTED_VALUE"""),1173)</f>
        <v>1173</v>
      </c>
      <c r="V153" s="12">
        <f ca="1">IFERROR(__xludf.DUMMYFUNCTION("""COMPUTED_VALUE"""),8185)</f>
        <v>8185</v>
      </c>
      <c r="W153" s="12">
        <f ca="1">IFERROR(__xludf.DUMMYFUNCTION("""COMPUTED_VALUE"""),6531)</f>
        <v>6531</v>
      </c>
      <c r="X153" s="12">
        <f ca="1">IFERROR(__xludf.DUMMYFUNCTION("""COMPUTED_VALUE"""),9766)</f>
        <v>9766</v>
      </c>
      <c r="Y153" s="12">
        <f ca="1">IFERROR(__xludf.DUMMYFUNCTION("""COMPUTED_VALUE"""),3385)</f>
        <v>3385</v>
      </c>
      <c r="Z153" s="12">
        <f ca="1">IFERROR(__xludf.DUMMYFUNCTION("""COMPUTED_VALUE"""),11271)</f>
        <v>11271</v>
      </c>
      <c r="AA153" s="12">
        <f ca="1">IFERROR(__xludf.DUMMYFUNCTION("""COMPUTED_VALUE"""),1626)</f>
        <v>1626</v>
      </c>
      <c r="AB153" s="12">
        <f ca="1">IFERROR(__xludf.DUMMYFUNCTION("""COMPUTED_VALUE"""),3675)</f>
        <v>3675</v>
      </c>
      <c r="AC153" s="12">
        <f ca="1">IFERROR(__xludf.DUMMYFUNCTION("""COMPUTED_VALUE"""),6066)</f>
        <v>6066</v>
      </c>
      <c r="AD153" s="12">
        <f ca="1">IFERROR(__xludf.DUMMYFUNCTION("""COMPUTED_VALUE"""),2892)</f>
        <v>2892</v>
      </c>
      <c r="AE153" s="12">
        <f ca="1">IFERROR(__xludf.DUMMYFUNCTION("""COMPUTED_VALUE"""),12317)</f>
        <v>12317</v>
      </c>
      <c r="AF153" s="8">
        <f ca="1">IFERROR(__xludf.DUMMYFUNCTION("""COMPUTED_VALUE"""),7220)</f>
        <v>7220</v>
      </c>
      <c r="AG153" s="8">
        <f ca="1">IFERROR(__xludf.DUMMYFUNCTION("""COMPUTED_VALUE"""),3060)</f>
        <v>3060</v>
      </c>
      <c r="AH153" s="8">
        <f ca="1">IFERROR(__xludf.DUMMYFUNCTION("""COMPUTED_VALUE"""),6198)</f>
        <v>6198</v>
      </c>
      <c r="AI153" s="8">
        <f ca="1">IFERROR(__xludf.DUMMYFUNCTION("""COMPUTED_VALUE"""),1547)</f>
        <v>1547</v>
      </c>
      <c r="AJ153" s="8">
        <f ca="1">IFERROR(__xludf.DUMMYFUNCTION("""COMPUTED_VALUE"""),5040)</f>
        <v>5040</v>
      </c>
      <c r="AK153" s="8">
        <f ca="1">IFERROR(__xludf.DUMMYFUNCTION("""COMPUTED_VALUE"""),1254)</f>
        <v>1254</v>
      </c>
      <c r="AL153" s="8">
        <f ca="1">IFERROR(__xludf.DUMMYFUNCTION("""COMPUTED_VALUE"""),3151)</f>
        <v>3151</v>
      </c>
      <c r="AM153" s="8">
        <f ca="1">IFERROR(__xludf.DUMMYFUNCTION("""COMPUTED_VALUE"""),1739)</f>
        <v>1739</v>
      </c>
      <c r="AN153" s="8">
        <f ca="1">IFERROR(__xludf.DUMMYFUNCTION("""COMPUTED_VALUE"""),3806)</f>
        <v>3806</v>
      </c>
      <c r="AO153" s="8">
        <f ca="1">IFERROR(__xludf.DUMMYFUNCTION("""COMPUTED_VALUE"""),3387)</f>
        <v>3387</v>
      </c>
      <c r="AP153" s="8"/>
      <c r="AQ153" s="8"/>
      <c r="AR153" s="8"/>
      <c r="AS153" s="8"/>
      <c r="AT153" s="8"/>
      <c r="AU153" s="8"/>
      <c r="AV153" s="8"/>
      <c r="AW153" s="8"/>
      <c r="AX153" s="8"/>
      <c r="AY153" s="8"/>
    </row>
    <row r="154" spans="1:51" ht="13.2" x14ac:dyDescent="0.25">
      <c r="A154" s="12" t="str">
        <f ca="1">IFERROR(__xludf.DUMMYFUNCTION("""COMPUTED_VALUE"""),"            left Midbrain, behavioral state related")</f>
        <v xml:space="preserve">            left Midbrain, behavioral state related</v>
      </c>
      <c r="B154" s="12">
        <f ca="1">IFERROR(__xludf.DUMMYFUNCTION("""COMPUTED_VALUE"""),2191)</f>
        <v>2191</v>
      </c>
      <c r="C154" s="12">
        <f ca="1">IFERROR(__xludf.DUMMYFUNCTION("""COMPUTED_VALUE"""),3552)</f>
        <v>3552</v>
      </c>
      <c r="D154" s="12">
        <f ca="1">IFERROR(__xludf.DUMMYFUNCTION("""COMPUTED_VALUE"""),3930)</f>
        <v>3930</v>
      </c>
      <c r="E154" s="12">
        <f ca="1">IFERROR(__xludf.DUMMYFUNCTION("""COMPUTED_VALUE"""),3951)</f>
        <v>3951</v>
      </c>
      <c r="F154" s="12">
        <f ca="1">IFERROR(__xludf.DUMMYFUNCTION("""COMPUTED_VALUE"""),4051)</f>
        <v>4051</v>
      </c>
      <c r="G154" s="12">
        <f ca="1">IFERROR(__xludf.DUMMYFUNCTION("""COMPUTED_VALUE"""),1289)</f>
        <v>1289</v>
      </c>
      <c r="H154" s="12">
        <f ca="1">IFERROR(__xludf.DUMMYFUNCTION("""COMPUTED_VALUE"""),1798)</f>
        <v>1798</v>
      </c>
      <c r="I154" s="12">
        <f ca="1">IFERROR(__xludf.DUMMYFUNCTION("""COMPUTED_VALUE"""),1605)</f>
        <v>1605</v>
      </c>
      <c r="J154" s="12">
        <f ca="1">IFERROR(__xludf.DUMMYFUNCTION("""COMPUTED_VALUE"""),1741)</f>
        <v>1741</v>
      </c>
      <c r="K154" s="12">
        <f ca="1">IFERROR(__xludf.DUMMYFUNCTION("""COMPUTED_VALUE"""),2692)</f>
        <v>2692</v>
      </c>
      <c r="L154" s="12">
        <f ca="1">IFERROR(__xludf.DUMMYFUNCTION("""COMPUTED_VALUE"""),2478)</f>
        <v>2478</v>
      </c>
      <c r="M154" s="12">
        <f ca="1">IFERROR(__xludf.DUMMYFUNCTION("""COMPUTED_VALUE"""),2637)</f>
        <v>2637</v>
      </c>
      <c r="N154" s="12">
        <f ca="1">IFERROR(__xludf.DUMMYFUNCTION("""COMPUTED_VALUE"""),6977)</f>
        <v>6977</v>
      </c>
      <c r="O154" s="12">
        <f ca="1">IFERROR(__xludf.DUMMYFUNCTION("""COMPUTED_VALUE"""),3426)</f>
        <v>3426</v>
      </c>
      <c r="P154" s="12">
        <f ca="1">IFERROR(__xludf.DUMMYFUNCTION("""COMPUTED_VALUE"""),1234)</f>
        <v>1234</v>
      </c>
      <c r="Q154" s="12">
        <f ca="1">IFERROR(__xludf.DUMMYFUNCTION("""COMPUTED_VALUE"""),2126)</f>
        <v>2126</v>
      </c>
      <c r="R154" s="12">
        <f ca="1">IFERROR(__xludf.DUMMYFUNCTION("""COMPUTED_VALUE"""),854)</f>
        <v>854</v>
      </c>
      <c r="S154" s="12">
        <f ca="1">IFERROR(__xludf.DUMMYFUNCTION("""COMPUTED_VALUE"""),1030)</f>
        <v>1030</v>
      </c>
      <c r="T154" s="12">
        <f ca="1">IFERROR(__xludf.DUMMYFUNCTION("""COMPUTED_VALUE"""),1370)</f>
        <v>1370</v>
      </c>
      <c r="U154" s="12">
        <f ca="1">IFERROR(__xludf.DUMMYFUNCTION("""COMPUTED_VALUE"""),1499)</f>
        <v>1499</v>
      </c>
      <c r="V154" s="12">
        <f ca="1">IFERROR(__xludf.DUMMYFUNCTION("""COMPUTED_VALUE"""),3293)</f>
        <v>3293</v>
      </c>
      <c r="W154" s="12">
        <f ca="1">IFERROR(__xludf.DUMMYFUNCTION("""COMPUTED_VALUE"""),3650)</f>
        <v>3650</v>
      </c>
      <c r="X154" s="12">
        <f ca="1">IFERROR(__xludf.DUMMYFUNCTION("""COMPUTED_VALUE"""),9163)</f>
        <v>9163</v>
      </c>
      <c r="Y154" s="12">
        <f ca="1">IFERROR(__xludf.DUMMYFUNCTION("""COMPUTED_VALUE"""),2839)</f>
        <v>2839</v>
      </c>
      <c r="Z154" s="12">
        <f ca="1">IFERROR(__xludf.DUMMYFUNCTION("""COMPUTED_VALUE"""),3318)</f>
        <v>3318</v>
      </c>
      <c r="AA154" s="12">
        <f ca="1">IFERROR(__xludf.DUMMYFUNCTION("""COMPUTED_VALUE"""),1133)</f>
        <v>1133</v>
      </c>
      <c r="AB154" s="12">
        <f ca="1">IFERROR(__xludf.DUMMYFUNCTION("""COMPUTED_VALUE"""),1800)</f>
        <v>1800</v>
      </c>
      <c r="AC154" s="12">
        <f ca="1">IFERROR(__xludf.DUMMYFUNCTION("""COMPUTED_VALUE"""),977)</f>
        <v>977</v>
      </c>
      <c r="AD154" s="12">
        <f ca="1">IFERROR(__xludf.DUMMYFUNCTION("""COMPUTED_VALUE"""),2371)</f>
        <v>2371</v>
      </c>
      <c r="AE154" s="12">
        <f ca="1">IFERROR(__xludf.DUMMYFUNCTION("""COMPUTED_VALUE"""),2932)</f>
        <v>2932</v>
      </c>
      <c r="AF154" s="8">
        <f ca="1">IFERROR(__xludf.DUMMYFUNCTION("""COMPUTED_VALUE"""),3439)</f>
        <v>3439</v>
      </c>
      <c r="AG154" s="8">
        <f ca="1">IFERROR(__xludf.DUMMYFUNCTION("""COMPUTED_VALUE"""),1675)</f>
        <v>1675</v>
      </c>
      <c r="AH154" s="8">
        <f ca="1">IFERROR(__xludf.DUMMYFUNCTION("""COMPUTED_VALUE"""),2832)</f>
        <v>2832</v>
      </c>
      <c r="AI154" s="8">
        <f ca="1">IFERROR(__xludf.DUMMYFUNCTION("""COMPUTED_VALUE"""),1637)</f>
        <v>1637</v>
      </c>
      <c r="AJ154" s="8">
        <f ca="1">IFERROR(__xludf.DUMMYFUNCTION("""COMPUTED_VALUE"""),1721)</f>
        <v>1721</v>
      </c>
      <c r="AK154" s="8">
        <f ca="1">IFERROR(__xludf.DUMMYFUNCTION("""COMPUTED_VALUE"""),700)</f>
        <v>700</v>
      </c>
      <c r="AL154" s="8">
        <f ca="1">IFERROR(__xludf.DUMMYFUNCTION("""COMPUTED_VALUE"""),1697)</f>
        <v>1697</v>
      </c>
      <c r="AM154" s="8">
        <f ca="1">IFERROR(__xludf.DUMMYFUNCTION("""COMPUTED_VALUE"""),1936)</f>
        <v>1936</v>
      </c>
      <c r="AN154" s="8">
        <f ca="1">IFERROR(__xludf.DUMMYFUNCTION("""COMPUTED_VALUE"""),1111)</f>
        <v>1111</v>
      </c>
      <c r="AO154" s="8">
        <f ca="1">IFERROR(__xludf.DUMMYFUNCTION("""COMPUTED_VALUE"""),1283)</f>
        <v>1283</v>
      </c>
      <c r="AP154" s="8"/>
      <c r="AQ154" s="8"/>
      <c r="AR154" s="8"/>
      <c r="AS154" s="8"/>
      <c r="AT154" s="8"/>
      <c r="AU154" s="8"/>
      <c r="AV154" s="8"/>
      <c r="AW154" s="8"/>
      <c r="AX154" s="8"/>
      <c r="AY154" s="8"/>
    </row>
    <row r="155" spans="1:51" ht="13.2" x14ac:dyDescent="0.25">
      <c r="A155" s="12" t="str">
        <f ca="1">IFERROR(__xludf.DUMMYFUNCTION("""COMPUTED_VALUE"""),"         left Hindbrain")</f>
        <v xml:space="preserve">         left Hindbrain</v>
      </c>
      <c r="B155" s="12">
        <f ca="1">IFERROR(__xludf.DUMMYFUNCTION("""COMPUTED_VALUE"""),28669)</f>
        <v>28669</v>
      </c>
      <c r="C155" s="12">
        <f ca="1">IFERROR(__xludf.DUMMYFUNCTION("""COMPUTED_VALUE"""),47327)</f>
        <v>47327</v>
      </c>
      <c r="D155" s="12">
        <f ca="1">IFERROR(__xludf.DUMMYFUNCTION("""COMPUTED_VALUE"""),53437)</f>
        <v>53437</v>
      </c>
      <c r="E155" s="12">
        <f ca="1">IFERROR(__xludf.DUMMYFUNCTION("""COMPUTED_VALUE"""),55872)</f>
        <v>55872</v>
      </c>
      <c r="F155" s="12">
        <f ca="1">IFERROR(__xludf.DUMMYFUNCTION("""COMPUTED_VALUE"""),45288)</f>
        <v>45288</v>
      </c>
      <c r="G155" s="12">
        <f ca="1">IFERROR(__xludf.DUMMYFUNCTION("""COMPUTED_VALUE"""),19824)</f>
        <v>19824</v>
      </c>
      <c r="H155" s="12">
        <f ca="1">IFERROR(__xludf.DUMMYFUNCTION("""COMPUTED_VALUE"""),16610)</f>
        <v>16610</v>
      </c>
      <c r="I155" s="12">
        <f ca="1">IFERROR(__xludf.DUMMYFUNCTION("""COMPUTED_VALUE"""),19081)</f>
        <v>19081</v>
      </c>
      <c r="J155" s="12">
        <f ca="1">IFERROR(__xludf.DUMMYFUNCTION("""COMPUTED_VALUE"""),11367)</f>
        <v>11367</v>
      </c>
      <c r="K155" s="12">
        <f ca="1">IFERROR(__xludf.DUMMYFUNCTION("""COMPUTED_VALUE"""),23748)</f>
        <v>23748</v>
      </c>
      <c r="L155" s="12">
        <f ca="1">IFERROR(__xludf.DUMMYFUNCTION("""COMPUTED_VALUE"""),48539)</f>
        <v>48539</v>
      </c>
      <c r="M155" s="12">
        <f ca="1">IFERROR(__xludf.DUMMYFUNCTION("""COMPUTED_VALUE"""),51132)</f>
        <v>51132</v>
      </c>
      <c r="N155" s="12">
        <f ca="1">IFERROR(__xludf.DUMMYFUNCTION("""COMPUTED_VALUE"""),55558)</f>
        <v>55558</v>
      </c>
      <c r="O155" s="12">
        <f ca="1">IFERROR(__xludf.DUMMYFUNCTION("""COMPUTED_VALUE"""),41397)</f>
        <v>41397</v>
      </c>
      <c r="P155" s="12">
        <f ca="1">IFERROR(__xludf.DUMMYFUNCTION("""COMPUTED_VALUE"""),14701)</f>
        <v>14701</v>
      </c>
      <c r="Q155" s="12">
        <f ca="1">IFERROR(__xludf.DUMMYFUNCTION("""COMPUTED_VALUE"""),24396)</f>
        <v>24396</v>
      </c>
      <c r="R155" s="12">
        <f ca="1">IFERROR(__xludf.DUMMYFUNCTION("""COMPUTED_VALUE"""),14287)</f>
        <v>14287</v>
      </c>
      <c r="S155" s="12">
        <f ca="1">IFERROR(__xludf.DUMMYFUNCTION("""COMPUTED_VALUE"""),14945)</f>
        <v>14945</v>
      </c>
      <c r="T155" s="12">
        <f ca="1">IFERROR(__xludf.DUMMYFUNCTION("""COMPUTED_VALUE"""),26700)</f>
        <v>26700</v>
      </c>
      <c r="U155" s="12">
        <f ca="1">IFERROR(__xludf.DUMMYFUNCTION("""COMPUTED_VALUE"""),15435)</f>
        <v>15435</v>
      </c>
      <c r="V155" s="12">
        <f ca="1">IFERROR(__xludf.DUMMYFUNCTION("""COMPUTED_VALUE"""),27308)</f>
        <v>27308</v>
      </c>
      <c r="W155" s="12">
        <f ca="1">IFERROR(__xludf.DUMMYFUNCTION("""COMPUTED_VALUE"""),30682)</f>
        <v>30682</v>
      </c>
      <c r="X155" s="12">
        <f ca="1">IFERROR(__xludf.DUMMYFUNCTION("""COMPUTED_VALUE"""),124955)</f>
        <v>124955</v>
      </c>
      <c r="Y155" s="12">
        <f ca="1">IFERROR(__xludf.DUMMYFUNCTION("""COMPUTED_VALUE"""),30011)</f>
        <v>30011</v>
      </c>
      <c r="Z155" s="12">
        <f ca="1">IFERROR(__xludf.DUMMYFUNCTION("""COMPUTED_VALUE"""),14811)</f>
        <v>14811</v>
      </c>
      <c r="AA155" s="12">
        <f ca="1">IFERROR(__xludf.DUMMYFUNCTION("""COMPUTED_VALUE"""),18763)</f>
        <v>18763</v>
      </c>
      <c r="AB155" s="12">
        <f ca="1">IFERROR(__xludf.DUMMYFUNCTION("""COMPUTED_VALUE"""),42466)</f>
        <v>42466</v>
      </c>
      <c r="AC155" s="12">
        <f ca="1">IFERROR(__xludf.DUMMYFUNCTION("""COMPUTED_VALUE"""),15431)</f>
        <v>15431</v>
      </c>
      <c r="AD155" s="12">
        <f ca="1">IFERROR(__xludf.DUMMYFUNCTION("""COMPUTED_VALUE"""),34213)</f>
        <v>34213</v>
      </c>
      <c r="AE155" s="12">
        <f ca="1">IFERROR(__xludf.DUMMYFUNCTION("""COMPUTED_VALUE"""),59312)</f>
        <v>59312</v>
      </c>
      <c r="AF155" s="8">
        <f ca="1">IFERROR(__xludf.DUMMYFUNCTION("""COMPUTED_VALUE"""),47991)</f>
        <v>47991</v>
      </c>
      <c r="AG155" s="8">
        <f ca="1">IFERROR(__xludf.DUMMYFUNCTION("""COMPUTED_VALUE"""),15690)</f>
        <v>15690</v>
      </c>
      <c r="AH155" s="8">
        <f ca="1">IFERROR(__xludf.DUMMYFUNCTION("""COMPUTED_VALUE"""),20554)</f>
        <v>20554</v>
      </c>
      <c r="AI155" s="8">
        <f ca="1">IFERROR(__xludf.DUMMYFUNCTION("""COMPUTED_VALUE"""),30438)</f>
        <v>30438</v>
      </c>
      <c r="AJ155" s="8">
        <f ca="1">IFERROR(__xludf.DUMMYFUNCTION("""COMPUTED_VALUE"""),14772)</f>
        <v>14772</v>
      </c>
      <c r="AK155" s="8">
        <f ca="1">IFERROR(__xludf.DUMMYFUNCTION("""COMPUTED_VALUE"""),3625)</f>
        <v>3625</v>
      </c>
      <c r="AL155" s="8">
        <f ca="1">IFERROR(__xludf.DUMMYFUNCTION("""COMPUTED_VALUE"""),21707)</f>
        <v>21707</v>
      </c>
      <c r="AM155" s="8">
        <f ca="1">IFERROR(__xludf.DUMMYFUNCTION("""COMPUTED_VALUE"""),27024)</f>
        <v>27024</v>
      </c>
      <c r="AN155" s="8">
        <f ca="1">IFERROR(__xludf.DUMMYFUNCTION("""COMPUTED_VALUE"""),23023)</f>
        <v>23023</v>
      </c>
      <c r="AO155" s="8">
        <f ca="1">IFERROR(__xludf.DUMMYFUNCTION("""COMPUTED_VALUE"""),9053)</f>
        <v>9053</v>
      </c>
      <c r="AP155" s="8"/>
      <c r="AQ155" s="8"/>
      <c r="AR155" s="8"/>
      <c r="AS155" s="8"/>
      <c r="AT155" s="8"/>
      <c r="AU155" s="8"/>
      <c r="AV155" s="8"/>
      <c r="AW155" s="8"/>
      <c r="AX155" s="8"/>
      <c r="AY155" s="8"/>
    </row>
    <row r="156" spans="1:51" ht="13.2" x14ac:dyDescent="0.25">
      <c r="A156" s="12" t="str">
        <f ca="1">IFERROR(__xludf.DUMMYFUNCTION("""COMPUTED_VALUE"""),"            left Pons")</f>
        <v xml:space="preserve">            left Pons</v>
      </c>
      <c r="B156" s="12">
        <f ca="1">IFERROR(__xludf.DUMMYFUNCTION("""COMPUTED_VALUE"""),14084)</f>
        <v>14084</v>
      </c>
      <c r="C156" s="12">
        <f ca="1">IFERROR(__xludf.DUMMYFUNCTION("""COMPUTED_VALUE"""),24448)</f>
        <v>24448</v>
      </c>
      <c r="D156" s="12">
        <f ca="1">IFERROR(__xludf.DUMMYFUNCTION("""COMPUTED_VALUE"""),16834)</f>
        <v>16834</v>
      </c>
      <c r="E156" s="12">
        <f ca="1">IFERROR(__xludf.DUMMYFUNCTION("""COMPUTED_VALUE"""),28898)</f>
        <v>28898</v>
      </c>
      <c r="F156" s="12">
        <f ca="1">IFERROR(__xludf.DUMMYFUNCTION("""COMPUTED_VALUE"""),22521)</f>
        <v>22521</v>
      </c>
      <c r="G156" s="12">
        <f ca="1">IFERROR(__xludf.DUMMYFUNCTION("""COMPUTED_VALUE"""),8616)</f>
        <v>8616</v>
      </c>
      <c r="H156" s="12">
        <f ca="1">IFERROR(__xludf.DUMMYFUNCTION("""COMPUTED_VALUE"""),10406)</f>
        <v>10406</v>
      </c>
      <c r="I156" s="12">
        <f ca="1">IFERROR(__xludf.DUMMYFUNCTION("""COMPUTED_VALUE"""),6692)</f>
        <v>6692</v>
      </c>
      <c r="J156" s="12">
        <f ca="1">IFERROR(__xludf.DUMMYFUNCTION("""COMPUTED_VALUE"""),8368)</f>
        <v>8368</v>
      </c>
      <c r="K156" s="12">
        <f ca="1">IFERROR(__xludf.DUMMYFUNCTION("""COMPUTED_VALUE"""),13121)</f>
        <v>13121</v>
      </c>
      <c r="L156" s="12">
        <f ca="1">IFERROR(__xludf.DUMMYFUNCTION("""COMPUTED_VALUE"""),19012)</f>
        <v>19012</v>
      </c>
      <c r="M156" s="12">
        <f ca="1">IFERROR(__xludf.DUMMYFUNCTION("""COMPUTED_VALUE"""),21428)</f>
        <v>21428</v>
      </c>
      <c r="N156" s="12">
        <f ca="1">IFERROR(__xludf.DUMMYFUNCTION("""COMPUTED_VALUE"""),33675)</f>
        <v>33675</v>
      </c>
      <c r="O156" s="12">
        <f ca="1">IFERROR(__xludf.DUMMYFUNCTION("""COMPUTED_VALUE"""),23111)</f>
        <v>23111</v>
      </c>
      <c r="P156" s="12">
        <f ca="1">IFERROR(__xludf.DUMMYFUNCTION("""COMPUTED_VALUE"""),9419)</f>
        <v>9419</v>
      </c>
      <c r="Q156" s="12">
        <f ca="1">IFERROR(__xludf.DUMMYFUNCTION("""COMPUTED_VALUE"""),13405)</f>
        <v>13405</v>
      </c>
      <c r="R156" s="12">
        <f ca="1">IFERROR(__xludf.DUMMYFUNCTION("""COMPUTED_VALUE"""),9240)</f>
        <v>9240</v>
      </c>
      <c r="S156" s="12">
        <f ca="1">IFERROR(__xludf.DUMMYFUNCTION("""COMPUTED_VALUE"""),6097)</f>
        <v>6097</v>
      </c>
      <c r="T156" s="12">
        <f ca="1">IFERROR(__xludf.DUMMYFUNCTION("""COMPUTED_VALUE"""),11196)</f>
        <v>11196</v>
      </c>
      <c r="U156" s="12">
        <f ca="1">IFERROR(__xludf.DUMMYFUNCTION("""COMPUTED_VALUE"""),9603)</f>
        <v>9603</v>
      </c>
      <c r="V156" s="12">
        <f ca="1">IFERROR(__xludf.DUMMYFUNCTION("""COMPUTED_VALUE"""),12633)</f>
        <v>12633</v>
      </c>
      <c r="W156" s="12">
        <f ca="1">IFERROR(__xludf.DUMMYFUNCTION("""COMPUTED_VALUE"""),16435)</f>
        <v>16435</v>
      </c>
      <c r="X156" s="12">
        <f ca="1">IFERROR(__xludf.DUMMYFUNCTION("""COMPUTED_VALUE"""),55090)</f>
        <v>55090</v>
      </c>
      <c r="Y156" s="12">
        <f ca="1">IFERROR(__xludf.DUMMYFUNCTION("""COMPUTED_VALUE"""),16046)</f>
        <v>16046</v>
      </c>
      <c r="Z156" s="12">
        <f ca="1">IFERROR(__xludf.DUMMYFUNCTION("""COMPUTED_VALUE"""),7874)</f>
        <v>7874</v>
      </c>
      <c r="AA156" s="12">
        <f ca="1">IFERROR(__xludf.DUMMYFUNCTION("""COMPUTED_VALUE"""),5521)</f>
        <v>5521</v>
      </c>
      <c r="AB156" s="12">
        <f ca="1">IFERROR(__xludf.DUMMYFUNCTION("""COMPUTED_VALUE"""),14591)</f>
        <v>14591</v>
      </c>
      <c r="AC156" s="12">
        <f ca="1">IFERROR(__xludf.DUMMYFUNCTION("""COMPUTED_VALUE"""),6540)</f>
        <v>6540</v>
      </c>
      <c r="AD156" s="12">
        <f ca="1">IFERROR(__xludf.DUMMYFUNCTION("""COMPUTED_VALUE"""),17218)</f>
        <v>17218</v>
      </c>
      <c r="AE156" s="12">
        <f ca="1">IFERROR(__xludf.DUMMYFUNCTION("""COMPUTED_VALUE"""),32951)</f>
        <v>32951</v>
      </c>
      <c r="AF156" s="8">
        <f ca="1">IFERROR(__xludf.DUMMYFUNCTION("""COMPUTED_VALUE"""),27790)</f>
        <v>27790</v>
      </c>
      <c r="AG156" s="8">
        <f ca="1">IFERROR(__xludf.DUMMYFUNCTION("""COMPUTED_VALUE"""),6216)</f>
        <v>6216</v>
      </c>
      <c r="AH156" s="8">
        <f ca="1">IFERROR(__xludf.DUMMYFUNCTION("""COMPUTED_VALUE"""),13255)</f>
        <v>13255</v>
      </c>
      <c r="AI156" s="8">
        <f ca="1">IFERROR(__xludf.DUMMYFUNCTION("""COMPUTED_VALUE"""),14272)</f>
        <v>14272</v>
      </c>
      <c r="AJ156" s="8">
        <f ca="1">IFERROR(__xludf.DUMMYFUNCTION("""COMPUTED_VALUE"""),8083)</f>
        <v>8083</v>
      </c>
      <c r="AK156" s="8">
        <f ca="1">IFERROR(__xludf.DUMMYFUNCTION("""COMPUTED_VALUE"""),1929)</f>
        <v>1929</v>
      </c>
      <c r="AL156" s="8">
        <f ca="1">IFERROR(__xludf.DUMMYFUNCTION("""COMPUTED_VALUE"""),10490)</f>
        <v>10490</v>
      </c>
      <c r="AM156" s="8">
        <f ca="1">IFERROR(__xludf.DUMMYFUNCTION("""COMPUTED_VALUE"""),16022)</f>
        <v>16022</v>
      </c>
      <c r="AN156" s="8">
        <f ca="1">IFERROR(__xludf.DUMMYFUNCTION("""COMPUTED_VALUE"""),13746)</f>
        <v>13746</v>
      </c>
      <c r="AO156" s="8">
        <f ca="1">IFERROR(__xludf.DUMMYFUNCTION("""COMPUTED_VALUE"""),3543)</f>
        <v>3543</v>
      </c>
      <c r="AP156" s="8"/>
      <c r="AQ156" s="8"/>
      <c r="AR156" s="8"/>
      <c r="AS156" s="8"/>
      <c r="AT156" s="8"/>
      <c r="AU156" s="8"/>
      <c r="AV156" s="8"/>
      <c r="AW156" s="8"/>
      <c r="AX156" s="8"/>
      <c r="AY156" s="8"/>
    </row>
    <row r="157" spans="1:51" ht="13.2" x14ac:dyDescent="0.25">
      <c r="A157" s="12" t="str">
        <f ca="1">IFERROR(__xludf.DUMMYFUNCTION("""COMPUTED_VALUE"""),"               left Pons, sensory related")</f>
        <v xml:space="preserve">               left Pons, sensory related</v>
      </c>
      <c r="B157" s="12">
        <f ca="1">IFERROR(__xludf.DUMMYFUNCTION("""COMPUTED_VALUE"""),2979)</f>
        <v>2979</v>
      </c>
      <c r="C157" s="12">
        <f ca="1">IFERROR(__xludf.DUMMYFUNCTION("""COMPUTED_VALUE"""),4597)</f>
        <v>4597</v>
      </c>
      <c r="D157" s="12">
        <f ca="1">IFERROR(__xludf.DUMMYFUNCTION("""COMPUTED_VALUE"""),3913)</f>
        <v>3913</v>
      </c>
      <c r="E157" s="12">
        <f ca="1">IFERROR(__xludf.DUMMYFUNCTION("""COMPUTED_VALUE"""),4925)</f>
        <v>4925</v>
      </c>
      <c r="F157" s="12">
        <f ca="1">IFERROR(__xludf.DUMMYFUNCTION("""COMPUTED_VALUE"""),4727)</f>
        <v>4727</v>
      </c>
      <c r="G157" s="12">
        <f ca="1">IFERROR(__xludf.DUMMYFUNCTION("""COMPUTED_VALUE"""),2456)</f>
        <v>2456</v>
      </c>
      <c r="H157" s="12">
        <f ca="1">IFERROR(__xludf.DUMMYFUNCTION("""COMPUTED_VALUE"""),1149)</f>
        <v>1149</v>
      </c>
      <c r="I157" s="12">
        <f ca="1">IFERROR(__xludf.DUMMYFUNCTION("""COMPUTED_VALUE"""),1864)</f>
        <v>1864</v>
      </c>
      <c r="J157" s="12">
        <f ca="1">IFERROR(__xludf.DUMMYFUNCTION("""COMPUTED_VALUE"""),1562)</f>
        <v>1562</v>
      </c>
      <c r="K157" s="12">
        <f ca="1">IFERROR(__xludf.DUMMYFUNCTION("""COMPUTED_VALUE"""),2324)</f>
        <v>2324</v>
      </c>
      <c r="L157" s="12">
        <f ca="1">IFERROR(__xludf.DUMMYFUNCTION("""COMPUTED_VALUE"""),3897)</f>
        <v>3897</v>
      </c>
      <c r="M157" s="12">
        <f ca="1">IFERROR(__xludf.DUMMYFUNCTION("""COMPUTED_VALUE"""),4557)</f>
        <v>4557</v>
      </c>
      <c r="N157" s="12">
        <f ca="1">IFERROR(__xludf.DUMMYFUNCTION("""COMPUTED_VALUE"""),6662)</f>
        <v>6662</v>
      </c>
      <c r="O157" s="12">
        <f ca="1">IFERROR(__xludf.DUMMYFUNCTION("""COMPUTED_VALUE"""),3991)</f>
        <v>3991</v>
      </c>
      <c r="P157" s="12">
        <f ca="1">IFERROR(__xludf.DUMMYFUNCTION("""COMPUTED_VALUE"""),1582)</f>
        <v>1582</v>
      </c>
      <c r="Q157" s="12">
        <f ca="1">IFERROR(__xludf.DUMMYFUNCTION("""COMPUTED_VALUE"""),3168)</f>
        <v>3168</v>
      </c>
      <c r="R157" s="12">
        <f ca="1">IFERROR(__xludf.DUMMYFUNCTION("""COMPUTED_VALUE"""),2301)</f>
        <v>2301</v>
      </c>
      <c r="S157" s="12">
        <f ca="1">IFERROR(__xludf.DUMMYFUNCTION("""COMPUTED_VALUE"""),1160)</f>
        <v>1160</v>
      </c>
      <c r="T157" s="12">
        <f ca="1">IFERROR(__xludf.DUMMYFUNCTION("""COMPUTED_VALUE"""),2780)</f>
        <v>2780</v>
      </c>
      <c r="U157" s="12">
        <f ca="1">IFERROR(__xludf.DUMMYFUNCTION("""COMPUTED_VALUE"""),2028)</f>
        <v>2028</v>
      </c>
      <c r="V157" s="12">
        <f ca="1">IFERROR(__xludf.DUMMYFUNCTION("""COMPUTED_VALUE"""),2760)</f>
        <v>2760</v>
      </c>
      <c r="W157" s="12">
        <f ca="1">IFERROR(__xludf.DUMMYFUNCTION("""COMPUTED_VALUE"""),3209)</f>
        <v>3209</v>
      </c>
      <c r="X157" s="12">
        <f ca="1">IFERROR(__xludf.DUMMYFUNCTION("""COMPUTED_VALUE"""),9636)</f>
        <v>9636</v>
      </c>
      <c r="Y157" s="12">
        <f ca="1">IFERROR(__xludf.DUMMYFUNCTION("""COMPUTED_VALUE"""),4675)</f>
        <v>4675</v>
      </c>
      <c r="Z157" s="12">
        <f ca="1">IFERROR(__xludf.DUMMYFUNCTION("""COMPUTED_VALUE"""),811)</f>
        <v>811</v>
      </c>
      <c r="AA157" s="12">
        <f ca="1">IFERROR(__xludf.DUMMYFUNCTION("""COMPUTED_VALUE"""),603)</f>
        <v>603</v>
      </c>
      <c r="AB157" s="12">
        <f ca="1">IFERROR(__xludf.DUMMYFUNCTION("""COMPUTED_VALUE"""),5318)</f>
        <v>5318</v>
      </c>
      <c r="AC157" s="12">
        <f ca="1">IFERROR(__xludf.DUMMYFUNCTION("""COMPUTED_VALUE"""),1265)</f>
        <v>1265</v>
      </c>
      <c r="AD157" s="12">
        <f ca="1">IFERROR(__xludf.DUMMYFUNCTION("""COMPUTED_VALUE"""),3119)</f>
        <v>3119</v>
      </c>
      <c r="AE157" s="12">
        <f ca="1">IFERROR(__xludf.DUMMYFUNCTION("""COMPUTED_VALUE"""),4175)</f>
        <v>4175</v>
      </c>
      <c r="AF157" s="8">
        <f ca="1">IFERROR(__xludf.DUMMYFUNCTION("""COMPUTED_VALUE"""),5287)</f>
        <v>5287</v>
      </c>
      <c r="AG157" s="8">
        <f ca="1">IFERROR(__xludf.DUMMYFUNCTION("""COMPUTED_VALUE"""),262)</f>
        <v>262</v>
      </c>
      <c r="AH157" s="8">
        <f ca="1">IFERROR(__xludf.DUMMYFUNCTION("""COMPUTED_VALUE"""),3770)</f>
        <v>3770</v>
      </c>
      <c r="AI157" s="8">
        <f ca="1">IFERROR(__xludf.DUMMYFUNCTION("""COMPUTED_VALUE"""),3143)</f>
        <v>3143</v>
      </c>
      <c r="AJ157" s="8">
        <f ca="1">IFERROR(__xludf.DUMMYFUNCTION("""COMPUTED_VALUE"""),1775)</f>
        <v>1775</v>
      </c>
      <c r="AK157" s="8">
        <f ca="1">IFERROR(__xludf.DUMMYFUNCTION("""COMPUTED_VALUE"""),511)</f>
        <v>511</v>
      </c>
      <c r="AL157" s="8">
        <f ca="1">IFERROR(__xludf.DUMMYFUNCTION("""COMPUTED_VALUE"""),3573)</f>
        <v>3573</v>
      </c>
      <c r="AM157" s="8">
        <f ca="1">IFERROR(__xludf.DUMMYFUNCTION("""COMPUTED_VALUE"""),2910)</f>
        <v>2910</v>
      </c>
      <c r="AN157" s="8">
        <f ca="1">IFERROR(__xludf.DUMMYFUNCTION("""COMPUTED_VALUE"""),3554)</f>
        <v>3554</v>
      </c>
      <c r="AO157" s="8">
        <f ca="1">IFERROR(__xludf.DUMMYFUNCTION("""COMPUTED_VALUE"""),795)</f>
        <v>795</v>
      </c>
      <c r="AP157" s="8"/>
      <c r="AQ157" s="8"/>
      <c r="AR157" s="8"/>
      <c r="AS157" s="8"/>
      <c r="AT157" s="8"/>
      <c r="AU157" s="8"/>
      <c r="AV157" s="8"/>
      <c r="AW157" s="8"/>
      <c r="AX157" s="8"/>
      <c r="AY157" s="8"/>
    </row>
    <row r="158" spans="1:51" ht="13.2" x14ac:dyDescent="0.25">
      <c r="A158" s="12" t="str">
        <f ca="1">IFERROR(__xludf.DUMMYFUNCTION("""COMPUTED_VALUE"""),"               left Pons, motor related")</f>
        <v xml:space="preserve">               left Pons, motor related</v>
      </c>
      <c r="B158" s="12">
        <f ca="1">IFERROR(__xludf.DUMMYFUNCTION("""COMPUTED_VALUE"""),6345)</f>
        <v>6345</v>
      </c>
      <c r="C158" s="12">
        <f ca="1">IFERROR(__xludf.DUMMYFUNCTION("""COMPUTED_VALUE"""),9468)</f>
        <v>9468</v>
      </c>
      <c r="D158" s="12">
        <f ca="1">IFERROR(__xludf.DUMMYFUNCTION("""COMPUTED_VALUE"""),5555)</f>
        <v>5555</v>
      </c>
      <c r="E158" s="12">
        <f ca="1">IFERROR(__xludf.DUMMYFUNCTION("""COMPUTED_VALUE"""),13671)</f>
        <v>13671</v>
      </c>
      <c r="F158" s="12">
        <f ca="1">IFERROR(__xludf.DUMMYFUNCTION("""COMPUTED_VALUE"""),7947)</f>
        <v>7947</v>
      </c>
      <c r="G158" s="12">
        <f ca="1">IFERROR(__xludf.DUMMYFUNCTION("""COMPUTED_VALUE"""),2747)</f>
        <v>2747</v>
      </c>
      <c r="H158" s="12">
        <f ca="1">IFERROR(__xludf.DUMMYFUNCTION("""COMPUTED_VALUE"""),5105)</f>
        <v>5105</v>
      </c>
      <c r="I158" s="12">
        <f ca="1">IFERROR(__xludf.DUMMYFUNCTION("""COMPUTED_VALUE"""),2165)</f>
        <v>2165</v>
      </c>
      <c r="J158" s="12">
        <f ca="1">IFERROR(__xludf.DUMMYFUNCTION("""COMPUTED_VALUE"""),3763)</f>
        <v>3763</v>
      </c>
      <c r="K158" s="12">
        <f ca="1">IFERROR(__xludf.DUMMYFUNCTION("""COMPUTED_VALUE"""),5414)</f>
        <v>5414</v>
      </c>
      <c r="L158" s="12">
        <f ca="1">IFERROR(__xludf.DUMMYFUNCTION("""COMPUTED_VALUE"""),7296)</f>
        <v>7296</v>
      </c>
      <c r="M158" s="12">
        <f ca="1">IFERROR(__xludf.DUMMYFUNCTION("""COMPUTED_VALUE"""),9619)</f>
        <v>9619</v>
      </c>
      <c r="N158" s="12">
        <f ca="1">IFERROR(__xludf.DUMMYFUNCTION("""COMPUTED_VALUE"""),11082)</f>
        <v>11082</v>
      </c>
      <c r="O158" s="12">
        <f ca="1">IFERROR(__xludf.DUMMYFUNCTION("""COMPUTED_VALUE"""),10765)</f>
        <v>10765</v>
      </c>
      <c r="P158" s="12">
        <f ca="1">IFERROR(__xludf.DUMMYFUNCTION("""COMPUTED_VALUE"""),4918)</f>
        <v>4918</v>
      </c>
      <c r="Q158" s="12">
        <f ca="1">IFERROR(__xludf.DUMMYFUNCTION("""COMPUTED_VALUE"""),4424)</f>
        <v>4424</v>
      </c>
      <c r="R158" s="12">
        <f ca="1">IFERROR(__xludf.DUMMYFUNCTION("""COMPUTED_VALUE"""),4099)</f>
        <v>4099</v>
      </c>
      <c r="S158" s="12">
        <f ca="1">IFERROR(__xludf.DUMMYFUNCTION("""COMPUTED_VALUE"""),2526)</f>
        <v>2526</v>
      </c>
      <c r="T158" s="12">
        <f ca="1">IFERROR(__xludf.DUMMYFUNCTION("""COMPUTED_VALUE"""),4458)</f>
        <v>4458</v>
      </c>
      <c r="U158" s="12">
        <f ca="1">IFERROR(__xludf.DUMMYFUNCTION("""COMPUTED_VALUE"""),3663)</f>
        <v>3663</v>
      </c>
      <c r="V158" s="12">
        <f ca="1">IFERROR(__xludf.DUMMYFUNCTION("""COMPUTED_VALUE"""),4421)</f>
        <v>4421</v>
      </c>
      <c r="W158" s="12">
        <f ca="1">IFERROR(__xludf.DUMMYFUNCTION("""COMPUTED_VALUE"""),7828)</f>
        <v>7828</v>
      </c>
      <c r="X158" s="12">
        <f ca="1">IFERROR(__xludf.DUMMYFUNCTION("""COMPUTED_VALUE"""),24833)</f>
        <v>24833</v>
      </c>
      <c r="Y158" s="12">
        <f ca="1">IFERROR(__xludf.DUMMYFUNCTION("""COMPUTED_VALUE"""),5270)</f>
        <v>5270</v>
      </c>
      <c r="Z158" s="12">
        <f ca="1">IFERROR(__xludf.DUMMYFUNCTION("""COMPUTED_VALUE"""),4393)</f>
        <v>4393</v>
      </c>
      <c r="AA158" s="12">
        <f ca="1">IFERROR(__xludf.DUMMYFUNCTION("""COMPUTED_VALUE"""),2927)</f>
        <v>2927</v>
      </c>
      <c r="AB158" s="12">
        <f ca="1">IFERROR(__xludf.DUMMYFUNCTION("""COMPUTED_VALUE"""),4885)</f>
        <v>4885</v>
      </c>
      <c r="AC158" s="12">
        <f ca="1">IFERROR(__xludf.DUMMYFUNCTION("""COMPUTED_VALUE"""),2447)</f>
        <v>2447</v>
      </c>
      <c r="AD158" s="12">
        <f ca="1">IFERROR(__xludf.DUMMYFUNCTION("""COMPUTED_VALUE"""),7935)</f>
        <v>7935</v>
      </c>
      <c r="AE158" s="12">
        <f ca="1">IFERROR(__xludf.DUMMYFUNCTION("""COMPUTED_VALUE"""),16008)</f>
        <v>16008</v>
      </c>
      <c r="AF158" s="8">
        <f ca="1">IFERROR(__xludf.DUMMYFUNCTION("""COMPUTED_VALUE"""),10968)</f>
        <v>10968</v>
      </c>
      <c r="AG158" s="8">
        <f ca="1">IFERROR(__xludf.DUMMYFUNCTION("""COMPUTED_VALUE"""),3071)</f>
        <v>3071</v>
      </c>
      <c r="AH158" s="8">
        <f ca="1">IFERROR(__xludf.DUMMYFUNCTION("""COMPUTED_VALUE"""),5650)</f>
        <v>5650</v>
      </c>
      <c r="AI158" s="8">
        <f ca="1">IFERROR(__xludf.DUMMYFUNCTION("""COMPUTED_VALUE"""),4506)</f>
        <v>4506</v>
      </c>
      <c r="AJ158" s="8">
        <f ca="1">IFERROR(__xludf.DUMMYFUNCTION("""COMPUTED_VALUE"""),2647)</f>
        <v>2647</v>
      </c>
      <c r="AK158" s="8">
        <f ca="1">IFERROR(__xludf.DUMMYFUNCTION("""COMPUTED_VALUE"""),781)</f>
        <v>781</v>
      </c>
      <c r="AL158" s="8">
        <f ca="1">IFERROR(__xludf.DUMMYFUNCTION("""COMPUTED_VALUE"""),3388)</f>
        <v>3388</v>
      </c>
      <c r="AM158" s="8">
        <f ca="1">IFERROR(__xludf.DUMMYFUNCTION("""COMPUTED_VALUE"""),7641)</f>
        <v>7641</v>
      </c>
      <c r="AN158" s="8">
        <f ca="1">IFERROR(__xludf.DUMMYFUNCTION("""COMPUTED_VALUE"""),5324)</f>
        <v>5324</v>
      </c>
      <c r="AO158" s="8">
        <f ca="1">IFERROR(__xludf.DUMMYFUNCTION("""COMPUTED_VALUE"""),1308)</f>
        <v>1308</v>
      </c>
      <c r="AP158" s="8"/>
      <c r="AQ158" s="8"/>
      <c r="AR158" s="8"/>
      <c r="AS158" s="8"/>
      <c r="AT158" s="8"/>
      <c r="AU158" s="8"/>
      <c r="AV158" s="8"/>
      <c r="AW158" s="8"/>
      <c r="AX158" s="8"/>
      <c r="AY158" s="8"/>
    </row>
    <row r="159" spans="1:51" ht="13.2" x14ac:dyDescent="0.25">
      <c r="A159" s="12" t="str">
        <f ca="1">IFERROR(__xludf.DUMMYFUNCTION("""COMPUTED_VALUE"""),"               left Pons, behavioral state related")</f>
        <v xml:space="preserve">               left Pons, behavioral state related</v>
      </c>
      <c r="B159" s="12">
        <f ca="1">IFERROR(__xludf.DUMMYFUNCTION("""COMPUTED_VALUE"""),2371)</f>
        <v>2371</v>
      </c>
      <c r="C159" s="12">
        <f ca="1">IFERROR(__xludf.DUMMYFUNCTION("""COMPUTED_VALUE"""),6224)</f>
        <v>6224</v>
      </c>
      <c r="D159" s="12">
        <f ca="1">IFERROR(__xludf.DUMMYFUNCTION("""COMPUTED_VALUE"""),4177)</f>
        <v>4177</v>
      </c>
      <c r="E159" s="12">
        <f ca="1">IFERROR(__xludf.DUMMYFUNCTION("""COMPUTED_VALUE"""),4910)</f>
        <v>4910</v>
      </c>
      <c r="F159" s="12">
        <f ca="1">IFERROR(__xludf.DUMMYFUNCTION("""COMPUTED_VALUE"""),6059)</f>
        <v>6059</v>
      </c>
      <c r="G159" s="12">
        <f ca="1">IFERROR(__xludf.DUMMYFUNCTION("""COMPUTED_VALUE"""),1816)</f>
        <v>1816</v>
      </c>
      <c r="H159" s="12">
        <f ca="1">IFERROR(__xludf.DUMMYFUNCTION("""COMPUTED_VALUE"""),2322)</f>
        <v>2322</v>
      </c>
      <c r="I159" s="12">
        <f ca="1">IFERROR(__xludf.DUMMYFUNCTION("""COMPUTED_VALUE"""),1738)</f>
        <v>1738</v>
      </c>
      <c r="J159" s="12">
        <f ca="1">IFERROR(__xludf.DUMMYFUNCTION("""COMPUTED_VALUE"""),1623)</f>
        <v>1623</v>
      </c>
      <c r="K159" s="12">
        <f ca="1">IFERROR(__xludf.DUMMYFUNCTION("""COMPUTED_VALUE"""),3134)</f>
        <v>3134</v>
      </c>
      <c r="L159" s="12">
        <f ca="1">IFERROR(__xludf.DUMMYFUNCTION("""COMPUTED_VALUE"""),4362)</f>
        <v>4362</v>
      </c>
      <c r="M159" s="12">
        <f ca="1">IFERROR(__xludf.DUMMYFUNCTION("""COMPUTED_VALUE"""),3765)</f>
        <v>3765</v>
      </c>
      <c r="N159" s="12">
        <f ca="1">IFERROR(__xludf.DUMMYFUNCTION("""COMPUTED_VALUE"""),9321)</f>
        <v>9321</v>
      </c>
      <c r="O159" s="12">
        <f ca="1">IFERROR(__xludf.DUMMYFUNCTION("""COMPUTED_VALUE"""),4948)</f>
        <v>4948</v>
      </c>
      <c r="P159" s="12">
        <f ca="1">IFERROR(__xludf.DUMMYFUNCTION("""COMPUTED_VALUE"""),1257)</f>
        <v>1257</v>
      </c>
      <c r="Q159" s="12">
        <f ca="1">IFERROR(__xludf.DUMMYFUNCTION("""COMPUTED_VALUE"""),3562)</f>
        <v>3562</v>
      </c>
      <c r="R159" s="12">
        <f ca="1">IFERROR(__xludf.DUMMYFUNCTION("""COMPUTED_VALUE"""),1406)</f>
        <v>1406</v>
      </c>
      <c r="S159" s="12">
        <f ca="1">IFERROR(__xludf.DUMMYFUNCTION("""COMPUTED_VALUE"""),1222)</f>
        <v>1222</v>
      </c>
      <c r="T159" s="12">
        <f ca="1">IFERROR(__xludf.DUMMYFUNCTION("""COMPUTED_VALUE"""),2174)</f>
        <v>2174</v>
      </c>
      <c r="U159" s="12">
        <f ca="1">IFERROR(__xludf.DUMMYFUNCTION("""COMPUTED_VALUE"""),1772)</f>
        <v>1772</v>
      </c>
      <c r="V159" s="12">
        <f ca="1">IFERROR(__xludf.DUMMYFUNCTION("""COMPUTED_VALUE"""),2186)</f>
        <v>2186</v>
      </c>
      <c r="W159" s="12">
        <f ca="1">IFERROR(__xludf.DUMMYFUNCTION("""COMPUTED_VALUE"""),2921)</f>
        <v>2921</v>
      </c>
      <c r="X159" s="12">
        <f ca="1">IFERROR(__xludf.DUMMYFUNCTION("""COMPUTED_VALUE"""),10342)</f>
        <v>10342</v>
      </c>
      <c r="Y159" s="12">
        <f ca="1">IFERROR(__xludf.DUMMYFUNCTION("""COMPUTED_VALUE"""),3881)</f>
        <v>3881</v>
      </c>
      <c r="Z159" s="12">
        <f ca="1">IFERROR(__xludf.DUMMYFUNCTION("""COMPUTED_VALUE"""),1214)</f>
        <v>1214</v>
      </c>
      <c r="AA159" s="12">
        <f ca="1">IFERROR(__xludf.DUMMYFUNCTION("""COMPUTED_VALUE"""),1086)</f>
        <v>1086</v>
      </c>
      <c r="AB159" s="12">
        <f ca="1">IFERROR(__xludf.DUMMYFUNCTION("""COMPUTED_VALUE"""),1971)</f>
        <v>1971</v>
      </c>
      <c r="AC159" s="12">
        <f ca="1">IFERROR(__xludf.DUMMYFUNCTION("""COMPUTED_VALUE"""),1399)</f>
        <v>1399</v>
      </c>
      <c r="AD159" s="12">
        <f ca="1">IFERROR(__xludf.DUMMYFUNCTION("""COMPUTED_VALUE"""),2252)</f>
        <v>2252</v>
      </c>
      <c r="AE159" s="12">
        <f ca="1">IFERROR(__xludf.DUMMYFUNCTION("""COMPUTED_VALUE"""),7005)</f>
        <v>7005</v>
      </c>
      <c r="AF159" s="8">
        <f ca="1">IFERROR(__xludf.DUMMYFUNCTION("""COMPUTED_VALUE"""),7117)</f>
        <v>7117</v>
      </c>
      <c r="AG159" s="8">
        <f ca="1">IFERROR(__xludf.DUMMYFUNCTION("""COMPUTED_VALUE"""),1841)</f>
        <v>1841</v>
      </c>
      <c r="AH159" s="8">
        <f ca="1">IFERROR(__xludf.DUMMYFUNCTION("""COMPUTED_VALUE"""),2091)</f>
        <v>2091</v>
      </c>
      <c r="AI159" s="8">
        <f ca="1">IFERROR(__xludf.DUMMYFUNCTION("""COMPUTED_VALUE"""),3751)</f>
        <v>3751</v>
      </c>
      <c r="AJ159" s="8">
        <f ca="1">IFERROR(__xludf.DUMMYFUNCTION("""COMPUTED_VALUE"""),2085)</f>
        <v>2085</v>
      </c>
      <c r="AK159" s="8">
        <f ca="1">IFERROR(__xludf.DUMMYFUNCTION("""COMPUTED_VALUE"""),316)</f>
        <v>316</v>
      </c>
      <c r="AL159" s="8">
        <f ca="1">IFERROR(__xludf.DUMMYFUNCTION("""COMPUTED_VALUE"""),1659)</f>
        <v>1659</v>
      </c>
      <c r="AM159" s="8">
        <f ca="1">IFERROR(__xludf.DUMMYFUNCTION("""COMPUTED_VALUE"""),3169)</f>
        <v>3169</v>
      </c>
      <c r="AN159" s="8">
        <f ca="1">IFERROR(__xludf.DUMMYFUNCTION("""COMPUTED_VALUE"""),1832)</f>
        <v>1832</v>
      </c>
      <c r="AO159" s="8">
        <f ca="1">IFERROR(__xludf.DUMMYFUNCTION("""COMPUTED_VALUE"""),636)</f>
        <v>636</v>
      </c>
      <c r="AP159" s="8"/>
      <c r="AQ159" s="8"/>
      <c r="AR159" s="8"/>
      <c r="AS159" s="8"/>
      <c r="AT159" s="8"/>
      <c r="AU159" s="8"/>
      <c r="AV159" s="8"/>
      <c r="AW159" s="8"/>
      <c r="AX159" s="8"/>
      <c r="AY159" s="8"/>
    </row>
    <row r="160" spans="1:51" ht="13.2" x14ac:dyDescent="0.25">
      <c r="A160" s="12" t="str">
        <f ca="1">IFERROR(__xludf.DUMMYFUNCTION("""COMPUTED_VALUE"""),"            left Medulla")</f>
        <v xml:space="preserve">            left Medulla</v>
      </c>
      <c r="B160" s="12">
        <f ca="1">IFERROR(__xludf.DUMMYFUNCTION("""COMPUTED_VALUE"""),14585)</f>
        <v>14585</v>
      </c>
      <c r="C160" s="12">
        <f ca="1">IFERROR(__xludf.DUMMYFUNCTION("""COMPUTED_VALUE"""),22879)</f>
        <v>22879</v>
      </c>
      <c r="D160" s="12">
        <f ca="1">IFERROR(__xludf.DUMMYFUNCTION("""COMPUTED_VALUE"""),36603)</f>
        <v>36603</v>
      </c>
      <c r="E160" s="12">
        <f ca="1">IFERROR(__xludf.DUMMYFUNCTION("""COMPUTED_VALUE"""),26974)</f>
        <v>26974</v>
      </c>
      <c r="F160" s="12">
        <f ca="1">IFERROR(__xludf.DUMMYFUNCTION("""COMPUTED_VALUE"""),22767)</f>
        <v>22767</v>
      </c>
      <c r="G160" s="12">
        <f ca="1">IFERROR(__xludf.DUMMYFUNCTION("""COMPUTED_VALUE"""),11208)</f>
        <v>11208</v>
      </c>
      <c r="H160" s="12">
        <f ca="1">IFERROR(__xludf.DUMMYFUNCTION("""COMPUTED_VALUE"""),6204)</f>
        <v>6204</v>
      </c>
      <c r="I160" s="12">
        <f ca="1">IFERROR(__xludf.DUMMYFUNCTION("""COMPUTED_VALUE"""),12389)</f>
        <v>12389</v>
      </c>
      <c r="J160" s="12">
        <f ca="1">IFERROR(__xludf.DUMMYFUNCTION("""COMPUTED_VALUE"""),2999)</f>
        <v>2999</v>
      </c>
      <c r="K160" s="12">
        <f ca="1">IFERROR(__xludf.DUMMYFUNCTION("""COMPUTED_VALUE"""),10627)</f>
        <v>10627</v>
      </c>
      <c r="L160" s="12">
        <f ca="1">IFERROR(__xludf.DUMMYFUNCTION("""COMPUTED_VALUE"""),29527)</f>
        <v>29527</v>
      </c>
      <c r="M160" s="12">
        <f ca="1">IFERROR(__xludf.DUMMYFUNCTION("""COMPUTED_VALUE"""),29704)</f>
        <v>29704</v>
      </c>
      <c r="N160" s="12">
        <f ca="1">IFERROR(__xludf.DUMMYFUNCTION("""COMPUTED_VALUE"""),21883)</f>
        <v>21883</v>
      </c>
      <c r="O160" s="12">
        <f ca="1">IFERROR(__xludf.DUMMYFUNCTION("""COMPUTED_VALUE"""),18286)</f>
        <v>18286</v>
      </c>
      <c r="P160" s="12">
        <f ca="1">IFERROR(__xludf.DUMMYFUNCTION("""COMPUTED_VALUE"""),5282)</f>
        <v>5282</v>
      </c>
      <c r="Q160" s="12">
        <f ca="1">IFERROR(__xludf.DUMMYFUNCTION("""COMPUTED_VALUE"""),10991)</f>
        <v>10991</v>
      </c>
      <c r="R160" s="12">
        <f ca="1">IFERROR(__xludf.DUMMYFUNCTION("""COMPUTED_VALUE"""),5047)</f>
        <v>5047</v>
      </c>
      <c r="S160" s="12">
        <f ca="1">IFERROR(__xludf.DUMMYFUNCTION("""COMPUTED_VALUE"""),8848)</f>
        <v>8848</v>
      </c>
      <c r="T160" s="12">
        <f ca="1">IFERROR(__xludf.DUMMYFUNCTION("""COMPUTED_VALUE"""),15504)</f>
        <v>15504</v>
      </c>
      <c r="U160" s="12">
        <f ca="1">IFERROR(__xludf.DUMMYFUNCTION("""COMPUTED_VALUE"""),5832)</f>
        <v>5832</v>
      </c>
      <c r="V160" s="12">
        <f ca="1">IFERROR(__xludf.DUMMYFUNCTION("""COMPUTED_VALUE"""),14675)</f>
        <v>14675</v>
      </c>
      <c r="W160" s="12">
        <f ca="1">IFERROR(__xludf.DUMMYFUNCTION("""COMPUTED_VALUE"""),14247)</f>
        <v>14247</v>
      </c>
      <c r="X160" s="12">
        <f ca="1">IFERROR(__xludf.DUMMYFUNCTION("""COMPUTED_VALUE"""),69865)</f>
        <v>69865</v>
      </c>
      <c r="Y160" s="12">
        <f ca="1">IFERROR(__xludf.DUMMYFUNCTION("""COMPUTED_VALUE"""),13965)</f>
        <v>13965</v>
      </c>
      <c r="Z160" s="12">
        <f ca="1">IFERROR(__xludf.DUMMYFUNCTION("""COMPUTED_VALUE"""),6937)</f>
        <v>6937</v>
      </c>
      <c r="AA160" s="12">
        <f ca="1">IFERROR(__xludf.DUMMYFUNCTION("""COMPUTED_VALUE"""),13242)</f>
        <v>13242</v>
      </c>
      <c r="AB160" s="12">
        <f ca="1">IFERROR(__xludf.DUMMYFUNCTION("""COMPUTED_VALUE"""),27875)</f>
        <v>27875</v>
      </c>
      <c r="AC160" s="12">
        <f ca="1">IFERROR(__xludf.DUMMYFUNCTION("""COMPUTED_VALUE"""),8891)</f>
        <v>8891</v>
      </c>
      <c r="AD160" s="12">
        <f ca="1">IFERROR(__xludf.DUMMYFUNCTION("""COMPUTED_VALUE"""),16995)</f>
        <v>16995</v>
      </c>
      <c r="AE160" s="12">
        <f ca="1">IFERROR(__xludf.DUMMYFUNCTION("""COMPUTED_VALUE"""),26361)</f>
        <v>26361</v>
      </c>
      <c r="AF160" s="8">
        <f ca="1">IFERROR(__xludf.DUMMYFUNCTION("""COMPUTED_VALUE"""),20201)</f>
        <v>20201</v>
      </c>
      <c r="AG160" s="8">
        <f ca="1">IFERROR(__xludf.DUMMYFUNCTION("""COMPUTED_VALUE"""),9474)</f>
        <v>9474</v>
      </c>
      <c r="AH160" s="8">
        <f ca="1">IFERROR(__xludf.DUMMYFUNCTION("""COMPUTED_VALUE"""),7299)</f>
        <v>7299</v>
      </c>
      <c r="AI160" s="8">
        <f ca="1">IFERROR(__xludf.DUMMYFUNCTION("""COMPUTED_VALUE"""),16166)</f>
        <v>16166</v>
      </c>
      <c r="AJ160" s="8">
        <f ca="1">IFERROR(__xludf.DUMMYFUNCTION("""COMPUTED_VALUE"""),6689)</f>
        <v>6689</v>
      </c>
      <c r="AK160" s="8">
        <f ca="1">IFERROR(__xludf.DUMMYFUNCTION("""COMPUTED_VALUE"""),1696)</f>
        <v>1696</v>
      </c>
      <c r="AL160" s="8">
        <f ca="1">IFERROR(__xludf.DUMMYFUNCTION("""COMPUTED_VALUE"""),11217)</f>
        <v>11217</v>
      </c>
      <c r="AM160" s="8">
        <f ca="1">IFERROR(__xludf.DUMMYFUNCTION("""COMPUTED_VALUE"""),11002)</f>
        <v>11002</v>
      </c>
      <c r="AN160" s="8">
        <f ca="1">IFERROR(__xludf.DUMMYFUNCTION("""COMPUTED_VALUE"""),9277)</f>
        <v>9277</v>
      </c>
      <c r="AO160" s="8">
        <f ca="1">IFERROR(__xludf.DUMMYFUNCTION("""COMPUTED_VALUE"""),5510)</f>
        <v>5510</v>
      </c>
      <c r="AP160" s="8"/>
      <c r="AQ160" s="8"/>
      <c r="AR160" s="8"/>
      <c r="AS160" s="8"/>
      <c r="AT160" s="8"/>
      <c r="AU160" s="8"/>
      <c r="AV160" s="8"/>
      <c r="AW160" s="8"/>
      <c r="AX160" s="8"/>
      <c r="AY160" s="8"/>
    </row>
    <row r="161" spans="1:51" ht="13.2" x14ac:dyDescent="0.25">
      <c r="A161" s="12" t="str">
        <f ca="1">IFERROR(__xludf.DUMMYFUNCTION("""COMPUTED_VALUE"""),"               left Medulla, sensory related")</f>
        <v xml:space="preserve">               left Medulla, sensory related</v>
      </c>
      <c r="B161" s="12">
        <f ca="1">IFERROR(__xludf.DUMMYFUNCTION("""COMPUTED_VALUE"""),3632)</f>
        <v>3632</v>
      </c>
      <c r="C161" s="12">
        <f ca="1">IFERROR(__xludf.DUMMYFUNCTION("""COMPUTED_VALUE"""),5955)</f>
        <v>5955</v>
      </c>
      <c r="D161" s="12">
        <f ca="1">IFERROR(__xludf.DUMMYFUNCTION("""COMPUTED_VALUE"""),10680)</f>
        <v>10680</v>
      </c>
      <c r="E161" s="12">
        <f ca="1">IFERROR(__xludf.DUMMYFUNCTION("""COMPUTED_VALUE"""),7416)</f>
        <v>7416</v>
      </c>
      <c r="F161" s="12">
        <f ca="1">IFERROR(__xludf.DUMMYFUNCTION("""COMPUTED_VALUE"""),7182)</f>
        <v>7182</v>
      </c>
      <c r="G161" s="12">
        <f ca="1">IFERROR(__xludf.DUMMYFUNCTION("""COMPUTED_VALUE"""),4379)</f>
        <v>4379</v>
      </c>
      <c r="H161" s="12">
        <f ca="1">IFERROR(__xludf.DUMMYFUNCTION("""COMPUTED_VALUE"""),1817)</f>
        <v>1817</v>
      </c>
      <c r="I161" s="12">
        <f ca="1">IFERROR(__xludf.DUMMYFUNCTION("""COMPUTED_VALUE"""),4314)</f>
        <v>4314</v>
      </c>
      <c r="J161" s="12">
        <f ca="1">IFERROR(__xludf.DUMMYFUNCTION("""COMPUTED_VALUE"""),565)</f>
        <v>565</v>
      </c>
      <c r="K161" s="12">
        <f ca="1">IFERROR(__xludf.DUMMYFUNCTION("""COMPUTED_VALUE"""),3433)</f>
        <v>3433</v>
      </c>
      <c r="L161" s="12">
        <f ca="1">IFERROR(__xludf.DUMMYFUNCTION("""COMPUTED_VALUE"""),8287)</f>
        <v>8287</v>
      </c>
      <c r="M161" s="12">
        <f ca="1">IFERROR(__xludf.DUMMYFUNCTION("""COMPUTED_VALUE"""),10631)</f>
        <v>10631</v>
      </c>
      <c r="N161" s="12">
        <f ca="1">IFERROR(__xludf.DUMMYFUNCTION("""COMPUTED_VALUE"""),5601)</f>
        <v>5601</v>
      </c>
      <c r="O161" s="12">
        <f ca="1">IFERROR(__xludf.DUMMYFUNCTION("""COMPUTED_VALUE"""),6123)</f>
        <v>6123</v>
      </c>
      <c r="P161" s="12">
        <f ca="1">IFERROR(__xludf.DUMMYFUNCTION("""COMPUTED_VALUE"""),892)</f>
        <v>892</v>
      </c>
      <c r="Q161" s="12">
        <f ca="1">IFERROR(__xludf.DUMMYFUNCTION("""COMPUTED_VALUE"""),3928)</f>
        <v>3928</v>
      </c>
      <c r="R161" s="12">
        <f ca="1">IFERROR(__xludf.DUMMYFUNCTION("""COMPUTED_VALUE"""),828)</f>
        <v>828</v>
      </c>
      <c r="S161" s="12">
        <f ca="1">IFERROR(__xludf.DUMMYFUNCTION("""COMPUTED_VALUE"""),2413)</f>
        <v>2413</v>
      </c>
      <c r="T161" s="12">
        <f ca="1">IFERROR(__xludf.DUMMYFUNCTION("""COMPUTED_VALUE"""),4061)</f>
        <v>4061</v>
      </c>
      <c r="U161" s="12">
        <f ca="1">IFERROR(__xludf.DUMMYFUNCTION("""COMPUTED_VALUE"""),792)</f>
        <v>792</v>
      </c>
      <c r="V161" s="12">
        <f ca="1">IFERROR(__xludf.DUMMYFUNCTION("""COMPUTED_VALUE"""),997)</f>
        <v>997</v>
      </c>
      <c r="W161" s="12">
        <f ca="1">IFERROR(__xludf.DUMMYFUNCTION("""COMPUTED_VALUE"""),1416)</f>
        <v>1416</v>
      </c>
      <c r="X161" s="12">
        <f ca="1">IFERROR(__xludf.DUMMYFUNCTION("""COMPUTED_VALUE"""),25880)</f>
        <v>25880</v>
      </c>
      <c r="Y161" s="12">
        <f ca="1">IFERROR(__xludf.DUMMYFUNCTION("""COMPUTED_VALUE"""),1987)</f>
        <v>1987</v>
      </c>
      <c r="Z161" s="12">
        <f ca="1">IFERROR(__xludf.DUMMYFUNCTION("""COMPUTED_VALUE"""),1878)</f>
        <v>1878</v>
      </c>
      <c r="AA161" s="12">
        <f ca="1">IFERROR(__xludf.DUMMYFUNCTION("""COMPUTED_VALUE"""),2500)</f>
        <v>2500</v>
      </c>
      <c r="AB161" s="12">
        <f ca="1">IFERROR(__xludf.DUMMYFUNCTION("""COMPUTED_VALUE"""),8076)</f>
        <v>8076</v>
      </c>
      <c r="AC161" s="12">
        <f ca="1">IFERROR(__xludf.DUMMYFUNCTION("""COMPUTED_VALUE"""),2583)</f>
        <v>2583</v>
      </c>
      <c r="AD161" s="12">
        <f ca="1">IFERROR(__xludf.DUMMYFUNCTION("""COMPUTED_VALUE"""),1941)</f>
        <v>1941</v>
      </c>
      <c r="AE161" s="12">
        <f ca="1">IFERROR(__xludf.DUMMYFUNCTION("""COMPUTED_VALUE"""),3661)</f>
        <v>3661</v>
      </c>
      <c r="AF161" s="8">
        <f ca="1">IFERROR(__xludf.DUMMYFUNCTION("""COMPUTED_VALUE"""),6651)</f>
        <v>6651</v>
      </c>
      <c r="AG161" s="8">
        <f ca="1">IFERROR(__xludf.DUMMYFUNCTION("""COMPUTED_VALUE"""),743)</f>
        <v>743</v>
      </c>
      <c r="AH161" s="8">
        <f ca="1">IFERROR(__xludf.DUMMYFUNCTION("""COMPUTED_VALUE"""),485)</f>
        <v>485</v>
      </c>
      <c r="AI161" s="8">
        <f ca="1">IFERROR(__xludf.DUMMYFUNCTION("""COMPUTED_VALUE"""),1680)</f>
        <v>1680</v>
      </c>
      <c r="AJ161" s="8">
        <f ca="1">IFERROR(__xludf.DUMMYFUNCTION("""COMPUTED_VALUE"""),1160)</f>
        <v>1160</v>
      </c>
      <c r="AK161" s="8">
        <f ca="1">IFERROR(__xludf.DUMMYFUNCTION("""COMPUTED_VALUE"""),274)</f>
        <v>274</v>
      </c>
      <c r="AL161" s="8">
        <f ca="1">IFERROR(__xludf.DUMMYFUNCTION("""COMPUTED_VALUE"""),1842)</f>
        <v>1842</v>
      </c>
      <c r="AM161" s="8">
        <f ca="1">IFERROR(__xludf.DUMMYFUNCTION("""COMPUTED_VALUE"""),2267)</f>
        <v>2267</v>
      </c>
      <c r="AN161" s="8">
        <f ca="1">IFERROR(__xludf.DUMMYFUNCTION("""COMPUTED_VALUE"""),1691)</f>
        <v>1691</v>
      </c>
      <c r="AO161" s="8">
        <f ca="1">IFERROR(__xludf.DUMMYFUNCTION("""COMPUTED_VALUE"""),988)</f>
        <v>988</v>
      </c>
      <c r="AP161" s="8"/>
      <c r="AQ161" s="8"/>
      <c r="AR161" s="8"/>
      <c r="AS161" s="8"/>
      <c r="AT161" s="8"/>
      <c r="AU161" s="8"/>
      <c r="AV161" s="8"/>
      <c r="AW161" s="8"/>
      <c r="AX161" s="8"/>
      <c r="AY161" s="8"/>
    </row>
    <row r="162" spans="1:51" ht="13.2" x14ac:dyDescent="0.25">
      <c r="A162" s="12" t="str">
        <f ca="1">IFERROR(__xludf.DUMMYFUNCTION("""COMPUTED_VALUE"""),"               left Medulla, motor related")</f>
        <v xml:space="preserve">               left Medulla, motor related</v>
      </c>
      <c r="B162" s="12">
        <f ca="1">IFERROR(__xludf.DUMMYFUNCTION("""COMPUTED_VALUE"""),9046)</f>
        <v>9046</v>
      </c>
      <c r="C162" s="12">
        <f ca="1">IFERROR(__xludf.DUMMYFUNCTION("""COMPUTED_VALUE"""),14911)</f>
        <v>14911</v>
      </c>
      <c r="D162" s="12">
        <f ca="1">IFERROR(__xludf.DUMMYFUNCTION("""COMPUTED_VALUE"""),20990)</f>
        <v>20990</v>
      </c>
      <c r="E162" s="12">
        <f ca="1">IFERROR(__xludf.DUMMYFUNCTION("""COMPUTED_VALUE"""),17452)</f>
        <v>17452</v>
      </c>
      <c r="F162" s="12">
        <f ca="1">IFERROR(__xludf.DUMMYFUNCTION("""COMPUTED_VALUE"""),13888)</f>
        <v>13888</v>
      </c>
      <c r="G162" s="12">
        <f ca="1">IFERROR(__xludf.DUMMYFUNCTION("""COMPUTED_VALUE"""),5982)</f>
        <v>5982</v>
      </c>
      <c r="H162" s="12">
        <f ca="1">IFERROR(__xludf.DUMMYFUNCTION("""COMPUTED_VALUE"""),3947)</f>
        <v>3947</v>
      </c>
      <c r="I162" s="12">
        <f ca="1">IFERROR(__xludf.DUMMYFUNCTION("""COMPUTED_VALUE"""),7172)</f>
        <v>7172</v>
      </c>
      <c r="J162" s="12">
        <f ca="1">IFERROR(__xludf.DUMMYFUNCTION("""COMPUTED_VALUE"""),2047)</f>
        <v>2047</v>
      </c>
      <c r="K162" s="12">
        <f ca="1">IFERROR(__xludf.DUMMYFUNCTION("""COMPUTED_VALUE"""),6476)</f>
        <v>6476</v>
      </c>
      <c r="L162" s="12">
        <f ca="1">IFERROR(__xludf.DUMMYFUNCTION("""COMPUTED_VALUE"""),18399)</f>
        <v>18399</v>
      </c>
      <c r="M162" s="12">
        <f ca="1">IFERROR(__xludf.DUMMYFUNCTION("""COMPUTED_VALUE"""),16261)</f>
        <v>16261</v>
      </c>
      <c r="N162" s="12">
        <f ca="1">IFERROR(__xludf.DUMMYFUNCTION("""COMPUTED_VALUE"""),13223)</f>
        <v>13223</v>
      </c>
      <c r="O162" s="12">
        <f ca="1">IFERROR(__xludf.DUMMYFUNCTION("""COMPUTED_VALUE"""),10152)</f>
        <v>10152</v>
      </c>
      <c r="P162" s="12">
        <f ca="1">IFERROR(__xludf.DUMMYFUNCTION("""COMPUTED_VALUE"""),3739)</f>
        <v>3739</v>
      </c>
      <c r="Q162" s="12">
        <f ca="1">IFERROR(__xludf.DUMMYFUNCTION("""COMPUTED_VALUE"""),5999)</f>
        <v>5999</v>
      </c>
      <c r="R162" s="12">
        <f ca="1">IFERROR(__xludf.DUMMYFUNCTION("""COMPUTED_VALUE"""),3347)</f>
        <v>3347</v>
      </c>
      <c r="S162" s="12">
        <f ca="1">IFERROR(__xludf.DUMMYFUNCTION("""COMPUTED_VALUE"""),5221)</f>
        <v>5221</v>
      </c>
      <c r="T162" s="12">
        <f ca="1">IFERROR(__xludf.DUMMYFUNCTION("""COMPUTED_VALUE"""),9672)</f>
        <v>9672</v>
      </c>
      <c r="U162" s="12">
        <f ca="1">IFERROR(__xludf.DUMMYFUNCTION("""COMPUTED_VALUE"""),4140)</f>
        <v>4140</v>
      </c>
      <c r="V162" s="12">
        <f ca="1">IFERROR(__xludf.DUMMYFUNCTION("""COMPUTED_VALUE"""),11675)</f>
        <v>11675</v>
      </c>
      <c r="W162" s="12">
        <f ca="1">IFERROR(__xludf.DUMMYFUNCTION("""COMPUTED_VALUE"""),10262)</f>
        <v>10262</v>
      </c>
      <c r="X162" s="12">
        <f ca="1">IFERROR(__xludf.DUMMYFUNCTION("""COMPUTED_VALUE"""),31184)</f>
        <v>31184</v>
      </c>
      <c r="Y162" s="12">
        <f ca="1">IFERROR(__xludf.DUMMYFUNCTION("""COMPUTED_VALUE"""),9514)</f>
        <v>9514</v>
      </c>
      <c r="Z162" s="12">
        <f ca="1">IFERROR(__xludf.DUMMYFUNCTION("""COMPUTED_VALUE"""),3668)</f>
        <v>3668</v>
      </c>
      <c r="AA162" s="12">
        <f ca="1">IFERROR(__xludf.DUMMYFUNCTION("""COMPUTED_VALUE"""),9032)</f>
        <v>9032</v>
      </c>
      <c r="AB162" s="12">
        <f ca="1">IFERROR(__xludf.DUMMYFUNCTION("""COMPUTED_VALUE"""),16526)</f>
        <v>16526</v>
      </c>
      <c r="AC162" s="12">
        <f ca="1">IFERROR(__xludf.DUMMYFUNCTION("""COMPUTED_VALUE"""),5140)</f>
        <v>5140</v>
      </c>
      <c r="AD162" s="12">
        <f ca="1">IFERROR(__xludf.DUMMYFUNCTION("""COMPUTED_VALUE"""),12443)</f>
        <v>12443</v>
      </c>
      <c r="AE162" s="12">
        <f ca="1">IFERROR(__xludf.DUMMYFUNCTION("""COMPUTED_VALUE"""),18174)</f>
        <v>18174</v>
      </c>
      <c r="AF162" s="8">
        <f ca="1">IFERROR(__xludf.DUMMYFUNCTION("""COMPUTED_VALUE"""),11139)</f>
        <v>11139</v>
      </c>
      <c r="AG162" s="8">
        <f ca="1">IFERROR(__xludf.DUMMYFUNCTION("""COMPUTED_VALUE"""),7264)</f>
        <v>7264</v>
      </c>
      <c r="AH162" s="8">
        <f ca="1">IFERROR(__xludf.DUMMYFUNCTION("""COMPUTED_VALUE"""),6120)</f>
        <v>6120</v>
      </c>
      <c r="AI162" s="8">
        <f ca="1">IFERROR(__xludf.DUMMYFUNCTION("""COMPUTED_VALUE"""),11113)</f>
        <v>11113</v>
      </c>
      <c r="AJ162" s="8">
        <f ca="1">IFERROR(__xludf.DUMMYFUNCTION("""COMPUTED_VALUE"""),4245)</f>
        <v>4245</v>
      </c>
      <c r="AK162" s="8">
        <f ca="1">IFERROR(__xludf.DUMMYFUNCTION("""COMPUTED_VALUE"""),1096)</f>
        <v>1096</v>
      </c>
      <c r="AL162" s="8">
        <f ca="1">IFERROR(__xludf.DUMMYFUNCTION("""COMPUTED_VALUE"""),8024)</f>
        <v>8024</v>
      </c>
      <c r="AM162" s="8">
        <f ca="1">IFERROR(__xludf.DUMMYFUNCTION("""COMPUTED_VALUE"""),6975)</f>
        <v>6975</v>
      </c>
      <c r="AN162" s="8">
        <f ca="1">IFERROR(__xludf.DUMMYFUNCTION("""COMPUTED_VALUE"""),6308)</f>
        <v>6308</v>
      </c>
      <c r="AO162" s="8">
        <f ca="1">IFERROR(__xludf.DUMMYFUNCTION("""COMPUTED_VALUE"""),3827)</f>
        <v>3827</v>
      </c>
      <c r="AP162" s="8"/>
      <c r="AQ162" s="8"/>
      <c r="AR162" s="8"/>
      <c r="AS162" s="8"/>
      <c r="AT162" s="8"/>
      <c r="AU162" s="8"/>
      <c r="AV162" s="8"/>
      <c r="AW162" s="8"/>
      <c r="AX162" s="8"/>
      <c r="AY162" s="8"/>
    </row>
    <row r="163" spans="1:51" ht="13.2" x14ac:dyDescent="0.25">
      <c r="A163" s="12" t="str">
        <f ca="1">IFERROR(__xludf.DUMMYFUNCTION("""COMPUTED_VALUE"""),"      left Cerebellum")</f>
        <v xml:space="preserve">      left Cerebellum</v>
      </c>
      <c r="B163" s="12">
        <f ca="1">IFERROR(__xludf.DUMMYFUNCTION("""COMPUTED_VALUE"""),7767)</f>
        <v>7767</v>
      </c>
      <c r="C163" s="12">
        <f ca="1">IFERROR(__xludf.DUMMYFUNCTION("""COMPUTED_VALUE"""),9118)</f>
        <v>9118</v>
      </c>
      <c r="D163" s="12">
        <f ca="1">IFERROR(__xludf.DUMMYFUNCTION("""COMPUTED_VALUE"""),37040)</f>
        <v>37040</v>
      </c>
      <c r="E163" s="12">
        <f ca="1">IFERROR(__xludf.DUMMYFUNCTION("""COMPUTED_VALUE"""),31205)</f>
        <v>31205</v>
      </c>
      <c r="F163" s="12">
        <f ca="1">IFERROR(__xludf.DUMMYFUNCTION("""COMPUTED_VALUE"""),7977)</f>
        <v>7977</v>
      </c>
      <c r="G163" s="12">
        <f ca="1">IFERROR(__xludf.DUMMYFUNCTION("""COMPUTED_VALUE"""),5490)</f>
        <v>5490</v>
      </c>
      <c r="H163" s="12">
        <f ca="1">IFERROR(__xludf.DUMMYFUNCTION("""COMPUTED_VALUE"""),2464)</f>
        <v>2464</v>
      </c>
      <c r="I163" s="12">
        <f ca="1">IFERROR(__xludf.DUMMYFUNCTION("""COMPUTED_VALUE"""),3984)</f>
        <v>3984</v>
      </c>
      <c r="J163" s="12">
        <f ca="1">IFERROR(__xludf.DUMMYFUNCTION("""COMPUTED_VALUE"""),6435)</f>
        <v>6435</v>
      </c>
      <c r="K163" s="12">
        <f ca="1">IFERROR(__xludf.DUMMYFUNCTION("""COMPUTED_VALUE"""),4073)</f>
        <v>4073</v>
      </c>
      <c r="L163" s="12">
        <f ca="1">IFERROR(__xludf.DUMMYFUNCTION("""COMPUTED_VALUE"""),14709)</f>
        <v>14709</v>
      </c>
      <c r="M163" s="12">
        <f ca="1">IFERROR(__xludf.DUMMYFUNCTION("""COMPUTED_VALUE"""),38842)</f>
        <v>38842</v>
      </c>
      <c r="N163" s="12">
        <f ca="1">IFERROR(__xludf.DUMMYFUNCTION("""COMPUTED_VALUE"""),46498)</f>
        <v>46498</v>
      </c>
      <c r="O163" s="12">
        <f ca="1">IFERROR(__xludf.DUMMYFUNCTION("""COMPUTED_VALUE"""),14909)</f>
        <v>14909</v>
      </c>
      <c r="P163" s="12">
        <f ca="1">IFERROR(__xludf.DUMMYFUNCTION("""COMPUTED_VALUE"""),3983)</f>
        <v>3983</v>
      </c>
      <c r="Q163" s="12">
        <f ca="1">IFERROR(__xludf.DUMMYFUNCTION("""COMPUTED_VALUE"""),8205)</f>
        <v>8205</v>
      </c>
      <c r="R163" s="12">
        <f ca="1">IFERROR(__xludf.DUMMYFUNCTION("""COMPUTED_VALUE"""),5039)</f>
        <v>5039</v>
      </c>
      <c r="S163" s="12">
        <f ca="1">IFERROR(__xludf.DUMMYFUNCTION("""COMPUTED_VALUE"""),5341)</f>
        <v>5341</v>
      </c>
      <c r="T163" s="12">
        <f ca="1">IFERROR(__xludf.DUMMYFUNCTION("""COMPUTED_VALUE"""),18381)</f>
        <v>18381</v>
      </c>
      <c r="U163" s="12">
        <f ca="1">IFERROR(__xludf.DUMMYFUNCTION("""COMPUTED_VALUE"""),8755)</f>
        <v>8755</v>
      </c>
      <c r="V163" s="12">
        <f ca="1">IFERROR(__xludf.DUMMYFUNCTION("""COMPUTED_VALUE"""),13156)</f>
        <v>13156</v>
      </c>
      <c r="W163" s="12">
        <f ca="1">IFERROR(__xludf.DUMMYFUNCTION("""COMPUTED_VALUE"""),7964)</f>
        <v>7964</v>
      </c>
      <c r="X163" s="12">
        <f ca="1">IFERROR(__xludf.DUMMYFUNCTION("""COMPUTED_VALUE"""),76069)</f>
        <v>76069</v>
      </c>
      <c r="Y163" s="12">
        <f ca="1">IFERROR(__xludf.DUMMYFUNCTION("""COMPUTED_VALUE"""),23117)</f>
        <v>23117</v>
      </c>
      <c r="Z163" s="12">
        <f ca="1">IFERROR(__xludf.DUMMYFUNCTION("""COMPUTED_VALUE"""),8805)</f>
        <v>8805</v>
      </c>
      <c r="AA163" s="12">
        <f ca="1">IFERROR(__xludf.DUMMYFUNCTION("""COMPUTED_VALUE"""),12939)</f>
        <v>12939</v>
      </c>
      <c r="AB163" s="12">
        <f ca="1">IFERROR(__xludf.DUMMYFUNCTION("""COMPUTED_VALUE"""),19571)</f>
        <v>19571</v>
      </c>
      <c r="AC163" s="12">
        <f ca="1">IFERROR(__xludf.DUMMYFUNCTION("""COMPUTED_VALUE"""),4396)</f>
        <v>4396</v>
      </c>
      <c r="AD163" s="12">
        <f ca="1">IFERROR(__xludf.DUMMYFUNCTION("""COMPUTED_VALUE"""),4396)</f>
        <v>4396</v>
      </c>
      <c r="AE163" s="12">
        <f ca="1">IFERROR(__xludf.DUMMYFUNCTION("""COMPUTED_VALUE"""),6965)</f>
        <v>6965</v>
      </c>
      <c r="AF163" s="8">
        <f ca="1">IFERROR(__xludf.DUMMYFUNCTION("""COMPUTED_VALUE"""),24775)</f>
        <v>24775</v>
      </c>
      <c r="AG163" s="8">
        <f ca="1">IFERROR(__xludf.DUMMYFUNCTION("""COMPUTED_VALUE"""),4921)</f>
        <v>4921</v>
      </c>
      <c r="AH163" s="8">
        <f ca="1">IFERROR(__xludf.DUMMYFUNCTION("""COMPUTED_VALUE"""),10877)</f>
        <v>10877</v>
      </c>
      <c r="AI163" s="8">
        <f ca="1">IFERROR(__xludf.DUMMYFUNCTION("""COMPUTED_VALUE"""),16109)</f>
        <v>16109</v>
      </c>
      <c r="AJ163" s="8">
        <f ca="1">IFERROR(__xludf.DUMMYFUNCTION("""COMPUTED_VALUE"""),6133)</f>
        <v>6133</v>
      </c>
      <c r="AK163" s="8">
        <f ca="1">IFERROR(__xludf.DUMMYFUNCTION("""COMPUTED_VALUE"""),2393)</f>
        <v>2393</v>
      </c>
      <c r="AL163" s="8">
        <f ca="1">IFERROR(__xludf.DUMMYFUNCTION("""COMPUTED_VALUE"""),3974)</f>
        <v>3974</v>
      </c>
      <c r="AM163" s="8">
        <f ca="1">IFERROR(__xludf.DUMMYFUNCTION("""COMPUTED_VALUE"""),6106)</f>
        <v>6106</v>
      </c>
      <c r="AN163" s="8">
        <f ca="1">IFERROR(__xludf.DUMMYFUNCTION("""COMPUTED_VALUE"""),7121)</f>
        <v>7121</v>
      </c>
      <c r="AO163" s="8">
        <f ca="1">IFERROR(__xludf.DUMMYFUNCTION("""COMPUTED_VALUE"""),5181)</f>
        <v>5181</v>
      </c>
      <c r="AP163" s="8"/>
      <c r="AQ163" s="8"/>
      <c r="AR163" s="8"/>
      <c r="AS163" s="8"/>
      <c r="AT163" s="8"/>
      <c r="AU163" s="8"/>
      <c r="AV163" s="8"/>
      <c r="AW163" s="8"/>
      <c r="AX163" s="8"/>
      <c r="AY163" s="8"/>
    </row>
    <row r="164" spans="1:51" ht="13.2" x14ac:dyDescent="0.25">
      <c r="A164" s="12" t="str">
        <f ca="1">IFERROR(__xludf.DUMMYFUNCTION("""COMPUTED_VALUE"""),"         left Cerebellar cortex")</f>
        <v xml:space="preserve">         left Cerebellar cortex</v>
      </c>
      <c r="B164" s="12">
        <f ca="1">IFERROR(__xludf.DUMMYFUNCTION("""COMPUTED_VALUE"""),7619)</f>
        <v>7619</v>
      </c>
      <c r="C164" s="12">
        <f ca="1">IFERROR(__xludf.DUMMYFUNCTION("""COMPUTED_VALUE"""),8915)</f>
        <v>8915</v>
      </c>
      <c r="D164" s="12">
        <f ca="1">IFERROR(__xludf.DUMMYFUNCTION("""COMPUTED_VALUE"""),36174)</f>
        <v>36174</v>
      </c>
      <c r="E164" s="12">
        <f ca="1">IFERROR(__xludf.DUMMYFUNCTION("""COMPUTED_VALUE"""),31016)</f>
        <v>31016</v>
      </c>
      <c r="F164" s="12">
        <f ca="1">IFERROR(__xludf.DUMMYFUNCTION("""COMPUTED_VALUE"""),7492)</f>
        <v>7492</v>
      </c>
      <c r="G164" s="12">
        <f ca="1">IFERROR(__xludf.DUMMYFUNCTION("""COMPUTED_VALUE"""),5281)</f>
        <v>5281</v>
      </c>
      <c r="H164" s="12">
        <f ca="1">IFERROR(__xludf.DUMMYFUNCTION("""COMPUTED_VALUE"""),2359)</f>
        <v>2359</v>
      </c>
      <c r="I164" s="12">
        <f ca="1">IFERROR(__xludf.DUMMYFUNCTION("""COMPUTED_VALUE"""),3819)</f>
        <v>3819</v>
      </c>
      <c r="J164" s="12">
        <f ca="1">IFERROR(__xludf.DUMMYFUNCTION("""COMPUTED_VALUE"""),5984)</f>
        <v>5984</v>
      </c>
      <c r="K164" s="12">
        <f ca="1">IFERROR(__xludf.DUMMYFUNCTION("""COMPUTED_VALUE"""),3920)</f>
        <v>3920</v>
      </c>
      <c r="L164" s="12">
        <f ca="1">IFERROR(__xludf.DUMMYFUNCTION("""COMPUTED_VALUE"""),14192)</f>
        <v>14192</v>
      </c>
      <c r="M164" s="12">
        <f ca="1">IFERROR(__xludf.DUMMYFUNCTION("""COMPUTED_VALUE"""),38284)</f>
        <v>38284</v>
      </c>
      <c r="N164" s="12">
        <f ca="1">IFERROR(__xludf.DUMMYFUNCTION("""COMPUTED_VALUE"""),42586)</f>
        <v>42586</v>
      </c>
      <c r="O164" s="12">
        <f ca="1">IFERROR(__xludf.DUMMYFUNCTION("""COMPUTED_VALUE"""),14670)</f>
        <v>14670</v>
      </c>
      <c r="P164" s="12">
        <f ca="1">IFERROR(__xludf.DUMMYFUNCTION("""COMPUTED_VALUE"""),3846)</f>
        <v>3846</v>
      </c>
      <c r="Q164" s="12">
        <f ca="1">IFERROR(__xludf.DUMMYFUNCTION("""COMPUTED_VALUE"""),7886)</f>
        <v>7886</v>
      </c>
      <c r="R164" s="12">
        <f ca="1">IFERROR(__xludf.DUMMYFUNCTION("""COMPUTED_VALUE"""),4988)</f>
        <v>4988</v>
      </c>
      <c r="S164" s="12">
        <f ca="1">IFERROR(__xludf.DUMMYFUNCTION("""COMPUTED_VALUE"""),5246)</f>
        <v>5246</v>
      </c>
      <c r="T164" s="12">
        <f ca="1">IFERROR(__xludf.DUMMYFUNCTION("""COMPUTED_VALUE"""),17246)</f>
        <v>17246</v>
      </c>
      <c r="U164" s="12">
        <f ca="1">IFERROR(__xludf.DUMMYFUNCTION("""COMPUTED_VALUE"""),8626)</f>
        <v>8626</v>
      </c>
      <c r="V164" s="12">
        <f ca="1">IFERROR(__xludf.DUMMYFUNCTION("""COMPUTED_VALUE"""),13044)</f>
        <v>13044</v>
      </c>
      <c r="W164" s="12">
        <f ca="1">IFERROR(__xludf.DUMMYFUNCTION("""COMPUTED_VALUE"""),7557)</f>
        <v>7557</v>
      </c>
      <c r="X164" s="12">
        <f ca="1">IFERROR(__xludf.DUMMYFUNCTION("""COMPUTED_VALUE"""),73299)</f>
        <v>73299</v>
      </c>
      <c r="Y164" s="12">
        <f ca="1">IFERROR(__xludf.DUMMYFUNCTION("""COMPUTED_VALUE"""),22428)</f>
        <v>22428</v>
      </c>
      <c r="Z164" s="12">
        <f ca="1">IFERROR(__xludf.DUMMYFUNCTION("""COMPUTED_VALUE"""),8421)</f>
        <v>8421</v>
      </c>
      <c r="AA164" s="12">
        <f ca="1">IFERROR(__xludf.DUMMYFUNCTION("""COMPUTED_VALUE"""),11890)</f>
        <v>11890</v>
      </c>
      <c r="AB164" s="12">
        <f ca="1">IFERROR(__xludf.DUMMYFUNCTION("""COMPUTED_VALUE"""),17146)</f>
        <v>17146</v>
      </c>
      <c r="AC164" s="12">
        <f ca="1">IFERROR(__xludf.DUMMYFUNCTION("""COMPUTED_VALUE"""),4299)</f>
        <v>4299</v>
      </c>
      <c r="AD164" s="12">
        <f ca="1">IFERROR(__xludf.DUMMYFUNCTION("""COMPUTED_VALUE"""),4267)</f>
        <v>4267</v>
      </c>
      <c r="AE164" s="12">
        <f ca="1">IFERROR(__xludf.DUMMYFUNCTION("""COMPUTED_VALUE"""),6387)</f>
        <v>6387</v>
      </c>
      <c r="AF164" s="8">
        <f ca="1">IFERROR(__xludf.DUMMYFUNCTION("""COMPUTED_VALUE"""),24160)</f>
        <v>24160</v>
      </c>
      <c r="AG164" s="8">
        <f ca="1">IFERROR(__xludf.DUMMYFUNCTION("""COMPUTED_VALUE"""),4852)</f>
        <v>4852</v>
      </c>
      <c r="AH164" s="8">
        <f ca="1">IFERROR(__xludf.DUMMYFUNCTION("""COMPUTED_VALUE"""),10227)</f>
        <v>10227</v>
      </c>
      <c r="AI164" s="8">
        <f ca="1">IFERROR(__xludf.DUMMYFUNCTION("""COMPUTED_VALUE"""),15173)</f>
        <v>15173</v>
      </c>
      <c r="AJ164" s="8">
        <f ca="1">IFERROR(__xludf.DUMMYFUNCTION("""COMPUTED_VALUE"""),5953)</f>
        <v>5953</v>
      </c>
      <c r="AK164" s="8">
        <f ca="1">IFERROR(__xludf.DUMMYFUNCTION("""COMPUTED_VALUE"""),2325)</f>
        <v>2325</v>
      </c>
      <c r="AL164" s="8">
        <f ca="1">IFERROR(__xludf.DUMMYFUNCTION("""COMPUTED_VALUE"""),3702)</f>
        <v>3702</v>
      </c>
      <c r="AM164" s="8">
        <f ca="1">IFERROR(__xludf.DUMMYFUNCTION("""COMPUTED_VALUE"""),5769)</f>
        <v>5769</v>
      </c>
      <c r="AN164" s="8">
        <f ca="1">IFERROR(__xludf.DUMMYFUNCTION("""COMPUTED_VALUE"""),6535)</f>
        <v>6535</v>
      </c>
      <c r="AO164" s="8">
        <f ca="1">IFERROR(__xludf.DUMMYFUNCTION("""COMPUTED_VALUE"""),5046)</f>
        <v>5046</v>
      </c>
      <c r="AP164" s="8"/>
      <c r="AQ164" s="8"/>
      <c r="AR164" s="8"/>
      <c r="AS164" s="8"/>
      <c r="AT164" s="8"/>
      <c r="AU164" s="8"/>
      <c r="AV164" s="8"/>
      <c r="AW164" s="8"/>
      <c r="AX164" s="8"/>
      <c r="AY164" s="8"/>
    </row>
    <row r="165" spans="1:51" ht="13.2" x14ac:dyDescent="0.25">
      <c r="A165" s="12" t="str">
        <f ca="1">IFERROR(__xludf.DUMMYFUNCTION("""COMPUTED_VALUE"""),"            left Vermal regions")</f>
        <v xml:space="preserve">            left Vermal regions</v>
      </c>
      <c r="B165" s="12">
        <f ca="1">IFERROR(__xludf.DUMMYFUNCTION("""COMPUTED_VALUE"""),2882)</f>
        <v>2882</v>
      </c>
      <c r="C165" s="12">
        <f ca="1">IFERROR(__xludf.DUMMYFUNCTION("""COMPUTED_VALUE"""),7275)</f>
        <v>7275</v>
      </c>
      <c r="D165" s="12">
        <f ca="1">IFERROR(__xludf.DUMMYFUNCTION("""COMPUTED_VALUE"""),15909)</f>
        <v>15909</v>
      </c>
      <c r="E165" s="12">
        <f ca="1">IFERROR(__xludf.DUMMYFUNCTION("""COMPUTED_VALUE"""),11744)</f>
        <v>11744</v>
      </c>
      <c r="F165" s="12">
        <f ca="1">IFERROR(__xludf.DUMMYFUNCTION("""COMPUTED_VALUE"""),5761)</f>
        <v>5761</v>
      </c>
      <c r="G165" s="12">
        <f ca="1">IFERROR(__xludf.DUMMYFUNCTION("""COMPUTED_VALUE"""),3054)</f>
        <v>3054</v>
      </c>
      <c r="H165" s="12">
        <f ca="1">IFERROR(__xludf.DUMMYFUNCTION("""COMPUTED_VALUE"""),1058)</f>
        <v>1058</v>
      </c>
      <c r="I165" s="12">
        <f ca="1">IFERROR(__xludf.DUMMYFUNCTION("""COMPUTED_VALUE"""),2392)</f>
        <v>2392</v>
      </c>
      <c r="J165" s="12">
        <f ca="1">IFERROR(__xludf.DUMMYFUNCTION("""COMPUTED_VALUE"""),4417)</f>
        <v>4417</v>
      </c>
      <c r="K165" s="12">
        <f ca="1">IFERROR(__xludf.DUMMYFUNCTION("""COMPUTED_VALUE"""),2590)</f>
        <v>2590</v>
      </c>
      <c r="L165" s="12">
        <f ca="1">IFERROR(__xludf.DUMMYFUNCTION("""COMPUTED_VALUE"""),3702)</f>
        <v>3702</v>
      </c>
      <c r="M165" s="12">
        <f ca="1">IFERROR(__xludf.DUMMYFUNCTION("""COMPUTED_VALUE"""),21720)</f>
        <v>21720</v>
      </c>
      <c r="N165" s="12">
        <f ca="1">IFERROR(__xludf.DUMMYFUNCTION("""COMPUTED_VALUE"""),19173)</f>
        <v>19173</v>
      </c>
      <c r="O165" s="12">
        <f ca="1">IFERROR(__xludf.DUMMYFUNCTION("""COMPUTED_VALUE"""),5876)</f>
        <v>5876</v>
      </c>
      <c r="P165" s="12">
        <f ca="1">IFERROR(__xludf.DUMMYFUNCTION("""COMPUTED_VALUE"""),2447)</f>
        <v>2447</v>
      </c>
      <c r="Q165" s="12">
        <f ca="1">IFERROR(__xludf.DUMMYFUNCTION("""COMPUTED_VALUE"""),4764)</f>
        <v>4764</v>
      </c>
      <c r="R165" s="12">
        <f ca="1">IFERROR(__xludf.DUMMYFUNCTION("""COMPUTED_VALUE"""),2579)</f>
        <v>2579</v>
      </c>
      <c r="S165" s="12">
        <f ca="1">IFERROR(__xludf.DUMMYFUNCTION("""COMPUTED_VALUE"""),1452)</f>
        <v>1452</v>
      </c>
      <c r="T165" s="12">
        <f ca="1">IFERROR(__xludf.DUMMYFUNCTION("""COMPUTED_VALUE"""),13252)</f>
        <v>13252</v>
      </c>
      <c r="U165" s="12">
        <f ca="1">IFERROR(__xludf.DUMMYFUNCTION("""COMPUTED_VALUE"""),3450)</f>
        <v>3450</v>
      </c>
      <c r="V165" s="12">
        <f ca="1">IFERROR(__xludf.DUMMYFUNCTION("""COMPUTED_VALUE"""),4818)</f>
        <v>4818</v>
      </c>
      <c r="W165" s="12">
        <f ca="1">IFERROR(__xludf.DUMMYFUNCTION("""COMPUTED_VALUE"""),3902)</f>
        <v>3902</v>
      </c>
      <c r="X165" s="12">
        <f ca="1">IFERROR(__xludf.DUMMYFUNCTION("""COMPUTED_VALUE"""),35982)</f>
        <v>35982</v>
      </c>
      <c r="Y165" s="12">
        <f ca="1">IFERROR(__xludf.DUMMYFUNCTION("""COMPUTED_VALUE"""),17970)</f>
        <v>17970</v>
      </c>
      <c r="Z165" s="12">
        <f ca="1">IFERROR(__xludf.DUMMYFUNCTION("""COMPUTED_VALUE"""),5128)</f>
        <v>5128</v>
      </c>
      <c r="AA165" s="12">
        <f ca="1">IFERROR(__xludf.DUMMYFUNCTION("""COMPUTED_VALUE"""),7529)</f>
        <v>7529</v>
      </c>
      <c r="AB165" s="12">
        <f ca="1">IFERROR(__xludf.DUMMYFUNCTION("""COMPUTED_VALUE"""),14478)</f>
        <v>14478</v>
      </c>
      <c r="AC165" s="12">
        <f ca="1">IFERROR(__xludf.DUMMYFUNCTION("""COMPUTED_VALUE"""),1724)</f>
        <v>1724</v>
      </c>
      <c r="AD165" s="12">
        <f ca="1">IFERROR(__xludf.DUMMYFUNCTION("""COMPUTED_VALUE"""),1495)</f>
        <v>1495</v>
      </c>
      <c r="AE165" s="12">
        <f ca="1">IFERROR(__xludf.DUMMYFUNCTION("""COMPUTED_VALUE"""),1992)</f>
        <v>1992</v>
      </c>
      <c r="AF165" s="8">
        <f ca="1">IFERROR(__xludf.DUMMYFUNCTION("""COMPUTED_VALUE"""),11150)</f>
        <v>11150</v>
      </c>
      <c r="AG165" s="8">
        <f ca="1">IFERROR(__xludf.DUMMYFUNCTION("""COMPUTED_VALUE"""),2471)</f>
        <v>2471</v>
      </c>
      <c r="AH165" s="8">
        <f ca="1">IFERROR(__xludf.DUMMYFUNCTION("""COMPUTED_VALUE"""),7306)</f>
        <v>7306</v>
      </c>
      <c r="AI165" s="8">
        <f ca="1">IFERROR(__xludf.DUMMYFUNCTION("""COMPUTED_VALUE"""),9594)</f>
        <v>9594</v>
      </c>
      <c r="AJ165" s="8">
        <f ca="1">IFERROR(__xludf.DUMMYFUNCTION("""COMPUTED_VALUE"""),2422)</f>
        <v>2422</v>
      </c>
      <c r="AK165" s="8">
        <f ca="1">IFERROR(__xludf.DUMMYFUNCTION("""COMPUTED_VALUE"""),452)</f>
        <v>452</v>
      </c>
      <c r="AL165" s="8">
        <f ca="1">IFERROR(__xludf.DUMMYFUNCTION("""COMPUTED_VALUE"""),1567)</f>
        <v>1567</v>
      </c>
      <c r="AM165" s="8">
        <f ca="1">IFERROR(__xludf.DUMMYFUNCTION("""COMPUTED_VALUE"""),1653)</f>
        <v>1653</v>
      </c>
      <c r="AN165" s="8">
        <f ca="1">IFERROR(__xludf.DUMMYFUNCTION("""COMPUTED_VALUE"""),2728)</f>
        <v>2728</v>
      </c>
      <c r="AO165" s="8">
        <f ca="1">IFERROR(__xludf.DUMMYFUNCTION("""COMPUTED_VALUE"""),808)</f>
        <v>808</v>
      </c>
      <c r="AP165" s="8"/>
      <c r="AQ165" s="8"/>
      <c r="AR165" s="8"/>
      <c r="AS165" s="8"/>
      <c r="AT165" s="8"/>
      <c r="AU165" s="8"/>
      <c r="AV165" s="8"/>
      <c r="AW165" s="8"/>
      <c r="AX165" s="8"/>
      <c r="AY165" s="8"/>
    </row>
    <row r="166" spans="1:51" ht="13.2" x14ac:dyDescent="0.25">
      <c r="A166" s="12" t="str">
        <f ca="1">IFERROR(__xludf.DUMMYFUNCTION("""COMPUTED_VALUE"""),"            left Hemispheric regions")</f>
        <v xml:space="preserve">            left Hemispheric regions</v>
      </c>
      <c r="B166" s="12">
        <f ca="1">IFERROR(__xludf.DUMMYFUNCTION("""COMPUTED_VALUE"""),4737)</f>
        <v>4737</v>
      </c>
      <c r="C166" s="12">
        <f ca="1">IFERROR(__xludf.DUMMYFUNCTION("""COMPUTED_VALUE"""),1640)</f>
        <v>1640</v>
      </c>
      <c r="D166" s="12">
        <f ca="1">IFERROR(__xludf.DUMMYFUNCTION("""COMPUTED_VALUE"""),20265)</f>
        <v>20265</v>
      </c>
      <c r="E166" s="12">
        <f ca="1">IFERROR(__xludf.DUMMYFUNCTION("""COMPUTED_VALUE"""),19272)</f>
        <v>19272</v>
      </c>
      <c r="F166" s="12">
        <f ca="1">IFERROR(__xludf.DUMMYFUNCTION("""COMPUTED_VALUE"""),1731)</f>
        <v>1731</v>
      </c>
      <c r="G166" s="12">
        <f ca="1">IFERROR(__xludf.DUMMYFUNCTION("""COMPUTED_VALUE"""),2227)</f>
        <v>2227</v>
      </c>
      <c r="H166" s="12">
        <f ca="1">IFERROR(__xludf.DUMMYFUNCTION("""COMPUTED_VALUE"""),1301)</f>
        <v>1301</v>
      </c>
      <c r="I166" s="12">
        <f ca="1">IFERROR(__xludf.DUMMYFUNCTION("""COMPUTED_VALUE"""),1427)</f>
        <v>1427</v>
      </c>
      <c r="J166" s="12">
        <f ca="1">IFERROR(__xludf.DUMMYFUNCTION("""COMPUTED_VALUE"""),1567)</f>
        <v>1567</v>
      </c>
      <c r="K166" s="12">
        <f ca="1">IFERROR(__xludf.DUMMYFUNCTION("""COMPUTED_VALUE"""),1330)</f>
        <v>1330</v>
      </c>
      <c r="L166" s="12">
        <f ca="1">IFERROR(__xludf.DUMMYFUNCTION("""COMPUTED_VALUE"""),10490)</f>
        <v>10490</v>
      </c>
      <c r="M166" s="12">
        <f ca="1">IFERROR(__xludf.DUMMYFUNCTION("""COMPUTED_VALUE"""),16564)</f>
        <v>16564</v>
      </c>
      <c r="N166" s="12">
        <f ca="1">IFERROR(__xludf.DUMMYFUNCTION("""COMPUTED_VALUE"""),23413)</f>
        <v>23413</v>
      </c>
      <c r="O166" s="12">
        <f ca="1">IFERROR(__xludf.DUMMYFUNCTION("""COMPUTED_VALUE"""),8794)</f>
        <v>8794</v>
      </c>
      <c r="P166" s="12">
        <f ca="1">IFERROR(__xludf.DUMMYFUNCTION("""COMPUTED_VALUE"""),1399)</f>
        <v>1399</v>
      </c>
      <c r="Q166" s="12">
        <f ca="1">IFERROR(__xludf.DUMMYFUNCTION("""COMPUTED_VALUE"""),3122)</f>
        <v>3122</v>
      </c>
      <c r="R166" s="12">
        <f ca="1">IFERROR(__xludf.DUMMYFUNCTION("""COMPUTED_VALUE"""),2409)</f>
        <v>2409</v>
      </c>
      <c r="S166" s="12">
        <f ca="1">IFERROR(__xludf.DUMMYFUNCTION("""COMPUTED_VALUE"""),3794)</f>
        <v>3794</v>
      </c>
      <c r="T166" s="12">
        <f ca="1">IFERROR(__xludf.DUMMYFUNCTION("""COMPUTED_VALUE"""),3994)</f>
        <v>3994</v>
      </c>
      <c r="U166" s="12">
        <f ca="1">IFERROR(__xludf.DUMMYFUNCTION("""COMPUTED_VALUE"""),5176)</f>
        <v>5176</v>
      </c>
      <c r="V166" s="12">
        <f ca="1">IFERROR(__xludf.DUMMYFUNCTION("""COMPUTED_VALUE"""),8226)</f>
        <v>8226</v>
      </c>
      <c r="W166" s="12">
        <f ca="1">IFERROR(__xludf.DUMMYFUNCTION("""COMPUTED_VALUE"""),3655)</f>
        <v>3655</v>
      </c>
      <c r="X166" s="12">
        <f ca="1">IFERROR(__xludf.DUMMYFUNCTION("""COMPUTED_VALUE"""),37317)</f>
        <v>37317</v>
      </c>
      <c r="Y166" s="12">
        <f ca="1">IFERROR(__xludf.DUMMYFUNCTION("""COMPUTED_VALUE"""),4458)</f>
        <v>4458</v>
      </c>
      <c r="Z166" s="12">
        <f ca="1">IFERROR(__xludf.DUMMYFUNCTION("""COMPUTED_VALUE"""),3293)</f>
        <v>3293</v>
      </c>
      <c r="AA166" s="12">
        <f ca="1">IFERROR(__xludf.DUMMYFUNCTION("""COMPUTED_VALUE"""),4361)</f>
        <v>4361</v>
      </c>
      <c r="AB166" s="12">
        <f ca="1">IFERROR(__xludf.DUMMYFUNCTION("""COMPUTED_VALUE"""),2668)</f>
        <v>2668</v>
      </c>
      <c r="AC166" s="12">
        <f ca="1">IFERROR(__xludf.DUMMYFUNCTION("""COMPUTED_VALUE"""),2575)</f>
        <v>2575</v>
      </c>
      <c r="AD166" s="12">
        <f ca="1">IFERROR(__xludf.DUMMYFUNCTION("""COMPUTED_VALUE"""),2772)</f>
        <v>2772</v>
      </c>
      <c r="AE166" s="12">
        <f ca="1">IFERROR(__xludf.DUMMYFUNCTION("""COMPUTED_VALUE"""),4395)</f>
        <v>4395</v>
      </c>
      <c r="AF166" s="8">
        <f ca="1">IFERROR(__xludf.DUMMYFUNCTION("""COMPUTED_VALUE"""),13010)</f>
        <v>13010</v>
      </c>
      <c r="AG166" s="8">
        <f ca="1">IFERROR(__xludf.DUMMYFUNCTION("""COMPUTED_VALUE"""),2381)</f>
        <v>2381</v>
      </c>
      <c r="AH166" s="8">
        <f ca="1">IFERROR(__xludf.DUMMYFUNCTION("""COMPUTED_VALUE"""),2921)</f>
        <v>2921</v>
      </c>
      <c r="AI166" s="8">
        <f ca="1">IFERROR(__xludf.DUMMYFUNCTION("""COMPUTED_VALUE"""),5579)</f>
        <v>5579</v>
      </c>
      <c r="AJ166" s="8">
        <f ca="1">IFERROR(__xludf.DUMMYFUNCTION("""COMPUTED_VALUE"""),3531)</f>
        <v>3531</v>
      </c>
      <c r="AK166" s="8">
        <f ca="1">IFERROR(__xludf.DUMMYFUNCTION("""COMPUTED_VALUE"""),1873)</f>
        <v>1873</v>
      </c>
      <c r="AL166" s="8">
        <f ca="1">IFERROR(__xludf.DUMMYFUNCTION("""COMPUTED_VALUE"""),2135)</f>
        <v>2135</v>
      </c>
      <c r="AM166" s="8">
        <f ca="1">IFERROR(__xludf.DUMMYFUNCTION("""COMPUTED_VALUE"""),4116)</f>
        <v>4116</v>
      </c>
      <c r="AN166" s="8">
        <f ca="1">IFERROR(__xludf.DUMMYFUNCTION("""COMPUTED_VALUE"""),3807)</f>
        <v>3807</v>
      </c>
      <c r="AO166" s="8">
        <f ca="1">IFERROR(__xludf.DUMMYFUNCTION("""COMPUTED_VALUE"""),4238)</f>
        <v>4238</v>
      </c>
      <c r="AP166" s="8"/>
      <c r="AQ166" s="8"/>
      <c r="AR166" s="8"/>
      <c r="AS166" s="8"/>
      <c r="AT166" s="8"/>
      <c r="AU166" s="8"/>
      <c r="AV166" s="8"/>
      <c r="AW166" s="8"/>
      <c r="AX166" s="8"/>
      <c r="AY166" s="8"/>
    </row>
    <row r="167" spans="1:51" ht="13.2" x14ac:dyDescent="0.25">
      <c r="A167" s="12" t="str">
        <f ca="1">IFERROR(__xludf.DUMMYFUNCTION("""COMPUTED_VALUE"""),"         left Cerebellar nuclei")</f>
        <v xml:space="preserve">         left Cerebellar nuclei</v>
      </c>
      <c r="B167" s="12">
        <f ca="1">IFERROR(__xludf.DUMMYFUNCTION("""COMPUTED_VALUE"""),81)</f>
        <v>81</v>
      </c>
      <c r="C167" s="12">
        <f ca="1">IFERROR(__xludf.DUMMYFUNCTION("""COMPUTED_VALUE"""),74)</f>
        <v>74</v>
      </c>
      <c r="D167" s="12">
        <f ca="1">IFERROR(__xludf.DUMMYFUNCTION("""COMPUTED_VALUE"""),600)</f>
        <v>600</v>
      </c>
      <c r="E167" s="12">
        <f ca="1">IFERROR(__xludf.DUMMYFUNCTION("""COMPUTED_VALUE"""),70)</f>
        <v>70</v>
      </c>
      <c r="F167" s="12">
        <f ca="1">IFERROR(__xludf.DUMMYFUNCTION("""COMPUTED_VALUE"""),258)</f>
        <v>258</v>
      </c>
      <c r="G167" s="12">
        <f ca="1">IFERROR(__xludf.DUMMYFUNCTION("""COMPUTED_VALUE"""),50)</f>
        <v>50</v>
      </c>
      <c r="H167" s="12">
        <f ca="1">IFERROR(__xludf.DUMMYFUNCTION("""COMPUTED_VALUE"""),54)</f>
        <v>54</v>
      </c>
      <c r="I167" s="12">
        <f ca="1">IFERROR(__xludf.DUMMYFUNCTION("""COMPUTED_VALUE"""),64)</f>
        <v>64</v>
      </c>
      <c r="J167" s="12">
        <f ca="1">IFERROR(__xludf.DUMMYFUNCTION("""COMPUTED_VALUE"""),104)</f>
        <v>104</v>
      </c>
      <c r="K167" s="12">
        <f ca="1">IFERROR(__xludf.DUMMYFUNCTION("""COMPUTED_VALUE"""),64)</f>
        <v>64</v>
      </c>
      <c r="L167" s="12">
        <f ca="1">IFERROR(__xludf.DUMMYFUNCTION("""COMPUTED_VALUE"""),331)</f>
        <v>331</v>
      </c>
      <c r="M167" s="12">
        <f ca="1">IFERROR(__xludf.DUMMYFUNCTION("""COMPUTED_VALUE"""),155)</f>
        <v>155</v>
      </c>
      <c r="N167" s="12">
        <f ca="1">IFERROR(__xludf.DUMMYFUNCTION("""COMPUTED_VALUE"""),2637)</f>
        <v>2637</v>
      </c>
      <c r="O167" s="12">
        <f ca="1">IFERROR(__xludf.DUMMYFUNCTION("""COMPUTED_VALUE"""),81)</f>
        <v>81</v>
      </c>
      <c r="P167" s="12">
        <f ca="1">IFERROR(__xludf.DUMMYFUNCTION("""COMPUTED_VALUE"""),10)</f>
        <v>10</v>
      </c>
      <c r="Q167" s="12">
        <f ca="1">IFERROR(__xludf.DUMMYFUNCTION("""COMPUTED_VALUE"""),106)</f>
        <v>106</v>
      </c>
      <c r="R167" s="12">
        <f ca="1">IFERROR(__xludf.DUMMYFUNCTION("""COMPUTED_VALUE"""),28)</f>
        <v>28</v>
      </c>
      <c r="S167" s="12">
        <f ca="1">IFERROR(__xludf.DUMMYFUNCTION("""COMPUTED_VALUE"""),60)</f>
        <v>60</v>
      </c>
      <c r="T167" s="12">
        <f ca="1">IFERROR(__xludf.DUMMYFUNCTION("""COMPUTED_VALUE"""),425)</f>
        <v>425</v>
      </c>
      <c r="U167" s="12">
        <f ca="1">IFERROR(__xludf.DUMMYFUNCTION("""COMPUTED_VALUE"""),27)</f>
        <v>27</v>
      </c>
      <c r="V167" s="12">
        <f ca="1">IFERROR(__xludf.DUMMYFUNCTION("""COMPUTED_VALUE"""),42)</f>
        <v>42</v>
      </c>
      <c r="W167" s="12">
        <f ca="1">IFERROR(__xludf.DUMMYFUNCTION("""COMPUTED_VALUE"""),102)</f>
        <v>102</v>
      </c>
      <c r="X167" s="12">
        <f ca="1">IFERROR(__xludf.DUMMYFUNCTION("""COMPUTED_VALUE"""),1412)</f>
        <v>1412</v>
      </c>
      <c r="Y167" s="12">
        <f ca="1">IFERROR(__xludf.DUMMYFUNCTION("""COMPUTED_VALUE"""),156)</f>
        <v>156</v>
      </c>
      <c r="Z167" s="12">
        <f ca="1">IFERROR(__xludf.DUMMYFUNCTION("""COMPUTED_VALUE"""),200)</f>
        <v>200</v>
      </c>
      <c r="AA167" s="12">
        <f ca="1">IFERROR(__xludf.DUMMYFUNCTION("""COMPUTED_VALUE"""),441)</f>
        <v>441</v>
      </c>
      <c r="AB167" s="12">
        <f ca="1">IFERROR(__xludf.DUMMYFUNCTION("""COMPUTED_VALUE"""),1059)</f>
        <v>1059</v>
      </c>
      <c r="AC167" s="12">
        <f ca="1">IFERROR(__xludf.DUMMYFUNCTION("""COMPUTED_VALUE"""),24)</f>
        <v>24</v>
      </c>
      <c r="AD167" s="12">
        <f ca="1">IFERROR(__xludf.DUMMYFUNCTION("""COMPUTED_VALUE"""),50)</f>
        <v>50</v>
      </c>
      <c r="AE167" s="12">
        <f ca="1">IFERROR(__xludf.DUMMYFUNCTION("""COMPUTED_VALUE"""),250)</f>
        <v>250</v>
      </c>
      <c r="AF167" s="8">
        <f ca="1">IFERROR(__xludf.DUMMYFUNCTION("""COMPUTED_VALUE"""),137)</f>
        <v>137</v>
      </c>
      <c r="AG167" s="8">
        <f ca="1">IFERROR(__xludf.DUMMYFUNCTION("""COMPUTED_VALUE"""),11)</f>
        <v>11</v>
      </c>
      <c r="AH167" s="8">
        <f ca="1">IFERROR(__xludf.DUMMYFUNCTION("""COMPUTED_VALUE"""),292)</f>
        <v>292</v>
      </c>
      <c r="AI167" s="8">
        <f ca="1">IFERROR(__xludf.DUMMYFUNCTION("""COMPUTED_VALUE"""),356)</f>
        <v>356</v>
      </c>
      <c r="AJ167" s="8">
        <f ca="1">IFERROR(__xludf.DUMMYFUNCTION("""COMPUTED_VALUE"""),55)</f>
        <v>55</v>
      </c>
      <c r="AK167" s="8">
        <f ca="1">IFERROR(__xludf.DUMMYFUNCTION("""COMPUTED_VALUE"""),14)</f>
        <v>14</v>
      </c>
      <c r="AL167" s="8">
        <f ca="1">IFERROR(__xludf.DUMMYFUNCTION("""COMPUTED_VALUE"""),76)</f>
        <v>76</v>
      </c>
      <c r="AM167" s="8">
        <f ca="1">IFERROR(__xludf.DUMMYFUNCTION("""COMPUTED_VALUE"""),133)</f>
        <v>133</v>
      </c>
      <c r="AN167" s="8">
        <f ca="1">IFERROR(__xludf.DUMMYFUNCTION("""COMPUTED_VALUE"""),173)</f>
        <v>173</v>
      </c>
      <c r="AO167" s="8">
        <f ca="1">IFERROR(__xludf.DUMMYFUNCTION("""COMPUTED_VALUE"""),42)</f>
        <v>42</v>
      </c>
      <c r="AP167" s="8"/>
      <c r="AQ167" s="8"/>
      <c r="AR167" s="8"/>
      <c r="AS167" s="8"/>
      <c r="AT167" s="8"/>
      <c r="AU167" s="8"/>
      <c r="AV167" s="8"/>
      <c r="AW167" s="8"/>
      <c r="AX167" s="8"/>
      <c r="AY167" s="8"/>
    </row>
    <row r="168" spans="1:51" ht="13.2" x14ac:dyDescent="0.25">
      <c r="A168" s="12" t="str">
        <f ca="1">IFERROR(__xludf.DUMMYFUNCTION("""COMPUTED_VALUE"""),"         left hypothalamus related")</f>
        <v xml:space="preserve">         left hypothalamus related</v>
      </c>
      <c r="B168" s="12">
        <f ca="1">IFERROR(__xludf.DUMMYFUNCTION("""COMPUTED_VALUE"""),513)</f>
        <v>513</v>
      </c>
      <c r="C168" s="12">
        <f ca="1">IFERROR(__xludf.DUMMYFUNCTION("""COMPUTED_VALUE"""),1676)</f>
        <v>1676</v>
      </c>
      <c r="D168" s="12">
        <f ca="1">IFERROR(__xludf.DUMMYFUNCTION("""COMPUTED_VALUE"""),2159)</f>
        <v>2159</v>
      </c>
      <c r="E168" s="12">
        <f ca="1">IFERROR(__xludf.DUMMYFUNCTION("""COMPUTED_VALUE"""),1914)</f>
        <v>1914</v>
      </c>
      <c r="F168" s="12">
        <f ca="1">IFERROR(__xludf.DUMMYFUNCTION("""COMPUTED_VALUE"""),1829)</f>
        <v>1829</v>
      </c>
      <c r="G168" s="12">
        <f ca="1">IFERROR(__xludf.DUMMYFUNCTION("""COMPUTED_VALUE"""),957)</f>
        <v>957</v>
      </c>
      <c r="H168" s="12">
        <f ca="1">IFERROR(__xludf.DUMMYFUNCTION("""COMPUTED_VALUE"""),1099)</f>
        <v>1099</v>
      </c>
      <c r="I168" s="12">
        <f ca="1">IFERROR(__xludf.DUMMYFUNCTION("""COMPUTED_VALUE"""),887)</f>
        <v>887</v>
      </c>
      <c r="J168" s="12">
        <f ca="1">IFERROR(__xludf.DUMMYFUNCTION("""COMPUTED_VALUE"""),1318)</f>
        <v>1318</v>
      </c>
      <c r="K168" s="12">
        <f ca="1">IFERROR(__xludf.DUMMYFUNCTION("""COMPUTED_VALUE"""),1438)</f>
        <v>1438</v>
      </c>
      <c r="L168" s="12">
        <f ca="1">IFERROR(__xludf.DUMMYFUNCTION("""COMPUTED_VALUE"""),1547)</f>
        <v>1547</v>
      </c>
      <c r="M168" s="12">
        <f ca="1">IFERROR(__xludf.DUMMYFUNCTION("""COMPUTED_VALUE"""),1838)</f>
        <v>1838</v>
      </c>
      <c r="N168" s="12">
        <f ca="1">IFERROR(__xludf.DUMMYFUNCTION("""COMPUTED_VALUE"""),5904)</f>
        <v>5904</v>
      </c>
      <c r="O168" s="12">
        <f ca="1">IFERROR(__xludf.DUMMYFUNCTION("""COMPUTED_VALUE"""),1198)</f>
        <v>1198</v>
      </c>
      <c r="P168" s="12">
        <f ca="1">IFERROR(__xludf.DUMMYFUNCTION("""COMPUTED_VALUE"""),749)</f>
        <v>749</v>
      </c>
      <c r="Q168" s="12">
        <f ca="1">IFERROR(__xludf.DUMMYFUNCTION("""COMPUTED_VALUE"""),1217)</f>
        <v>1217</v>
      </c>
      <c r="R168" s="12">
        <f ca="1">IFERROR(__xludf.DUMMYFUNCTION("""COMPUTED_VALUE"""),438)</f>
        <v>438</v>
      </c>
      <c r="S168" s="12">
        <f ca="1">IFERROR(__xludf.DUMMYFUNCTION("""COMPUTED_VALUE"""),554)</f>
        <v>554</v>
      </c>
      <c r="T168" s="12">
        <f ca="1">IFERROR(__xludf.DUMMYFUNCTION("""COMPUTED_VALUE"""),1600)</f>
        <v>1600</v>
      </c>
      <c r="U168" s="12">
        <f ca="1">IFERROR(__xludf.DUMMYFUNCTION("""COMPUTED_VALUE"""),1246)</f>
        <v>1246</v>
      </c>
      <c r="V168" s="12">
        <f ca="1">IFERROR(__xludf.DUMMYFUNCTION("""COMPUTED_VALUE"""),3579)</f>
        <v>3579</v>
      </c>
      <c r="W168" s="12">
        <f ca="1">IFERROR(__xludf.DUMMYFUNCTION("""COMPUTED_VALUE"""),766)</f>
        <v>766</v>
      </c>
      <c r="X168" s="12">
        <f ca="1">IFERROR(__xludf.DUMMYFUNCTION("""COMPUTED_VALUE"""),4842)</f>
        <v>4842</v>
      </c>
      <c r="Y168" s="12">
        <f ca="1">IFERROR(__xludf.DUMMYFUNCTION("""COMPUTED_VALUE"""),1483)</f>
        <v>1483</v>
      </c>
      <c r="Z168" s="12">
        <f ca="1">IFERROR(__xludf.DUMMYFUNCTION("""COMPUTED_VALUE"""),4530)</f>
        <v>4530</v>
      </c>
      <c r="AA168" s="12">
        <f ca="1">IFERROR(__xludf.DUMMYFUNCTION("""COMPUTED_VALUE"""),1631)</f>
        <v>1631</v>
      </c>
      <c r="AB168" s="12">
        <f ca="1">IFERROR(__xludf.DUMMYFUNCTION("""COMPUTED_VALUE"""),2354)</f>
        <v>2354</v>
      </c>
      <c r="AC168" s="12">
        <f ca="1">IFERROR(__xludf.DUMMYFUNCTION("""COMPUTED_VALUE"""),1141)</f>
        <v>1141</v>
      </c>
      <c r="AD168" s="12">
        <f ca="1">IFERROR(__xludf.DUMMYFUNCTION("""COMPUTED_VALUE"""),799)</f>
        <v>799</v>
      </c>
      <c r="AE168" s="12">
        <f ca="1">IFERROR(__xludf.DUMMYFUNCTION("""COMPUTED_VALUE"""),3292)</f>
        <v>3292</v>
      </c>
      <c r="AF168" s="8">
        <f ca="1">IFERROR(__xludf.DUMMYFUNCTION("""COMPUTED_VALUE"""),4656)</f>
        <v>4656</v>
      </c>
      <c r="AG168" s="8">
        <f ca="1">IFERROR(__xludf.DUMMYFUNCTION("""COMPUTED_VALUE"""),1269)</f>
        <v>1269</v>
      </c>
      <c r="AH168" s="8">
        <f ca="1">IFERROR(__xludf.DUMMYFUNCTION("""COMPUTED_VALUE"""),1231)</f>
        <v>1231</v>
      </c>
      <c r="AI168" s="8">
        <f ca="1">IFERROR(__xludf.DUMMYFUNCTION("""COMPUTED_VALUE"""),1381)</f>
        <v>1381</v>
      </c>
      <c r="AJ168" s="8">
        <f ca="1">IFERROR(__xludf.DUMMYFUNCTION("""COMPUTED_VALUE"""),2216)</f>
        <v>2216</v>
      </c>
      <c r="AK168" s="8">
        <f ca="1">IFERROR(__xludf.DUMMYFUNCTION("""COMPUTED_VALUE"""),195)</f>
        <v>195</v>
      </c>
      <c r="AL168" s="8">
        <f ca="1">IFERROR(__xludf.DUMMYFUNCTION("""COMPUTED_VALUE"""),860)</f>
        <v>860</v>
      </c>
      <c r="AM168" s="8">
        <f ca="1">IFERROR(__xludf.DUMMYFUNCTION("""COMPUTED_VALUE"""),994)</f>
        <v>994</v>
      </c>
      <c r="AN168" s="8">
        <f ca="1">IFERROR(__xludf.DUMMYFUNCTION("""COMPUTED_VALUE"""),1151)</f>
        <v>1151</v>
      </c>
      <c r="AO168" s="8">
        <f ca="1">IFERROR(__xludf.DUMMYFUNCTION("""COMPUTED_VALUE"""),1058)</f>
        <v>1058</v>
      </c>
      <c r="AP168" s="8"/>
      <c r="AQ168" s="8"/>
      <c r="AR168" s="8"/>
      <c r="AS168" s="8"/>
      <c r="AT168" s="8"/>
      <c r="AU168" s="8"/>
      <c r="AV168" s="8"/>
      <c r="AW168" s="8"/>
      <c r="AX168" s="8"/>
      <c r="AY168" s="8"/>
    </row>
    <row r="169" spans="1:51" ht="13.2" x14ac:dyDescent="0.25">
      <c r="A169" s="12" t="str">
        <f ca="1">IFERROR(__xludf.DUMMYFUNCTION("""COMPUTED_VALUE"""),"right root")</f>
        <v>right root</v>
      </c>
      <c r="B169" s="12">
        <f ca="1">IFERROR(__xludf.DUMMYFUNCTION("""COMPUTED_VALUE"""),777162)</f>
        <v>777162</v>
      </c>
      <c r="C169" s="12">
        <f ca="1">IFERROR(__xludf.DUMMYFUNCTION("""COMPUTED_VALUE"""),1358638)</f>
        <v>1358638</v>
      </c>
      <c r="D169" s="12">
        <f ca="1">IFERROR(__xludf.DUMMYFUNCTION("""COMPUTED_VALUE"""),1293475)</f>
        <v>1293475</v>
      </c>
      <c r="E169" s="12">
        <f ca="1">IFERROR(__xludf.DUMMYFUNCTION("""COMPUTED_VALUE"""),880793)</f>
        <v>880793</v>
      </c>
      <c r="F169" s="12">
        <f ca="1">IFERROR(__xludf.DUMMYFUNCTION("""COMPUTED_VALUE"""),1721444)</f>
        <v>1721444</v>
      </c>
      <c r="G169" s="12">
        <f ca="1">IFERROR(__xludf.DUMMYFUNCTION("""COMPUTED_VALUE"""),757540)</f>
        <v>757540</v>
      </c>
      <c r="H169" s="12">
        <f ca="1">IFERROR(__xludf.DUMMYFUNCTION("""COMPUTED_VALUE"""),662035)</f>
        <v>662035</v>
      </c>
      <c r="I169" s="12">
        <f ca="1">IFERROR(__xludf.DUMMYFUNCTION("""COMPUTED_VALUE"""),560466)</f>
        <v>560466</v>
      </c>
      <c r="J169" s="12">
        <f ca="1">IFERROR(__xludf.DUMMYFUNCTION("""COMPUTED_VALUE"""),748028)</f>
        <v>748028</v>
      </c>
      <c r="K169" s="12">
        <f ca="1">IFERROR(__xludf.DUMMYFUNCTION("""COMPUTED_VALUE"""),1067613)</f>
        <v>1067613</v>
      </c>
      <c r="L169" s="12">
        <f ca="1">IFERROR(__xludf.DUMMYFUNCTION("""COMPUTED_VALUE"""),1281189)</f>
        <v>1281189</v>
      </c>
      <c r="M169" s="12">
        <f ca="1">IFERROR(__xludf.DUMMYFUNCTION("""COMPUTED_VALUE"""),1787804)</f>
        <v>1787804</v>
      </c>
      <c r="N169" s="12">
        <f ca="1">IFERROR(__xludf.DUMMYFUNCTION("""COMPUTED_VALUE"""),1237208)</f>
        <v>1237208</v>
      </c>
      <c r="O169" s="12">
        <f ca="1">IFERROR(__xludf.DUMMYFUNCTION("""COMPUTED_VALUE"""),1430153)</f>
        <v>1430153</v>
      </c>
      <c r="P169" s="12">
        <f ca="1">IFERROR(__xludf.DUMMYFUNCTION("""COMPUTED_VALUE"""),893365)</f>
        <v>893365</v>
      </c>
      <c r="Q169" s="12">
        <f ca="1">IFERROR(__xludf.DUMMYFUNCTION("""COMPUTED_VALUE"""),723896)</f>
        <v>723896</v>
      </c>
      <c r="R169" s="12">
        <f ca="1">IFERROR(__xludf.DUMMYFUNCTION("""COMPUTED_VALUE"""),828556)</f>
        <v>828556</v>
      </c>
      <c r="S169" s="12">
        <f ca="1">IFERROR(__xludf.DUMMYFUNCTION("""COMPUTED_VALUE"""),348328)</f>
        <v>348328</v>
      </c>
      <c r="T169" s="12">
        <f ca="1">IFERROR(__xludf.DUMMYFUNCTION("""COMPUTED_VALUE"""),1400053)</f>
        <v>1400053</v>
      </c>
      <c r="U169" s="12">
        <f ca="1">IFERROR(__xludf.DUMMYFUNCTION("""COMPUTED_VALUE"""),1368867)</f>
        <v>1368867</v>
      </c>
      <c r="V169" s="12">
        <f ca="1">IFERROR(__xludf.DUMMYFUNCTION("""COMPUTED_VALUE"""),1404596)</f>
        <v>1404596</v>
      </c>
      <c r="W169" s="12">
        <f ca="1">IFERROR(__xludf.DUMMYFUNCTION("""COMPUTED_VALUE"""),2753940)</f>
        <v>2753940</v>
      </c>
      <c r="X169" s="12">
        <f ca="1">IFERROR(__xludf.DUMMYFUNCTION("""COMPUTED_VALUE"""),3422664)</f>
        <v>3422664</v>
      </c>
      <c r="Y169" s="12">
        <f ca="1">IFERROR(__xludf.DUMMYFUNCTION("""COMPUTED_VALUE"""),1330538)</f>
        <v>1330538</v>
      </c>
      <c r="Z169" s="12">
        <f ca="1">IFERROR(__xludf.DUMMYFUNCTION("""COMPUTED_VALUE"""),1660740)</f>
        <v>1660740</v>
      </c>
      <c r="AA169" s="12">
        <f ca="1">IFERROR(__xludf.DUMMYFUNCTION("""COMPUTED_VALUE"""),1639998)</f>
        <v>1639998</v>
      </c>
      <c r="AB169" s="12">
        <f ca="1">IFERROR(__xludf.DUMMYFUNCTION("""COMPUTED_VALUE"""),1360757)</f>
        <v>1360757</v>
      </c>
      <c r="AC169" s="12">
        <f ca="1">IFERROR(__xludf.DUMMYFUNCTION("""COMPUTED_VALUE"""),1205264)</f>
        <v>1205264</v>
      </c>
      <c r="AD169" s="12">
        <f ca="1">IFERROR(__xludf.DUMMYFUNCTION("""COMPUTED_VALUE"""),1675124)</f>
        <v>1675124</v>
      </c>
      <c r="AE169" s="12">
        <f ca="1">IFERROR(__xludf.DUMMYFUNCTION("""COMPUTED_VALUE"""),1779027)</f>
        <v>1779027</v>
      </c>
      <c r="AF169" s="8">
        <f ca="1">IFERROR(__xludf.DUMMYFUNCTION("""COMPUTED_VALUE"""),2888656)</f>
        <v>2888656</v>
      </c>
      <c r="AG169" s="8">
        <f ca="1">IFERROR(__xludf.DUMMYFUNCTION("""COMPUTED_VALUE"""),884362)</f>
        <v>884362</v>
      </c>
      <c r="AH169" s="8">
        <f ca="1">IFERROR(__xludf.DUMMYFUNCTION("""COMPUTED_VALUE"""),1773829)</f>
        <v>1773829</v>
      </c>
      <c r="AI169" s="8">
        <f ca="1">IFERROR(__xludf.DUMMYFUNCTION("""COMPUTED_VALUE"""),1056337)</f>
        <v>1056337</v>
      </c>
      <c r="AJ169" s="8">
        <f ca="1">IFERROR(__xludf.DUMMYFUNCTION("""COMPUTED_VALUE"""),914052)</f>
        <v>914052</v>
      </c>
      <c r="AK169" s="8">
        <f ca="1">IFERROR(__xludf.DUMMYFUNCTION("""COMPUTED_VALUE"""),632265)</f>
        <v>632265</v>
      </c>
      <c r="AL169" s="8">
        <f ca="1">IFERROR(__xludf.DUMMYFUNCTION("""COMPUTED_VALUE"""),866539)</f>
        <v>866539</v>
      </c>
      <c r="AM169" s="8">
        <f ca="1">IFERROR(__xludf.DUMMYFUNCTION("""COMPUTED_VALUE"""),1446285)</f>
        <v>1446285</v>
      </c>
      <c r="AN169" s="8">
        <f ca="1">IFERROR(__xludf.DUMMYFUNCTION("""COMPUTED_VALUE"""),1110541)</f>
        <v>1110541</v>
      </c>
      <c r="AO169" s="8">
        <f ca="1">IFERROR(__xludf.DUMMYFUNCTION("""COMPUTED_VALUE"""),967849)</f>
        <v>967849</v>
      </c>
      <c r="AP169" s="8"/>
      <c r="AQ169" s="8"/>
      <c r="AR169" s="8"/>
      <c r="AS169" s="8"/>
      <c r="AT169" s="8"/>
      <c r="AU169" s="8"/>
      <c r="AV169" s="8"/>
      <c r="AW169" s="8"/>
      <c r="AX169" s="8"/>
      <c r="AY169" s="8"/>
    </row>
    <row r="170" spans="1:51" ht="13.2" x14ac:dyDescent="0.25">
      <c r="A170" s="12" t="str">
        <f ca="1">IFERROR(__xludf.DUMMYFUNCTION("""COMPUTED_VALUE"""),"      right Cerebrum")</f>
        <v xml:space="preserve">      right Cerebrum</v>
      </c>
      <c r="B170" s="12">
        <f ca="1">IFERROR(__xludf.DUMMYFUNCTION("""COMPUTED_VALUE"""),589896)</f>
        <v>589896</v>
      </c>
      <c r="C170" s="12">
        <f ca="1">IFERROR(__xludf.DUMMYFUNCTION("""COMPUTED_VALUE"""),966353)</f>
        <v>966353</v>
      </c>
      <c r="D170" s="12">
        <f ca="1">IFERROR(__xludf.DUMMYFUNCTION("""COMPUTED_VALUE"""),937332)</f>
        <v>937332</v>
      </c>
      <c r="E170" s="12">
        <f ca="1">IFERROR(__xludf.DUMMYFUNCTION("""COMPUTED_VALUE"""),646261)</f>
        <v>646261</v>
      </c>
      <c r="F170" s="12">
        <f ca="1">IFERROR(__xludf.DUMMYFUNCTION("""COMPUTED_VALUE"""),1321335)</f>
        <v>1321335</v>
      </c>
      <c r="G170" s="12">
        <f ca="1">IFERROR(__xludf.DUMMYFUNCTION("""COMPUTED_VALUE"""),584590)</f>
        <v>584590</v>
      </c>
      <c r="H170" s="12">
        <f ca="1">IFERROR(__xludf.DUMMYFUNCTION("""COMPUTED_VALUE"""),491903)</f>
        <v>491903</v>
      </c>
      <c r="I170" s="12">
        <f ca="1">IFERROR(__xludf.DUMMYFUNCTION("""COMPUTED_VALUE"""),403585)</f>
        <v>403585</v>
      </c>
      <c r="J170" s="12">
        <f ca="1">IFERROR(__xludf.DUMMYFUNCTION("""COMPUTED_VALUE"""),550667)</f>
        <v>550667</v>
      </c>
      <c r="K170" s="12">
        <f ca="1">IFERROR(__xludf.DUMMYFUNCTION("""COMPUTED_VALUE"""),845142)</f>
        <v>845142</v>
      </c>
      <c r="L170" s="12">
        <f ca="1">IFERROR(__xludf.DUMMYFUNCTION("""COMPUTED_VALUE"""),981317)</f>
        <v>981317</v>
      </c>
      <c r="M170" s="12">
        <f ca="1">IFERROR(__xludf.DUMMYFUNCTION("""COMPUTED_VALUE"""),1374122)</f>
        <v>1374122</v>
      </c>
      <c r="N170" s="12">
        <f ca="1">IFERROR(__xludf.DUMMYFUNCTION("""COMPUTED_VALUE"""),674592)</f>
        <v>674592</v>
      </c>
      <c r="O170" s="12">
        <f ca="1">IFERROR(__xludf.DUMMYFUNCTION("""COMPUTED_VALUE"""),1085436)</f>
        <v>1085436</v>
      </c>
      <c r="P170" s="12">
        <f ca="1">IFERROR(__xludf.DUMMYFUNCTION("""COMPUTED_VALUE"""),677347)</f>
        <v>677347</v>
      </c>
      <c r="Q170" s="12">
        <f ca="1">IFERROR(__xludf.DUMMYFUNCTION("""COMPUTED_VALUE"""),506155)</f>
        <v>506155</v>
      </c>
      <c r="R170" s="12">
        <f ca="1">IFERROR(__xludf.DUMMYFUNCTION("""COMPUTED_VALUE"""),651953)</f>
        <v>651953</v>
      </c>
      <c r="S170" s="12">
        <f ca="1">IFERROR(__xludf.DUMMYFUNCTION("""COMPUTED_VALUE"""),237687)</f>
        <v>237687</v>
      </c>
      <c r="T170" s="12">
        <f ca="1">IFERROR(__xludf.DUMMYFUNCTION("""COMPUTED_VALUE"""),1108901)</f>
        <v>1108901</v>
      </c>
      <c r="U170" s="12">
        <f ca="1">IFERROR(__xludf.DUMMYFUNCTION("""COMPUTED_VALUE"""),1130006)</f>
        <v>1130006</v>
      </c>
      <c r="V170" s="12">
        <f ca="1">IFERROR(__xludf.DUMMYFUNCTION("""COMPUTED_VALUE"""),1111559)</f>
        <v>1111559</v>
      </c>
      <c r="W170" s="12">
        <f ca="1">IFERROR(__xludf.DUMMYFUNCTION("""COMPUTED_VALUE"""),2385103)</f>
        <v>2385103</v>
      </c>
      <c r="X170" s="12">
        <f ca="1">IFERROR(__xludf.DUMMYFUNCTION("""COMPUTED_VALUE"""),2646605)</f>
        <v>2646605</v>
      </c>
      <c r="Y170" s="12">
        <f ca="1">IFERROR(__xludf.DUMMYFUNCTION("""COMPUTED_VALUE"""),1009590)</f>
        <v>1009590</v>
      </c>
      <c r="Z170" s="12">
        <f ca="1">IFERROR(__xludf.DUMMYFUNCTION("""COMPUTED_VALUE"""),1118839)</f>
        <v>1118839</v>
      </c>
      <c r="AA170" s="12">
        <f ca="1">IFERROR(__xludf.DUMMYFUNCTION("""COMPUTED_VALUE"""),1278329)</f>
        <v>1278329</v>
      </c>
      <c r="AB170" s="12">
        <f ca="1">IFERROR(__xludf.DUMMYFUNCTION("""COMPUTED_VALUE"""),1130996)</f>
        <v>1130996</v>
      </c>
      <c r="AC170" s="12">
        <f ca="1">IFERROR(__xludf.DUMMYFUNCTION("""COMPUTED_VALUE"""),960209)</f>
        <v>960209</v>
      </c>
      <c r="AD170" s="12">
        <f ca="1">IFERROR(__xludf.DUMMYFUNCTION("""COMPUTED_VALUE"""),1399607)</f>
        <v>1399607</v>
      </c>
      <c r="AE170" s="12">
        <f ca="1">IFERROR(__xludf.DUMMYFUNCTION("""COMPUTED_VALUE"""),1415749)</f>
        <v>1415749</v>
      </c>
      <c r="AF170" s="8">
        <f ca="1">IFERROR(__xludf.DUMMYFUNCTION("""COMPUTED_VALUE"""),2292747)</f>
        <v>2292747</v>
      </c>
      <c r="AG170" s="8">
        <f ca="1">IFERROR(__xludf.DUMMYFUNCTION("""COMPUTED_VALUE"""),696329)</f>
        <v>696329</v>
      </c>
      <c r="AH170" s="8">
        <f ca="1">IFERROR(__xludf.DUMMYFUNCTION("""COMPUTED_VALUE"""),1418445)</f>
        <v>1418445</v>
      </c>
      <c r="AI170" s="8">
        <f ca="1">IFERROR(__xludf.DUMMYFUNCTION("""COMPUTED_VALUE"""),807469)</f>
        <v>807469</v>
      </c>
      <c r="AJ170" s="8">
        <f ca="1">IFERROR(__xludf.DUMMYFUNCTION("""COMPUTED_VALUE"""),716337)</f>
        <v>716337</v>
      </c>
      <c r="AK170" s="8">
        <f ca="1">IFERROR(__xludf.DUMMYFUNCTION("""COMPUTED_VALUE"""),490586)</f>
        <v>490586</v>
      </c>
      <c r="AL170" s="8">
        <f ca="1">IFERROR(__xludf.DUMMYFUNCTION("""COMPUTED_VALUE"""),706633)</f>
        <v>706633</v>
      </c>
      <c r="AM170" s="8">
        <f ca="1">IFERROR(__xludf.DUMMYFUNCTION("""COMPUTED_VALUE"""),1206333)</f>
        <v>1206333</v>
      </c>
      <c r="AN170" s="8">
        <f ca="1">IFERROR(__xludf.DUMMYFUNCTION("""COMPUTED_VALUE"""),895765)</f>
        <v>895765</v>
      </c>
      <c r="AO170" s="8">
        <f ca="1">IFERROR(__xludf.DUMMYFUNCTION("""COMPUTED_VALUE"""),785390)</f>
        <v>785390</v>
      </c>
      <c r="AP170" s="8"/>
      <c r="AQ170" s="8"/>
      <c r="AR170" s="8"/>
      <c r="AS170" s="8"/>
      <c r="AT170" s="8"/>
      <c r="AU170" s="8"/>
      <c r="AV170" s="8"/>
      <c r="AW170" s="8"/>
      <c r="AX170" s="8"/>
      <c r="AY170" s="8"/>
    </row>
    <row r="171" spans="1:51" ht="13.2" x14ac:dyDescent="0.25">
      <c r="A171" s="12" t="str">
        <f ca="1">IFERROR(__xludf.DUMMYFUNCTION("""COMPUTED_VALUE"""),"         right Cerebral cortex")</f>
        <v xml:space="preserve">         right Cerebral cortex</v>
      </c>
      <c r="B171" s="12">
        <f ca="1">IFERROR(__xludf.DUMMYFUNCTION("""COMPUTED_VALUE"""),533363)</f>
        <v>533363</v>
      </c>
      <c r="C171" s="12">
        <f ca="1">IFERROR(__xludf.DUMMYFUNCTION("""COMPUTED_VALUE"""),846894)</f>
        <v>846894</v>
      </c>
      <c r="D171" s="12">
        <f ca="1">IFERROR(__xludf.DUMMYFUNCTION("""COMPUTED_VALUE"""),752330)</f>
        <v>752330</v>
      </c>
      <c r="E171" s="12">
        <f ca="1">IFERROR(__xludf.DUMMYFUNCTION("""COMPUTED_VALUE"""),536376)</f>
        <v>536376</v>
      </c>
      <c r="F171" s="12">
        <f ca="1">IFERROR(__xludf.DUMMYFUNCTION("""COMPUTED_VALUE"""),1123525)</f>
        <v>1123525</v>
      </c>
      <c r="G171" s="12">
        <f ca="1">IFERROR(__xludf.DUMMYFUNCTION("""COMPUTED_VALUE"""),524913)</f>
        <v>524913</v>
      </c>
      <c r="H171" s="12">
        <f ca="1">IFERROR(__xludf.DUMMYFUNCTION("""COMPUTED_VALUE"""),430174)</f>
        <v>430174</v>
      </c>
      <c r="I171" s="12">
        <f ca="1">IFERROR(__xludf.DUMMYFUNCTION("""COMPUTED_VALUE"""),341508)</f>
        <v>341508</v>
      </c>
      <c r="J171" s="12">
        <f ca="1">IFERROR(__xludf.DUMMYFUNCTION("""COMPUTED_VALUE"""),473340)</f>
        <v>473340</v>
      </c>
      <c r="K171" s="12">
        <f ca="1">IFERROR(__xludf.DUMMYFUNCTION("""COMPUTED_VALUE"""),747409)</f>
        <v>747409</v>
      </c>
      <c r="L171" s="12">
        <f ca="1">IFERROR(__xludf.DUMMYFUNCTION("""COMPUTED_VALUE"""),794796)</f>
        <v>794796</v>
      </c>
      <c r="M171" s="12">
        <f ca="1">IFERROR(__xludf.DUMMYFUNCTION("""COMPUTED_VALUE"""),1231960)</f>
        <v>1231960</v>
      </c>
      <c r="N171" s="12">
        <f ca="1">IFERROR(__xludf.DUMMYFUNCTION("""COMPUTED_VALUE"""),438951)</f>
        <v>438951</v>
      </c>
      <c r="O171" s="12">
        <f ca="1">IFERROR(__xludf.DUMMYFUNCTION("""COMPUTED_VALUE"""),970834)</f>
        <v>970834</v>
      </c>
      <c r="P171" s="12">
        <f ca="1">IFERROR(__xludf.DUMMYFUNCTION("""COMPUTED_VALUE"""),602921)</f>
        <v>602921</v>
      </c>
      <c r="Q171" s="12">
        <f ca="1">IFERROR(__xludf.DUMMYFUNCTION("""COMPUTED_VALUE"""),417427)</f>
        <v>417427</v>
      </c>
      <c r="R171" s="12">
        <f ca="1">IFERROR(__xludf.DUMMYFUNCTION("""COMPUTED_VALUE"""),574603)</f>
        <v>574603</v>
      </c>
      <c r="S171" s="12">
        <f ca="1">IFERROR(__xludf.DUMMYFUNCTION("""COMPUTED_VALUE"""),214812)</f>
        <v>214812</v>
      </c>
      <c r="T171" s="12">
        <f ca="1">IFERROR(__xludf.DUMMYFUNCTION("""COMPUTED_VALUE"""),969693)</f>
        <v>969693</v>
      </c>
      <c r="U171" s="12">
        <f ca="1">IFERROR(__xludf.DUMMYFUNCTION("""COMPUTED_VALUE"""),1045376)</f>
        <v>1045376</v>
      </c>
      <c r="V171" s="12">
        <f ca="1">IFERROR(__xludf.DUMMYFUNCTION("""COMPUTED_VALUE"""),901241)</f>
        <v>901241</v>
      </c>
      <c r="W171" s="12">
        <f ca="1">IFERROR(__xludf.DUMMYFUNCTION("""COMPUTED_VALUE"""),2081053)</f>
        <v>2081053</v>
      </c>
      <c r="X171" s="12">
        <f ca="1">IFERROR(__xludf.DUMMYFUNCTION("""COMPUTED_VALUE"""),2233503)</f>
        <v>2233503</v>
      </c>
      <c r="Y171" s="12">
        <f ca="1">IFERROR(__xludf.DUMMYFUNCTION("""COMPUTED_VALUE"""),892056)</f>
        <v>892056</v>
      </c>
      <c r="Z171" s="12">
        <f ca="1">IFERROR(__xludf.DUMMYFUNCTION("""COMPUTED_VALUE"""),913583)</f>
        <v>913583</v>
      </c>
      <c r="AA171" s="12">
        <f ca="1">IFERROR(__xludf.DUMMYFUNCTION("""COMPUTED_VALUE"""),1096172)</f>
        <v>1096172</v>
      </c>
      <c r="AB171" s="12">
        <f ca="1">IFERROR(__xludf.DUMMYFUNCTION("""COMPUTED_VALUE"""),985255)</f>
        <v>985255</v>
      </c>
      <c r="AC171" s="12">
        <f ca="1">IFERROR(__xludf.DUMMYFUNCTION("""COMPUTED_VALUE"""),886909)</f>
        <v>886909</v>
      </c>
      <c r="AD171" s="12">
        <f ca="1">IFERROR(__xludf.DUMMYFUNCTION("""COMPUTED_VALUE"""),1223975)</f>
        <v>1223975</v>
      </c>
      <c r="AE171" s="12">
        <f ca="1">IFERROR(__xludf.DUMMYFUNCTION("""COMPUTED_VALUE"""),1273451)</f>
        <v>1273451</v>
      </c>
      <c r="AF171" s="8">
        <f ca="1">IFERROR(__xludf.DUMMYFUNCTION("""COMPUTED_VALUE"""),1944909)</f>
        <v>1944909</v>
      </c>
      <c r="AG171" s="8">
        <f ca="1">IFERROR(__xludf.DUMMYFUNCTION("""COMPUTED_VALUE"""),608278)</f>
        <v>608278</v>
      </c>
      <c r="AH171" s="8">
        <f ca="1">IFERROR(__xludf.DUMMYFUNCTION("""COMPUTED_VALUE"""),1175882)</f>
        <v>1175882</v>
      </c>
      <c r="AI171" s="8">
        <f ca="1">IFERROR(__xludf.DUMMYFUNCTION("""COMPUTED_VALUE"""),720934)</f>
        <v>720934</v>
      </c>
      <c r="AJ171" s="8">
        <f ca="1">IFERROR(__xludf.DUMMYFUNCTION("""COMPUTED_VALUE"""),627026)</f>
        <v>627026</v>
      </c>
      <c r="AK171" s="8">
        <f ca="1">IFERROR(__xludf.DUMMYFUNCTION("""COMPUTED_VALUE"""),455553)</f>
        <v>455553</v>
      </c>
      <c r="AL171" s="8">
        <f ca="1">IFERROR(__xludf.DUMMYFUNCTION("""COMPUTED_VALUE"""),620180)</f>
        <v>620180</v>
      </c>
      <c r="AM171" s="8">
        <f ca="1">IFERROR(__xludf.DUMMYFUNCTION("""COMPUTED_VALUE"""),1035997)</f>
        <v>1035997</v>
      </c>
      <c r="AN171" s="8">
        <f ca="1">IFERROR(__xludf.DUMMYFUNCTION("""COMPUTED_VALUE"""),799386)</f>
        <v>799386</v>
      </c>
      <c r="AO171" s="8">
        <f ca="1">IFERROR(__xludf.DUMMYFUNCTION("""COMPUTED_VALUE"""),702628)</f>
        <v>702628</v>
      </c>
      <c r="AP171" s="8"/>
      <c r="AQ171" s="8"/>
      <c r="AR171" s="8"/>
      <c r="AS171" s="8"/>
      <c r="AT171" s="8"/>
      <c r="AU171" s="8"/>
      <c r="AV171" s="8"/>
      <c r="AW171" s="8"/>
      <c r="AX171" s="8"/>
      <c r="AY171" s="8"/>
    </row>
    <row r="172" spans="1:51" ht="13.2" x14ac:dyDescent="0.25">
      <c r="A172" s="12" t="str">
        <f ca="1">IFERROR(__xludf.DUMMYFUNCTION("""COMPUTED_VALUE"""),"            right Cortical plate")</f>
        <v xml:space="preserve">            right Cortical plate</v>
      </c>
      <c r="B172" s="12">
        <f ca="1">IFERROR(__xludf.DUMMYFUNCTION("""COMPUTED_VALUE"""),516589)</f>
        <v>516589</v>
      </c>
      <c r="C172" s="12">
        <f ca="1">IFERROR(__xludf.DUMMYFUNCTION("""COMPUTED_VALUE"""),801123)</f>
        <v>801123</v>
      </c>
      <c r="D172" s="12">
        <f ca="1">IFERROR(__xludf.DUMMYFUNCTION("""COMPUTED_VALUE"""),717825)</f>
        <v>717825</v>
      </c>
      <c r="E172" s="12">
        <f ca="1">IFERROR(__xludf.DUMMYFUNCTION("""COMPUTED_VALUE"""),520956)</f>
        <v>520956</v>
      </c>
      <c r="F172" s="12">
        <f ca="1">IFERROR(__xludf.DUMMYFUNCTION("""COMPUTED_VALUE"""),1079263)</f>
        <v>1079263</v>
      </c>
      <c r="G172" s="12">
        <f ca="1">IFERROR(__xludf.DUMMYFUNCTION("""COMPUTED_VALUE"""),503298)</f>
        <v>503298</v>
      </c>
      <c r="H172" s="12">
        <f ca="1">IFERROR(__xludf.DUMMYFUNCTION("""COMPUTED_VALUE"""),416263)</f>
        <v>416263</v>
      </c>
      <c r="I172" s="12">
        <f ca="1">IFERROR(__xludf.DUMMYFUNCTION("""COMPUTED_VALUE"""),327055)</f>
        <v>327055</v>
      </c>
      <c r="J172" s="12">
        <f ca="1">IFERROR(__xludf.DUMMYFUNCTION("""COMPUTED_VALUE"""),447620)</f>
        <v>447620</v>
      </c>
      <c r="K172" s="12">
        <f ca="1">IFERROR(__xludf.DUMMYFUNCTION("""COMPUTED_VALUE"""),717004)</f>
        <v>717004</v>
      </c>
      <c r="L172" s="12">
        <f ca="1">IFERROR(__xludf.DUMMYFUNCTION("""COMPUTED_VALUE"""),758371)</f>
        <v>758371</v>
      </c>
      <c r="M172" s="12">
        <f ca="1">IFERROR(__xludf.DUMMYFUNCTION("""COMPUTED_VALUE"""),1192128)</f>
        <v>1192128</v>
      </c>
      <c r="N172" s="12">
        <f ca="1">IFERROR(__xludf.DUMMYFUNCTION("""COMPUTED_VALUE"""),416570)</f>
        <v>416570</v>
      </c>
      <c r="O172" s="12">
        <f ca="1">IFERROR(__xludf.DUMMYFUNCTION("""COMPUTED_VALUE"""),935337)</f>
        <v>935337</v>
      </c>
      <c r="P172" s="12">
        <f ca="1">IFERROR(__xludf.DUMMYFUNCTION("""COMPUTED_VALUE"""),582357)</f>
        <v>582357</v>
      </c>
      <c r="Q172" s="12">
        <f ca="1">IFERROR(__xludf.DUMMYFUNCTION("""COMPUTED_VALUE"""),399267)</f>
        <v>399267</v>
      </c>
      <c r="R172" s="12">
        <f ca="1">IFERROR(__xludf.DUMMYFUNCTION("""COMPUTED_VALUE"""),550959)</f>
        <v>550959</v>
      </c>
      <c r="S172" s="12">
        <f ca="1">IFERROR(__xludf.DUMMYFUNCTION("""COMPUTED_VALUE"""),204913)</f>
        <v>204913</v>
      </c>
      <c r="T172" s="12">
        <f ca="1">IFERROR(__xludf.DUMMYFUNCTION("""COMPUTED_VALUE"""),927070)</f>
        <v>927070</v>
      </c>
      <c r="U172" s="12">
        <f ca="1">IFERROR(__xludf.DUMMYFUNCTION("""COMPUTED_VALUE"""),1019787)</f>
        <v>1019787</v>
      </c>
      <c r="V172" s="12">
        <f ca="1">IFERROR(__xludf.DUMMYFUNCTION("""COMPUTED_VALUE"""),866368)</f>
        <v>866368</v>
      </c>
      <c r="W172" s="12">
        <f ca="1">IFERROR(__xludf.DUMMYFUNCTION("""COMPUTED_VALUE"""),2016632)</f>
        <v>2016632</v>
      </c>
      <c r="X172" s="12">
        <f ca="1">IFERROR(__xludf.DUMMYFUNCTION("""COMPUTED_VALUE"""),2144460)</f>
        <v>2144460</v>
      </c>
      <c r="Y172" s="12">
        <f ca="1">IFERROR(__xludf.DUMMYFUNCTION("""COMPUTED_VALUE"""),855408)</f>
        <v>855408</v>
      </c>
      <c r="Z172" s="12">
        <f ca="1">IFERROR(__xludf.DUMMYFUNCTION("""COMPUTED_VALUE"""),853780)</f>
        <v>853780</v>
      </c>
      <c r="AA172" s="12">
        <f ca="1">IFERROR(__xludf.DUMMYFUNCTION("""COMPUTED_VALUE"""),1040440)</f>
        <v>1040440</v>
      </c>
      <c r="AB172" s="12">
        <f ca="1">IFERROR(__xludf.DUMMYFUNCTION("""COMPUTED_VALUE"""),945109)</f>
        <v>945109</v>
      </c>
      <c r="AC172" s="12">
        <f ca="1">IFERROR(__xludf.DUMMYFUNCTION("""COMPUTED_VALUE"""),870933)</f>
        <v>870933</v>
      </c>
      <c r="AD172" s="12">
        <f ca="1">IFERROR(__xludf.DUMMYFUNCTION("""COMPUTED_VALUE"""),1188719)</f>
        <v>1188719</v>
      </c>
      <c r="AE172" s="12">
        <f ca="1">IFERROR(__xludf.DUMMYFUNCTION("""COMPUTED_VALUE"""),1233629)</f>
        <v>1233629</v>
      </c>
      <c r="AF172" s="8">
        <f ca="1">IFERROR(__xludf.DUMMYFUNCTION("""COMPUTED_VALUE"""),1870286)</f>
        <v>1870286</v>
      </c>
      <c r="AG172" s="8">
        <f ca="1">IFERROR(__xludf.DUMMYFUNCTION("""COMPUTED_VALUE"""),573250)</f>
        <v>573250</v>
      </c>
      <c r="AH172" s="8">
        <f ca="1">IFERROR(__xludf.DUMMYFUNCTION("""COMPUTED_VALUE"""),1118256)</f>
        <v>1118256</v>
      </c>
      <c r="AI172" s="8">
        <f ca="1">IFERROR(__xludf.DUMMYFUNCTION("""COMPUTED_VALUE"""),694886)</f>
        <v>694886</v>
      </c>
      <c r="AJ172" s="8">
        <f ca="1">IFERROR(__xludf.DUMMYFUNCTION("""COMPUTED_VALUE"""),602415)</f>
        <v>602415</v>
      </c>
      <c r="AK172" s="8">
        <f ca="1">IFERROR(__xludf.DUMMYFUNCTION("""COMPUTED_VALUE"""),444617)</f>
        <v>444617</v>
      </c>
      <c r="AL172" s="8">
        <f ca="1">IFERROR(__xludf.DUMMYFUNCTION("""COMPUTED_VALUE"""),605505)</f>
        <v>605505</v>
      </c>
      <c r="AM172" s="8">
        <f ca="1">IFERROR(__xludf.DUMMYFUNCTION("""COMPUTED_VALUE"""),991745)</f>
        <v>991745</v>
      </c>
      <c r="AN172" s="8">
        <f ca="1">IFERROR(__xludf.DUMMYFUNCTION("""COMPUTED_VALUE"""),777093)</f>
        <v>777093</v>
      </c>
      <c r="AO172" s="8">
        <f ca="1">IFERROR(__xludf.DUMMYFUNCTION("""COMPUTED_VALUE"""),672314)</f>
        <v>672314</v>
      </c>
      <c r="AP172" s="8"/>
      <c r="AQ172" s="8"/>
      <c r="AR172" s="8"/>
      <c r="AS172" s="8"/>
      <c r="AT172" s="8"/>
      <c r="AU172" s="8"/>
      <c r="AV172" s="8"/>
      <c r="AW172" s="8"/>
      <c r="AX172" s="8"/>
      <c r="AY172" s="8"/>
    </row>
    <row r="173" spans="1:51" ht="13.2" x14ac:dyDescent="0.25">
      <c r="A173" s="12" t="str">
        <f ca="1">IFERROR(__xludf.DUMMYFUNCTION("""COMPUTED_VALUE"""),"               right Isocortex")</f>
        <v xml:space="preserve">               right Isocortex</v>
      </c>
      <c r="B173" s="12">
        <f ca="1">IFERROR(__xludf.DUMMYFUNCTION("""COMPUTED_VALUE"""),322799)</f>
        <v>322799</v>
      </c>
      <c r="C173" s="12">
        <f ca="1">IFERROR(__xludf.DUMMYFUNCTION("""COMPUTED_VALUE"""),513337)</f>
        <v>513337</v>
      </c>
      <c r="D173" s="12">
        <f ca="1">IFERROR(__xludf.DUMMYFUNCTION("""COMPUTED_VALUE"""),515731)</f>
        <v>515731</v>
      </c>
      <c r="E173" s="12">
        <f ca="1">IFERROR(__xludf.DUMMYFUNCTION("""COMPUTED_VALUE"""),357703)</f>
        <v>357703</v>
      </c>
      <c r="F173" s="12">
        <f ca="1">IFERROR(__xludf.DUMMYFUNCTION("""COMPUTED_VALUE"""),844718)</f>
        <v>844718</v>
      </c>
      <c r="G173" s="12">
        <f ca="1">IFERROR(__xludf.DUMMYFUNCTION("""COMPUTED_VALUE"""),366964)</f>
        <v>366964</v>
      </c>
      <c r="H173" s="12">
        <f ca="1">IFERROR(__xludf.DUMMYFUNCTION("""COMPUTED_VALUE"""),283829)</f>
        <v>283829</v>
      </c>
      <c r="I173" s="12">
        <f ca="1">IFERROR(__xludf.DUMMYFUNCTION("""COMPUTED_VALUE"""),231925)</f>
        <v>231925</v>
      </c>
      <c r="J173" s="12">
        <f ca="1">IFERROR(__xludf.DUMMYFUNCTION("""COMPUTED_VALUE"""),304938)</f>
        <v>304938</v>
      </c>
      <c r="K173" s="12">
        <f ca="1">IFERROR(__xludf.DUMMYFUNCTION("""COMPUTED_VALUE"""),506592)</f>
        <v>506592</v>
      </c>
      <c r="L173" s="12">
        <f ca="1">IFERROR(__xludf.DUMMYFUNCTION("""COMPUTED_VALUE"""),505749)</f>
        <v>505749</v>
      </c>
      <c r="M173" s="12">
        <f ca="1">IFERROR(__xludf.DUMMYFUNCTION("""COMPUTED_VALUE"""),908601)</f>
        <v>908601</v>
      </c>
      <c r="N173" s="12">
        <f ca="1">IFERROR(__xludf.DUMMYFUNCTION("""COMPUTED_VALUE"""),217884)</f>
        <v>217884</v>
      </c>
      <c r="O173" s="12">
        <f ca="1">IFERROR(__xludf.DUMMYFUNCTION("""COMPUTED_VALUE"""),591203)</f>
        <v>591203</v>
      </c>
      <c r="P173" s="12">
        <f ca="1">IFERROR(__xludf.DUMMYFUNCTION("""COMPUTED_VALUE"""),360186)</f>
        <v>360186</v>
      </c>
      <c r="Q173" s="12">
        <f ca="1">IFERROR(__xludf.DUMMYFUNCTION("""COMPUTED_VALUE"""),270461)</f>
        <v>270461</v>
      </c>
      <c r="R173" s="12">
        <f ca="1">IFERROR(__xludf.DUMMYFUNCTION("""COMPUTED_VALUE"""),340405)</f>
        <v>340405</v>
      </c>
      <c r="S173" s="12">
        <f ca="1">IFERROR(__xludf.DUMMYFUNCTION("""COMPUTED_VALUE"""),106342)</f>
        <v>106342</v>
      </c>
      <c r="T173" s="12">
        <f ca="1">IFERROR(__xludf.DUMMYFUNCTION("""COMPUTED_VALUE"""),670737)</f>
        <v>670737</v>
      </c>
      <c r="U173" s="12">
        <f ca="1">IFERROR(__xludf.DUMMYFUNCTION("""COMPUTED_VALUE"""),777979)</f>
        <v>777979</v>
      </c>
      <c r="V173" s="12">
        <f ca="1">IFERROR(__xludf.DUMMYFUNCTION("""COMPUTED_VALUE"""),524695)</f>
        <v>524695</v>
      </c>
      <c r="W173" s="12">
        <f ca="1">IFERROR(__xludf.DUMMYFUNCTION("""COMPUTED_VALUE"""),1439386)</f>
        <v>1439386</v>
      </c>
      <c r="X173" s="12">
        <f ca="1">IFERROR(__xludf.DUMMYFUNCTION("""COMPUTED_VALUE"""),1563280)</f>
        <v>1563280</v>
      </c>
      <c r="Y173" s="12">
        <f ca="1">IFERROR(__xludf.DUMMYFUNCTION("""COMPUTED_VALUE"""),625757)</f>
        <v>625757</v>
      </c>
      <c r="Z173" s="12">
        <f ca="1">IFERROR(__xludf.DUMMYFUNCTION("""COMPUTED_VALUE"""),471288)</f>
        <v>471288</v>
      </c>
      <c r="AA173" s="12">
        <f ca="1">IFERROR(__xludf.DUMMYFUNCTION("""COMPUTED_VALUE"""),579725)</f>
        <v>579725</v>
      </c>
      <c r="AB173" s="12">
        <f ca="1">IFERROR(__xludf.DUMMYFUNCTION("""COMPUTED_VALUE"""),657475)</f>
        <v>657475</v>
      </c>
      <c r="AC173" s="12">
        <f ca="1">IFERROR(__xludf.DUMMYFUNCTION("""COMPUTED_VALUE"""),637006)</f>
        <v>637006</v>
      </c>
      <c r="AD173" s="12">
        <f ca="1">IFERROR(__xludf.DUMMYFUNCTION("""COMPUTED_VALUE"""),864160)</f>
        <v>864160</v>
      </c>
      <c r="AE173" s="12">
        <f ca="1">IFERROR(__xludf.DUMMYFUNCTION("""COMPUTED_VALUE"""),895649)</f>
        <v>895649</v>
      </c>
      <c r="AF173" s="8">
        <f ca="1">IFERROR(__xludf.DUMMYFUNCTION("""COMPUTED_VALUE"""),1227340)</f>
        <v>1227340</v>
      </c>
      <c r="AG173" s="8">
        <f ca="1">IFERROR(__xludf.DUMMYFUNCTION("""COMPUTED_VALUE"""),339206)</f>
        <v>339206</v>
      </c>
      <c r="AH173" s="8">
        <f ca="1">IFERROR(__xludf.DUMMYFUNCTION("""COMPUTED_VALUE"""),786660)</f>
        <v>786660</v>
      </c>
      <c r="AI173" s="8">
        <f ca="1">IFERROR(__xludf.DUMMYFUNCTION("""COMPUTED_VALUE"""),555309)</f>
        <v>555309</v>
      </c>
      <c r="AJ173" s="8">
        <f ca="1">IFERROR(__xludf.DUMMYFUNCTION("""COMPUTED_VALUE"""),359413)</f>
        <v>359413</v>
      </c>
      <c r="AK173" s="8">
        <f ca="1">IFERROR(__xludf.DUMMYFUNCTION("""COMPUTED_VALUE"""),309033)</f>
        <v>309033</v>
      </c>
      <c r="AL173" s="8">
        <f ca="1">IFERROR(__xludf.DUMMYFUNCTION("""COMPUTED_VALUE"""),391166)</f>
        <v>391166</v>
      </c>
      <c r="AM173" s="8">
        <f ca="1">IFERROR(__xludf.DUMMYFUNCTION("""COMPUTED_VALUE"""),680983)</f>
        <v>680983</v>
      </c>
      <c r="AN173" s="8">
        <f ca="1">IFERROR(__xludf.DUMMYFUNCTION("""COMPUTED_VALUE"""),563296)</f>
        <v>563296</v>
      </c>
      <c r="AO173" s="8">
        <f ca="1">IFERROR(__xludf.DUMMYFUNCTION("""COMPUTED_VALUE"""),432196)</f>
        <v>432196</v>
      </c>
      <c r="AP173" s="8"/>
      <c r="AQ173" s="8"/>
      <c r="AR173" s="8"/>
      <c r="AS173" s="8"/>
      <c r="AT173" s="8"/>
      <c r="AU173" s="8"/>
      <c r="AV173" s="8"/>
      <c r="AW173" s="8"/>
      <c r="AX173" s="8"/>
      <c r="AY173" s="8"/>
    </row>
    <row r="174" spans="1:51" ht="13.2" x14ac:dyDescent="0.25">
      <c r="A174" s="12" t="str">
        <f ca="1">IFERROR(__xludf.DUMMYFUNCTION("""COMPUTED_VALUE"""),"                  right Frontal pole, cerebral cortex")</f>
        <v xml:space="preserve">                  right Frontal pole, cerebral cortex</v>
      </c>
      <c r="B174" s="12">
        <f ca="1">IFERROR(__xludf.DUMMYFUNCTION("""COMPUTED_VALUE"""),867)</f>
        <v>867</v>
      </c>
      <c r="C174" s="12">
        <f ca="1">IFERROR(__xludf.DUMMYFUNCTION("""COMPUTED_VALUE"""),682)</f>
        <v>682</v>
      </c>
      <c r="D174" s="12">
        <f ca="1">IFERROR(__xludf.DUMMYFUNCTION("""COMPUTED_VALUE"""),2585)</f>
        <v>2585</v>
      </c>
      <c r="E174" s="12">
        <f ca="1">IFERROR(__xludf.DUMMYFUNCTION("""COMPUTED_VALUE"""),1081)</f>
        <v>1081</v>
      </c>
      <c r="F174" s="12">
        <f ca="1">IFERROR(__xludf.DUMMYFUNCTION("""COMPUTED_VALUE"""),4794)</f>
        <v>4794</v>
      </c>
      <c r="G174" s="12">
        <f ca="1">IFERROR(__xludf.DUMMYFUNCTION("""COMPUTED_VALUE"""),1741)</f>
        <v>1741</v>
      </c>
      <c r="H174" s="12">
        <f ca="1">IFERROR(__xludf.DUMMYFUNCTION("""COMPUTED_VALUE"""),567)</f>
        <v>567</v>
      </c>
      <c r="I174" s="12">
        <f ca="1">IFERROR(__xludf.DUMMYFUNCTION("""COMPUTED_VALUE"""),860)</f>
        <v>860</v>
      </c>
      <c r="J174" s="12">
        <f ca="1">IFERROR(__xludf.DUMMYFUNCTION("""COMPUTED_VALUE"""),699)</f>
        <v>699</v>
      </c>
      <c r="K174" s="12">
        <f ca="1">IFERROR(__xludf.DUMMYFUNCTION("""COMPUTED_VALUE"""),4504)</f>
        <v>4504</v>
      </c>
      <c r="L174" s="12">
        <f ca="1">IFERROR(__xludf.DUMMYFUNCTION("""COMPUTED_VALUE"""),4133)</f>
        <v>4133</v>
      </c>
      <c r="M174" s="12">
        <f ca="1">IFERROR(__xludf.DUMMYFUNCTION("""COMPUTED_VALUE"""),3218)</f>
        <v>3218</v>
      </c>
      <c r="N174" s="12">
        <f ca="1">IFERROR(__xludf.DUMMYFUNCTION("""COMPUTED_VALUE"""),1436)</f>
        <v>1436</v>
      </c>
      <c r="O174" s="12">
        <f ca="1">IFERROR(__xludf.DUMMYFUNCTION("""COMPUTED_VALUE"""),442)</f>
        <v>442</v>
      </c>
      <c r="P174" s="12">
        <f ca="1">IFERROR(__xludf.DUMMYFUNCTION("""COMPUTED_VALUE"""),1274)</f>
        <v>1274</v>
      </c>
      <c r="Q174" s="12">
        <f ca="1">IFERROR(__xludf.DUMMYFUNCTION("""COMPUTED_VALUE"""),428)</f>
        <v>428</v>
      </c>
      <c r="R174" s="12">
        <f ca="1">IFERROR(__xludf.DUMMYFUNCTION("""COMPUTED_VALUE"""),1219)</f>
        <v>1219</v>
      </c>
      <c r="S174" s="12">
        <f ca="1">IFERROR(__xludf.DUMMYFUNCTION("""COMPUTED_VALUE"""),79)</f>
        <v>79</v>
      </c>
      <c r="T174" s="12">
        <f ca="1">IFERROR(__xludf.DUMMYFUNCTION("""COMPUTED_VALUE"""),5197)</f>
        <v>5197</v>
      </c>
      <c r="U174" s="12">
        <f ca="1">IFERROR(__xludf.DUMMYFUNCTION("""COMPUTED_VALUE"""),4693)</f>
        <v>4693</v>
      </c>
      <c r="V174" s="12">
        <f ca="1">IFERROR(__xludf.DUMMYFUNCTION("""COMPUTED_VALUE"""),997)</f>
        <v>997</v>
      </c>
      <c r="W174" s="12">
        <f ca="1">IFERROR(__xludf.DUMMYFUNCTION("""COMPUTED_VALUE"""),7435)</f>
        <v>7435</v>
      </c>
      <c r="X174" s="12">
        <f ca="1">IFERROR(__xludf.DUMMYFUNCTION("""COMPUTED_VALUE"""),7712)</f>
        <v>7712</v>
      </c>
      <c r="Y174" s="12">
        <f ca="1">IFERROR(__xludf.DUMMYFUNCTION("""COMPUTED_VALUE"""),1602)</f>
        <v>1602</v>
      </c>
      <c r="Z174" s="12">
        <f ca="1">IFERROR(__xludf.DUMMYFUNCTION("""COMPUTED_VALUE"""),1117)</f>
        <v>1117</v>
      </c>
      <c r="AA174" s="12">
        <f ca="1">IFERROR(__xludf.DUMMYFUNCTION("""COMPUTED_VALUE"""),1736)</f>
        <v>1736</v>
      </c>
      <c r="AB174" s="12">
        <f ca="1">IFERROR(__xludf.DUMMYFUNCTION("""COMPUTED_VALUE"""),4591)</f>
        <v>4591</v>
      </c>
      <c r="AC174" s="12">
        <f ca="1">IFERROR(__xludf.DUMMYFUNCTION("""COMPUTED_VALUE"""),3784)</f>
        <v>3784</v>
      </c>
      <c r="AD174" s="12">
        <f ca="1">IFERROR(__xludf.DUMMYFUNCTION("""COMPUTED_VALUE"""),8536)</f>
        <v>8536</v>
      </c>
      <c r="AE174" s="12">
        <f ca="1">IFERROR(__xludf.DUMMYFUNCTION("""COMPUTED_VALUE"""),10287)</f>
        <v>10287</v>
      </c>
      <c r="AF174" s="8">
        <f ca="1">IFERROR(__xludf.DUMMYFUNCTION("""COMPUTED_VALUE"""),6996)</f>
        <v>6996</v>
      </c>
      <c r="AG174" s="8">
        <f ca="1">IFERROR(__xludf.DUMMYFUNCTION("""COMPUTED_VALUE"""),759)</f>
        <v>759</v>
      </c>
      <c r="AH174" s="8">
        <f ca="1">IFERROR(__xludf.DUMMYFUNCTION("""COMPUTED_VALUE"""),4740)</f>
        <v>4740</v>
      </c>
      <c r="AI174" s="8">
        <f ca="1">IFERROR(__xludf.DUMMYFUNCTION("""COMPUTED_VALUE"""),1662)</f>
        <v>1662</v>
      </c>
      <c r="AJ174" s="8">
        <f ca="1">IFERROR(__xludf.DUMMYFUNCTION("""COMPUTED_VALUE"""),1747)</f>
        <v>1747</v>
      </c>
      <c r="AK174" s="8">
        <f ca="1">IFERROR(__xludf.DUMMYFUNCTION("""COMPUTED_VALUE"""),9175)</f>
        <v>9175</v>
      </c>
      <c r="AL174" s="8">
        <f ca="1">IFERROR(__xludf.DUMMYFUNCTION("""COMPUTED_VALUE"""),1701)</f>
        <v>1701</v>
      </c>
      <c r="AM174" s="8">
        <f ca="1">IFERROR(__xludf.DUMMYFUNCTION("""COMPUTED_VALUE"""),4154)</f>
        <v>4154</v>
      </c>
      <c r="AN174" s="8">
        <f ca="1">IFERROR(__xludf.DUMMYFUNCTION("""COMPUTED_VALUE"""),2572)</f>
        <v>2572</v>
      </c>
      <c r="AO174" s="8">
        <f ca="1">IFERROR(__xludf.DUMMYFUNCTION("""COMPUTED_VALUE"""),1330)</f>
        <v>1330</v>
      </c>
      <c r="AP174" s="8"/>
      <c r="AQ174" s="8"/>
      <c r="AR174" s="8"/>
      <c r="AS174" s="8"/>
      <c r="AT174" s="8"/>
      <c r="AU174" s="8"/>
      <c r="AV174" s="8"/>
      <c r="AW174" s="8"/>
      <c r="AX174" s="8"/>
      <c r="AY174" s="8"/>
    </row>
    <row r="175" spans="1:51" ht="13.2" x14ac:dyDescent="0.25">
      <c r="A175" s="12" t="str">
        <f ca="1">IFERROR(__xludf.DUMMYFUNCTION("""COMPUTED_VALUE"""),"                  right Somatomotor areas")</f>
        <v xml:space="preserve">                  right Somatomotor areas</v>
      </c>
      <c r="B175" s="12">
        <f ca="1">IFERROR(__xludf.DUMMYFUNCTION("""COMPUTED_VALUE"""),20428)</f>
        <v>20428</v>
      </c>
      <c r="C175" s="12">
        <f ca="1">IFERROR(__xludf.DUMMYFUNCTION("""COMPUTED_VALUE"""),29765)</f>
        <v>29765</v>
      </c>
      <c r="D175" s="12">
        <f ca="1">IFERROR(__xludf.DUMMYFUNCTION("""COMPUTED_VALUE"""),94564)</f>
        <v>94564</v>
      </c>
      <c r="E175" s="12">
        <f ca="1">IFERROR(__xludf.DUMMYFUNCTION("""COMPUTED_VALUE"""),32521)</f>
        <v>32521</v>
      </c>
      <c r="F175" s="12">
        <f ca="1">IFERROR(__xludf.DUMMYFUNCTION("""COMPUTED_VALUE"""),135214)</f>
        <v>135214</v>
      </c>
      <c r="G175" s="12">
        <f ca="1">IFERROR(__xludf.DUMMYFUNCTION("""COMPUTED_VALUE"""),49605)</f>
        <v>49605</v>
      </c>
      <c r="H175" s="12">
        <f ca="1">IFERROR(__xludf.DUMMYFUNCTION("""COMPUTED_VALUE"""),39438)</f>
        <v>39438</v>
      </c>
      <c r="I175" s="12">
        <f ca="1">IFERROR(__xludf.DUMMYFUNCTION("""COMPUTED_VALUE"""),24136)</f>
        <v>24136</v>
      </c>
      <c r="J175" s="12">
        <f ca="1">IFERROR(__xludf.DUMMYFUNCTION("""COMPUTED_VALUE"""),14840)</f>
        <v>14840</v>
      </c>
      <c r="K175" s="12">
        <f ca="1">IFERROR(__xludf.DUMMYFUNCTION("""COMPUTED_VALUE"""),56873)</f>
        <v>56873</v>
      </c>
      <c r="L175" s="12">
        <f ca="1">IFERROR(__xludf.DUMMYFUNCTION("""COMPUTED_VALUE"""),91166)</f>
        <v>91166</v>
      </c>
      <c r="M175" s="12">
        <f ca="1">IFERROR(__xludf.DUMMYFUNCTION("""COMPUTED_VALUE"""),134016)</f>
        <v>134016</v>
      </c>
      <c r="N175" s="12">
        <f ca="1">IFERROR(__xludf.DUMMYFUNCTION("""COMPUTED_VALUE"""),49650)</f>
        <v>49650</v>
      </c>
      <c r="O175" s="12">
        <f ca="1">IFERROR(__xludf.DUMMYFUNCTION("""COMPUTED_VALUE"""),31501)</f>
        <v>31501</v>
      </c>
      <c r="P175" s="12">
        <f ca="1">IFERROR(__xludf.DUMMYFUNCTION("""COMPUTED_VALUE"""),26940)</f>
        <v>26940</v>
      </c>
      <c r="Q175" s="12">
        <f ca="1">IFERROR(__xludf.DUMMYFUNCTION("""COMPUTED_VALUE"""),24464)</f>
        <v>24464</v>
      </c>
      <c r="R175" s="12">
        <f ca="1">IFERROR(__xludf.DUMMYFUNCTION("""COMPUTED_VALUE"""),18464)</f>
        <v>18464</v>
      </c>
      <c r="S175" s="12">
        <f ca="1">IFERROR(__xludf.DUMMYFUNCTION("""COMPUTED_VALUE"""),3733)</f>
        <v>3733</v>
      </c>
      <c r="T175" s="12">
        <f ca="1">IFERROR(__xludf.DUMMYFUNCTION("""COMPUTED_VALUE"""),102676)</f>
        <v>102676</v>
      </c>
      <c r="U175" s="12">
        <f ca="1">IFERROR(__xludf.DUMMYFUNCTION("""COMPUTED_VALUE"""),111213)</f>
        <v>111213</v>
      </c>
      <c r="V175" s="12">
        <f ca="1">IFERROR(__xludf.DUMMYFUNCTION("""COMPUTED_VALUE"""),43407)</f>
        <v>43407</v>
      </c>
      <c r="W175" s="12">
        <f ca="1">IFERROR(__xludf.DUMMYFUNCTION("""COMPUTED_VALUE"""),246122)</f>
        <v>246122</v>
      </c>
      <c r="X175" s="12">
        <f ca="1">IFERROR(__xludf.DUMMYFUNCTION("""COMPUTED_VALUE"""),266044)</f>
        <v>266044</v>
      </c>
      <c r="Y175" s="12">
        <f ca="1">IFERROR(__xludf.DUMMYFUNCTION("""COMPUTED_VALUE"""),79153)</f>
        <v>79153</v>
      </c>
      <c r="Z175" s="12">
        <f ca="1">IFERROR(__xludf.DUMMYFUNCTION("""COMPUTED_VALUE"""),55406)</f>
        <v>55406</v>
      </c>
      <c r="AA175" s="12">
        <f ca="1">IFERROR(__xludf.DUMMYFUNCTION("""COMPUTED_VALUE"""),42041)</f>
        <v>42041</v>
      </c>
      <c r="AB175" s="12">
        <f ca="1">IFERROR(__xludf.DUMMYFUNCTION("""COMPUTED_VALUE"""),65135)</f>
        <v>65135</v>
      </c>
      <c r="AC175" s="12">
        <f ca="1">IFERROR(__xludf.DUMMYFUNCTION("""COMPUTED_VALUE"""),65066)</f>
        <v>65066</v>
      </c>
      <c r="AD175" s="12">
        <f ca="1">IFERROR(__xludf.DUMMYFUNCTION("""COMPUTED_VALUE"""),128581)</f>
        <v>128581</v>
      </c>
      <c r="AE175" s="12">
        <f ca="1">IFERROR(__xludf.DUMMYFUNCTION("""COMPUTED_VALUE"""),156028)</f>
        <v>156028</v>
      </c>
      <c r="AF175" s="8">
        <f ca="1">IFERROR(__xludf.DUMMYFUNCTION("""COMPUTED_VALUE"""),137576)</f>
        <v>137576</v>
      </c>
      <c r="AG175" s="8">
        <f ca="1">IFERROR(__xludf.DUMMYFUNCTION("""COMPUTED_VALUE"""),24143)</f>
        <v>24143</v>
      </c>
      <c r="AH175" s="8">
        <f ca="1">IFERROR(__xludf.DUMMYFUNCTION("""COMPUTED_VALUE"""),115400)</f>
        <v>115400</v>
      </c>
      <c r="AI175" s="8">
        <f ca="1">IFERROR(__xludf.DUMMYFUNCTION("""COMPUTED_VALUE"""),91493)</f>
        <v>91493</v>
      </c>
      <c r="AJ175" s="8">
        <f ca="1">IFERROR(__xludf.DUMMYFUNCTION("""COMPUTED_VALUE"""),29641)</f>
        <v>29641</v>
      </c>
      <c r="AK175" s="8">
        <f ca="1">IFERROR(__xludf.DUMMYFUNCTION("""COMPUTED_VALUE"""),65664)</f>
        <v>65664</v>
      </c>
      <c r="AL175" s="8">
        <f ca="1">IFERROR(__xludf.DUMMYFUNCTION("""COMPUTED_VALUE"""),71693)</f>
        <v>71693</v>
      </c>
      <c r="AM175" s="8">
        <f ca="1">IFERROR(__xludf.DUMMYFUNCTION("""COMPUTED_VALUE"""),84472)</f>
        <v>84472</v>
      </c>
      <c r="AN175" s="8">
        <f ca="1">IFERROR(__xludf.DUMMYFUNCTION("""COMPUTED_VALUE"""),63747)</f>
        <v>63747</v>
      </c>
      <c r="AO175" s="8">
        <f ca="1">IFERROR(__xludf.DUMMYFUNCTION("""COMPUTED_VALUE"""),49915)</f>
        <v>49915</v>
      </c>
      <c r="AP175" s="8"/>
      <c r="AQ175" s="8"/>
      <c r="AR175" s="8"/>
      <c r="AS175" s="8"/>
      <c r="AT175" s="8"/>
      <c r="AU175" s="8"/>
      <c r="AV175" s="8"/>
      <c r="AW175" s="8"/>
      <c r="AX175" s="8"/>
      <c r="AY175" s="8"/>
    </row>
    <row r="176" spans="1:51" ht="13.2" x14ac:dyDescent="0.25">
      <c r="A176" s="12" t="str">
        <f ca="1">IFERROR(__xludf.DUMMYFUNCTION("""COMPUTED_VALUE"""),"                     right Primary motor area")</f>
        <v xml:space="preserve">                     right Primary motor area</v>
      </c>
      <c r="B176" s="12">
        <f ca="1">IFERROR(__xludf.DUMMYFUNCTION("""COMPUTED_VALUE"""),8706)</f>
        <v>8706</v>
      </c>
      <c r="C176" s="12">
        <f ca="1">IFERROR(__xludf.DUMMYFUNCTION("""COMPUTED_VALUE"""),16733)</f>
        <v>16733</v>
      </c>
      <c r="D176" s="12">
        <f ca="1">IFERROR(__xludf.DUMMYFUNCTION("""COMPUTED_VALUE"""),48668)</f>
        <v>48668</v>
      </c>
      <c r="E176" s="12">
        <f ca="1">IFERROR(__xludf.DUMMYFUNCTION("""COMPUTED_VALUE"""),16641)</f>
        <v>16641</v>
      </c>
      <c r="F176" s="12">
        <f ca="1">IFERROR(__xludf.DUMMYFUNCTION("""COMPUTED_VALUE"""),68119)</f>
        <v>68119</v>
      </c>
      <c r="G176" s="12">
        <f ca="1">IFERROR(__xludf.DUMMYFUNCTION("""COMPUTED_VALUE"""),27909)</f>
        <v>27909</v>
      </c>
      <c r="H176" s="12">
        <f ca="1">IFERROR(__xludf.DUMMYFUNCTION("""COMPUTED_VALUE"""),21230)</f>
        <v>21230</v>
      </c>
      <c r="I176" s="12">
        <f ca="1">IFERROR(__xludf.DUMMYFUNCTION("""COMPUTED_VALUE"""),11814)</f>
        <v>11814</v>
      </c>
      <c r="J176" s="12">
        <f ca="1">IFERROR(__xludf.DUMMYFUNCTION("""COMPUTED_VALUE"""),8203)</f>
        <v>8203</v>
      </c>
      <c r="K176" s="12">
        <f ca="1">IFERROR(__xludf.DUMMYFUNCTION("""COMPUTED_VALUE"""),25451)</f>
        <v>25451</v>
      </c>
      <c r="L176" s="12">
        <f ca="1">IFERROR(__xludf.DUMMYFUNCTION("""COMPUTED_VALUE"""),45332)</f>
        <v>45332</v>
      </c>
      <c r="M176" s="12">
        <f ca="1">IFERROR(__xludf.DUMMYFUNCTION("""COMPUTED_VALUE"""),68462)</f>
        <v>68462</v>
      </c>
      <c r="N176" s="12">
        <f ca="1">IFERROR(__xludf.DUMMYFUNCTION("""COMPUTED_VALUE"""),27118)</f>
        <v>27118</v>
      </c>
      <c r="O176" s="12">
        <f ca="1">IFERROR(__xludf.DUMMYFUNCTION("""COMPUTED_VALUE"""),14141)</f>
        <v>14141</v>
      </c>
      <c r="P176" s="12">
        <f ca="1">IFERROR(__xludf.DUMMYFUNCTION("""COMPUTED_VALUE"""),12545)</f>
        <v>12545</v>
      </c>
      <c r="Q176" s="12">
        <f ca="1">IFERROR(__xludf.DUMMYFUNCTION("""COMPUTED_VALUE"""),11923)</f>
        <v>11923</v>
      </c>
      <c r="R176" s="12">
        <f ca="1">IFERROR(__xludf.DUMMYFUNCTION("""COMPUTED_VALUE"""),8415)</f>
        <v>8415</v>
      </c>
      <c r="S176" s="12">
        <f ca="1">IFERROR(__xludf.DUMMYFUNCTION("""COMPUTED_VALUE"""),871)</f>
        <v>871</v>
      </c>
      <c r="T176" s="12">
        <f ca="1">IFERROR(__xludf.DUMMYFUNCTION("""COMPUTED_VALUE"""),28282)</f>
        <v>28282</v>
      </c>
      <c r="U176" s="12">
        <f ca="1">IFERROR(__xludf.DUMMYFUNCTION("""COMPUTED_VALUE"""),51083)</f>
        <v>51083</v>
      </c>
      <c r="V176" s="12">
        <f ca="1">IFERROR(__xludf.DUMMYFUNCTION("""COMPUTED_VALUE"""),15351)</f>
        <v>15351</v>
      </c>
      <c r="W176" s="12">
        <f ca="1">IFERROR(__xludf.DUMMYFUNCTION("""COMPUTED_VALUE"""),105977)</f>
        <v>105977</v>
      </c>
      <c r="X176" s="12">
        <f ca="1">IFERROR(__xludf.DUMMYFUNCTION("""COMPUTED_VALUE"""),129888)</f>
        <v>129888</v>
      </c>
      <c r="Y176" s="12">
        <f ca="1">IFERROR(__xludf.DUMMYFUNCTION("""COMPUTED_VALUE"""),40091)</f>
        <v>40091</v>
      </c>
      <c r="Z176" s="12">
        <f ca="1">IFERROR(__xludf.DUMMYFUNCTION("""COMPUTED_VALUE"""),32772)</f>
        <v>32772</v>
      </c>
      <c r="AA176" s="12">
        <f ca="1">IFERROR(__xludf.DUMMYFUNCTION("""COMPUTED_VALUE"""),11139)</f>
        <v>11139</v>
      </c>
      <c r="AB176" s="12">
        <f ca="1">IFERROR(__xludf.DUMMYFUNCTION("""COMPUTED_VALUE"""),29239)</f>
        <v>29239</v>
      </c>
      <c r="AC176" s="12">
        <f ca="1">IFERROR(__xludf.DUMMYFUNCTION("""COMPUTED_VALUE"""),18239)</f>
        <v>18239</v>
      </c>
      <c r="AD176" s="12">
        <f ca="1">IFERROR(__xludf.DUMMYFUNCTION("""COMPUTED_VALUE"""),51003)</f>
        <v>51003</v>
      </c>
      <c r="AE176" s="12">
        <f ca="1">IFERROR(__xludf.DUMMYFUNCTION("""COMPUTED_VALUE"""),54522)</f>
        <v>54522</v>
      </c>
      <c r="AF176" s="8">
        <f ca="1">IFERROR(__xludf.DUMMYFUNCTION("""COMPUTED_VALUE"""),54533)</f>
        <v>54533</v>
      </c>
      <c r="AG176" s="8">
        <f ca="1">IFERROR(__xludf.DUMMYFUNCTION("""COMPUTED_VALUE"""),11201)</f>
        <v>11201</v>
      </c>
      <c r="AH176" s="8">
        <f ca="1">IFERROR(__xludf.DUMMYFUNCTION("""COMPUTED_VALUE"""),58932)</f>
        <v>58932</v>
      </c>
      <c r="AI176" s="8">
        <f ca="1">IFERROR(__xludf.DUMMYFUNCTION("""COMPUTED_VALUE"""),52800)</f>
        <v>52800</v>
      </c>
      <c r="AJ176" s="8">
        <f ca="1">IFERROR(__xludf.DUMMYFUNCTION("""COMPUTED_VALUE"""),10682)</f>
        <v>10682</v>
      </c>
      <c r="AK176" s="8">
        <f ca="1">IFERROR(__xludf.DUMMYFUNCTION("""COMPUTED_VALUE"""),18049)</f>
        <v>18049</v>
      </c>
      <c r="AL176" s="8">
        <f ca="1">IFERROR(__xludf.DUMMYFUNCTION("""COMPUTED_VALUE"""),27457)</f>
        <v>27457</v>
      </c>
      <c r="AM176" s="8">
        <f ca="1">IFERROR(__xludf.DUMMYFUNCTION("""COMPUTED_VALUE"""),29572)</f>
        <v>29572</v>
      </c>
      <c r="AN176" s="8">
        <f ca="1">IFERROR(__xludf.DUMMYFUNCTION("""COMPUTED_VALUE"""),33435)</f>
        <v>33435</v>
      </c>
      <c r="AO176" s="8">
        <f ca="1">IFERROR(__xludf.DUMMYFUNCTION("""COMPUTED_VALUE"""),22461)</f>
        <v>22461</v>
      </c>
      <c r="AP176" s="8"/>
      <c r="AQ176" s="8"/>
      <c r="AR176" s="8"/>
      <c r="AS176" s="8"/>
      <c r="AT176" s="8"/>
      <c r="AU176" s="8"/>
      <c r="AV176" s="8"/>
      <c r="AW176" s="8"/>
      <c r="AX176" s="8"/>
      <c r="AY176" s="8"/>
    </row>
    <row r="177" spans="1:51" ht="13.2" x14ac:dyDescent="0.25">
      <c r="A177" s="12" t="str">
        <f ca="1">IFERROR(__xludf.DUMMYFUNCTION("""COMPUTED_VALUE"""),"                     right Secondary motor area")</f>
        <v xml:space="preserve">                     right Secondary motor area</v>
      </c>
      <c r="B177" s="12">
        <f ca="1">IFERROR(__xludf.DUMMYFUNCTION("""COMPUTED_VALUE"""),11722)</f>
        <v>11722</v>
      </c>
      <c r="C177" s="12">
        <f ca="1">IFERROR(__xludf.DUMMYFUNCTION("""COMPUTED_VALUE"""),13032)</f>
        <v>13032</v>
      </c>
      <c r="D177" s="12">
        <f ca="1">IFERROR(__xludf.DUMMYFUNCTION("""COMPUTED_VALUE"""),45896)</f>
        <v>45896</v>
      </c>
      <c r="E177" s="12">
        <f ca="1">IFERROR(__xludf.DUMMYFUNCTION("""COMPUTED_VALUE"""),15880)</f>
        <v>15880</v>
      </c>
      <c r="F177" s="12">
        <f ca="1">IFERROR(__xludf.DUMMYFUNCTION("""COMPUTED_VALUE"""),67095)</f>
        <v>67095</v>
      </c>
      <c r="G177" s="12">
        <f ca="1">IFERROR(__xludf.DUMMYFUNCTION("""COMPUTED_VALUE"""),21696)</f>
        <v>21696</v>
      </c>
      <c r="H177" s="12">
        <f ca="1">IFERROR(__xludf.DUMMYFUNCTION("""COMPUTED_VALUE"""),18208)</f>
        <v>18208</v>
      </c>
      <c r="I177" s="12">
        <f ca="1">IFERROR(__xludf.DUMMYFUNCTION("""COMPUTED_VALUE"""),12322)</f>
        <v>12322</v>
      </c>
      <c r="J177" s="12">
        <f ca="1">IFERROR(__xludf.DUMMYFUNCTION("""COMPUTED_VALUE"""),6637)</f>
        <v>6637</v>
      </c>
      <c r="K177" s="12">
        <f ca="1">IFERROR(__xludf.DUMMYFUNCTION("""COMPUTED_VALUE"""),31422)</f>
        <v>31422</v>
      </c>
      <c r="L177" s="12">
        <f ca="1">IFERROR(__xludf.DUMMYFUNCTION("""COMPUTED_VALUE"""),45834)</f>
        <v>45834</v>
      </c>
      <c r="M177" s="12">
        <f ca="1">IFERROR(__xludf.DUMMYFUNCTION("""COMPUTED_VALUE"""),65554)</f>
        <v>65554</v>
      </c>
      <c r="N177" s="12">
        <f ca="1">IFERROR(__xludf.DUMMYFUNCTION("""COMPUTED_VALUE"""),22532)</f>
        <v>22532</v>
      </c>
      <c r="O177" s="12">
        <f ca="1">IFERROR(__xludf.DUMMYFUNCTION("""COMPUTED_VALUE"""),17360)</f>
        <v>17360</v>
      </c>
      <c r="P177" s="12">
        <f ca="1">IFERROR(__xludf.DUMMYFUNCTION("""COMPUTED_VALUE"""),14395)</f>
        <v>14395</v>
      </c>
      <c r="Q177" s="12">
        <f ca="1">IFERROR(__xludf.DUMMYFUNCTION("""COMPUTED_VALUE"""),12541)</f>
        <v>12541</v>
      </c>
      <c r="R177" s="12">
        <f ca="1">IFERROR(__xludf.DUMMYFUNCTION("""COMPUTED_VALUE"""),10049)</f>
        <v>10049</v>
      </c>
      <c r="S177" s="12">
        <f ca="1">IFERROR(__xludf.DUMMYFUNCTION("""COMPUTED_VALUE"""),2862)</f>
        <v>2862</v>
      </c>
      <c r="T177" s="12">
        <f ca="1">IFERROR(__xludf.DUMMYFUNCTION("""COMPUTED_VALUE"""),74394)</f>
        <v>74394</v>
      </c>
      <c r="U177" s="12">
        <f ca="1">IFERROR(__xludf.DUMMYFUNCTION("""COMPUTED_VALUE"""),60130)</f>
        <v>60130</v>
      </c>
      <c r="V177" s="12">
        <f ca="1">IFERROR(__xludf.DUMMYFUNCTION("""COMPUTED_VALUE"""),28056)</f>
        <v>28056</v>
      </c>
      <c r="W177" s="12">
        <f ca="1">IFERROR(__xludf.DUMMYFUNCTION("""COMPUTED_VALUE"""),140145)</f>
        <v>140145</v>
      </c>
      <c r="X177" s="12">
        <f ca="1">IFERROR(__xludf.DUMMYFUNCTION("""COMPUTED_VALUE"""),136156)</f>
        <v>136156</v>
      </c>
      <c r="Y177" s="12">
        <f ca="1">IFERROR(__xludf.DUMMYFUNCTION("""COMPUTED_VALUE"""),39062)</f>
        <v>39062</v>
      </c>
      <c r="Z177" s="12">
        <f ca="1">IFERROR(__xludf.DUMMYFUNCTION("""COMPUTED_VALUE"""),22634)</f>
        <v>22634</v>
      </c>
      <c r="AA177" s="12">
        <f ca="1">IFERROR(__xludf.DUMMYFUNCTION("""COMPUTED_VALUE"""),30902)</f>
        <v>30902</v>
      </c>
      <c r="AB177" s="12">
        <f ca="1">IFERROR(__xludf.DUMMYFUNCTION("""COMPUTED_VALUE"""),35896)</f>
        <v>35896</v>
      </c>
      <c r="AC177" s="12">
        <f ca="1">IFERROR(__xludf.DUMMYFUNCTION("""COMPUTED_VALUE"""),46827)</f>
        <v>46827</v>
      </c>
      <c r="AD177" s="12">
        <f ca="1">IFERROR(__xludf.DUMMYFUNCTION("""COMPUTED_VALUE"""),77578)</f>
        <v>77578</v>
      </c>
      <c r="AE177" s="12">
        <f ca="1">IFERROR(__xludf.DUMMYFUNCTION("""COMPUTED_VALUE"""),101506)</f>
        <v>101506</v>
      </c>
      <c r="AF177" s="8">
        <f ca="1">IFERROR(__xludf.DUMMYFUNCTION("""COMPUTED_VALUE"""),83043)</f>
        <v>83043</v>
      </c>
      <c r="AG177" s="8">
        <f ca="1">IFERROR(__xludf.DUMMYFUNCTION("""COMPUTED_VALUE"""),12942)</f>
        <v>12942</v>
      </c>
      <c r="AH177" s="8">
        <f ca="1">IFERROR(__xludf.DUMMYFUNCTION("""COMPUTED_VALUE"""),56468)</f>
        <v>56468</v>
      </c>
      <c r="AI177" s="8">
        <f ca="1">IFERROR(__xludf.DUMMYFUNCTION("""COMPUTED_VALUE"""),38693)</f>
        <v>38693</v>
      </c>
      <c r="AJ177" s="8">
        <f ca="1">IFERROR(__xludf.DUMMYFUNCTION("""COMPUTED_VALUE"""),18959)</f>
        <v>18959</v>
      </c>
      <c r="AK177" s="8">
        <f ca="1">IFERROR(__xludf.DUMMYFUNCTION("""COMPUTED_VALUE"""),47615)</f>
        <v>47615</v>
      </c>
      <c r="AL177" s="8">
        <f ca="1">IFERROR(__xludf.DUMMYFUNCTION("""COMPUTED_VALUE"""),44236)</f>
        <v>44236</v>
      </c>
      <c r="AM177" s="8">
        <f ca="1">IFERROR(__xludf.DUMMYFUNCTION("""COMPUTED_VALUE"""),54900)</f>
        <v>54900</v>
      </c>
      <c r="AN177" s="8">
        <f ca="1">IFERROR(__xludf.DUMMYFUNCTION("""COMPUTED_VALUE"""),30312)</f>
        <v>30312</v>
      </c>
      <c r="AO177" s="8">
        <f ca="1">IFERROR(__xludf.DUMMYFUNCTION("""COMPUTED_VALUE"""),27454)</f>
        <v>27454</v>
      </c>
      <c r="AP177" s="8"/>
      <c r="AQ177" s="8"/>
      <c r="AR177" s="8"/>
      <c r="AS177" s="8"/>
      <c r="AT177" s="8"/>
      <c r="AU177" s="8"/>
      <c r="AV177" s="8"/>
      <c r="AW177" s="8"/>
      <c r="AX177" s="8"/>
      <c r="AY177" s="8"/>
    </row>
    <row r="178" spans="1:51" ht="13.2" x14ac:dyDescent="0.25">
      <c r="A178" s="12" t="str">
        <f ca="1">IFERROR(__xludf.DUMMYFUNCTION("""COMPUTED_VALUE"""),"                  right Somatosensory areas")</f>
        <v xml:space="preserve">                  right Somatosensory areas</v>
      </c>
      <c r="B178" s="12">
        <f ca="1">IFERROR(__xludf.DUMMYFUNCTION("""COMPUTED_VALUE"""),40125)</f>
        <v>40125</v>
      </c>
      <c r="C178" s="12">
        <f ca="1">IFERROR(__xludf.DUMMYFUNCTION("""COMPUTED_VALUE"""),98792)</f>
        <v>98792</v>
      </c>
      <c r="D178" s="12">
        <f ca="1">IFERROR(__xludf.DUMMYFUNCTION("""COMPUTED_VALUE"""),188015)</f>
        <v>188015</v>
      </c>
      <c r="E178" s="12">
        <f ca="1">IFERROR(__xludf.DUMMYFUNCTION("""COMPUTED_VALUE"""),66806)</f>
        <v>66806</v>
      </c>
      <c r="F178" s="12">
        <f ca="1">IFERROR(__xludf.DUMMYFUNCTION("""COMPUTED_VALUE"""),289837)</f>
        <v>289837</v>
      </c>
      <c r="G178" s="12">
        <f ca="1">IFERROR(__xludf.DUMMYFUNCTION("""COMPUTED_VALUE"""),94387)</f>
        <v>94387</v>
      </c>
      <c r="H178" s="12">
        <f ca="1">IFERROR(__xludf.DUMMYFUNCTION("""COMPUTED_VALUE"""),64454)</f>
        <v>64454</v>
      </c>
      <c r="I178" s="12">
        <f ca="1">IFERROR(__xludf.DUMMYFUNCTION("""COMPUTED_VALUE"""),37305)</f>
        <v>37305</v>
      </c>
      <c r="J178" s="12">
        <f ca="1">IFERROR(__xludf.DUMMYFUNCTION("""COMPUTED_VALUE"""),42042)</f>
        <v>42042</v>
      </c>
      <c r="K178" s="12">
        <f ca="1">IFERROR(__xludf.DUMMYFUNCTION("""COMPUTED_VALUE"""),126939)</f>
        <v>126939</v>
      </c>
      <c r="L178" s="12">
        <f ca="1">IFERROR(__xludf.DUMMYFUNCTION("""COMPUTED_VALUE"""),136156)</f>
        <v>136156</v>
      </c>
      <c r="M178" s="12">
        <f ca="1">IFERROR(__xludf.DUMMYFUNCTION("""COMPUTED_VALUE"""),267247)</f>
        <v>267247</v>
      </c>
      <c r="N178" s="12">
        <f ca="1">IFERROR(__xludf.DUMMYFUNCTION("""COMPUTED_VALUE"""),41922)</f>
        <v>41922</v>
      </c>
      <c r="O178" s="12">
        <f ca="1">IFERROR(__xludf.DUMMYFUNCTION("""COMPUTED_VALUE"""),119139)</f>
        <v>119139</v>
      </c>
      <c r="P178" s="12">
        <f ca="1">IFERROR(__xludf.DUMMYFUNCTION("""COMPUTED_VALUE"""),64143)</f>
        <v>64143</v>
      </c>
      <c r="Q178" s="12">
        <f ca="1">IFERROR(__xludf.DUMMYFUNCTION("""COMPUTED_VALUE"""),40071)</f>
        <v>40071</v>
      </c>
      <c r="R178" s="12">
        <f ca="1">IFERROR(__xludf.DUMMYFUNCTION("""COMPUTED_VALUE"""),43491)</f>
        <v>43491</v>
      </c>
      <c r="S178" s="12">
        <f ca="1">IFERROR(__xludf.DUMMYFUNCTION("""COMPUTED_VALUE"""),5004)</f>
        <v>5004</v>
      </c>
      <c r="T178" s="12">
        <f ca="1">IFERROR(__xludf.DUMMYFUNCTION("""COMPUTED_VALUE"""),146927)</f>
        <v>146927</v>
      </c>
      <c r="U178" s="12">
        <f ca="1">IFERROR(__xludf.DUMMYFUNCTION("""COMPUTED_VALUE"""),167742)</f>
        <v>167742</v>
      </c>
      <c r="V178" s="12">
        <f ca="1">IFERROR(__xludf.DUMMYFUNCTION("""COMPUTED_VALUE"""),81147)</f>
        <v>81147</v>
      </c>
      <c r="W178" s="12">
        <f ca="1">IFERROR(__xludf.DUMMYFUNCTION("""COMPUTED_VALUE"""),442880)</f>
        <v>442880</v>
      </c>
      <c r="X178" s="12">
        <f ca="1">IFERROR(__xludf.DUMMYFUNCTION("""COMPUTED_VALUE"""),472595)</f>
        <v>472595</v>
      </c>
      <c r="Y178" s="12">
        <f ca="1">IFERROR(__xludf.DUMMYFUNCTION("""COMPUTED_VALUE"""),151671)</f>
        <v>151671</v>
      </c>
      <c r="Z178" s="12">
        <f ca="1">IFERROR(__xludf.DUMMYFUNCTION("""COMPUTED_VALUE"""),115109)</f>
        <v>115109</v>
      </c>
      <c r="AA178" s="12">
        <f ca="1">IFERROR(__xludf.DUMMYFUNCTION("""COMPUTED_VALUE"""),115477)</f>
        <v>115477</v>
      </c>
      <c r="AB178" s="12">
        <f ca="1">IFERROR(__xludf.DUMMYFUNCTION("""COMPUTED_VALUE"""),125812)</f>
        <v>125812</v>
      </c>
      <c r="AC178" s="12">
        <f ca="1">IFERROR(__xludf.DUMMYFUNCTION("""COMPUTED_VALUE"""),132379)</f>
        <v>132379</v>
      </c>
      <c r="AD178" s="12">
        <f ca="1">IFERROR(__xludf.DUMMYFUNCTION("""COMPUTED_VALUE"""),197804)</f>
        <v>197804</v>
      </c>
      <c r="AE178" s="12">
        <f ca="1">IFERROR(__xludf.DUMMYFUNCTION("""COMPUTED_VALUE"""),195547)</f>
        <v>195547</v>
      </c>
      <c r="AF178" s="8">
        <f ca="1">IFERROR(__xludf.DUMMYFUNCTION("""COMPUTED_VALUE"""),247018)</f>
        <v>247018</v>
      </c>
      <c r="AG178" s="8">
        <f ca="1">IFERROR(__xludf.DUMMYFUNCTION("""COMPUTED_VALUE"""),54246)</f>
        <v>54246</v>
      </c>
      <c r="AH178" s="8">
        <f ca="1">IFERROR(__xludf.DUMMYFUNCTION("""COMPUTED_VALUE"""),253919)</f>
        <v>253919</v>
      </c>
      <c r="AI178" s="8">
        <f ca="1">IFERROR(__xludf.DUMMYFUNCTION("""COMPUTED_VALUE"""),226831)</f>
        <v>226831</v>
      </c>
      <c r="AJ178" s="8">
        <f ca="1">IFERROR(__xludf.DUMMYFUNCTION("""COMPUTED_VALUE"""),54965)</f>
        <v>54965</v>
      </c>
      <c r="AK178" s="8">
        <f ca="1">IFERROR(__xludf.DUMMYFUNCTION("""COMPUTED_VALUE"""),37499)</f>
        <v>37499</v>
      </c>
      <c r="AL178" s="8">
        <f ca="1">IFERROR(__xludf.DUMMYFUNCTION("""COMPUTED_VALUE"""),87421)</f>
        <v>87421</v>
      </c>
      <c r="AM178" s="8">
        <f ca="1">IFERROR(__xludf.DUMMYFUNCTION("""COMPUTED_VALUE"""),122027)</f>
        <v>122027</v>
      </c>
      <c r="AN178" s="8">
        <f ca="1">IFERROR(__xludf.DUMMYFUNCTION("""COMPUTED_VALUE"""),139002)</f>
        <v>139002</v>
      </c>
      <c r="AO178" s="8">
        <f ca="1">IFERROR(__xludf.DUMMYFUNCTION("""COMPUTED_VALUE"""),80060)</f>
        <v>80060</v>
      </c>
      <c r="AP178" s="8"/>
      <c r="AQ178" s="8"/>
      <c r="AR178" s="8"/>
      <c r="AS178" s="8"/>
      <c r="AT178" s="8"/>
      <c r="AU178" s="8"/>
      <c r="AV178" s="8"/>
      <c r="AW178" s="8"/>
      <c r="AX178" s="8"/>
      <c r="AY178" s="8"/>
    </row>
    <row r="179" spans="1:51" ht="13.2" x14ac:dyDescent="0.25">
      <c r="A179" s="12" t="str">
        <f ca="1">IFERROR(__xludf.DUMMYFUNCTION("""COMPUTED_VALUE"""),"                     right Primary somatosensory area")</f>
        <v xml:space="preserve">                     right Primary somatosensory area</v>
      </c>
      <c r="B179" s="12">
        <f ca="1">IFERROR(__xludf.DUMMYFUNCTION("""COMPUTED_VALUE"""),28779)</f>
        <v>28779</v>
      </c>
      <c r="C179" s="12">
        <f ca="1">IFERROR(__xludf.DUMMYFUNCTION("""COMPUTED_VALUE"""),68043)</f>
        <v>68043</v>
      </c>
      <c r="D179" s="12">
        <f ca="1">IFERROR(__xludf.DUMMYFUNCTION("""COMPUTED_VALUE"""),136048)</f>
        <v>136048</v>
      </c>
      <c r="E179" s="12">
        <f ca="1">IFERROR(__xludf.DUMMYFUNCTION("""COMPUTED_VALUE"""),48666)</f>
        <v>48666</v>
      </c>
      <c r="F179" s="12">
        <f ca="1">IFERROR(__xludf.DUMMYFUNCTION("""COMPUTED_VALUE"""),205941)</f>
        <v>205941</v>
      </c>
      <c r="G179" s="12">
        <f ca="1">IFERROR(__xludf.DUMMYFUNCTION("""COMPUTED_VALUE"""),58896)</f>
        <v>58896</v>
      </c>
      <c r="H179" s="12">
        <f ca="1">IFERROR(__xludf.DUMMYFUNCTION("""COMPUTED_VALUE"""),45244)</f>
        <v>45244</v>
      </c>
      <c r="I179" s="12">
        <f ca="1">IFERROR(__xludf.DUMMYFUNCTION("""COMPUTED_VALUE"""),22473)</f>
        <v>22473</v>
      </c>
      <c r="J179" s="12">
        <f ca="1">IFERROR(__xludf.DUMMYFUNCTION("""COMPUTED_VALUE"""),27003)</f>
        <v>27003</v>
      </c>
      <c r="K179" s="12">
        <f ca="1">IFERROR(__xludf.DUMMYFUNCTION("""COMPUTED_VALUE"""),86583)</f>
        <v>86583</v>
      </c>
      <c r="L179" s="12">
        <f ca="1">IFERROR(__xludf.DUMMYFUNCTION("""COMPUTED_VALUE"""),89052)</f>
        <v>89052</v>
      </c>
      <c r="M179" s="12">
        <f ca="1">IFERROR(__xludf.DUMMYFUNCTION("""COMPUTED_VALUE"""),187099)</f>
        <v>187099</v>
      </c>
      <c r="N179" s="12">
        <f ca="1">IFERROR(__xludf.DUMMYFUNCTION("""COMPUTED_VALUE"""),29817)</f>
        <v>29817</v>
      </c>
      <c r="O179" s="12">
        <f ca="1">IFERROR(__xludf.DUMMYFUNCTION("""COMPUTED_VALUE"""),85521)</f>
        <v>85521</v>
      </c>
      <c r="P179" s="12">
        <f ca="1">IFERROR(__xludf.DUMMYFUNCTION("""COMPUTED_VALUE"""),43749)</f>
        <v>43749</v>
      </c>
      <c r="Q179" s="12">
        <f ca="1">IFERROR(__xludf.DUMMYFUNCTION("""COMPUTED_VALUE"""),31320)</f>
        <v>31320</v>
      </c>
      <c r="R179" s="12">
        <f ca="1">IFERROR(__xludf.DUMMYFUNCTION("""COMPUTED_VALUE"""),26426)</f>
        <v>26426</v>
      </c>
      <c r="S179" s="12">
        <f ca="1">IFERROR(__xludf.DUMMYFUNCTION("""COMPUTED_VALUE"""),2300)</f>
        <v>2300</v>
      </c>
      <c r="T179" s="12">
        <f ca="1">IFERROR(__xludf.DUMMYFUNCTION("""COMPUTED_VALUE"""),106856)</f>
        <v>106856</v>
      </c>
      <c r="U179" s="12">
        <f ca="1">IFERROR(__xludf.DUMMYFUNCTION("""COMPUTED_VALUE"""),125553)</f>
        <v>125553</v>
      </c>
      <c r="V179" s="12">
        <f ca="1">IFERROR(__xludf.DUMMYFUNCTION("""COMPUTED_VALUE"""),61984)</f>
        <v>61984</v>
      </c>
      <c r="W179" s="12">
        <f ca="1">IFERROR(__xludf.DUMMYFUNCTION("""COMPUTED_VALUE"""),294723)</f>
        <v>294723</v>
      </c>
      <c r="X179" s="12">
        <f ca="1">IFERROR(__xludf.DUMMYFUNCTION("""COMPUTED_VALUE"""),325886)</f>
        <v>325886</v>
      </c>
      <c r="Y179" s="12">
        <f ca="1">IFERROR(__xludf.DUMMYFUNCTION("""COMPUTED_VALUE"""),108728)</f>
        <v>108728</v>
      </c>
      <c r="Z179" s="12">
        <f ca="1">IFERROR(__xludf.DUMMYFUNCTION("""COMPUTED_VALUE"""),75070)</f>
        <v>75070</v>
      </c>
      <c r="AA179" s="12">
        <f ca="1">IFERROR(__xludf.DUMMYFUNCTION("""COMPUTED_VALUE"""),63865)</f>
        <v>63865</v>
      </c>
      <c r="AB179" s="12">
        <f ca="1">IFERROR(__xludf.DUMMYFUNCTION("""COMPUTED_VALUE"""),91048)</f>
        <v>91048</v>
      </c>
      <c r="AC179" s="12">
        <f ca="1">IFERROR(__xludf.DUMMYFUNCTION("""COMPUTED_VALUE"""),100941)</f>
        <v>100941</v>
      </c>
      <c r="AD179" s="12">
        <f ca="1">IFERROR(__xludf.DUMMYFUNCTION("""COMPUTED_VALUE"""),143061)</f>
        <v>143061</v>
      </c>
      <c r="AE179" s="12">
        <f ca="1">IFERROR(__xludf.DUMMYFUNCTION("""COMPUTED_VALUE"""),153183)</f>
        <v>153183</v>
      </c>
      <c r="AF179" s="8">
        <f ca="1">IFERROR(__xludf.DUMMYFUNCTION("""COMPUTED_VALUE"""),157849)</f>
        <v>157849</v>
      </c>
      <c r="AG179" s="8">
        <f ca="1">IFERROR(__xludf.DUMMYFUNCTION("""COMPUTED_VALUE"""),32407)</f>
        <v>32407</v>
      </c>
      <c r="AH179" s="8">
        <f ca="1">IFERROR(__xludf.DUMMYFUNCTION("""COMPUTED_VALUE"""),185644)</f>
        <v>185644</v>
      </c>
      <c r="AI179" s="8">
        <f ca="1">IFERROR(__xludf.DUMMYFUNCTION("""COMPUTED_VALUE"""),183662)</f>
        <v>183662</v>
      </c>
      <c r="AJ179" s="8">
        <f ca="1">IFERROR(__xludf.DUMMYFUNCTION("""COMPUTED_VALUE"""),34701)</f>
        <v>34701</v>
      </c>
      <c r="AK179" s="8">
        <f ca="1">IFERROR(__xludf.DUMMYFUNCTION("""COMPUTED_VALUE"""),22563)</f>
        <v>22563</v>
      </c>
      <c r="AL179" s="8">
        <f ca="1">IFERROR(__xludf.DUMMYFUNCTION("""COMPUTED_VALUE"""),54186)</f>
        <v>54186</v>
      </c>
      <c r="AM179" s="8">
        <f ca="1">IFERROR(__xludf.DUMMYFUNCTION("""COMPUTED_VALUE"""),98316)</f>
        <v>98316</v>
      </c>
      <c r="AN179" s="8">
        <f ca="1">IFERROR(__xludf.DUMMYFUNCTION("""COMPUTED_VALUE"""),90415)</f>
        <v>90415</v>
      </c>
      <c r="AO179" s="8">
        <f ca="1">IFERROR(__xludf.DUMMYFUNCTION("""COMPUTED_VALUE"""),59731)</f>
        <v>59731</v>
      </c>
      <c r="AP179" s="8"/>
      <c r="AQ179" s="8"/>
      <c r="AR179" s="8"/>
      <c r="AS179" s="8"/>
      <c r="AT179" s="8"/>
      <c r="AU179" s="8"/>
      <c r="AV179" s="8"/>
      <c r="AW179" s="8"/>
      <c r="AX179" s="8"/>
      <c r="AY179" s="8"/>
    </row>
    <row r="180" spans="1:51" ht="13.2" x14ac:dyDescent="0.25">
      <c r="A180" s="12" t="str">
        <f ca="1">IFERROR(__xludf.DUMMYFUNCTION("""COMPUTED_VALUE"""),"                        right Primary somatosensory area, nose")</f>
        <v xml:space="preserve">                        right Primary somatosensory area, nose</v>
      </c>
      <c r="B180" s="12">
        <f ca="1">IFERROR(__xludf.DUMMYFUNCTION("""COMPUTED_VALUE"""),1085)</f>
        <v>1085</v>
      </c>
      <c r="C180" s="12">
        <f ca="1">IFERROR(__xludf.DUMMYFUNCTION("""COMPUTED_VALUE"""),3285)</f>
        <v>3285</v>
      </c>
      <c r="D180" s="12">
        <f ca="1">IFERROR(__xludf.DUMMYFUNCTION("""COMPUTED_VALUE"""),26078)</f>
        <v>26078</v>
      </c>
      <c r="E180" s="12">
        <f ca="1">IFERROR(__xludf.DUMMYFUNCTION("""COMPUTED_VALUE"""),4758)</f>
        <v>4758</v>
      </c>
      <c r="F180" s="12">
        <f ca="1">IFERROR(__xludf.DUMMYFUNCTION("""COMPUTED_VALUE"""),32656)</f>
        <v>32656</v>
      </c>
      <c r="G180" s="12">
        <f ca="1">IFERROR(__xludf.DUMMYFUNCTION("""COMPUTED_VALUE"""),6095)</f>
        <v>6095</v>
      </c>
      <c r="H180" s="12">
        <f ca="1">IFERROR(__xludf.DUMMYFUNCTION("""COMPUTED_VALUE"""),4074)</f>
        <v>4074</v>
      </c>
      <c r="I180" s="12">
        <f ca="1">IFERROR(__xludf.DUMMYFUNCTION("""COMPUTED_VALUE"""),1215)</f>
        <v>1215</v>
      </c>
      <c r="J180" s="12">
        <f ca="1">IFERROR(__xludf.DUMMYFUNCTION("""COMPUTED_VALUE"""),1292)</f>
        <v>1292</v>
      </c>
      <c r="K180" s="12">
        <f ca="1">IFERROR(__xludf.DUMMYFUNCTION("""COMPUTED_VALUE"""),12057)</f>
        <v>12057</v>
      </c>
      <c r="L180" s="12">
        <f ca="1">IFERROR(__xludf.DUMMYFUNCTION("""COMPUTED_VALUE"""),19804)</f>
        <v>19804</v>
      </c>
      <c r="M180" s="12">
        <f ca="1">IFERROR(__xludf.DUMMYFUNCTION("""COMPUTED_VALUE"""),28909)</f>
        <v>28909</v>
      </c>
      <c r="N180" s="12">
        <f ca="1">IFERROR(__xludf.DUMMYFUNCTION("""COMPUTED_VALUE"""),3123)</f>
        <v>3123</v>
      </c>
      <c r="O180" s="12">
        <f ca="1">IFERROR(__xludf.DUMMYFUNCTION("""COMPUTED_VALUE"""),6892)</f>
        <v>6892</v>
      </c>
      <c r="P180" s="12">
        <f ca="1">IFERROR(__xludf.DUMMYFUNCTION("""COMPUTED_VALUE"""),4510)</f>
        <v>4510</v>
      </c>
      <c r="Q180" s="12">
        <f ca="1">IFERROR(__xludf.DUMMYFUNCTION("""COMPUTED_VALUE"""),798)</f>
        <v>798</v>
      </c>
      <c r="R180" s="12">
        <f ca="1">IFERROR(__xludf.DUMMYFUNCTION("""COMPUTED_VALUE"""),2054)</f>
        <v>2054</v>
      </c>
      <c r="S180" s="12">
        <f ca="1">IFERROR(__xludf.DUMMYFUNCTION("""COMPUTED_VALUE"""),535)</f>
        <v>535</v>
      </c>
      <c r="T180" s="12">
        <f ca="1">IFERROR(__xludf.DUMMYFUNCTION("""COMPUTED_VALUE"""),13300)</f>
        <v>13300</v>
      </c>
      <c r="U180" s="12">
        <f ca="1">IFERROR(__xludf.DUMMYFUNCTION("""COMPUTED_VALUE"""),16019)</f>
        <v>16019</v>
      </c>
      <c r="V180" s="12">
        <f ca="1">IFERROR(__xludf.DUMMYFUNCTION("""COMPUTED_VALUE"""),12245)</f>
        <v>12245</v>
      </c>
      <c r="W180" s="12">
        <f ca="1">IFERROR(__xludf.DUMMYFUNCTION("""COMPUTED_VALUE"""),52221)</f>
        <v>52221</v>
      </c>
      <c r="X180" s="12">
        <f ca="1">IFERROR(__xludf.DUMMYFUNCTION("""COMPUTED_VALUE"""),48826)</f>
        <v>48826</v>
      </c>
      <c r="Y180" s="12">
        <f ca="1">IFERROR(__xludf.DUMMYFUNCTION("""COMPUTED_VALUE"""),11208)</f>
        <v>11208</v>
      </c>
      <c r="Z180" s="12">
        <f ca="1">IFERROR(__xludf.DUMMYFUNCTION("""COMPUTED_VALUE"""),7320)</f>
        <v>7320</v>
      </c>
      <c r="AA180" s="12">
        <f ca="1">IFERROR(__xludf.DUMMYFUNCTION("""COMPUTED_VALUE"""),9897)</f>
        <v>9897</v>
      </c>
      <c r="AB180" s="12">
        <f ca="1">IFERROR(__xludf.DUMMYFUNCTION("""COMPUTED_VALUE"""),7937)</f>
        <v>7937</v>
      </c>
      <c r="AC180" s="12">
        <f ca="1">IFERROR(__xludf.DUMMYFUNCTION("""COMPUTED_VALUE"""),13190)</f>
        <v>13190</v>
      </c>
      <c r="AD180" s="12">
        <f ca="1">IFERROR(__xludf.DUMMYFUNCTION("""COMPUTED_VALUE"""),16936)</f>
        <v>16936</v>
      </c>
      <c r="AE180" s="12">
        <f ca="1">IFERROR(__xludf.DUMMYFUNCTION("""COMPUTED_VALUE"""),22773)</f>
        <v>22773</v>
      </c>
      <c r="AF180" s="8">
        <f ca="1">IFERROR(__xludf.DUMMYFUNCTION("""COMPUTED_VALUE"""),15084)</f>
        <v>15084</v>
      </c>
      <c r="AG180" s="8">
        <f ca="1">IFERROR(__xludf.DUMMYFUNCTION("""COMPUTED_VALUE"""),3316)</f>
        <v>3316</v>
      </c>
      <c r="AH180" s="8">
        <f ca="1">IFERROR(__xludf.DUMMYFUNCTION("""COMPUTED_VALUE"""),37378)</f>
        <v>37378</v>
      </c>
      <c r="AI180" s="8">
        <f ca="1">IFERROR(__xludf.DUMMYFUNCTION("""COMPUTED_VALUE"""),18368)</f>
        <v>18368</v>
      </c>
      <c r="AJ180" s="8">
        <f ca="1">IFERROR(__xludf.DUMMYFUNCTION("""COMPUTED_VALUE"""),4635)</f>
        <v>4635</v>
      </c>
      <c r="AK180" s="8">
        <f ca="1">IFERROR(__xludf.DUMMYFUNCTION("""COMPUTED_VALUE"""),3537)</f>
        <v>3537</v>
      </c>
      <c r="AL180" s="8">
        <f ca="1">IFERROR(__xludf.DUMMYFUNCTION("""COMPUTED_VALUE"""),9948)</f>
        <v>9948</v>
      </c>
      <c r="AM180" s="8">
        <f ca="1">IFERROR(__xludf.DUMMYFUNCTION("""COMPUTED_VALUE"""),8865)</f>
        <v>8865</v>
      </c>
      <c r="AN180" s="8">
        <f ca="1">IFERROR(__xludf.DUMMYFUNCTION("""COMPUTED_VALUE"""),13312)</f>
        <v>13312</v>
      </c>
      <c r="AO180" s="8">
        <f ca="1">IFERROR(__xludf.DUMMYFUNCTION("""COMPUTED_VALUE"""),5580)</f>
        <v>5580</v>
      </c>
      <c r="AP180" s="8"/>
      <c r="AQ180" s="8"/>
      <c r="AR180" s="8"/>
      <c r="AS180" s="8"/>
      <c r="AT180" s="8"/>
      <c r="AU180" s="8"/>
      <c r="AV180" s="8"/>
      <c r="AW180" s="8"/>
      <c r="AX180" s="8"/>
      <c r="AY180" s="8"/>
    </row>
    <row r="181" spans="1:51" ht="13.2" x14ac:dyDescent="0.25">
      <c r="A181" s="12" t="str">
        <f ca="1">IFERROR(__xludf.DUMMYFUNCTION("""COMPUTED_VALUE"""),"                        right Primary somatosensory area, barrel field")</f>
        <v xml:space="preserve">                        right Primary somatosensory area, barrel field</v>
      </c>
      <c r="B181" s="12">
        <f ca="1">IFERROR(__xludf.DUMMYFUNCTION("""COMPUTED_VALUE"""),11662)</f>
        <v>11662</v>
      </c>
      <c r="C181" s="12">
        <f ca="1">IFERROR(__xludf.DUMMYFUNCTION("""COMPUTED_VALUE"""),24383)</f>
        <v>24383</v>
      </c>
      <c r="D181" s="12">
        <f ca="1">IFERROR(__xludf.DUMMYFUNCTION("""COMPUTED_VALUE"""),31247)</f>
        <v>31247</v>
      </c>
      <c r="E181" s="12">
        <f ca="1">IFERROR(__xludf.DUMMYFUNCTION("""COMPUTED_VALUE"""),11061)</f>
        <v>11061</v>
      </c>
      <c r="F181" s="12">
        <f ca="1">IFERROR(__xludf.DUMMYFUNCTION("""COMPUTED_VALUE"""),73867)</f>
        <v>73867</v>
      </c>
      <c r="G181" s="12">
        <f ca="1">IFERROR(__xludf.DUMMYFUNCTION("""COMPUTED_VALUE"""),17229)</f>
        <v>17229</v>
      </c>
      <c r="H181" s="12">
        <f ca="1">IFERROR(__xludf.DUMMYFUNCTION("""COMPUTED_VALUE"""),13000)</f>
        <v>13000</v>
      </c>
      <c r="I181" s="12">
        <f ca="1">IFERROR(__xludf.DUMMYFUNCTION("""COMPUTED_VALUE"""),8413)</f>
        <v>8413</v>
      </c>
      <c r="J181" s="12">
        <f ca="1">IFERROR(__xludf.DUMMYFUNCTION("""COMPUTED_VALUE"""),9503)</f>
        <v>9503</v>
      </c>
      <c r="K181" s="12">
        <f ca="1">IFERROR(__xludf.DUMMYFUNCTION("""COMPUTED_VALUE"""),28780)</f>
        <v>28780</v>
      </c>
      <c r="L181" s="12">
        <f ca="1">IFERROR(__xludf.DUMMYFUNCTION("""COMPUTED_VALUE"""),18012)</f>
        <v>18012</v>
      </c>
      <c r="M181" s="12">
        <f ca="1">IFERROR(__xludf.DUMMYFUNCTION("""COMPUTED_VALUE"""),66938)</f>
        <v>66938</v>
      </c>
      <c r="N181" s="12">
        <f ca="1">IFERROR(__xludf.DUMMYFUNCTION("""COMPUTED_VALUE"""),6901)</f>
        <v>6901</v>
      </c>
      <c r="O181" s="12">
        <f ca="1">IFERROR(__xludf.DUMMYFUNCTION("""COMPUTED_VALUE"""),39604)</f>
        <v>39604</v>
      </c>
      <c r="P181" s="12">
        <f ca="1">IFERROR(__xludf.DUMMYFUNCTION("""COMPUTED_VALUE"""),18227)</f>
        <v>18227</v>
      </c>
      <c r="Q181" s="12">
        <f ca="1">IFERROR(__xludf.DUMMYFUNCTION("""COMPUTED_VALUE"""),10895)</f>
        <v>10895</v>
      </c>
      <c r="R181" s="12">
        <f ca="1">IFERROR(__xludf.DUMMYFUNCTION("""COMPUTED_VALUE"""),9715)</f>
        <v>9715</v>
      </c>
      <c r="S181" s="12">
        <f ca="1">IFERROR(__xludf.DUMMYFUNCTION("""COMPUTED_VALUE"""),939)</f>
        <v>939</v>
      </c>
      <c r="T181" s="12">
        <f ca="1">IFERROR(__xludf.DUMMYFUNCTION("""COMPUTED_VALUE"""),50084)</f>
        <v>50084</v>
      </c>
      <c r="U181" s="12">
        <f ca="1">IFERROR(__xludf.DUMMYFUNCTION("""COMPUTED_VALUE"""),36329)</f>
        <v>36329</v>
      </c>
      <c r="V181" s="12">
        <f ca="1">IFERROR(__xludf.DUMMYFUNCTION("""COMPUTED_VALUE"""),14621)</f>
        <v>14621</v>
      </c>
      <c r="W181" s="12">
        <f ca="1">IFERROR(__xludf.DUMMYFUNCTION("""COMPUTED_VALUE"""),67985)</f>
        <v>67985</v>
      </c>
      <c r="X181" s="12">
        <f ca="1">IFERROR(__xludf.DUMMYFUNCTION("""COMPUTED_VALUE"""),101638)</f>
        <v>101638</v>
      </c>
      <c r="Y181" s="12">
        <f ca="1">IFERROR(__xludf.DUMMYFUNCTION("""COMPUTED_VALUE"""),32910)</f>
        <v>32910</v>
      </c>
      <c r="Z181" s="12">
        <f ca="1">IFERROR(__xludf.DUMMYFUNCTION("""COMPUTED_VALUE"""),32227)</f>
        <v>32227</v>
      </c>
      <c r="AA181" s="12">
        <f ca="1">IFERROR(__xludf.DUMMYFUNCTION("""COMPUTED_VALUE"""),26758)</f>
        <v>26758</v>
      </c>
      <c r="AB181" s="12">
        <f ca="1">IFERROR(__xludf.DUMMYFUNCTION("""COMPUTED_VALUE"""),34910)</f>
        <v>34910</v>
      </c>
      <c r="AC181" s="12">
        <f ca="1">IFERROR(__xludf.DUMMYFUNCTION("""COMPUTED_VALUE"""),47712)</f>
        <v>47712</v>
      </c>
      <c r="AD181" s="12">
        <f ca="1">IFERROR(__xludf.DUMMYFUNCTION("""COMPUTED_VALUE"""),48710)</f>
        <v>48710</v>
      </c>
      <c r="AE181" s="12">
        <f ca="1">IFERROR(__xludf.DUMMYFUNCTION("""COMPUTED_VALUE"""),48446)</f>
        <v>48446</v>
      </c>
      <c r="AF181" s="8">
        <f ca="1">IFERROR(__xludf.DUMMYFUNCTION("""COMPUTED_VALUE"""),56329)</f>
        <v>56329</v>
      </c>
      <c r="AG181" s="8">
        <f ca="1">IFERROR(__xludf.DUMMYFUNCTION("""COMPUTED_VALUE"""),10773)</f>
        <v>10773</v>
      </c>
      <c r="AH181" s="8">
        <f ca="1">IFERROR(__xludf.DUMMYFUNCTION("""COMPUTED_VALUE"""),64442)</f>
        <v>64442</v>
      </c>
      <c r="AI181" s="8">
        <f ca="1">IFERROR(__xludf.DUMMYFUNCTION("""COMPUTED_VALUE"""),71499)</f>
        <v>71499</v>
      </c>
      <c r="AJ181" s="8">
        <f ca="1">IFERROR(__xludf.DUMMYFUNCTION("""COMPUTED_VALUE"""),8040)</f>
        <v>8040</v>
      </c>
      <c r="AK181" s="8">
        <f ca="1">IFERROR(__xludf.DUMMYFUNCTION("""COMPUTED_VALUE"""),6222)</f>
        <v>6222</v>
      </c>
      <c r="AL181" s="8">
        <f ca="1">IFERROR(__xludf.DUMMYFUNCTION("""COMPUTED_VALUE"""),11234)</f>
        <v>11234</v>
      </c>
      <c r="AM181" s="8">
        <f ca="1">IFERROR(__xludf.DUMMYFUNCTION("""COMPUTED_VALUE"""),27570)</f>
        <v>27570</v>
      </c>
      <c r="AN181" s="8">
        <f ca="1">IFERROR(__xludf.DUMMYFUNCTION("""COMPUTED_VALUE"""),27034)</f>
        <v>27034</v>
      </c>
      <c r="AO181" s="8">
        <f ca="1">IFERROR(__xludf.DUMMYFUNCTION("""COMPUTED_VALUE"""),18201)</f>
        <v>18201</v>
      </c>
      <c r="AP181" s="8"/>
      <c r="AQ181" s="8"/>
      <c r="AR181" s="8"/>
      <c r="AS181" s="8"/>
      <c r="AT181" s="8"/>
      <c r="AU181" s="8"/>
      <c r="AV181" s="8"/>
      <c r="AW181" s="8"/>
      <c r="AX181" s="8"/>
      <c r="AY181" s="8"/>
    </row>
    <row r="182" spans="1:51" ht="13.2" x14ac:dyDescent="0.25">
      <c r="A182" s="12" t="str">
        <f ca="1">IFERROR(__xludf.DUMMYFUNCTION("""COMPUTED_VALUE"""),"                        right Primary somatosensory area, lower limb")</f>
        <v xml:space="preserve">                        right Primary somatosensory area, lower limb</v>
      </c>
      <c r="B182" s="12">
        <f ca="1">IFERROR(__xludf.DUMMYFUNCTION("""COMPUTED_VALUE"""),4859)</f>
        <v>4859</v>
      </c>
      <c r="C182" s="12">
        <f ca="1">IFERROR(__xludf.DUMMYFUNCTION("""COMPUTED_VALUE"""),11529)</f>
        <v>11529</v>
      </c>
      <c r="D182" s="12">
        <f ca="1">IFERROR(__xludf.DUMMYFUNCTION("""COMPUTED_VALUE"""),10759)</f>
        <v>10759</v>
      </c>
      <c r="E182" s="12">
        <f ca="1">IFERROR(__xludf.DUMMYFUNCTION("""COMPUTED_VALUE"""),11818)</f>
        <v>11818</v>
      </c>
      <c r="F182" s="12">
        <f ca="1">IFERROR(__xludf.DUMMYFUNCTION("""COMPUTED_VALUE"""),16625)</f>
        <v>16625</v>
      </c>
      <c r="G182" s="12">
        <f ca="1">IFERROR(__xludf.DUMMYFUNCTION("""COMPUTED_VALUE"""),4440)</f>
        <v>4440</v>
      </c>
      <c r="H182" s="12">
        <f ca="1">IFERROR(__xludf.DUMMYFUNCTION("""COMPUTED_VALUE"""),9098)</f>
        <v>9098</v>
      </c>
      <c r="I182" s="12">
        <f ca="1">IFERROR(__xludf.DUMMYFUNCTION("""COMPUTED_VALUE"""),1935)</f>
        <v>1935</v>
      </c>
      <c r="J182" s="12">
        <f ca="1">IFERROR(__xludf.DUMMYFUNCTION("""COMPUTED_VALUE"""),3084)</f>
        <v>3084</v>
      </c>
      <c r="K182" s="12">
        <f ca="1">IFERROR(__xludf.DUMMYFUNCTION("""COMPUTED_VALUE"""),9778)</f>
        <v>9778</v>
      </c>
      <c r="L182" s="12">
        <f ca="1">IFERROR(__xludf.DUMMYFUNCTION("""COMPUTED_VALUE"""),7143)</f>
        <v>7143</v>
      </c>
      <c r="M182" s="12">
        <f ca="1">IFERROR(__xludf.DUMMYFUNCTION("""COMPUTED_VALUE"""),15812)</f>
        <v>15812</v>
      </c>
      <c r="N182" s="12">
        <f ca="1">IFERROR(__xludf.DUMMYFUNCTION("""COMPUTED_VALUE"""),3318)</f>
        <v>3318</v>
      </c>
      <c r="O182" s="12">
        <f ca="1">IFERROR(__xludf.DUMMYFUNCTION("""COMPUTED_VALUE"""),11709)</f>
        <v>11709</v>
      </c>
      <c r="P182" s="12">
        <f ca="1">IFERROR(__xludf.DUMMYFUNCTION("""COMPUTED_VALUE"""),5167)</f>
        <v>5167</v>
      </c>
      <c r="Q182" s="12">
        <f ca="1">IFERROR(__xludf.DUMMYFUNCTION("""COMPUTED_VALUE"""),6352)</f>
        <v>6352</v>
      </c>
      <c r="R182" s="12">
        <f ca="1">IFERROR(__xludf.DUMMYFUNCTION("""COMPUTED_VALUE"""),3872)</f>
        <v>3872</v>
      </c>
      <c r="S182" s="12">
        <f ca="1">IFERROR(__xludf.DUMMYFUNCTION("""COMPUTED_VALUE"""),44)</f>
        <v>44</v>
      </c>
      <c r="T182" s="12">
        <f ca="1">IFERROR(__xludf.DUMMYFUNCTION("""COMPUTED_VALUE"""),13470)</f>
        <v>13470</v>
      </c>
      <c r="U182" s="12">
        <f ca="1">IFERROR(__xludf.DUMMYFUNCTION("""COMPUTED_VALUE"""),13757)</f>
        <v>13757</v>
      </c>
      <c r="V182" s="12">
        <f ca="1">IFERROR(__xludf.DUMMYFUNCTION("""COMPUTED_VALUE"""),9116)</f>
        <v>9116</v>
      </c>
      <c r="W182" s="12">
        <f ca="1">IFERROR(__xludf.DUMMYFUNCTION("""COMPUTED_VALUE"""),10029)</f>
        <v>10029</v>
      </c>
      <c r="X182" s="12">
        <f ca="1">IFERROR(__xludf.DUMMYFUNCTION("""COMPUTED_VALUE"""),24989)</f>
        <v>24989</v>
      </c>
      <c r="Y182" s="12">
        <f ca="1">IFERROR(__xludf.DUMMYFUNCTION("""COMPUTED_VALUE"""),13100)</f>
        <v>13100</v>
      </c>
      <c r="Z182" s="12">
        <f ca="1">IFERROR(__xludf.DUMMYFUNCTION("""COMPUTED_VALUE"""),5625)</f>
        <v>5625</v>
      </c>
      <c r="AA182" s="12">
        <f ca="1">IFERROR(__xludf.DUMMYFUNCTION("""COMPUTED_VALUE"""),3748)</f>
        <v>3748</v>
      </c>
      <c r="AB182" s="12">
        <f ca="1">IFERROR(__xludf.DUMMYFUNCTION("""COMPUTED_VALUE"""),7053)</f>
        <v>7053</v>
      </c>
      <c r="AC182" s="12">
        <f ca="1">IFERROR(__xludf.DUMMYFUNCTION("""COMPUTED_VALUE"""),6936)</f>
        <v>6936</v>
      </c>
      <c r="AD182" s="12">
        <f ca="1">IFERROR(__xludf.DUMMYFUNCTION("""COMPUTED_VALUE"""),10931)</f>
        <v>10931</v>
      </c>
      <c r="AE182" s="12">
        <f ca="1">IFERROR(__xludf.DUMMYFUNCTION("""COMPUTED_VALUE"""),15577)</f>
        <v>15577</v>
      </c>
      <c r="AF182" s="8">
        <f ca="1">IFERROR(__xludf.DUMMYFUNCTION("""COMPUTED_VALUE"""),11198)</f>
        <v>11198</v>
      </c>
      <c r="AG182" s="8">
        <f ca="1">IFERROR(__xludf.DUMMYFUNCTION("""COMPUTED_VALUE"""),3666)</f>
        <v>3666</v>
      </c>
      <c r="AH182" s="8">
        <f ca="1">IFERROR(__xludf.DUMMYFUNCTION("""COMPUTED_VALUE"""),8710)</f>
        <v>8710</v>
      </c>
      <c r="AI182" s="8">
        <f ca="1">IFERROR(__xludf.DUMMYFUNCTION("""COMPUTED_VALUE"""),13913)</f>
        <v>13913</v>
      </c>
      <c r="AJ182" s="8">
        <f ca="1">IFERROR(__xludf.DUMMYFUNCTION("""COMPUTED_VALUE"""),3340)</f>
        <v>3340</v>
      </c>
      <c r="AK182" s="8">
        <f ca="1">IFERROR(__xludf.DUMMYFUNCTION("""COMPUTED_VALUE"""),3146)</f>
        <v>3146</v>
      </c>
      <c r="AL182" s="8">
        <f ca="1">IFERROR(__xludf.DUMMYFUNCTION("""COMPUTED_VALUE"""),5255)</f>
        <v>5255</v>
      </c>
      <c r="AM182" s="8">
        <f ca="1">IFERROR(__xludf.DUMMYFUNCTION("""COMPUTED_VALUE"""),6280)</f>
        <v>6280</v>
      </c>
      <c r="AN182" s="8">
        <f ca="1">IFERROR(__xludf.DUMMYFUNCTION("""COMPUTED_VALUE"""),10859)</f>
        <v>10859</v>
      </c>
      <c r="AO182" s="8">
        <f ca="1">IFERROR(__xludf.DUMMYFUNCTION("""COMPUTED_VALUE"""),8476)</f>
        <v>8476</v>
      </c>
      <c r="AP182" s="8"/>
      <c r="AQ182" s="8"/>
      <c r="AR182" s="8"/>
      <c r="AS182" s="8"/>
      <c r="AT182" s="8"/>
      <c r="AU182" s="8"/>
      <c r="AV182" s="8"/>
      <c r="AW182" s="8"/>
      <c r="AX182" s="8"/>
      <c r="AY182" s="8"/>
    </row>
    <row r="183" spans="1:51" ht="13.2" x14ac:dyDescent="0.25">
      <c r="A183" s="12" t="str">
        <f ca="1">IFERROR(__xludf.DUMMYFUNCTION("""COMPUTED_VALUE"""),"                        right Primary somatosensory area, mouth")</f>
        <v xml:space="preserve">                        right Primary somatosensory area, mouth</v>
      </c>
      <c r="B183" s="12">
        <f ca="1">IFERROR(__xludf.DUMMYFUNCTION("""COMPUTED_VALUE"""),2070)</f>
        <v>2070</v>
      </c>
      <c r="C183" s="12">
        <f ca="1">IFERROR(__xludf.DUMMYFUNCTION("""COMPUTED_VALUE"""),4362)</f>
        <v>4362</v>
      </c>
      <c r="D183" s="12">
        <f ca="1">IFERROR(__xludf.DUMMYFUNCTION("""COMPUTED_VALUE"""),29946)</f>
        <v>29946</v>
      </c>
      <c r="E183" s="12">
        <f ca="1">IFERROR(__xludf.DUMMYFUNCTION("""COMPUTED_VALUE"""),7229)</f>
        <v>7229</v>
      </c>
      <c r="F183" s="12">
        <f ca="1">IFERROR(__xludf.DUMMYFUNCTION("""COMPUTED_VALUE"""),35118)</f>
        <v>35118</v>
      </c>
      <c r="G183" s="12">
        <f ca="1">IFERROR(__xludf.DUMMYFUNCTION("""COMPUTED_VALUE"""),18343)</f>
        <v>18343</v>
      </c>
      <c r="H183" s="12">
        <f ca="1">IFERROR(__xludf.DUMMYFUNCTION("""COMPUTED_VALUE"""),4985)</f>
        <v>4985</v>
      </c>
      <c r="I183" s="12">
        <f ca="1">IFERROR(__xludf.DUMMYFUNCTION("""COMPUTED_VALUE"""),4979)</f>
        <v>4979</v>
      </c>
      <c r="J183" s="12">
        <f ca="1">IFERROR(__xludf.DUMMYFUNCTION("""COMPUTED_VALUE"""),5335)</f>
        <v>5335</v>
      </c>
      <c r="K183" s="12">
        <f ca="1">IFERROR(__xludf.DUMMYFUNCTION("""COMPUTED_VALUE"""),10752)</f>
        <v>10752</v>
      </c>
      <c r="L183" s="12">
        <f ca="1">IFERROR(__xludf.DUMMYFUNCTION("""COMPUTED_VALUE"""),22076)</f>
        <v>22076</v>
      </c>
      <c r="M183" s="12">
        <f ca="1">IFERROR(__xludf.DUMMYFUNCTION("""COMPUTED_VALUE"""),45657)</f>
        <v>45657</v>
      </c>
      <c r="N183" s="12">
        <f ca="1">IFERROR(__xludf.DUMMYFUNCTION("""COMPUTED_VALUE"""),8385)</f>
        <v>8385</v>
      </c>
      <c r="O183" s="12">
        <f ca="1">IFERROR(__xludf.DUMMYFUNCTION("""COMPUTED_VALUE"""),3966)</f>
        <v>3966</v>
      </c>
      <c r="P183" s="12">
        <f ca="1">IFERROR(__xludf.DUMMYFUNCTION("""COMPUTED_VALUE"""),5195)</f>
        <v>5195</v>
      </c>
      <c r="Q183" s="12">
        <f ca="1">IFERROR(__xludf.DUMMYFUNCTION("""COMPUTED_VALUE"""),1592)</f>
        <v>1592</v>
      </c>
      <c r="R183" s="12">
        <f ca="1">IFERROR(__xludf.DUMMYFUNCTION("""COMPUTED_VALUE"""),4128)</f>
        <v>4128</v>
      </c>
      <c r="S183" s="12">
        <f ca="1">IFERROR(__xludf.DUMMYFUNCTION("""COMPUTED_VALUE"""),529)</f>
        <v>529</v>
      </c>
      <c r="T183" s="12">
        <f ca="1">IFERROR(__xludf.DUMMYFUNCTION("""COMPUTED_VALUE"""),8149)</f>
        <v>8149</v>
      </c>
      <c r="U183" s="12">
        <f ca="1">IFERROR(__xludf.DUMMYFUNCTION("""COMPUTED_VALUE"""),29792)</f>
        <v>29792</v>
      </c>
      <c r="V183" s="12">
        <f ca="1">IFERROR(__xludf.DUMMYFUNCTION("""COMPUTED_VALUE"""),10395)</f>
        <v>10395</v>
      </c>
      <c r="W183" s="12">
        <f ca="1">IFERROR(__xludf.DUMMYFUNCTION("""COMPUTED_VALUE"""),109550)</f>
        <v>109550</v>
      </c>
      <c r="X183" s="12">
        <f ca="1">IFERROR(__xludf.DUMMYFUNCTION("""COMPUTED_VALUE"""),67495)</f>
        <v>67495</v>
      </c>
      <c r="Y183" s="12">
        <f ca="1">IFERROR(__xludf.DUMMYFUNCTION("""COMPUTED_VALUE"""),22108)</f>
        <v>22108</v>
      </c>
      <c r="Z183" s="12">
        <f ca="1">IFERROR(__xludf.DUMMYFUNCTION("""COMPUTED_VALUE"""),15474)</f>
        <v>15474</v>
      </c>
      <c r="AA183" s="12">
        <f ca="1">IFERROR(__xludf.DUMMYFUNCTION("""COMPUTED_VALUE"""),14710)</f>
        <v>14710</v>
      </c>
      <c r="AB183" s="12">
        <f ca="1">IFERROR(__xludf.DUMMYFUNCTION("""COMPUTED_VALUE"""),24971)</f>
        <v>24971</v>
      </c>
      <c r="AC183" s="12">
        <f ca="1">IFERROR(__xludf.DUMMYFUNCTION("""COMPUTED_VALUE"""),12398)</f>
        <v>12398</v>
      </c>
      <c r="AD183" s="12">
        <f ca="1">IFERROR(__xludf.DUMMYFUNCTION("""COMPUTED_VALUE"""),33190)</f>
        <v>33190</v>
      </c>
      <c r="AE183" s="12">
        <f ca="1">IFERROR(__xludf.DUMMYFUNCTION("""COMPUTED_VALUE"""),18814)</f>
        <v>18814</v>
      </c>
      <c r="AF183" s="8">
        <f ca="1">IFERROR(__xludf.DUMMYFUNCTION("""COMPUTED_VALUE"""),35621)</f>
        <v>35621</v>
      </c>
      <c r="AG183" s="8">
        <f ca="1">IFERROR(__xludf.DUMMYFUNCTION("""COMPUTED_VALUE"""),9169)</f>
        <v>9169</v>
      </c>
      <c r="AH183" s="8">
        <f ca="1">IFERROR(__xludf.DUMMYFUNCTION("""COMPUTED_VALUE"""),42939)</f>
        <v>42939</v>
      </c>
      <c r="AI183" s="8">
        <f ca="1">IFERROR(__xludf.DUMMYFUNCTION("""COMPUTED_VALUE"""),24995)</f>
        <v>24995</v>
      </c>
      <c r="AJ183" s="8">
        <f ca="1">IFERROR(__xludf.DUMMYFUNCTION("""COMPUTED_VALUE"""),10602)</f>
        <v>10602</v>
      </c>
      <c r="AK183" s="8">
        <f ca="1">IFERROR(__xludf.DUMMYFUNCTION("""COMPUTED_VALUE"""),6045)</f>
        <v>6045</v>
      </c>
      <c r="AL183" s="8">
        <f ca="1">IFERROR(__xludf.DUMMYFUNCTION("""COMPUTED_VALUE"""),20422)</f>
        <v>20422</v>
      </c>
      <c r="AM183" s="8">
        <f ca="1">IFERROR(__xludf.DUMMYFUNCTION("""COMPUTED_VALUE"""),31798)</f>
        <v>31798</v>
      </c>
      <c r="AN183" s="8">
        <f ca="1">IFERROR(__xludf.DUMMYFUNCTION("""COMPUTED_VALUE"""),16378)</f>
        <v>16378</v>
      </c>
      <c r="AO183" s="8">
        <f ca="1">IFERROR(__xludf.DUMMYFUNCTION("""COMPUTED_VALUE"""),14749)</f>
        <v>14749</v>
      </c>
      <c r="AP183" s="8"/>
      <c r="AQ183" s="8"/>
      <c r="AR183" s="8"/>
      <c r="AS183" s="8"/>
      <c r="AT183" s="8"/>
      <c r="AU183" s="8"/>
      <c r="AV183" s="8"/>
      <c r="AW183" s="8"/>
      <c r="AX183" s="8"/>
      <c r="AY183" s="8"/>
    </row>
    <row r="184" spans="1:51" ht="13.2" x14ac:dyDescent="0.25">
      <c r="A184" s="12" t="str">
        <f ca="1">IFERROR(__xludf.DUMMYFUNCTION("""COMPUTED_VALUE"""),"                        right Primary somatosensory area, upper limb")</f>
        <v xml:space="preserve">                        right Primary somatosensory area, upper limb</v>
      </c>
      <c r="B184" s="12">
        <f ca="1">IFERROR(__xludf.DUMMYFUNCTION("""COMPUTED_VALUE"""),4929)</f>
        <v>4929</v>
      </c>
      <c r="C184" s="12">
        <f ca="1">IFERROR(__xludf.DUMMYFUNCTION("""COMPUTED_VALUE"""),12093)</f>
        <v>12093</v>
      </c>
      <c r="D184" s="12">
        <f ca="1">IFERROR(__xludf.DUMMYFUNCTION("""COMPUTED_VALUE"""),26994)</f>
        <v>26994</v>
      </c>
      <c r="E184" s="12">
        <f ca="1">IFERROR(__xludf.DUMMYFUNCTION("""COMPUTED_VALUE"""),8466)</f>
        <v>8466</v>
      </c>
      <c r="F184" s="12">
        <f ca="1">IFERROR(__xludf.DUMMYFUNCTION("""COMPUTED_VALUE"""),25338)</f>
        <v>25338</v>
      </c>
      <c r="G184" s="12">
        <f ca="1">IFERROR(__xludf.DUMMYFUNCTION("""COMPUTED_VALUE"""),7467)</f>
        <v>7467</v>
      </c>
      <c r="H184" s="12">
        <f ca="1">IFERROR(__xludf.DUMMYFUNCTION("""COMPUTED_VALUE"""),7672)</f>
        <v>7672</v>
      </c>
      <c r="I184" s="12">
        <f ca="1">IFERROR(__xludf.DUMMYFUNCTION("""COMPUTED_VALUE"""),2854)</f>
        <v>2854</v>
      </c>
      <c r="J184" s="12">
        <f ca="1">IFERROR(__xludf.DUMMYFUNCTION("""COMPUTED_VALUE"""),3212)</f>
        <v>3212</v>
      </c>
      <c r="K184" s="12">
        <f ca="1">IFERROR(__xludf.DUMMYFUNCTION("""COMPUTED_VALUE"""),15434)</f>
        <v>15434</v>
      </c>
      <c r="L184" s="12">
        <f ca="1">IFERROR(__xludf.DUMMYFUNCTION("""COMPUTED_VALUE"""),13909)</f>
        <v>13909</v>
      </c>
      <c r="M184" s="12">
        <f ca="1">IFERROR(__xludf.DUMMYFUNCTION("""COMPUTED_VALUE"""),14136)</f>
        <v>14136</v>
      </c>
      <c r="N184" s="12">
        <f ca="1">IFERROR(__xludf.DUMMYFUNCTION("""COMPUTED_VALUE"""),5254)</f>
        <v>5254</v>
      </c>
      <c r="O184" s="12">
        <f ca="1">IFERROR(__xludf.DUMMYFUNCTION("""COMPUTED_VALUE"""),10612)</f>
        <v>10612</v>
      </c>
      <c r="P184" s="12">
        <f ca="1">IFERROR(__xludf.DUMMYFUNCTION("""COMPUTED_VALUE"""),5726)</f>
        <v>5726</v>
      </c>
      <c r="Q184" s="12">
        <f ca="1">IFERROR(__xludf.DUMMYFUNCTION("""COMPUTED_VALUE"""),5349)</f>
        <v>5349</v>
      </c>
      <c r="R184" s="12">
        <f ca="1">IFERROR(__xludf.DUMMYFUNCTION("""COMPUTED_VALUE"""),3170)</f>
        <v>3170</v>
      </c>
      <c r="S184" s="12">
        <f ca="1">IFERROR(__xludf.DUMMYFUNCTION("""COMPUTED_VALUE"""),61)</f>
        <v>61</v>
      </c>
      <c r="T184" s="12">
        <f ca="1">IFERROR(__xludf.DUMMYFUNCTION("""COMPUTED_VALUE"""),9044)</f>
        <v>9044</v>
      </c>
      <c r="U184" s="12">
        <f ca="1">IFERROR(__xludf.DUMMYFUNCTION("""COMPUTED_VALUE"""),18004)</f>
        <v>18004</v>
      </c>
      <c r="V184" s="12">
        <f ca="1">IFERROR(__xludf.DUMMYFUNCTION("""COMPUTED_VALUE"""),6412)</f>
        <v>6412</v>
      </c>
      <c r="W184" s="12">
        <f ca="1">IFERROR(__xludf.DUMMYFUNCTION("""COMPUTED_VALUE"""),34413)</f>
        <v>34413</v>
      </c>
      <c r="X184" s="12">
        <f ca="1">IFERROR(__xludf.DUMMYFUNCTION("""COMPUTED_VALUE"""),44024)</f>
        <v>44024</v>
      </c>
      <c r="Y184" s="12">
        <f ca="1">IFERROR(__xludf.DUMMYFUNCTION("""COMPUTED_VALUE"""),17252)</f>
        <v>17252</v>
      </c>
      <c r="Z184" s="12">
        <f ca="1">IFERROR(__xludf.DUMMYFUNCTION("""COMPUTED_VALUE"""),7972)</f>
        <v>7972</v>
      </c>
      <c r="AA184" s="12">
        <f ca="1">IFERROR(__xludf.DUMMYFUNCTION("""COMPUTED_VALUE"""),4530)</f>
        <v>4530</v>
      </c>
      <c r="AB184" s="12">
        <f ca="1">IFERROR(__xludf.DUMMYFUNCTION("""COMPUTED_VALUE"""),6997)</f>
        <v>6997</v>
      </c>
      <c r="AC184" s="12">
        <f ca="1">IFERROR(__xludf.DUMMYFUNCTION("""COMPUTED_VALUE"""),9745)</f>
        <v>9745</v>
      </c>
      <c r="AD184" s="12">
        <f ca="1">IFERROR(__xludf.DUMMYFUNCTION("""COMPUTED_VALUE"""),14935)</f>
        <v>14935</v>
      </c>
      <c r="AE184" s="12">
        <f ca="1">IFERROR(__xludf.DUMMYFUNCTION("""COMPUTED_VALUE"""),32464)</f>
        <v>32464</v>
      </c>
      <c r="AF184" s="8">
        <f ca="1">IFERROR(__xludf.DUMMYFUNCTION("""COMPUTED_VALUE"""),20833)</f>
        <v>20833</v>
      </c>
      <c r="AG184" s="8">
        <f ca="1">IFERROR(__xludf.DUMMYFUNCTION("""COMPUTED_VALUE"""),2915)</f>
        <v>2915</v>
      </c>
      <c r="AH184" s="8">
        <f ca="1">IFERROR(__xludf.DUMMYFUNCTION("""COMPUTED_VALUE"""),17240)</f>
        <v>17240</v>
      </c>
      <c r="AI184" s="8">
        <f ca="1">IFERROR(__xludf.DUMMYFUNCTION("""COMPUTED_VALUE"""),30771)</f>
        <v>30771</v>
      </c>
      <c r="AJ184" s="8">
        <f ca="1">IFERROR(__xludf.DUMMYFUNCTION("""COMPUTED_VALUE"""),3610)</f>
        <v>3610</v>
      </c>
      <c r="AK184" s="8">
        <f ca="1">IFERROR(__xludf.DUMMYFUNCTION("""COMPUTED_VALUE"""),1252)</f>
        <v>1252</v>
      </c>
      <c r="AL184" s="8">
        <f ca="1">IFERROR(__xludf.DUMMYFUNCTION("""COMPUTED_VALUE"""),4697)</f>
        <v>4697</v>
      </c>
      <c r="AM184" s="8">
        <f ca="1">IFERROR(__xludf.DUMMYFUNCTION("""COMPUTED_VALUE"""),11857)</f>
        <v>11857</v>
      </c>
      <c r="AN184" s="8">
        <f ca="1">IFERROR(__xludf.DUMMYFUNCTION("""COMPUTED_VALUE"""),13012)</f>
        <v>13012</v>
      </c>
      <c r="AO184" s="8">
        <f ca="1">IFERROR(__xludf.DUMMYFUNCTION("""COMPUTED_VALUE"""),6882)</f>
        <v>6882</v>
      </c>
      <c r="AP184" s="8"/>
      <c r="AQ184" s="8"/>
      <c r="AR184" s="8"/>
      <c r="AS184" s="8"/>
      <c r="AT184" s="8"/>
      <c r="AU184" s="8"/>
      <c r="AV184" s="8"/>
      <c r="AW184" s="8"/>
      <c r="AX184" s="8"/>
      <c r="AY184" s="8"/>
    </row>
    <row r="185" spans="1:51" ht="13.2" x14ac:dyDescent="0.25">
      <c r="A185" s="12" t="str">
        <f ca="1">IFERROR(__xludf.DUMMYFUNCTION("""COMPUTED_VALUE"""),"                        right Primary somatosensory area, trunk")</f>
        <v xml:space="preserve">                        right Primary somatosensory area, trunk</v>
      </c>
      <c r="B185" s="12">
        <f ca="1">IFERROR(__xludf.DUMMYFUNCTION("""COMPUTED_VALUE"""),2604)</f>
        <v>2604</v>
      </c>
      <c r="C185" s="12">
        <f ca="1">IFERROR(__xludf.DUMMYFUNCTION("""COMPUTED_VALUE"""),7905)</f>
        <v>7905</v>
      </c>
      <c r="D185" s="12">
        <f ca="1">IFERROR(__xludf.DUMMYFUNCTION("""COMPUTED_VALUE"""),4641)</f>
        <v>4641</v>
      </c>
      <c r="E185" s="12">
        <f ca="1">IFERROR(__xludf.DUMMYFUNCTION("""COMPUTED_VALUE"""),3536)</f>
        <v>3536</v>
      </c>
      <c r="F185" s="12">
        <f ca="1">IFERROR(__xludf.DUMMYFUNCTION("""COMPUTED_VALUE"""),11344)</f>
        <v>11344</v>
      </c>
      <c r="G185" s="12">
        <f ca="1">IFERROR(__xludf.DUMMYFUNCTION("""COMPUTED_VALUE"""),3064)</f>
        <v>3064</v>
      </c>
      <c r="H185" s="12">
        <f ca="1">IFERROR(__xludf.DUMMYFUNCTION("""COMPUTED_VALUE"""),2932)</f>
        <v>2932</v>
      </c>
      <c r="I185" s="12">
        <f ca="1">IFERROR(__xludf.DUMMYFUNCTION("""COMPUTED_VALUE"""),2619)</f>
        <v>2619</v>
      </c>
      <c r="J185" s="12">
        <f ca="1">IFERROR(__xludf.DUMMYFUNCTION("""COMPUTED_VALUE"""),3669)</f>
        <v>3669</v>
      </c>
      <c r="K185" s="12">
        <f ca="1">IFERROR(__xludf.DUMMYFUNCTION("""COMPUTED_VALUE"""),4767)</f>
        <v>4767</v>
      </c>
      <c r="L185" s="12">
        <f ca="1">IFERROR(__xludf.DUMMYFUNCTION("""COMPUTED_VALUE"""),3446)</f>
        <v>3446</v>
      </c>
      <c r="M185" s="12">
        <f ca="1">IFERROR(__xludf.DUMMYFUNCTION("""COMPUTED_VALUE"""),7742)</f>
        <v>7742</v>
      </c>
      <c r="N185" s="12">
        <f ca="1">IFERROR(__xludf.DUMMYFUNCTION("""COMPUTED_VALUE"""),1365)</f>
        <v>1365</v>
      </c>
      <c r="O185" s="12">
        <f ca="1">IFERROR(__xludf.DUMMYFUNCTION("""COMPUTED_VALUE"""),6932)</f>
        <v>6932</v>
      </c>
      <c r="P185" s="12">
        <f ca="1">IFERROR(__xludf.DUMMYFUNCTION("""COMPUTED_VALUE"""),3293)</f>
        <v>3293</v>
      </c>
      <c r="Q185" s="12">
        <f ca="1">IFERROR(__xludf.DUMMYFUNCTION("""COMPUTED_VALUE"""),4413)</f>
        <v>4413</v>
      </c>
      <c r="R185" s="12">
        <f ca="1">IFERROR(__xludf.DUMMYFUNCTION("""COMPUTED_VALUE"""),2154)</f>
        <v>2154</v>
      </c>
      <c r="S185" s="12">
        <f ca="1">IFERROR(__xludf.DUMMYFUNCTION("""COMPUTED_VALUE"""),125)</f>
        <v>125</v>
      </c>
      <c r="T185" s="12">
        <f ca="1">IFERROR(__xludf.DUMMYFUNCTION("""COMPUTED_VALUE"""),7833)</f>
        <v>7833</v>
      </c>
      <c r="U185" s="12">
        <f ca="1">IFERROR(__xludf.DUMMYFUNCTION("""COMPUTED_VALUE"""),5525)</f>
        <v>5525</v>
      </c>
      <c r="V185" s="12">
        <f ca="1">IFERROR(__xludf.DUMMYFUNCTION("""COMPUTED_VALUE"""),5175)</f>
        <v>5175</v>
      </c>
      <c r="W185" s="12">
        <f ca="1">IFERROR(__xludf.DUMMYFUNCTION("""COMPUTED_VALUE"""),4065)</f>
        <v>4065</v>
      </c>
      <c r="X185" s="12">
        <f ca="1">IFERROR(__xludf.DUMMYFUNCTION("""COMPUTED_VALUE"""),19910)</f>
        <v>19910</v>
      </c>
      <c r="Y185" s="12">
        <f ca="1">IFERROR(__xludf.DUMMYFUNCTION("""COMPUTED_VALUE"""),5930)</f>
        <v>5930</v>
      </c>
      <c r="Z185" s="12">
        <f ca="1">IFERROR(__xludf.DUMMYFUNCTION("""COMPUTED_VALUE"""),3788)</f>
        <v>3788</v>
      </c>
      <c r="AA185" s="12">
        <f ca="1">IFERROR(__xludf.DUMMYFUNCTION("""COMPUTED_VALUE"""),2717)</f>
        <v>2717</v>
      </c>
      <c r="AB185" s="12">
        <f ca="1">IFERROR(__xludf.DUMMYFUNCTION("""COMPUTED_VALUE"""),5631)</f>
        <v>5631</v>
      </c>
      <c r="AC185" s="12">
        <f ca="1">IFERROR(__xludf.DUMMYFUNCTION("""COMPUTED_VALUE"""),6472)</f>
        <v>6472</v>
      </c>
      <c r="AD185" s="12">
        <f ca="1">IFERROR(__xludf.DUMMYFUNCTION("""COMPUTED_VALUE"""),8143)</f>
        <v>8143</v>
      </c>
      <c r="AE185" s="12">
        <f ca="1">IFERROR(__xludf.DUMMYFUNCTION("""COMPUTED_VALUE"""),4447)</f>
        <v>4447</v>
      </c>
      <c r="AF185" s="8">
        <f ca="1">IFERROR(__xludf.DUMMYFUNCTION("""COMPUTED_VALUE"""),9562)</f>
        <v>9562</v>
      </c>
      <c r="AG185" s="8">
        <f ca="1">IFERROR(__xludf.DUMMYFUNCTION("""COMPUTED_VALUE"""),1737)</f>
        <v>1737</v>
      </c>
      <c r="AH185" s="8">
        <f ca="1">IFERROR(__xludf.DUMMYFUNCTION("""COMPUTED_VALUE"""),4307)</f>
        <v>4307</v>
      </c>
      <c r="AI185" s="8">
        <f ca="1">IFERROR(__xludf.DUMMYFUNCTION("""COMPUTED_VALUE"""),8981)</f>
        <v>8981</v>
      </c>
      <c r="AJ185" s="8">
        <f ca="1">IFERROR(__xludf.DUMMYFUNCTION("""COMPUTED_VALUE"""),2664)</f>
        <v>2664</v>
      </c>
      <c r="AK185" s="8">
        <f ca="1">IFERROR(__xludf.DUMMYFUNCTION("""COMPUTED_VALUE"""),1513)</f>
        <v>1513</v>
      </c>
      <c r="AL185" s="8">
        <f ca="1">IFERROR(__xludf.DUMMYFUNCTION("""COMPUTED_VALUE"""),997)</f>
        <v>997</v>
      </c>
      <c r="AM185" s="8">
        <f ca="1">IFERROR(__xludf.DUMMYFUNCTION("""COMPUTED_VALUE"""),3989)</f>
        <v>3989</v>
      </c>
      <c r="AN185" s="8">
        <f ca="1">IFERROR(__xludf.DUMMYFUNCTION("""COMPUTED_VALUE"""),4243)</f>
        <v>4243</v>
      </c>
      <c r="AO185" s="8">
        <f ca="1">IFERROR(__xludf.DUMMYFUNCTION("""COMPUTED_VALUE"""),3552)</f>
        <v>3552</v>
      </c>
      <c r="AP185" s="8"/>
      <c r="AQ185" s="8"/>
      <c r="AR185" s="8"/>
      <c r="AS185" s="8"/>
      <c r="AT185" s="8"/>
      <c r="AU185" s="8"/>
      <c r="AV185" s="8"/>
      <c r="AW185" s="8"/>
      <c r="AX185" s="8"/>
      <c r="AY185" s="8"/>
    </row>
    <row r="186" spans="1:51" ht="13.2" x14ac:dyDescent="0.25">
      <c r="A186" s="12" t="str">
        <f ca="1">IFERROR(__xludf.DUMMYFUNCTION("""COMPUTED_VALUE"""),"                        right Primary somatosensory area, unassigned")</f>
        <v xml:space="preserve">                        right Primary somatosensory area, unassigned</v>
      </c>
      <c r="B186" s="12">
        <f ca="1">IFERROR(__xludf.DUMMYFUNCTION("""COMPUTED_VALUE"""),1570)</f>
        <v>1570</v>
      </c>
      <c r="C186" s="12">
        <f ca="1">IFERROR(__xludf.DUMMYFUNCTION("""COMPUTED_VALUE"""),4486)</f>
        <v>4486</v>
      </c>
      <c r="D186" s="12">
        <f ca="1">IFERROR(__xludf.DUMMYFUNCTION("""COMPUTED_VALUE"""),6383)</f>
        <v>6383</v>
      </c>
      <c r="E186" s="12">
        <f ca="1">IFERROR(__xludf.DUMMYFUNCTION("""COMPUTED_VALUE"""),1798)</f>
        <v>1798</v>
      </c>
      <c r="F186" s="12">
        <f ca="1">IFERROR(__xludf.DUMMYFUNCTION("""COMPUTED_VALUE"""),10993)</f>
        <v>10993</v>
      </c>
      <c r="G186" s="12">
        <f ca="1">IFERROR(__xludf.DUMMYFUNCTION("""COMPUTED_VALUE"""),2258)</f>
        <v>2258</v>
      </c>
      <c r="H186" s="12">
        <f ca="1">IFERROR(__xludf.DUMMYFUNCTION("""COMPUTED_VALUE"""),3483)</f>
        <v>3483</v>
      </c>
      <c r="I186" s="12">
        <f ca="1">IFERROR(__xludf.DUMMYFUNCTION("""COMPUTED_VALUE"""),458)</f>
        <v>458</v>
      </c>
      <c r="J186" s="12">
        <f ca="1">IFERROR(__xludf.DUMMYFUNCTION("""COMPUTED_VALUE"""),908)</f>
        <v>908</v>
      </c>
      <c r="K186" s="12">
        <f ca="1">IFERROR(__xludf.DUMMYFUNCTION("""COMPUTED_VALUE"""),5015)</f>
        <v>5015</v>
      </c>
      <c r="L186" s="12">
        <f ca="1">IFERROR(__xludf.DUMMYFUNCTION("""COMPUTED_VALUE"""),4662)</f>
        <v>4662</v>
      </c>
      <c r="M186" s="12">
        <f ca="1">IFERROR(__xludf.DUMMYFUNCTION("""COMPUTED_VALUE"""),7905)</f>
        <v>7905</v>
      </c>
      <c r="N186" s="12">
        <f ca="1">IFERROR(__xludf.DUMMYFUNCTION("""COMPUTED_VALUE"""),1471)</f>
        <v>1471</v>
      </c>
      <c r="O186" s="12">
        <f ca="1">IFERROR(__xludf.DUMMYFUNCTION("""COMPUTED_VALUE"""),5806)</f>
        <v>5806</v>
      </c>
      <c r="P186" s="12">
        <f ca="1">IFERROR(__xludf.DUMMYFUNCTION("""COMPUTED_VALUE"""),1631)</f>
        <v>1631</v>
      </c>
      <c r="Q186" s="12">
        <f ca="1">IFERROR(__xludf.DUMMYFUNCTION("""COMPUTED_VALUE"""),1921)</f>
        <v>1921</v>
      </c>
      <c r="R186" s="12">
        <f ca="1">IFERROR(__xludf.DUMMYFUNCTION("""COMPUTED_VALUE"""),1333)</f>
        <v>1333</v>
      </c>
      <c r="S186" s="12">
        <f ca="1">IFERROR(__xludf.DUMMYFUNCTION("""COMPUTED_VALUE"""),67)</f>
        <v>67</v>
      </c>
      <c r="T186" s="12">
        <f ca="1">IFERROR(__xludf.DUMMYFUNCTION("""COMPUTED_VALUE"""),4976)</f>
        <v>4976</v>
      </c>
      <c r="U186" s="12">
        <f ca="1">IFERROR(__xludf.DUMMYFUNCTION("""COMPUTED_VALUE"""),6127)</f>
        <v>6127</v>
      </c>
      <c r="V186" s="12">
        <f ca="1">IFERROR(__xludf.DUMMYFUNCTION("""COMPUTED_VALUE"""),4020)</f>
        <v>4020</v>
      </c>
      <c r="W186" s="12">
        <f ca="1">IFERROR(__xludf.DUMMYFUNCTION("""COMPUTED_VALUE"""),16460)</f>
        <v>16460</v>
      </c>
      <c r="X186" s="12">
        <f ca="1">IFERROR(__xludf.DUMMYFUNCTION("""COMPUTED_VALUE"""),19004)</f>
        <v>19004</v>
      </c>
      <c r="Y186" s="12">
        <f ca="1">IFERROR(__xludf.DUMMYFUNCTION("""COMPUTED_VALUE"""),6220)</f>
        <v>6220</v>
      </c>
      <c r="Z186" s="12">
        <f ca="1">IFERROR(__xludf.DUMMYFUNCTION("""COMPUTED_VALUE"""),2664)</f>
        <v>2664</v>
      </c>
      <c r="AA186" s="12">
        <f ca="1">IFERROR(__xludf.DUMMYFUNCTION("""COMPUTED_VALUE"""),1505)</f>
        <v>1505</v>
      </c>
      <c r="AB186" s="12">
        <f ca="1">IFERROR(__xludf.DUMMYFUNCTION("""COMPUTED_VALUE"""),3549)</f>
        <v>3549</v>
      </c>
      <c r="AC186" s="12">
        <f ca="1">IFERROR(__xludf.DUMMYFUNCTION("""COMPUTED_VALUE"""),4488)</f>
        <v>4488</v>
      </c>
      <c r="AD186" s="12">
        <f ca="1">IFERROR(__xludf.DUMMYFUNCTION("""COMPUTED_VALUE"""),10216)</f>
        <v>10216</v>
      </c>
      <c r="AE186" s="12">
        <f ca="1">IFERROR(__xludf.DUMMYFUNCTION("""COMPUTED_VALUE"""),10662)</f>
        <v>10662</v>
      </c>
      <c r="AF186" s="8">
        <f ca="1">IFERROR(__xludf.DUMMYFUNCTION("""COMPUTED_VALUE"""),9222)</f>
        <v>9222</v>
      </c>
      <c r="AG186" s="8">
        <f ca="1">IFERROR(__xludf.DUMMYFUNCTION("""COMPUTED_VALUE"""),831)</f>
        <v>831</v>
      </c>
      <c r="AH186" s="8">
        <f ca="1">IFERROR(__xludf.DUMMYFUNCTION("""COMPUTED_VALUE"""),10628)</f>
        <v>10628</v>
      </c>
      <c r="AI186" s="8">
        <f ca="1">IFERROR(__xludf.DUMMYFUNCTION("""COMPUTED_VALUE"""),15135)</f>
        <v>15135</v>
      </c>
      <c r="AJ186" s="8">
        <f ca="1">IFERROR(__xludf.DUMMYFUNCTION("""COMPUTED_VALUE"""),1810)</f>
        <v>1810</v>
      </c>
      <c r="AK186" s="8">
        <f ca="1">IFERROR(__xludf.DUMMYFUNCTION("""COMPUTED_VALUE"""),848)</f>
        <v>848</v>
      </c>
      <c r="AL186" s="8">
        <f ca="1">IFERROR(__xludf.DUMMYFUNCTION("""COMPUTED_VALUE"""),1633)</f>
        <v>1633</v>
      </c>
      <c r="AM186" s="8">
        <f ca="1">IFERROR(__xludf.DUMMYFUNCTION("""COMPUTED_VALUE"""),7957)</f>
        <v>7957</v>
      </c>
      <c r="AN186" s="8">
        <f ca="1">IFERROR(__xludf.DUMMYFUNCTION("""COMPUTED_VALUE"""),5577)</f>
        <v>5577</v>
      </c>
      <c r="AO186" s="8">
        <f ca="1">IFERROR(__xludf.DUMMYFUNCTION("""COMPUTED_VALUE"""),2291)</f>
        <v>2291</v>
      </c>
      <c r="AP186" s="8"/>
      <c r="AQ186" s="8"/>
      <c r="AR186" s="8"/>
      <c r="AS186" s="8"/>
      <c r="AT186" s="8"/>
      <c r="AU186" s="8"/>
      <c r="AV186" s="8"/>
      <c r="AW186" s="8"/>
      <c r="AX186" s="8"/>
      <c r="AY186" s="8"/>
    </row>
    <row r="187" spans="1:51" ht="13.2" x14ac:dyDescent="0.25">
      <c r="A187" s="12" t="str">
        <f ca="1">IFERROR(__xludf.DUMMYFUNCTION("""COMPUTED_VALUE"""),"                     right Supplemental somatosensory area")</f>
        <v xml:space="preserve">                     right Supplemental somatosensory area</v>
      </c>
      <c r="B187" s="12">
        <f ca="1">IFERROR(__xludf.DUMMYFUNCTION("""COMPUTED_VALUE"""),11346)</f>
        <v>11346</v>
      </c>
      <c r="C187" s="12">
        <f ca="1">IFERROR(__xludf.DUMMYFUNCTION("""COMPUTED_VALUE"""),30749)</f>
        <v>30749</v>
      </c>
      <c r="D187" s="12">
        <f ca="1">IFERROR(__xludf.DUMMYFUNCTION("""COMPUTED_VALUE"""),51967)</f>
        <v>51967</v>
      </c>
      <c r="E187" s="12">
        <f ca="1">IFERROR(__xludf.DUMMYFUNCTION("""COMPUTED_VALUE"""),18140)</f>
        <v>18140</v>
      </c>
      <c r="F187" s="12">
        <f ca="1">IFERROR(__xludf.DUMMYFUNCTION("""COMPUTED_VALUE"""),83896)</f>
        <v>83896</v>
      </c>
      <c r="G187" s="12">
        <f ca="1">IFERROR(__xludf.DUMMYFUNCTION("""COMPUTED_VALUE"""),35491)</f>
        <v>35491</v>
      </c>
      <c r="H187" s="12">
        <f ca="1">IFERROR(__xludf.DUMMYFUNCTION("""COMPUTED_VALUE"""),19210)</f>
        <v>19210</v>
      </c>
      <c r="I187" s="12">
        <f ca="1">IFERROR(__xludf.DUMMYFUNCTION("""COMPUTED_VALUE"""),14832)</f>
        <v>14832</v>
      </c>
      <c r="J187" s="12">
        <f ca="1">IFERROR(__xludf.DUMMYFUNCTION("""COMPUTED_VALUE"""),15039)</f>
        <v>15039</v>
      </c>
      <c r="K187" s="12">
        <f ca="1">IFERROR(__xludf.DUMMYFUNCTION("""COMPUTED_VALUE"""),40356)</f>
        <v>40356</v>
      </c>
      <c r="L187" s="12">
        <f ca="1">IFERROR(__xludf.DUMMYFUNCTION("""COMPUTED_VALUE"""),47104)</f>
        <v>47104</v>
      </c>
      <c r="M187" s="12">
        <f ca="1">IFERROR(__xludf.DUMMYFUNCTION("""COMPUTED_VALUE"""),80148)</f>
        <v>80148</v>
      </c>
      <c r="N187" s="12">
        <f ca="1">IFERROR(__xludf.DUMMYFUNCTION("""COMPUTED_VALUE"""),12105)</f>
        <v>12105</v>
      </c>
      <c r="O187" s="12">
        <f ca="1">IFERROR(__xludf.DUMMYFUNCTION("""COMPUTED_VALUE"""),33618)</f>
        <v>33618</v>
      </c>
      <c r="P187" s="12">
        <f ca="1">IFERROR(__xludf.DUMMYFUNCTION("""COMPUTED_VALUE"""),20394)</f>
        <v>20394</v>
      </c>
      <c r="Q187" s="12">
        <f ca="1">IFERROR(__xludf.DUMMYFUNCTION("""COMPUTED_VALUE"""),8751)</f>
        <v>8751</v>
      </c>
      <c r="R187" s="12">
        <f ca="1">IFERROR(__xludf.DUMMYFUNCTION("""COMPUTED_VALUE"""),17065)</f>
        <v>17065</v>
      </c>
      <c r="S187" s="12">
        <f ca="1">IFERROR(__xludf.DUMMYFUNCTION("""COMPUTED_VALUE"""),2704)</f>
        <v>2704</v>
      </c>
      <c r="T187" s="12">
        <f ca="1">IFERROR(__xludf.DUMMYFUNCTION("""COMPUTED_VALUE"""),40071)</f>
        <v>40071</v>
      </c>
      <c r="U187" s="12">
        <f ca="1">IFERROR(__xludf.DUMMYFUNCTION("""COMPUTED_VALUE"""),42189)</f>
        <v>42189</v>
      </c>
      <c r="V187" s="12">
        <f ca="1">IFERROR(__xludf.DUMMYFUNCTION("""COMPUTED_VALUE"""),19163)</f>
        <v>19163</v>
      </c>
      <c r="W187" s="12">
        <f ca="1">IFERROR(__xludf.DUMMYFUNCTION("""COMPUTED_VALUE"""),148157)</f>
        <v>148157</v>
      </c>
      <c r="X187" s="12">
        <f ca="1">IFERROR(__xludf.DUMMYFUNCTION("""COMPUTED_VALUE"""),146709)</f>
        <v>146709</v>
      </c>
      <c r="Y187" s="12">
        <f ca="1">IFERROR(__xludf.DUMMYFUNCTION("""COMPUTED_VALUE"""),42943)</f>
        <v>42943</v>
      </c>
      <c r="Z187" s="12">
        <f ca="1">IFERROR(__xludf.DUMMYFUNCTION("""COMPUTED_VALUE"""),40039)</f>
        <v>40039</v>
      </c>
      <c r="AA187" s="12">
        <f ca="1">IFERROR(__xludf.DUMMYFUNCTION("""COMPUTED_VALUE"""),51612)</f>
        <v>51612</v>
      </c>
      <c r="AB187" s="12">
        <f ca="1">IFERROR(__xludf.DUMMYFUNCTION("""COMPUTED_VALUE"""),34764)</f>
        <v>34764</v>
      </c>
      <c r="AC187" s="12">
        <f ca="1">IFERROR(__xludf.DUMMYFUNCTION("""COMPUTED_VALUE"""),31438)</f>
        <v>31438</v>
      </c>
      <c r="AD187" s="12">
        <f ca="1">IFERROR(__xludf.DUMMYFUNCTION("""COMPUTED_VALUE"""),54743)</f>
        <v>54743</v>
      </c>
      <c r="AE187" s="12">
        <f ca="1">IFERROR(__xludf.DUMMYFUNCTION("""COMPUTED_VALUE"""),42364)</f>
        <v>42364</v>
      </c>
      <c r="AF187" s="8">
        <f ca="1">IFERROR(__xludf.DUMMYFUNCTION("""COMPUTED_VALUE"""),89169)</f>
        <v>89169</v>
      </c>
      <c r="AG187" s="8">
        <f ca="1">IFERROR(__xludf.DUMMYFUNCTION("""COMPUTED_VALUE"""),21839)</f>
        <v>21839</v>
      </c>
      <c r="AH187" s="8">
        <f ca="1">IFERROR(__xludf.DUMMYFUNCTION("""COMPUTED_VALUE"""),68275)</f>
        <v>68275</v>
      </c>
      <c r="AI187" s="8">
        <f ca="1">IFERROR(__xludf.DUMMYFUNCTION("""COMPUTED_VALUE"""),43169)</f>
        <v>43169</v>
      </c>
      <c r="AJ187" s="8">
        <f ca="1">IFERROR(__xludf.DUMMYFUNCTION("""COMPUTED_VALUE"""),20264)</f>
        <v>20264</v>
      </c>
      <c r="AK187" s="8">
        <f ca="1">IFERROR(__xludf.DUMMYFUNCTION("""COMPUTED_VALUE"""),14936)</f>
        <v>14936</v>
      </c>
      <c r="AL187" s="8">
        <f ca="1">IFERROR(__xludf.DUMMYFUNCTION("""COMPUTED_VALUE"""),33235)</f>
        <v>33235</v>
      </c>
      <c r="AM187" s="8">
        <f ca="1">IFERROR(__xludf.DUMMYFUNCTION("""COMPUTED_VALUE"""),23711)</f>
        <v>23711</v>
      </c>
      <c r="AN187" s="8">
        <f ca="1">IFERROR(__xludf.DUMMYFUNCTION("""COMPUTED_VALUE"""),48587)</f>
        <v>48587</v>
      </c>
      <c r="AO187" s="8">
        <f ca="1">IFERROR(__xludf.DUMMYFUNCTION("""COMPUTED_VALUE"""),20329)</f>
        <v>20329</v>
      </c>
      <c r="AP187" s="8"/>
      <c r="AQ187" s="8"/>
      <c r="AR187" s="8"/>
      <c r="AS187" s="8"/>
      <c r="AT187" s="8"/>
      <c r="AU187" s="8"/>
      <c r="AV187" s="8"/>
      <c r="AW187" s="8"/>
      <c r="AX187" s="8"/>
      <c r="AY187" s="8"/>
    </row>
    <row r="188" spans="1:51" ht="13.2" x14ac:dyDescent="0.25">
      <c r="A188" s="12" t="str">
        <f ca="1">IFERROR(__xludf.DUMMYFUNCTION("""COMPUTED_VALUE"""),"                  right Gustatory areas")</f>
        <v xml:space="preserve">                  right Gustatory areas</v>
      </c>
      <c r="B188" s="12">
        <f ca="1">IFERROR(__xludf.DUMMYFUNCTION("""COMPUTED_VALUE"""),3133)</f>
        <v>3133</v>
      </c>
      <c r="C188" s="12">
        <f ca="1">IFERROR(__xludf.DUMMYFUNCTION("""COMPUTED_VALUE"""),4964)</f>
        <v>4964</v>
      </c>
      <c r="D188" s="12">
        <f ca="1">IFERROR(__xludf.DUMMYFUNCTION("""COMPUTED_VALUE"""),8254)</f>
        <v>8254</v>
      </c>
      <c r="E188" s="12">
        <f ca="1">IFERROR(__xludf.DUMMYFUNCTION("""COMPUTED_VALUE"""),3188)</f>
        <v>3188</v>
      </c>
      <c r="F188" s="12">
        <f ca="1">IFERROR(__xludf.DUMMYFUNCTION("""COMPUTED_VALUE"""),8851)</f>
        <v>8851</v>
      </c>
      <c r="G188" s="12">
        <f ca="1">IFERROR(__xludf.DUMMYFUNCTION("""COMPUTED_VALUE"""),3860)</f>
        <v>3860</v>
      </c>
      <c r="H188" s="12">
        <f ca="1">IFERROR(__xludf.DUMMYFUNCTION("""COMPUTED_VALUE"""),299)</f>
        <v>299</v>
      </c>
      <c r="I188" s="12">
        <f ca="1">IFERROR(__xludf.DUMMYFUNCTION("""COMPUTED_VALUE"""),1934)</f>
        <v>1934</v>
      </c>
      <c r="J188" s="12">
        <f ca="1">IFERROR(__xludf.DUMMYFUNCTION("""COMPUTED_VALUE"""),3203)</f>
        <v>3203</v>
      </c>
      <c r="K188" s="12">
        <f ca="1">IFERROR(__xludf.DUMMYFUNCTION("""COMPUTED_VALUE"""),2975)</f>
        <v>2975</v>
      </c>
      <c r="L188" s="12">
        <f ca="1">IFERROR(__xludf.DUMMYFUNCTION("""COMPUTED_VALUE"""),8430)</f>
        <v>8430</v>
      </c>
      <c r="M188" s="12">
        <f ca="1">IFERROR(__xludf.DUMMYFUNCTION("""COMPUTED_VALUE"""),10596)</f>
        <v>10596</v>
      </c>
      <c r="N188" s="12">
        <f ca="1">IFERROR(__xludf.DUMMYFUNCTION("""COMPUTED_VALUE"""),4889)</f>
        <v>4889</v>
      </c>
      <c r="O188" s="12">
        <f ca="1">IFERROR(__xludf.DUMMYFUNCTION("""COMPUTED_VALUE"""),3854)</f>
        <v>3854</v>
      </c>
      <c r="P188" s="12">
        <f ca="1">IFERROR(__xludf.DUMMYFUNCTION("""COMPUTED_VALUE"""),2932)</f>
        <v>2932</v>
      </c>
      <c r="Q188" s="12">
        <f ca="1">IFERROR(__xludf.DUMMYFUNCTION("""COMPUTED_VALUE"""),469)</f>
        <v>469</v>
      </c>
      <c r="R188" s="12">
        <f ca="1">IFERROR(__xludf.DUMMYFUNCTION("""COMPUTED_VALUE"""),4588)</f>
        <v>4588</v>
      </c>
      <c r="S188" s="12">
        <f ca="1">IFERROR(__xludf.DUMMYFUNCTION("""COMPUTED_VALUE"""),1096)</f>
        <v>1096</v>
      </c>
      <c r="T188" s="12">
        <f ca="1">IFERROR(__xludf.DUMMYFUNCTION("""COMPUTED_VALUE"""),2963)</f>
        <v>2963</v>
      </c>
      <c r="U188" s="12">
        <f ca="1">IFERROR(__xludf.DUMMYFUNCTION("""COMPUTED_VALUE"""),11143)</f>
        <v>11143</v>
      </c>
      <c r="V188" s="12">
        <f ca="1">IFERROR(__xludf.DUMMYFUNCTION("""COMPUTED_VALUE"""),4415)</f>
        <v>4415</v>
      </c>
      <c r="W188" s="12">
        <f ca="1">IFERROR(__xludf.DUMMYFUNCTION("""COMPUTED_VALUE"""),24562)</f>
        <v>24562</v>
      </c>
      <c r="X188" s="12">
        <f ca="1">IFERROR(__xludf.DUMMYFUNCTION("""COMPUTED_VALUE"""),31379)</f>
        <v>31379</v>
      </c>
      <c r="Y188" s="12">
        <f ca="1">IFERROR(__xludf.DUMMYFUNCTION("""COMPUTED_VALUE"""),10749)</f>
        <v>10749</v>
      </c>
      <c r="Z188" s="12">
        <f ca="1">IFERROR(__xludf.DUMMYFUNCTION("""COMPUTED_VALUE"""),9822)</f>
        <v>9822</v>
      </c>
      <c r="AA188" s="12">
        <f ca="1">IFERROR(__xludf.DUMMYFUNCTION("""COMPUTED_VALUE"""),11484)</f>
        <v>11484</v>
      </c>
      <c r="AB188" s="12">
        <f ca="1">IFERROR(__xludf.DUMMYFUNCTION("""COMPUTED_VALUE"""),9941)</f>
        <v>9941</v>
      </c>
      <c r="AC188" s="12">
        <f ca="1">IFERROR(__xludf.DUMMYFUNCTION("""COMPUTED_VALUE"""),3292)</f>
        <v>3292</v>
      </c>
      <c r="AD188" s="12">
        <f ca="1">IFERROR(__xludf.DUMMYFUNCTION("""COMPUTED_VALUE"""),11882)</f>
        <v>11882</v>
      </c>
      <c r="AE188" s="12">
        <f ca="1">IFERROR(__xludf.DUMMYFUNCTION("""COMPUTED_VALUE"""),4283)</f>
        <v>4283</v>
      </c>
      <c r="AF188" s="8">
        <f ca="1">IFERROR(__xludf.DUMMYFUNCTION("""COMPUTED_VALUE"""),18360)</f>
        <v>18360</v>
      </c>
      <c r="AG188" s="8">
        <f ca="1">IFERROR(__xludf.DUMMYFUNCTION("""COMPUTED_VALUE"""),6452)</f>
        <v>6452</v>
      </c>
      <c r="AH188" s="8">
        <f ca="1">IFERROR(__xludf.DUMMYFUNCTION("""COMPUTED_VALUE"""),11391)</f>
        <v>11391</v>
      </c>
      <c r="AI188" s="8">
        <f ca="1">IFERROR(__xludf.DUMMYFUNCTION("""COMPUTED_VALUE"""),6498)</f>
        <v>6498</v>
      </c>
      <c r="AJ188" s="8">
        <f ca="1">IFERROR(__xludf.DUMMYFUNCTION("""COMPUTED_VALUE"""),5647)</f>
        <v>5647</v>
      </c>
      <c r="AK188" s="8">
        <f ca="1">IFERROR(__xludf.DUMMYFUNCTION("""COMPUTED_VALUE"""),3569)</f>
        <v>3569</v>
      </c>
      <c r="AL188" s="8">
        <f ca="1">IFERROR(__xludf.DUMMYFUNCTION("""COMPUTED_VALUE"""),9670)</f>
        <v>9670</v>
      </c>
      <c r="AM188" s="8">
        <f ca="1">IFERROR(__xludf.DUMMYFUNCTION("""COMPUTED_VALUE"""),11748)</f>
        <v>11748</v>
      </c>
      <c r="AN188" s="8">
        <f ca="1">IFERROR(__xludf.DUMMYFUNCTION("""COMPUTED_VALUE"""),3866)</f>
        <v>3866</v>
      </c>
      <c r="AO188" s="8">
        <f ca="1">IFERROR(__xludf.DUMMYFUNCTION("""COMPUTED_VALUE"""),6385)</f>
        <v>6385</v>
      </c>
      <c r="AP188" s="8"/>
      <c r="AQ188" s="8"/>
      <c r="AR188" s="8"/>
      <c r="AS188" s="8"/>
      <c r="AT188" s="8"/>
      <c r="AU188" s="8"/>
      <c r="AV188" s="8"/>
      <c r="AW188" s="8"/>
      <c r="AX188" s="8"/>
      <c r="AY188" s="8"/>
    </row>
    <row r="189" spans="1:51" ht="13.2" x14ac:dyDescent="0.25">
      <c r="A189" s="12" t="str">
        <f ca="1">IFERROR(__xludf.DUMMYFUNCTION("""COMPUTED_VALUE"""),"                  right Visceral area")</f>
        <v xml:space="preserve">                  right Visceral area</v>
      </c>
      <c r="B189" s="12">
        <f ca="1">IFERROR(__xludf.DUMMYFUNCTION("""COMPUTED_VALUE"""),2273)</f>
        <v>2273</v>
      </c>
      <c r="C189" s="12">
        <f ca="1">IFERROR(__xludf.DUMMYFUNCTION("""COMPUTED_VALUE"""),5069)</f>
        <v>5069</v>
      </c>
      <c r="D189" s="12">
        <f ca="1">IFERROR(__xludf.DUMMYFUNCTION("""COMPUTED_VALUE"""),9423)</f>
        <v>9423</v>
      </c>
      <c r="E189" s="12">
        <f ca="1">IFERROR(__xludf.DUMMYFUNCTION("""COMPUTED_VALUE"""),3708)</f>
        <v>3708</v>
      </c>
      <c r="F189" s="12">
        <f ca="1">IFERROR(__xludf.DUMMYFUNCTION("""COMPUTED_VALUE"""),14830)</f>
        <v>14830</v>
      </c>
      <c r="G189" s="12">
        <f ca="1">IFERROR(__xludf.DUMMYFUNCTION("""COMPUTED_VALUE"""),8387)</f>
        <v>8387</v>
      </c>
      <c r="H189" s="12">
        <f ca="1">IFERROR(__xludf.DUMMYFUNCTION("""COMPUTED_VALUE"""),2985)</f>
        <v>2985</v>
      </c>
      <c r="I189" s="12">
        <f ca="1">IFERROR(__xludf.DUMMYFUNCTION("""COMPUTED_VALUE"""),4020)</f>
        <v>4020</v>
      </c>
      <c r="J189" s="12">
        <f ca="1">IFERROR(__xludf.DUMMYFUNCTION("""COMPUTED_VALUE"""),2469)</f>
        <v>2469</v>
      </c>
      <c r="K189" s="12">
        <f ca="1">IFERROR(__xludf.DUMMYFUNCTION("""COMPUTED_VALUE"""),6282)</f>
        <v>6282</v>
      </c>
      <c r="L189" s="12">
        <f ca="1">IFERROR(__xludf.DUMMYFUNCTION("""COMPUTED_VALUE"""),9780)</f>
        <v>9780</v>
      </c>
      <c r="M189" s="12">
        <f ca="1">IFERROR(__xludf.DUMMYFUNCTION("""COMPUTED_VALUE"""),18442)</f>
        <v>18442</v>
      </c>
      <c r="N189" s="12">
        <f ca="1">IFERROR(__xludf.DUMMYFUNCTION("""COMPUTED_VALUE"""),5901)</f>
        <v>5901</v>
      </c>
      <c r="O189" s="12">
        <f ca="1">IFERROR(__xludf.DUMMYFUNCTION("""COMPUTED_VALUE"""),6986)</f>
        <v>6986</v>
      </c>
      <c r="P189" s="12">
        <f ca="1">IFERROR(__xludf.DUMMYFUNCTION("""COMPUTED_VALUE"""),2944)</f>
        <v>2944</v>
      </c>
      <c r="Q189" s="12">
        <f ca="1">IFERROR(__xludf.DUMMYFUNCTION("""COMPUTED_VALUE"""),2370)</f>
        <v>2370</v>
      </c>
      <c r="R189" s="12">
        <f ca="1">IFERROR(__xludf.DUMMYFUNCTION("""COMPUTED_VALUE"""),2991)</f>
        <v>2991</v>
      </c>
      <c r="S189" s="12">
        <f ca="1">IFERROR(__xludf.DUMMYFUNCTION("""COMPUTED_VALUE"""),557)</f>
        <v>557</v>
      </c>
      <c r="T189" s="12">
        <f ca="1">IFERROR(__xludf.DUMMYFUNCTION("""COMPUTED_VALUE"""),5720)</f>
        <v>5720</v>
      </c>
      <c r="U189" s="12">
        <f ca="1">IFERROR(__xludf.DUMMYFUNCTION("""COMPUTED_VALUE"""),10084)</f>
        <v>10084</v>
      </c>
      <c r="V189" s="12">
        <f ca="1">IFERROR(__xludf.DUMMYFUNCTION("""COMPUTED_VALUE"""),6292)</f>
        <v>6292</v>
      </c>
      <c r="W189" s="12">
        <f ca="1">IFERROR(__xludf.DUMMYFUNCTION("""COMPUTED_VALUE"""),29459)</f>
        <v>29459</v>
      </c>
      <c r="X189" s="12">
        <f ca="1">IFERROR(__xludf.DUMMYFUNCTION("""COMPUTED_VALUE"""),25964)</f>
        <v>25964</v>
      </c>
      <c r="Y189" s="12">
        <f ca="1">IFERROR(__xludf.DUMMYFUNCTION("""COMPUTED_VALUE"""),8962)</f>
        <v>8962</v>
      </c>
      <c r="Z189" s="12">
        <f ca="1">IFERROR(__xludf.DUMMYFUNCTION("""COMPUTED_VALUE"""),12933)</f>
        <v>12933</v>
      </c>
      <c r="AA189" s="12">
        <f ca="1">IFERROR(__xludf.DUMMYFUNCTION("""COMPUTED_VALUE"""),14563)</f>
        <v>14563</v>
      </c>
      <c r="AB189" s="12">
        <f ca="1">IFERROR(__xludf.DUMMYFUNCTION("""COMPUTED_VALUE"""),10435)</f>
        <v>10435</v>
      </c>
      <c r="AC189" s="12">
        <f ca="1">IFERROR(__xludf.DUMMYFUNCTION("""COMPUTED_VALUE"""),3165)</f>
        <v>3165</v>
      </c>
      <c r="AD189" s="12">
        <f ca="1">IFERROR(__xludf.DUMMYFUNCTION("""COMPUTED_VALUE"""),9552)</f>
        <v>9552</v>
      </c>
      <c r="AE189" s="12">
        <f ca="1">IFERROR(__xludf.DUMMYFUNCTION("""COMPUTED_VALUE"""),6456)</f>
        <v>6456</v>
      </c>
      <c r="AF189" s="8">
        <f ca="1">IFERROR(__xludf.DUMMYFUNCTION("""COMPUTED_VALUE"""),20434)</f>
        <v>20434</v>
      </c>
      <c r="AG189" s="8">
        <f ca="1">IFERROR(__xludf.DUMMYFUNCTION("""COMPUTED_VALUE"""),6616)</f>
        <v>6616</v>
      </c>
      <c r="AH189" s="8">
        <f ca="1">IFERROR(__xludf.DUMMYFUNCTION("""COMPUTED_VALUE"""),8124)</f>
        <v>8124</v>
      </c>
      <c r="AI189" s="8">
        <f ca="1">IFERROR(__xludf.DUMMYFUNCTION("""COMPUTED_VALUE"""),5999)</f>
        <v>5999</v>
      </c>
      <c r="AJ189" s="8">
        <f ca="1">IFERROR(__xludf.DUMMYFUNCTION("""COMPUTED_VALUE"""),6911)</f>
        <v>6911</v>
      </c>
      <c r="AK189" s="8">
        <f ca="1">IFERROR(__xludf.DUMMYFUNCTION("""COMPUTED_VALUE"""),3810)</f>
        <v>3810</v>
      </c>
      <c r="AL189" s="8">
        <f ca="1">IFERROR(__xludf.DUMMYFUNCTION("""COMPUTED_VALUE"""),12803)</f>
        <v>12803</v>
      </c>
      <c r="AM189" s="8">
        <f ca="1">IFERROR(__xludf.DUMMYFUNCTION("""COMPUTED_VALUE"""),7609)</f>
        <v>7609</v>
      </c>
      <c r="AN189" s="8">
        <f ca="1">IFERROR(__xludf.DUMMYFUNCTION("""COMPUTED_VALUE"""),12145)</f>
        <v>12145</v>
      </c>
      <c r="AO189" s="8">
        <f ca="1">IFERROR(__xludf.DUMMYFUNCTION("""COMPUTED_VALUE"""),6273)</f>
        <v>6273</v>
      </c>
      <c r="AP189" s="8"/>
      <c r="AQ189" s="8"/>
      <c r="AR189" s="8"/>
      <c r="AS189" s="8"/>
      <c r="AT189" s="8"/>
      <c r="AU189" s="8"/>
      <c r="AV189" s="8"/>
      <c r="AW189" s="8"/>
      <c r="AX189" s="8"/>
      <c r="AY189" s="8"/>
    </row>
    <row r="190" spans="1:51" ht="13.2" x14ac:dyDescent="0.25">
      <c r="A190" s="12" t="str">
        <f ca="1">IFERROR(__xludf.DUMMYFUNCTION("""COMPUTED_VALUE"""),"                  right Auditory areas")</f>
        <v xml:space="preserve">                  right Auditory areas</v>
      </c>
      <c r="B190" s="12">
        <f ca="1">IFERROR(__xludf.DUMMYFUNCTION("""COMPUTED_VALUE"""),33681)</f>
        <v>33681</v>
      </c>
      <c r="C190" s="12">
        <f ca="1">IFERROR(__xludf.DUMMYFUNCTION("""COMPUTED_VALUE"""),65219)</f>
        <v>65219</v>
      </c>
      <c r="D190" s="12">
        <f ca="1">IFERROR(__xludf.DUMMYFUNCTION("""COMPUTED_VALUE"""),39255)</f>
        <v>39255</v>
      </c>
      <c r="E190" s="12">
        <f ca="1">IFERROR(__xludf.DUMMYFUNCTION("""COMPUTED_VALUE"""),44838)</f>
        <v>44838</v>
      </c>
      <c r="F190" s="12">
        <f ca="1">IFERROR(__xludf.DUMMYFUNCTION("""COMPUTED_VALUE"""),68012)</f>
        <v>68012</v>
      </c>
      <c r="G190" s="12">
        <f ca="1">IFERROR(__xludf.DUMMYFUNCTION("""COMPUTED_VALUE"""),37138)</f>
        <v>37138</v>
      </c>
      <c r="H190" s="12">
        <f ca="1">IFERROR(__xludf.DUMMYFUNCTION("""COMPUTED_VALUE"""),17786)</f>
        <v>17786</v>
      </c>
      <c r="I190" s="12">
        <f ca="1">IFERROR(__xludf.DUMMYFUNCTION("""COMPUTED_VALUE"""),21735)</f>
        <v>21735</v>
      </c>
      <c r="J190" s="12">
        <f ca="1">IFERROR(__xludf.DUMMYFUNCTION("""COMPUTED_VALUE"""),44719)</f>
        <v>44719</v>
      </c>
      <c r="K190" s="12">
        <f ca="1">IFERROR(__xludf.DUMMYFUNCTION("""COMPUTED_VALUE"""),42423)</f>
        <v>42423</v>
      </c>
      <c r="L190" s="12">
        <f ca="1">IFERROR(__xludf.DUMMYFUNCTION("""COMPUTED_VALUE"""),30862)</f>
        <v>30862</v>
      </c>
      <c r="M190" s="12">
        <f ca="1">IFERROR(__xludf.DUMMYFUNCTION("""COMPUTED_VALUE"""),80486)</f>
        <v>80486</v>
      </c>
      <c r="N190" s="12">
        <f ca="1">IFERROR(__xludf.DUMMYFUNCTION("""COMPUTED_VALUE"""),5103)</f>
        <v>5103</v>
      </c>
      <c r="O190" s="12">
        <f ca="1">IFERROR(__xludf.DUMMYFUNCTION("""COMPUTED_VALUE"""),67847)</f>
        <v>67847</v>
      </c>
      <c r="P190" s="12">
        <f ca="1">IFERROR(__xludf.DUMMYFUNCTION("""COMPUTED_VALUE"""),43327)</f>
        <v>43327</v>
      </c>
      <c r="Q190" s="12">
        <f ca="1">IFERROR(__xludf.DUMMYFUNCTION("""COMPUTED_VALUE"""),13917)</f>
        <v>13917</v>
      </c>
      <c r="R190" s="12">
        <f ca="1">IFERROR(__xludf.DUMMYFUNCTION("""COMPUTED_VALUE"""),48511)</f>
        <v>48511</v>
      </c>
      <c r="S190" s="12">
        <f ca="1">IFERROR(__xludf.DUMMYFUNCTION("""COMPUTED_VALUE"""),6101)</f>
        <v>6101</v>
      </c>
      <c r="T190" s="12">
        <f ca="1">IFERROR(__xludf.DUMMYFUNCTION("""COMPUTED_VALUE"""),46250)</f>
        <v>46250</v>
      </c>
      <c r="U190" s="12">
        <f ca="1">IFERROR(__xludf.DUMMYFUNCTION("""COMPUTED_VALUE"""),58876)</f>
        <v>58876</v>
      </c>
      <c r="V190" s="12">
        <f ca="1">IFERROR(__xludf.DUMMYFUNCTION("""COMPUTED_VALUE"""),29949)</f>
        <v>29949</v>
      </c>
      <c r="W190" s="12">
        <f ca="1">IFERROR(__xludf.DUMMYFUNCTION("""COMPUTED_VALUE"""),127483)</f>
        <v>127483</v>
      </c>
      <c r="X190" s="12">
        <f ca="1">IFERROR(__xludf.DUMMYFUNCTION("""COMPUTED_VALUE"""),90299)</f>
        <v>90299</v>
      </c>
      <c r="Y190" s="12">
        <f ca="1">IFERROR(__xludf.DUMMYFUNCTION("""COMPUTED_VALUE"""),45035)</f>
        <v>45035</v>
      </c>
      <c r="Z190" s="12">
        <f ca="1">IFERROR(__xludf.DUMMYFUNCTION("""COMPUTED_VALUE"""),49767)</f>
        <v>49767</v>
      </c>
      <c r="AA190" s="12">
        <f ca="1">IFERROR(__xludf.DUMMYFUNCTION("""COMPUTED_VALUE"""),83902)</f>
        <v>83902</v>
      </c>
      <c r="AB190" s="12">
        <f ca="1">IFERROR(__xludf.DUMMYFUNCTION("""COMPUTED_VALUE"""),68519)</f>
        <v>68519</v>
      </c>
      <c r="AC190" s="12">
        <f ca="1">IFERROR(__xludf.DUMMYFUNCTION("""COMPUTED_VALUE"""),35944)</f>
        <v>35944</v>
      </c>
      <c r="AD190" s="12">
        <f ca="1">IFERROR(__xludf.DUMMYFUNCTION("""COMPUTED_VALUE"""),55909)</f>
        <v>55909</v>
      </c>
      <c r="AE190" s="12">
        <f ca="1">IFERROR(__xludf.DUMMYFUNCTION("""COMPUTED_VALUE"""),53664)</f>
        <v>53664</v>
      </c>
      <c r="AF190" s="8">
        <f ca="1">IFERROR(__xludf.DUMMYFUNCTION("""COMPUTED_VALUE"""),122849)</f>
        <v>122849</v>
      </c>
      <c r="AG190" s="8">
        <f ca="1">IFERROR(__xludf.DUMMYFUNCTION("""COMPUTED_VALUE"""),33815)</f>
        <v>33815</v>
      </c>
      <c r="AH190" s="8">
        <f ca="1">IFERROR(__xludf.DUMMYFUNCTION("""COMPUTED_VALUE"""),59244)</f>
        <v>59244</v>
      </c>
      <c r="AI190" s="8">
        <f ca="1">IFERROR(__xludf.DUMMYFUNCTION("""COMPUTED_VALUE"""),36566)</f>
        <v>36566</v>
      </c>
      <c r="AJ190" s="8">
        <f ca="1">IFERROR(__xludf.DUMMYFUNCTION("""COMPUTED_VALUE"""),19742)</f>
        <v>19742</v>
      </c>
      <c r="AK190" s="8">
        <f ca="1">IFERROR(__xludf.DUMMYFUNCTION("""COMPUTED_VALUE"""),17390)</f>
        <v>17390</v>
      </c>
      <c r="AL190" s="8">
        <f ca="1">IFERROR(__xludf.DUMMYFUNCTION("""COMPUTED_VALUE"""),13605)</f>
        <v>13605</v>
      </c>
      <c r="AM190" s="8">
        <f ca="1">IFERROR(__xludf.DUMMYFUNCTION("""COMPUTED_VALUE"""),59560)</f>
        <v>59560</v>
      </c>
      <c r="AN190" s="8">
        <f ca="1">IFERROR(__xludf.DUMMYFUNCTION("""COMPUTED_VALUE"""),62629)</f>
        <v>62629</v>
      </c>
      <c r="AO190" s="8">
        <f ca="1">IFERROR(__xludf.DUMMYFUNCTION("""COMPUTED_VALUE"""),29205)</f>
        <v>29205</v>
      </c>
      <c r="AP190" s="8"/>
      <c r="AQ190" s="8"/>
      <c r="AR190" s="8"/>
      <c r="AS190" s="8"/>
      <c r="AT190" s="8"/>
      <c r="AU190" s="8"/>
      <c r="AV190" s="8"/>
      <c r="AW190" s="8"/>
      <c r="AX190" s="8"/>
      <c r="AY190" s="8"/>
    </row>
    <row r="191" spans="1:51" ht="13.2" x14ac:dyDescent="0.25">
      <c r="A191" s="12" t="str">
        <f ca="1">IFERROR(__xludf.DUMMYFUNCTION("""COMPUTED_VALUE"""),"                     right Dorsal auditory area")</f>
        <v xml:space="preserve">                     right Dorsal auditory area</v>
      </c>
      <c r="B191" s="12">
        <f ca="1">IFERROR(__xludf.DUMMYFUNCTION("""COMPUTED_VALUE"""),5219)</f>
        <v>5219</v>
      </c>
      <c r="C191" s="12">
        <f ca="1">IFERROR(__xludf.DUMMYFUNCTION("""COMPUTED_VALUE"""),8606)</f>
        <v>8606</v>
      </c>
      <c r="D191" s="12">
        <f ca="1">IFERROR(__xludf.DUMMYFUNCTION("""COMPUTED_VALUE"""),7149)</f>
        <v>7149</v>
      </c>
      <c r="E191" s="12">
        <f ca="1">IFERROR(__xludf.DUMMYFUNCTION("""COMPUTED_VALUE"""),7406)</f>
        <v>7406</v>
      </c>
      <c r="F191" s="12">
        <f ca="1">IFERROR(__xludf.DUMMYFUNCTION("""COMPUTED_VALUE"""),13726)</f>
        <v>13726</v>
      </c>
      <c r="G191" s="12">
        <f ca="1">IFERROR(__xludf.DUMMYFUNCTION("""COMPUTED_VALUE"""),7159)</f>
        <v>7159</v>
      </c>
      <c r="H191" s="12">
        <f ca="1">IFERROR(__xludf.DUMMYFUNCTION("""COMPUTED_VALUE"""),4290)</f>
        <v>4290</v>
      </c>
      <c r="I191" s="12">
        <f ca="1">IFERROR(__xludf.DUMMYFUNCTION("""COMPUTED_VALUE"""),3009)</f>
        <v>3009</v>
      </c>
      <c r="J191" s="12">
        <f ca="1">IFERROR(__xludf.DUMMYFUNCTION("""COMPUTED_VALUE"""),6850)</f>
        <v>6850</v>
      </c>
      <c r="K191" s="12">
        <f ca="1">IFERROR(__xludf.DUMMYFUNCTION("""COMPUTED_VALUE"""),9038)</f>
        <v>9038</v>
      </c>
      <c r="L191" s="12">
        <f ca="1">IFERROR(__xludf.DUMMYFUNCTION("""COMPUTED_VALUE"""),3835)</f>
        <v>3835</v>
      </c>
      <c r="M191" s="12">
        <f ca="1">IFERROR(__xludf.DUMMYFUNCTION("""COMPUTED_VALUE"""),17793)</f>
        <v>17793</v>
      </c>
      <c r="N191" s="12">
        <f ca="1">IFERROR(__xludf.DUMMYFUNCTION("""COMPUTED_VALUE"""),995)</f>
        <v>995</v>
      </c>
      <c r="O191" s="12">
        <f ca="1">IFERROR(__xludf.DUMMYFUNCTION("""COMPUTED_VALUE"""),10056)</f>
        <v>10056</v>
      </c>
      <c r="P191" s="12">
        <f ca="1">IFERROR(__xludf.DUMMYFUNCTION("""COMPUTED_VALUE"""),7199)</f>
        <v>7199</v>
      </c>
      <c r="Q191" s="12">
        <f ca="1">IFERROR(__xludf.DUMMYFUNCTION("""COMPUTED_VALUE"""),2564)</f>
        <v>2564</v>
      </c>
      <c r="R191" s="12">
        <f ca="1">IFERROR(__xludf.DUMMYFUNCTION("""COMPUTED_VALUE"""),7773)</f>
        <v>7773</v>
      </c>
      <c r="S191" s="12">
        <f ca="1">IFERROR(__xludf.DUMMYFUNCTION("""COMPUTED_VALUE"""),786)</f>
        <v>786</v>
      </c>
      <c r="T191" s="12">
        <f ca="1">IFERROR(__xludf.DUMMYFUNCTION("""COMPUTED_VALUE"""),10020)</f>
        <v>10020</v>
      </c>
      <c r="U191" s="12">
        <f ca="1">IFERROR(__xludf.DUMMYFUNCTION("""COMPUTED_VALUE"""),8348)</f>
        <v>8348</v>
      </c>
      <c r="V191" s="12">
        <f ca="1">IFERROR(__xludf.DUMMYFUNCTION("""COMPUTED_VALUE"""),2492)</f>
        <v>2492</v>
      </c>
      <c r="W191" s="12">
        <f ca="1">IFERROR(__xludf.DUMMYFUNCTION("""COMPUTED_VALUE"""),25889)</f>
        <v>25889</v>
      </c>
      <c r="X191" s="12">
        <f ca="1">IFERROR(__xludf.DUMMYFUNCTION("""COMPUTED_VALUE"""),20163)</f>
        <v>20163</v>
      </c>
      <c r="Y191" s="12">
        <f ca="1">IFERROR(__xludf.DUMMYFUNCTION("""COMPUTED_VALUE"""),8288)</f>
        <v>8288</v>
      </c>
      <c r="Z191" s="12">
        <f ca="1">IFERROR(__xludf.DUMMYFUNCTION("""COMPUTED_VALUE"""),11193)</f>
        <v>11193</v>
      </c>
      <c r="AA191" s="12">
        <f ca="1">IFERROR(__xludf.DUMMYFUNCTION("""COMPUTED_VALUE"""),13242)</f>
        <v>13242</v>
      </c>
      <c r="AB191" s="12">
        <f ca="1">IFERROR(__xludf.DUMMYFUNCTION("""COMPUTED_VALUE"""),7554)</f>
        <v>7554</v>
      </c>
      <c r="AC191" s="12">
        <f ca="1">IFERROR(__xludf.DUMMYFUNCTION("""COMPUTED_VALUE"""),7952)</f>
        <v>7952</v>
      </c>
      <c r="AD191" s="12">
        <f ca="1">IFERROR(__xludf.DUMMYFUNCTION("""COMPUTED_VALUE"""),12521)</f>
        <v>12521</v>
      </c>
      <c r="AE191" s="12">
        <f ca="1">IFERROR(__xludf.DUMMYFUNCTION("""COMPUTED_VALUE"""),15276)</f>
        <v>15276</v>
      </c>
      <c r="AF191" s="8">
        <f ca="1">IFERROR(__xludf.DUMMYFUNCTION("""COMPUTED_VALUE"""),25700)</f>
        <v>25700</v>
      </c>
      <c r="AG191" s="8">
        <f ca="1">IFERROR(__xludf.DUMMYFUNCTION("""COMPUTED_VALUE"""),3068)</f>
        <v>3068</v>
      </c>
      <c r="AH191" s="8">
        <f ca="1">IFERROR(__xludf.DUMMYFUNCTION("""COMPUTED_VALUE"""),12891)</f>
        <v>12891</v>
      </c>
      <c r="AI191" s="8">
        <f ca="1">IFERROR(__xludf.DUMMYFUNCTION("""COMPUTED_VALUE"""),9212)</f>
        <v>9212</v>
      </c>
      <c r="AJ191" s="8">
        <f ca="1">IFERROR(__xludf.DUMMYFUNCTION("""COMPUTED_VALUE"""),2104)</f>
        <v>2104</v>
      </c>
      <c r="AK191" s="8">
        <f ca="1">IFERROR(__xludf.DUMMYFUNCTION("""COMPUTED_VALUE"""),3558)</f>
        <v>3558</v>
      </c>
      <c r="AL191" s="8">
        <f ca="1">IFERROR(__xludf.DUMMYFUNCTION("""COMPUTED_VALUE"""),1298)</f>
        <v>1298</v>
      </c>
      <c r="AM191" s="8">
        <f ca="1">IFERROR(__xludf.DUMMYFUNCTION("""COMPUTED_VALUE"""),9300)</f>
        <v>9300</v>
      </c>
      <c r="AN191" s="8">
        <f ca="1">IFERROR(__xludf.DUMMYFUNCTION("""COMPUTED_VALUE"""),10839)</f>
        <v>10839</v>
      </c>
      <c r="AO191" s="8">
        <f ca="1">IFERROR(__xludf.DUMMYFUNCTION("""COMPUTED_VALUE"""),4109)</f>
        <v>4109</v>
      </c>
      <c r="AP191" s="8"/>
      <c r="AQ191" s="8"/>
      <c r="AR191" s="8"/>
      <c r="AS191" s="8"/>
      <c r="AT191" s="8"/>
      <c r="AU191" s="8"/>
      <c r="AV191" s="8"/>
      <c r="AW191" s="8"/>
      <c r="AX191" s="8"/>
      <c r="AY191" s="8"/>
    </row>
    <row r="192" spans="1:51" ht="13.2" x14ac:dyDescent="0.25">
      <c r="A192" s="12" t="str">
        <f ca="1">IFERROR(__xludf.DUMMYFUNCTION("""COMPUTED_VALUE"""),"                     right Primary auditory area")</f>
        <v xml:space="preserve">                     right Primary auditory area</v>
      </c>
      <c r="B192" s="12">
        <f ca="1">IFERROR(__xludf.DUMMYFUNCTION("""COMPUTED_VALUE"""),14075)</f>
        <v>14075</v>
      </c>
      <c r="C192" s="12">
        <f ca="1">IFERROR(__xludf.DUMMYFUNCTION("""COMPUTED_VALUE"""),27907)</f>
        <v>27907</v>
      </c>
      <c r="D192" s="12">
        <f ca="1">IFERROR(__xludf.DUMMYFUNCTION("""COMPUTED_VALUE"""),13898)</f>
        <v>13898</v>
      </c>
      <c r="E192" s="12">
        <f ca="1">IFERROR(__xludf.DUMMYFUNCTION("""COMPUTED_VALUE"""),21007)</f>
        <v>21007</v>
      </c>
      <c r="F192" s="12">
        <f ca="1">IFERROR(__xludf.DUMMYFUNCTION("""COMPUTED_VALUE"""),26844)</f>
        <v>26844</v>
      </c>
      <c r="G192" s="12">
        <f ca="1">IFERROR(__xludf.DUMMYFUNCTION("""COMPUTED_VALUE"""),14880)</f>
        <v>14880</v>
      </c>
      <c r="H192" s="12">
        <f ca="1">IFERROR(__xludf.DUMMYFUNCTION("""COMPUTED_VALUE"""),6037)</f>
        <v>6037</v>
      </c>
      <c r="I192" s="12">
        <f ca="1">IFERROR(__xludf.DUMMYFUNCTION("""COMPUTED_VALUE"""),7641)</f>
        <v>7641</v>
      </c>
      <c r="J192" s="12">
        <f ca="1">IFERROR(__xludf.DUMMYFUNCTION("""COMPUTED_VALUE"""),18769)</f>
        <v>18769</v>
      </c>
      <c r="K192" s="12">
        <f ca="1">IFERROR(__xludf.DUMMYFUNCTION("""COMPUTED_VALUE"""),16504)</f>
        <v>16504</v>
      </c>
      <c r="L192" s="12">
        <f ca="1">IFERROR(__xludf.DUMMYFUNCTION("""COMPUTED_VALUE"""),11036)</f>
        <v>11036</v>
      </c>
      <c r="M192" s="12">
        <f ca="1">IFERROR(__xludf.DUMMYFUNCTION("""COMPUTED_VALUE"""),30316)</f>
        <v>30316</v>
      </c>
      <c r="N192" s="12">
        <f ca="1">IFERROR(__xludf.DUMMYFUNCTION("""COMPUTED_VALUE"""),1881)</f>
        <v>1881</v>
      </c>
      <c r="O192" s="12">
        <f ca="1">IFERROR(__xludf.DUMMYFUNCTION("""COMPUTED_VALUE"""),28653)</f>
        <v>28653</v>
      </c>
      <c r="P192" s="12">
        <f ca="1">IFERROR(__xludf.DUMMYFUNCTION("""COMPUTED_VALUE"""),16538)</f>
        <v>16538</v>
      </c>
      <c r="Q192" s="12">
        <f ca="1">IFERROR(__xludf.DUMMYFUNCTION("""COMPUTED_VALUE"""),5254)</f>
        <v>5254</v>
      </c>
      <c r="R192" s="12">
        <f ca="1">IFERROR(__xludf.DUMMYFUNCTION("""COMPUTED_VALUE"""),22271)</f>
        <v>22271</v>
      </c>
      <c r="S192" s="12">
        <f ca="1">IFERROR(__xludf.DUMMYFUNCTION("""COMPUTED_VALUE"""),1954)</f>
        <v>1954</v>
      </c>
      <c r="T192" s="12">
        <f ca="1">IFERROR(__xludf.DUMMYFUNCTION("""COMPUTED_VALUE"""),19887)</f>
        <v>19887</v>
      </c>
      <c r="U192" s="12">
        <f ca="1">IFERROR(__xludf.DUMMYFUNCTION("""COMPUTED_VALUE"""),26147)</f>
        <v>26147</v>
      </c>
      <c r="V192" s="12">
        <f ca="1">IFERROR(__xludf.DUMMYFUNCTION("""COMPUTED_VALUE"""),9285)</f>
        <v>9285</v>
      </c>
      <c r="W192" s="12">
        <f ca="1">IFERROR(__xludf.DUMMYFUNCTION("""COMPUTED_VALUE"""),52463)</f>
        <v>52463</v>
      </c>
      <c r="X192" s="12">
        <f ca="1">IFERROR(__xludf.DUMMYFUNCTION("""COMPUTED_VALUE"""),34746)</f>
        <v>34746</v>
      </c>
      <c r="Y192" s="12">
        <f ca="1">IFERROR(__xludf.DUMMYFUNCTION("""COMPUTED_VALUE"""),17933)</f>
        <v>17933</v>
      </c>
      <c r="Z192" s="12">
        <f ca="1">IFERROR(__xludf.DUMMYFUNCTION("""COMPUTED_VALUE"""),18260)</f>
        <v>18260</v>
      </c>
      <c r="AA192" s="12">
        <f ca="1">IFERROR(__xludf.DUMMYFUNCTION("""COMPUTED_VALUE"""),35232)</f>
        <v>35232</v>
      </c>
      <c r="AB192" s="12">
        <f ca="1">IFERROR(__xludf.DUMMYFUNCTION("""COMPUTED_VALUE"""),31243)</f>
        <v>31243</v>
      </c>
      <c r="AC192" s="12">
        <f ca="1">IFERROR(__xludf.DUMMYFUNCTION("""COMPUTED_VALUE"""),16223)</f>
        <v>16223</v>
      </c>
      <c r="AD192" s="12">
        <f ca="1">IFERROR(__xludf.DUMMYFUNCTION("""COMPUTED_VALUE"""),23305)</f>
        <v>23305</v>
      </c>
      <c r="AE192" s="12">
        <f ca="1">IFERROR(__xludf.DUMMYFUNCTION("""COMPUTED_VALUE"""),18692)</f>
        <v>18692</v>
      </c>
      <c r="AF192" s="8">
        <f ca="1">IFERROR(__xludf.DUMMYFUNCTION("""COMPUTED_VALUE"""),52735)</f>
        <v>52735</v>
      </c>
      <c r="AG192" s="8">
        <f ca="1">IFERROR(__xludf.DUMMYFUNCTION("""COMPUTED_VALUE"""),14383)</f>
        <v>14383</v>
      </c>
      <c r="AH192" s="8">
        <f ca="1">IFERROR(__xludf.DUMMYFUNCTION("""COMPUTED_VALUE"""),22024)</f>
        <v>22024</v>
      </c>
      <c r="AI192" s="8">
        <f ca="1">IFERROR(__xludf.DUMMYFUNCTION("""COMPUTED_VALUE"""),12750)</f>
        <v>12750</v>
      </c>
      <c r="AJ192" s="8">
        <f ca="1">IFERROR(__xludf.DUMMYFUNCTION("""COMPUTED_VALUE"""),7775)</f>
        <v>7775</v>
      </c>
      <c r="AK192" s="8">
        <f ca="1">IFERROR(__xludf.DUMMYFUNCTION("""COMPUTED_VALUE"""),6833)</f>
        <v>6833</v>
      </c>
      <c r="AL192" s="8">
        <f ca="1">IFERROR(__xludf.DUMMYFUNCTION("""COMPUTED_VALUE"""),4866)</f>
        <v>4866</v>
      </c>
      <c r="AM192" s="8">
        <f ca="1">IFERROR(__xludf.DUMMYFUNCTION("""COMPUTED_VALUE"""),25434)</f>
        <v>25434</v>
      </c>
      <c r="AN192" s="8">
        <f ca="1">IFERROR(__xludf.DUMMYFUNCTION("""COMPUTED_VALUE"""),25652)</f>
        <v>25652</v>
      </c>
      <c r="AO192" s="8">
        <f ca="1">IFERROR(__xludf.DUMMYFUNCTION("""COMPUTED_VALUE"""),14944)</f>
        <v>14944</v>
      </c>
      <c r="AP192" s="8"/>
      <c r="AQ192" s="8"/>
      <c r="AR192" s="8"/>
      <c r="AS192" s="8"/>
      <c r="AT192" s="8"/>
      <c r="AU192" s="8"/>
      <c r="AV192" s="8"/>
      <c r="AW192" s="8"/>
      <c r="AX192" s="8"/>
      <c r="AY192" s="8"/>
    </row>
    <row r="193" spans="1:51" ht="13.2" x14ac:dyDescent="0.25">
      <c r="A193" s="12" t="str">
        <f ca="1">IFERROR(__xludf.DUMMYFUNCTION("""COMPUTED_VALUE"""),"                     right Posterior auditory area")</f>
        <v xml:space="preserve">                     right Posterior auditory area</v>
      </c>
      <c r="B193" s="12">
        <f ca="1">IFERROR(__xludf.DUMMYFUNCTION("""COMPUTED_VALUE"""),3446)</f>
        <v>3446</v>
      </c>
      <c r="C193" s="12">
        <f ca="1">IFERROR(__xludf.DUMMYFUNCTION("""COMPUTED_VALUE"""),8862)</f>
        <v>8862</v>
      </c>
      <c r="D193" s="12">
        <f ca="1">IFERROR(__xludf.DUMMYFUNCTION("""COMPUTED_VALUE"""),2010)</f>
        <v>2010</v>
      </c>
      <c r="E193" s="12">
        <f ca="1">IFERROR(__xludf.DUMMYFUNCTION("""COMPUTED_VALUE"""),4524)</f>
        <v>4524</v>
      </c>
      <c r="F193" s="12">
        <f ca="1">IFERROR(__xludf.DUMMYFUNCTION("""COMPUTED_VALUE"""),6486)</f>
        <v>6486</v>
      </c>
      <c r="G193" s="12">
        <f ca="1">IFERROR(__xludf.DUMMYFUNCTION("""COMPUTED_VALUE"""),3654)</f>
        <v>3654</v>
      </c>
      <c r="H193" s="12">
        <f ca="1">IFERROR(__xludf.DUMMYFUNCTION("""COMPUTED_VALUE"""),1450)</f>
        <v>1450</v>
      </c>
      <c r="I193" s="12">
        <f ca="1">IFERROR(__xludf.DUMMYFUNCTION("""COMPUTED_VALUE"""),2677)</f>
        <v>2677</v>
      </c>
      <c r="J193" s="12">
        <f ca="1">IFERROR(__xludf.DUMMYFUNCTION("""COMPUTED_VALUE"""),3780)</f>
        <v>3780</v>
      </c>
      <c r="K193" s="12">
        <f ca="1">IFERROR(__xludf.DUMMYFUNCTION("""COMPUTED_VALUE"""),4813)</f>
        <v>4813</v>
      </c>
      <c r="L193" s="12">
        <f ca="1">IFERROR(__xludf.DUMMYFUNCTION("""COMPUTED_VALUE"""),2588)</f>
        <v>2588</v>
      </c>
      <c r="M193" s="12">
        <f ca="1">IFERROR(__xludf.DUMMYFUNCTION("""COMPUTED_VALUE"""),10185)</f>
        <v>10185</v>
      </c>
      <c r="N193" s="12">
        <f ca="1">IFERROR(__xludf.DUMMYFUNCTION("""COMPUTED_VALUE"""),385)</f>
        <v>385</v>
      </c>
      <c r="O193" s="12">
        <f ca="1">IFERROR(__xludf.DUMMYFUNCTION("""COMPUTED_VALUE"""),8164)</f>
        <v>8164</v>
      </c>
      <c r="P193" s="12">
        <f ca="1">IFERROR(__xludf.DUMMYFUNCTION("""COMPUTED_VALUE"""),5415)</f>
        <v>5415</v>
      </c>
      <c r="Q193" s="12">
        <f ca="1">IFERROR(__xludf.DUMMYFUNCTION("""COMPUTED_VALUE"""),1719)</f>
        <v>1719</v>
      </c>
      <c r="R193" s="12">
        <f ca="1">IFERROR(__xludf.DUMMYFUNCTION("""COMPUTED_VALUE"""),6132)</f>
        <v>6132</v>
      </c>
      <c r="S193" s="12">
        <f ca="1">IFERROR(__xludf.DUMMYFUNCTION("""COMPUTED_VALUE"""),1170)</f>
        <v>1170</v>
      </c>
      <c r="T193" s="12">
        <f ca="1">IFERROR(__xludf.DUMMYFUNCTION("""COMPUTED_VALUE"""),5141)</f>
        <v>5141</v>
      </c>
      <c r="U193" s="12">
        <f ca="1">IFERROR(__xludf.DUMMYFUNCTION("""COMPUTED_VALUE"""),7510)</f>
        <v>7510</v>
      </c>
      <c r="V193" s="12">
        <f ca="1">IFERROR(__xludf.DUMMYFUNCTION("""COMPUTED_VALUE"""),3403)</f>
        <v>3403</v>
      </c>
      <c r="W193" s="12">
        <f ca="1">IFERROR(__xludf.DUMMYFUNCTION("""COMPUTED_VALUE"""),14295)</f>
        <v>14295</v>
      </c>
      <c r="X193" s="12">
        <f ca="1">IFERROR(__xludf.DUMMYFUNCTION("""COMPUTED_VALUE"""),7962)</f>
        <v>7962</v>
      </c>
      <c r="Y193" s="12">
        <f ca="1">IFERROR(__xludf.DUMMYFUNCTION("""COMPUTED_VALUE"""),4854)</f>
        <v>4854</v>
      </c>
      <c r="Z193" s="12">
        <f ca="1">IFERROR(__xludf.DUMMYFUNCTION("""COMPUTED_VALUE"""),3675)</f>
        <v>3675</v>
      </c>
      <c r="AA193" s="12">
        <f ca="1">IFERROR(__xludf.DUMMYFUNCTION("""COMPUTED_VALUE"""),8934)</f>
        <v>8934</v>
      </c>
      <c r="AB193" s="12">
        <f ca="1">IFERROR(__xludf.DUMMYFUNCTION("""COMPUTED_VALUE"""),9456)</f>
        <v>9456</v>
      </c>
      <c r="AC193" s="12">
        <f ca="1">IFERROR(__xludf.DUMMYFUNCTION("""COMPUTED_VALUE"""),3825)</f>
        <v>3825</v>
      </c>
      <c r="AD193" s="12">
        <f ca="1">IFERROR(__xludf.DUMMYFUNCTION("""COMPUTED_VALUE"""),8354)</f>
        <v>8354</v>
      </c>
      <c r="AE193" s="12">
        <f ca="1">IFERROR(__xludf.DUMMYFUNCTION("""COMPUTED_VALUE"""),7659)</f>
        <v>7659</v>
      </c>
      <c r="AF193" s="8">
        <f ca="1">IFERROR(__xludf.DUMMYFUNCTION("""COMPUTED_VALUE"""),14827)</f>
        <v>14827</v>
      </c>
      <c r="AG193" s="8">
        <f ca="1">IFERROR(__xludf.DUMMYFUNCTION("""COMPUTED_VALUE"""),4396)</f>
        <v>4396</v>
      </c>
      <c r="AH193" s="8">
        <f ca="1">IFERROR(__xludf.DUMMYFUNCTION("""COMPUTED_VALUE"""),7130)</f>
        <v>7130</v>
      </c>
      <c r="AI193" s="8">
        <f ca="1">IFERROR(__xludf.DUMMYFUNCTION("""COMPUTED_VALUE"""),4805)</f>
        <v>4805</v>
      </c>
      <c r="AJ193" s="8">
        <f ca="1">IFERROR(__xludf.DUMMYFUNCTION("""COMPUTED_VALUE"""),1315)</f>
        <v>1315</v>
      </c>
      <c r="AK193" s="8">
        <f ca="1">IFERROR(__xludf.DUMMYFUNCTION("""COMPUTED_VALUE"""),1619)</f>
        <v>1619</v>
      </c>
      <c r="AL193" s="8">
        <f ca="1">IFERROR(__xludf.DUMMYFUNCTION("""COMPUTED_VALUE"""),1443)</f>
        <v>1443</v>
      </c>
      <c r="AM193" s="8">
        <f ca="1">IFERROR(__xludf.DUMMYFUNCTION("""COMPUTED_VALUE"""),6100)</f>
        <v>6100</v>
      </c>
      <c r="AN193" s="8">
        <f ca="1">IFERROR(__xludf.DUMMYFUNCTION("""COMPUTED_VALUE"""),9265)</f>
        <v>9265</v>
      </c>
      <c r="AO193" s="8">
        <f ca="1">IFERROR(__xludf.DUMMYFUNCTION("""COMPUTED_VALUE"""),1785)</f>
        <v>1785</v>
      </c>
      <c r="AP193" s="8"/>
      <c r="AQ193" s="8"/>
      <c r="AR193" s="8"/>
      <c r="AS193" s="8"/>
      <c r="AT193" s="8"/>
      <c r="AU193" s="8"/>
      <c r="AV193" s="8"/>
      <c r="AW193" s="8"/>
      <c r="AX193" s="8"/>
      <c r="AY193" s="8"/>
    </row>
    <row r="194" spans="1:51" ht="13.2" x14ac:dyDescent="0.25">
      <c r="A194" s="12" t="str">
        <f ca="1">IFERROR(__xludf.DUMMYFUNCTION("""COMPUTED_VALUE"""),"                     right Ventral auditory area")</f>
        <v xml:space="preserve">                     right Ventral auditory area</v>
      </c>
      <c r="B194" s="12">
        <f ca="1">IFERROR(__xludf.DUMMYFUNCTION("""COMPUTED_VALUE"""),10941)</f>
        <v>10941</v>
      </c>
      <c r="C194" s="12">
        <f ca="1">IFERROR(__xludf.DUMMYFUNCTION("""COMPUTED_VALUE"""),19844)</f>
        <v>19844</v>
      </c>
      <c r="D194" s="12">
        <f ca="1">IFERROR(__xludf.DUMMYFUNCTION("""COMPUTED_VALUE"""),16198)</f>
        <v>16198</v>
      </c>
      <c r="E194" s="12">
        <f ca="1">IFERROR(__xludf.DUMMYFUNCTION("""COMPUTED_VALUE"""),11901)</f>
        <v>11901</v>
      </c>
      <c r="F194" s="12">
        <f ca="1">IFERROR(__xludf.DUMMYFUNCTION("""COMPUTED_VALUE"""),20956)</f>
        <v>20956</v>
      </c>
      <c r="G194" s="12">
        <f ca="1">IFERROR(__xludf.DUMMYFUNCTION("""COMPUTED_VALUE"""),11445)</f>
        <v>11445</v>
      </c>
      <c r="H194" s="12">
        <f ca="1">IFERROR(__xludf.DUMMYFUNCTION("""COMPUTED_VALUE"""),6009)</f>
        <v>6009</v>
      </c>
      <c r="I194" s="12">
        <f ca="1">IFERROR(__xludf.DUMMYFUNCTION("""COMPUTED_VALUE"""),8408)</f>
        <v>8408</v>
      </c>
      <c r="J194" s="12">
        <f ca="1">IFERROR(__xludf.DUMMYFUNCTION("""COMPUTED_VALUE"""),15320)</f>
        <v>15320</v>
      </c>
      <c r="K194" s="12">
        <f ca="1">IFERROR(__xludf.DUMMYFUNCTION("""COMPUTED_VALUE"""),12068)</f>
        <v>12068</v>
      </c>
      <c r="L194" s="12">
        <f ca="1">IFERROR(__xludf.DUMMYFUNCTION("""COMPUTED_VALUE"""),13403)</f>
        <v>13403</v>
      </c>
      <c r="M194" s="12">
        <f ca="1">IFERROR(__xludf.DUMMYFUNCTION("""COMPUTED_VALUE"""),22192)</f>
        <v>22192</v>
      </c>
      <c r="N194" s="12">
        <f ca="1">IFERROR(__xludf.DUMMYFUNCTION("""COMPUTED_VALUE"""),1842)</f>
        <v>1842</v>
      </c>
      <c r="O194" s="12">
        <f ca="1">IFERROR(__xludf.DUMMYFUNCTION("""COMPUTED_VALUE"""),20974)</f>
        <v>20974</v>
      </c>
      <c r="P194" s="12">
        <f ca="1">IFERROR(__xludf.DUMMYFUNCTION("""COMPUTED_VALUE"""),14175)</f>
        <v>14175</v>
      </c>
      <c r="Q194" s="12">
        <f ca="1">IFERROR(__xludf.DUMMYFUNCTION("""COMPUTED_VALUE"""),4380)</f>
        <v>4380</v>
      </c>
      <c r="R194" s="12">
        <f ca="1">IFERROR(__xludf.DUMMYFUNCTION("""COMPUTED_VALUE"""),12335)</f>
        <v>12335</v>
      </c>
      <c r="S194" s="12">
        <f ca="1">IFERROR(__xludf.DUMMYFUNCTION("""COMPUTED_VALUE"""),2191)</f>
        <v>2191</v>
      </c>
      <c r="T194" s="12">
        <f ca="1">IFERROR(__xludf.DUMMYFUNCTION("""COMPUTED_VALUE"""),11202)</f>
        <v>11202</v>
      </c>
      <c r="U194" s="12">
        <f ca="1">IFERROR(__xludf.DUMMYFUNCTION("""COMPUTED_VALUE"""),16871)</f>
        <v>16871</v>
      </c>
      <c r="V194" s="12">
        <f ca="1">IFERROR(__xludf.DUMMYFUNCTION("""COMPUTED_VALUE"""),14769)</f>
        <v>14769</v>
      </c>
      <c r="W194" s="12">
        <f ca="1">IFERROR(__xludf.DUMMYFUNCTION("""COMPUTED_VALUE"""),34836)</f>
        <v>34836</v>
      </c>
      <c r="X194" s="12">
        <f ca="1">IFERROR(__xludf.DUMMYFUNCTION("""COMPUTED_VALUE"""),27428)</f>
        <v>27428</v>
      </c>
      <c r="Y194" s="12">
        <f ca="1">IFERROR(__xludf.DUMMYFUNCTION("""COMPUTED_VALUE"""),13960)</f>
        <v>13960</v>
      </c>
      <c r="Z194" s="12">
        <f ca="1">IFERROR(__xludf.DUMMYFUNCTION("""COMPUTED_VALUE"""),16639)</f>
        <v>16639</v>
      </c>
      <c r="AA194" s="12">
        <f ca="1">IFERROR(__xludf.DUMMYFUNCTION("""COMPUTED_VALUE"""),26494)</f>
        <v>26494</v>
      </c>
      <c r="AB194" s="12">
        <f ca="1">IFERROR(__xludf.DUMMYFUNCTION("""COMPUTED_VALUE"""),20266)</f>
        <v>20266</v>
      </c>
      <c r="AC194" s="12">
        <f ca="1">IFERROR(__xludf.DUMMYFUNCTION("""COMPUTED_VALUE"""),7944)</f>
        <v>7944</v>
      </c>
      <c r="AD194" s="12">
        <f ca="1">IFERROR(__xludf.DUMMYFUNCTION("""COMPUTED_VALUE"""),11729)</f>
        <v>11729</v>
      </c>
      <c r="AE194" s="12">
        <f ca="1">IFERROR(__xludf.DUMMYFUNCTION("""COMPUTED_VALUE"""),12037)</f>
        <v>12037</v>
      </c>
      <c r="AF194" s="8">
        <f ca="1">IFERROR(__xludf.DUMMYFUNCTION("""COMPUTED_VALUE"""),29587)</f>
        <v>29587</v>
      </c>
      <c r="AG194" s="8">
        <f ca="1">IFERROR(__xludf.DUMMYFUNCTION("""COMPUTED_VALUE"""),11968)</f>
        <v>11968</v>
      </c>
      <c r="AH194" s="8">
        <f ca="1">IFERROR(__xludf.DUMMYFUNCTION("""COMPUTED_VALUE"""),17199)</f>
        <v>17199</v>
      </c>
      <c r="AI194" s="8">
        <f ca="1">IFERROR(__xludf.DUMMYFUNCTION("""COMPUTED_VALUE"""),9799)</f>
        <v>9799</v>
      </c>
      <c r="AJ194" s="8">
        <f ca="1">IFERROR(__xludf.DUMMYFUNCTION("""COMPUTED_VALUE"""),8548)</f>
        <v>8548</v>
      </c>
      <c r="AK194" s="8">
        <f ca="1">IFERROR(__xludf.DUMMYFUNCTION("""COMPUTED_VALUE"""),5380)</f>
        <v>5380</v>
      </c>
      <c r="AL194" s="8">
        <f ca="1">IFERROR(__xludf.DUMMYFUNCTION("""COMPUTED_VALUE"""),5998)</f>
        <v>5998</v>
      </c>
      <c r="AM194" s="8">
        <f ca="1">IFERROR(__xludf.DUMMYFUNCTION("""COMPUTED_VALUE"""),18726)</f>
        <v>18726</v>
      </c>
      <c r="AN194" s="8">
        <f ca="1">IFERROR(__xludf.DUMMYFUNCTION("""COMPUTED_VALUE"""),16873)</f>
        <v>16873</v>
      </c>
      <c r="AO194" s="8">
        <f ca="1">IFERROR(__xludf.DUMMYFUNCTION("""COMPUTED_VALUE"""),8367)</f>
        <v>8367</v>
      </c>
      <c r="AP194" s="8"/>
      <c r="AQ194" s="8"/>
      <c r="AR194" s="8"/>
      <c r="AS194" s="8"/>
      <c r="AT194" s="8"/>
      <c r="AU194" s="8"/>
      <c r="AV194" s="8"/>
      <c r="AW194" s="8"/>
      <c r="AX194" s="8"/>
      <c r="AY194" s="8"/>
    </row>
    <row r="195" spans="1:51" ht="13.2" x14ac:dyDescent="0.25">
      <c r="A195" s="12" t="str">
        <f ca="1">IFERROR(__xludf.DUMMYFUNCTION("""COMPUTED_VALUE"""),"                  right Visual areas")</f>
        <v xml:space="preserve">                  right Visual areas</v>
      </c>
      <c r="B195" s="12">
        <f ca="1">IFERROR(__xludf.DUMMYFUNCTION("""COMPUTED_VALUE"""),87206)</f>
        <v>87206</v>
      </c>
      <c r="C195" s="12">
        <f ca="1">IFERROR(__xludf.DUMMYFUNCTION("""COMPUTED_VALUE"""),107958)</f>
        <v>107958</v>
      </c>
      <c r="D195" s="12">
        <f ca="1">IFERROR(__xludf.DUMMYFUNCTION("""COMPUTED_VALUE"""),26002)</f>
        <v>26002</v>
      </c>
      <c r="E195" s="12">
        <f ca="1">IFERROR(__xludf.DUMMYFUNCTION("""COMPUTED_VALUE"""),58086)</f>
        <v>58086</v>
      </c>
      <c r="F195" s="12">
        <f ca="1">IFERROR(__xludf.DUMMYFUNCTION("""COMPUTED_VALUE"""),86327)</f>
        <v>86327</v>
      </c>
      <c r="G195" s="12">
        <f ca="1">IFERROR(__xludf.DUMMYFUNCTION("""COMPUTED_VALUE"""),44422)</f>
        <v>44422</v>
      </c>
      <c r="H195" s="12">
        <f ca="1">IFERROR(__xludf.DUMMYFUNCTION("""COMPUTED_VALUE"""),47654)</f>
        <v>47654</v>
      </c>
      <c r="I195" s="12">
        <f ca="1">IFERROR(__xludf.DUMMYFUNCTION("""COMPUTED_VALUE"""),51957)</f>
        <v>51957</v>
      </c>
      <c r="J195" s="12">
        <f ca="1">IFERROR(__xludf.DUMMYFUNCTION("""COMPUTED_VALUE"""),52611)</f>
        <v>52611</v>
      </c>
      <c r="K195" s="12">
        <f ca="1">IFERROR(__xludf.DUMMYFUNCTION("""COMPUTED_VALUE"""),65029)</f>
        <v>65029</v>
      </c>
      <c r="L195" s="12">
        <f ca="1">IFERROR(__xludf.DUMMYFUNCTION("""COMPUTED_VALUE"""),38789)</f>
        <v>38789</v>
      </c>
      <c r="M195" s="12">
        <f ca="1">IFERROR(__xludf.DUMMYFUNCTION("""COMPUTED_VALUE"""),125233)</f>
        <v>125233</v>
      </c>
      <c r="N195" s="12">
        <f ca="1">IFERROR(__xludf.DUMMYFUNCTION("""COMPUTED_VALUE"""),10127)</f>
        <v>10127</v>
      </c>
      <c r="O195" s="12">
        <f ca="1">IFERROR(__xludf.DUMMYFUNCTION("""COMPUTED_VALUE"""),131955)</f>
        <v>131955</v>
      </c>
      <c r="P195" s="12">
        <f ca="1">IFERROR(__xludf.DUMMYFUNCTION("""COMPUTED_VALUE"""),70447)</f>
        <v>70447</v>
      </c>
      <c r="Q195" s="12">
        <f ca="1">IFERROR(__xludf.DUMMYFUNCTION("""COMPUTED_VALUE"""),76168)</f>
        <v>76168</v>
      </c>
      <c r="R195" s="12">
        <f ca="1">IFERROR(__xludf.DUMMYFUNCTION("""COMPUTED_VALUE"""),93512)</f>
        <v>93512</v>
      </c>
      <c r="S195" s="12">
        <f ca="1">IFERROR(__xludf.DUMMYFUNCTION("""COMPUTED_VALUE"""),45629)</f>
        <v>45629</v>
      </c>
      <c r="T195" s="12">
        <f ca="1">IFERROR(__xludf.DUMMYFUNCTION("""COMPUTED_VALUE"""),111007)</f>
        <v>111007</v>
      </c>
      <c r="U195" s="12">
        <f ca="1">IFERROR(__xludf.DUMMYFUNCTION("""COMPUTED_VALUE"""),182259)</f>
        <v>182259</v>
      </c>
      <c r="V195" s="12">
        <f ca="1">IFERROR(__xludf.DUMMYFUNCTION("""COMPUTED_VALUE"""),111021)</f>
        <v>111021</v>
      </c>
      <c r="W195" s="12">
        <f ca="1">IFERROR(__xludf.DUMMYFUNCTION("""COMPUTED_VALUE"""),152857)</f>
        <v>152857</v>
      </c>
      <c r="X195" s="12">
        <f ca="1">IFERROR(__xludf.DUMMYFUNCTION("""COMPUTED_VALUE"""),213235)</f>
        <v>213235</v>
      </c>
      <c r="Y195" s="12">
        <f ca="1">IFERROR(__xludf.DUMMYFUNCTION("""COMPUTED_VALUE"""),142004)</f>
        <v>142004</v>
      </c>
      <c r="Z195" s="12">
        <f ca="1">IFERROR(__xludf.DUMMYFUNCTION("""COMPUTED_VALUE"""),47051)</f>
        <v>47051</v>
      </c>
      <c r="AA195" s="12">
        <f ca="1">IFERROR(__xludf.DUMMYFUNCTION("""COMPUTED_VALUE"""),83157)</f>
        <v>83157</v>
      </c>
      <c r="AB195" s="12">
        <f ca="1">IFERROR(__xludf.DUMMYFUNCTION("""COMPUTED_VALUE"""),139678)</f>
        <v>139678</v>
      </c>
      <c r="AC195" s="12">
        <f ca="1">IFERROR(__xludf.DUMMYFUNCTION("""COMPUTED_VALUE"""),151618)</f>
        <v>151618</v>
      </c>
      <c r="AD195" s="12">
        <f ca="1">IFERROR(__xludf.DUMMYFUNCTION("""COMPUTED_VALUE"""),189382)</f>
        <v>189382</v>
      </c>
      <c r="AE195" s="12">
        <f ca="1">IFERROR(__xludf.DUMMYFUNCTION("""COMPUTED_VALUE"""),188098)</f>
        <v>188098</v>
      </c>
      <c r="AF195" s="8">
        <f ca="1">IFERROR(__xludf.DUMMYFUNCTION("""COMPUTED_VALUE"""),236246)</f>
        <v>236246</v>
      </c>
      <c r="AG195" s="8">
        <f ca="1">IFERROR(__xludf.DUMMYFUNCTION("""COMPUTED_VALUE"""),81618)</f>
        <v>81618</v>
      </c>
      <c r="AH195" s="8">
        <f ca="1">IFERROR(__xludf.DUMMYFUNCTION("""COMPUTED_VALUE"""),87023)</f>
        <v>87023</v>
      </c>
      <c r="AI195" s="8">
        <f ca="1">IFERROR(__xludf.DUMMYFUNCTION("""COMPUTED_VALUE"""),78765)</f>
        <v>78765</v>
      </c>
      <c r="AJ195" s="8">
        <f ca="1">IFERROR(__xludf.DUMMYFUNCTION("""COMPUTED_VALUE"""),85182)</f>
        <v>85182</v>
      </c>
      <c r="AK195" s="8">
        <f ca="1">IFERROR(__xludf.DUMMYFUNCTION("""COMPUTED_VALUE"""),42148)</f>
        <v>42148</v>
      </c>
      <c r="AL195" s="8">
        <f ca="1">IFERROR(__xludf.DUMMYFUNCTION("""COMPUTED_VALUE"""),55606)</f>
        <v>55606</v>
      </c>
      <c r="AM195" s="8">
        <f ca="1">IFERROR(__xludf.DUMMYFUNCTION("""COMPUTED_VALUE"""),123754)</f>
        <v>123754</v>
      </c>
      <c r="AN195" s="8">
        <f ca="1">IFERROR(__xludf.DUMMYFUNCTION("""COMPUTED_VALUE"""),131203)</f>
        <v>131203</v>
      </c>
      <c r="AO195" s="8">
        <f ca="1">IFERROR(__xludf.DUMMYFUNCTION("""COMPUTED_VALUE"""),78282)</f>
        <v>78282</v>
      </c>
      <c r="AP195" s="8"/>
      <c r="AQ195" s="8"/>
      <c r="AR195" s="8"/>
      <c r="AS195" s="8"/>
      <c r="AT195" s="8"/>
      <c r="AU195" s="8"/>
      <c r="AV195" s="8"/>
      <c r="AW195" s="8"/>
      <c r="AX195" s="8"/>
      <c r="AY195" s="8"/>
    </row>
    <row r="196" spans="1:51" ht="13.2" x14ac:dyDescent="0.25">
      <c r="A196" s="12" t="str">
        <f ca="1">IFERROR(__xludf.DUMMYFUNCTION("""COMPUTED_VALUE"""),"                     right Anterolateral visual area")</f>
        <v xml:space="preserve">                     right Anterolateral visual area</v>
      </c>
      <c r="B196" s="12">
        <f ca="1">IFERROR(__xludf.DUMMYFUNCTION("""COMPUTED_VALUE"""),5068)</f>
        <v>5068</v>
      </c>
      <c r="C196" s="12">
        <f ca="1">IFERROR(__xludf.DUMMYFUNCTION("""COMPUTED_VALUE"""),6216)</f>
        <v>6216</v>
      </c>
      <c r="D196" s="12">
        <f ca="1">IFERROR(__xludf.DUMMYFUNCTION("""COMPUTED_VALUE"""),2107)</f>
        <v>2107</v>
      </c>
      <c r="E196" s="12">
        <f ca="1">IFERROR(__xludf.DUMMYFUNCTION("""COMPUTED_VALUE"""),3442)</f>
        <v>3442</v>
      </c>
      <c r="F196" s="12">
        <f ca="1">IFERROR(__xludf.DUMMYFUNCTION("""COMPUTED_VALUE"""),4664)</f>
        <v>4664</v>
      </c>
      <c r="G196" s="12">
        <f ca="1">IFERROR(__xludf.DUMMYFUNCTION("""COMPUTED_VALUE"""),3491)</f>
        <v>3491</v>
      </c>
      <c r="H196" s="12">
        <f ca="1">IFERROR(__xludf.DUMMYFUNCTION("""COMPUTED_VALUE"""),1562)</f>
        <v>1562</v>
      </c>
      <c r="I196" s="12">
        <f ca="1">IFERROR(__xludf.DUMMYFUNCTION("""COMPUTED_VALUE"""),1996)</f>
        <v>1996</v>
      </c>
      <c r="J196" s="12">
        <f ca="1">IFERROR(__xludf.DUMMYFUNCTION("""COMPUTED_VALUE"""),1924)</f>
        <v>1924</v>
      </c>
      <c r="K196" s="12">
        <f ca="1">IFERROR(__xludf.DUMMYFUNCTION("""COMPUTED_VALUE"""),6017)</f>
        <v>6017</v>
      </c>
      <c r="L196" s="12">
        <f ca="1">IFERROR(__xludf.DUMMYFUNCTION("""COMPUTED_VALUE"""),1953)</f>
        <v>1953</v>
      </c>
      <c r="M196" s="12">
        <f ca="1">IFERROR(__xludf.DUMMYFUNCTION("""COMPUTED_VALUE"""),11079)</f>
        <v>11079</v>
      </c>
      <c r="N196" s="12">
        <f ca="1">IFERROR(__xludf.DUMMYFUNCTION("""COMPUTED_VALUE"""),681)</f>
        <v>681</v>
      </c>
      <c r="O196" s="12">
        <f ca="1">IFERROR(__xludf.DUMMYFUNCTION("""COMPUTED_VALUE"""),7649)</f>
        <v>7649</v>
      </c>
      <c r="P196" s="12">
        <f ca="1">IFERROR(__xludf.DUMMYFUNCTION("""COMPUTED_VALUE"""),6760)</f>
        <v>6760</v>
      </c>
      <c r="Q196" s="12">
        <f ca="1">IFERROR(__xludf.DUMMYFUNCTION("""COMPUTED_VALUE"""),3049)</f>
        <v>3049</v>
      </c>
      <c r="R196" s="12">
        <f ca="1">IFERROR(__xludf.DUMMYFUNCTION("""COMPUTED_VALUE"""),7771)</f>
        <v>7771</v>
      </c>
      <c r="S196" s="12">
        <f ca="1">IFERROR(__xludf.DUMMYFUNCTION("""COMPUTED_VALUE"""),3228)</f>
        <v>3228</v>
      </c>
      <c r="T196" s="12">
        <f ca="1">IFERROR(__xludf.DUMMYFUNCTION("""COMPUTED_VALUE"""),10405)</f>
        <v>10405</v>
      </c>
      <c r="U196" s="12">
        <f ca="1">IFERROR(__xludf.DUMMYFUNCTION("""COMPUTED_VALUE"""),5905)</f>
        <v>5905</v>
      </c>
      <c r="V196" s="12">
        <f ca="1">IFERROR(__xludf.DUMMYFUNCTION("""COMPUTED_VALUE"""),2327)</f>
        <v>2327</v>
      </c>
      <c r="W196" s="12">
        <f ca="1">IFERROR(__xludf.DUMMYFUNCTION("""COMPUTED_VALUE"""),12244)</f>
        <v>12244</v>
      </c>
      <c r="X196" s="12">
        <f ca="1">IFERROR(__xludf.DUMMYFUNCTION("""COMPUTED_VALUE"""),9563)</f>
        <v>9563</v>
      </c>
      <c r="Y196" s="12">
        <f ca="1">IFERROR(__xludf.DUMMYFUNCTION("""COMPUTED_VALUE"""),4764)</f>
        <v>4764</v>
      </c>
      <c r="Z196" s="12">
        <f ca="1">IFERROR(__xludf.DUMMYFUNCTION("""COMPUTED_VALUE"""),4561)</f>
        <v>4561</v>
      </c>
      <c r="AA196" s="12">
        <f ca="1">IFERROR(__xludf.DUMMYFUNCTION("""COMPUTED_VALUE"""),6721)</f>
        <v>6721</v>
      </c>
      <c r="AB196" s="12">
        <f ca="1">IFERROR(__xludf.DUMMYFUNCTION("""COMPUTED_VALUE"""),5936)</f>
        <v>5936</v>
      </c>
      <c r="AC196" s="12">
        <f ca="1">IFERROR(__xludf.DUMMYFUNCTION("""COMPUTED_VALUE"""),3411)</f>
        <v>3411</v>
      </c>
      <c r="AD196" s="12">
        <f ca="1">IFERROR(__xludf.DUMMYFUNCTION("""COMPUTED_VALUE"""),11564)</f>
        <v>11564</v>
      </c>
      <c r="AE196" s="12">
        <f ca="1">IFERROR(__xludf.DUMMYFUNCTION("""COMPUTED_VALUE"""),11978)</f>
        <v>11978</v>
      </c>
      <c r="AF196" s="8">
        <f ca="1">IFERROR(__xludf.DUMMYFUNCTION("""COMPUTED_VALUE"""),19231)</f>
        <v>19231</v>
      </c>
      <c r="AG196" s="8">
        <f ca="1">IFERROR(__xludf.DUMMYFUNCTION("""COMPUTED_VALUE"""),1745)</f>
        <v>1745</v>
      </c>
      <c r="AH196" s="8">
        <f ca="1">IFERROR(__xludf.DUMMYFUNCTION("""COMPUTED_VALUE"""),7816)</f>
        <v>7816</v>
      </c>
      <c r="AI196" s="8">
        <f ca="1">IFERROR(__xludf.DUMMYFUNCTION("""COMPUTED_VALUE"""),4893)</f>
        <v>4893</v>
      </c>
      <c r="AJ196" s="8">
        <f ca="1">IFERROR(__xludf.DUMMYFUNCTION("""COMPUTED_VALUE"""),889)</f>
        <v>889</v>
      </c>
      <c r="AK196" s="8">
        <f ca="1">IFERROR(__xludf.DUMMYFUNCTION("""COMPUTED_VALUE"""),1588)</f>
        <v>1588</v>
      </c>
      <c r="AL196" s="8">
        <f ca="1">IFERROR(__xludf.DUMMYFUNCTION("""COMPUTED_VALUE"""),1202)</f>
        <v>1202</v>
      </c>
      <c r="AM196" s="8">
        <f ca="1">IFERROR(__xludf.DUMMYFUNCTION("""COMPUTED_VALUE"""),4988)</f>
        <v>4988</v>
      </c>
      <c r="AN196" s="8">
        <f ca="1">IFERROR(__xludf.DUMMYFUNCTION("""COMPUTED_VALUE"""),7513)</f>
        <v>7513</v>
      </c>
      <c r="AO196" s="8">
        <f ca="1">IFERROR(__xludf.DUMMYFUNCTION("""COMPUTED_VALUE"""),1244)</f>
        <v>1244</v>
      </c>
      <c r="AP196" s="8"/>
      <c r="AQ196" s="8"/>
      <c r="AR196" s="8"/>
      <c r="AS196" s="8"/>
      <c r="AT196" s="8"/>
      <c r="AU196" s="8"/>
      <c r="AV196" s="8"/>
      <c r="AW196" s="8"/>
      <c r="AX196" s="8"/>
      <c r="AY196" s="8"/>
    </row>
    <row r="197" spans="1:51" ht="13.2" x14ac:dyDescent="0.25">
      <c r="A197" s="12" t="str">
        <f ca="1">IFERROR(__xludf.DUMMYFUNCTION("""COMPUTED_VALUE"""),"                     right Anteromedial visual area")</f>
        <v xml:space="preserve">                     right Anteromedial visual area</v>
      </c>
      <c r="B197" s="12">
        <f ca="1">IFERROR(__xludf.DUMMYFUNCTION("""COMPUTED_VALUE"""),5578)</f>
        <v>5578</v>
      </c>
      <c r="C197" s="12">
        <f ca="1">IFERROR(__xludf.DUMMYFUNCTION("""COMPUTED_VALUE"""),3079)</f>
        <v>3079</v>
      </c>
      <c r="D197" s="12">
        <f ca="1">IFERROR(__xludf.DUMMYFUNCTION("""COMPUTED_VALUE"""),2608)</f>
        <v>2608</v>
      </c>
      <c r="E197" s="12">
        <f ca="1">IFERROR(__xludf.DUMMYFUNCTION("""COMPUTED_VALUE"""),6878)</f>
        <v>6878</v>
      </c>
      <c r="F197" s="12">
        <f ca="1">IFERROR(__xludf.DUMMYFUNCTION("""COMPUTED_VALUE"""),4453)</f>
        <v>4453</v>
      </c>
      <c r="G197" s="12">
        <f ca="1">IFERROR(__xludf.DUMMYFUNCTION("""COMPUTED_VALUE"""),3225)</f>
        <v>3225</v>
      </c>
      <c r="H197" s="12">
        <f ca="1">IFERROR(__xludf.DUMMYFUNCTION("""COMPUTED_VALUE"""),3940)</f>
        <v>3940</v>
      </c>
      <c r="I197" s="12">
        <f ca="1">IFERROR(__xludf.DUMMYFUNCTION("""COMPUTED_VALUE"""),2285)</f>
        <v>2285</v>
      </c>
      <c r="J197" s="12">
        <f ca="1">IFERROR(__xludf.DUMMYFUNCTION("""COMPUTED_VALUE"""),3535)</f>
        <v>3535</v>
      </c>
      <c r="K197" s="12">
        <f ca="1">IFERROR(__xludf.DUMMYFUNCTION("""COMPUTED_VALUE"""),3289)</f>
        <v>3289</v>
      </c>
      <c r="L197" s="12">
        <f ca="1">IFERROR(__xludf.DUMMYFUNCTION("""COMPUTED_VALUE"""),2377)</f>
        <v>2377</v>
      </c>
      <c r="M197" s="12">
        <f ca="1">IFERROR(__xludf.DUMMYFUNCTION("""COMPUTED_VALUE"""),6597)</f>
        <v>6597</v>
      </c>
      <c r="N197" s="12">
        <f ca="1">IFERROR(__xludf.DUMMYFUNCTION("""COMPUTED_VALUE"""),624)</f>
        <v>624</v>
      </c>
      <c r="O197" s="12">
        <f ca="1">IFERROR(__xludf.DUMMYFUNCTION("""COMPUTED_VALUE"""),6761)</f>
        <v>6761</v>
      </c>
      <c r="P197" s="12">
        <f ca="1">IFERROR(__xludf.DUMMYFUNCTION("""COMPUTED_VALUE"""),3196)</f>
        <v>3196</v>
      </c>
      <c r="Q197" s="12">
        <f ca="1">IFERROR(__xludf.DUMMYFUNCTION("""COMPUTED_VALUE"""),5085)</f>
        <v>5085</v>
      </c>
      <c r="R197" s="12">
        <f ca="1">IFERROR(__xludf.DUMMYFUNCTION("""COMPUTED_VALUE"""),2680)</f>
        <v>2680</v>
      </c>
      <c r="S197" s="12">
        <f ca="1">IFERROR(__xludf.DUMMYFUNCTION("""COMPUTED_VALUE"""),993)</f>
        <v>993</v>
      </c>
      <c r="T197" s="12">
        <f ca="1">IFERROR(__xludf.DUMMYFUNCTION("""COMPUTED_VALUE"""),5770)</f>
        <v>5770</v>
      </c>
      <c r="U197" s="12">
        <f ca="1">IFERROR(__xludf.DUMMYFUNCTION("""COMPUTED_VALUE"""),9207)</f>
        <v>9207</v>
      </c>
      <c r="V197" s="12">
        <f ca="1">IFERROR(__xludf.DUMMYFUNCTION("""COMPUTED_VALUE"""),10291)</f>
        <v>10291</v>
      </c>
      <c r="W197" s="12">
        <f ca="1">IFERROR(__xludf.DUMMYFUNCTION("""COMPUTED_VALUE"""),5297)</f>
        <v>5297</v>
      </c>
      <c r="X197" s="12">
        <f ca="1">IFERROR(__xludf.DUMMYFUNCTION("""COMPUTED_VALUE"""),12611)</f>
        <v>12611</v>
      </c>
      <c r="Y197" s="12">
        <f ca="1">IFERROR(__xludf.DUMMYFUNCTION("""COMPUTED_VALUE"""),3207)</f>
        <v>3207</v>
      </c>
      <c r="Z197" s="12">
        <f ca="1">IFERROR(__xludf.DUMMYFUNCTION("""COMPUTED_VALUE"""),1633)</f>
        <v>1633</v>
      </c>
      <c r="AA197" s="12">
        <f ca="1">IFERROR(__xludf.DUMMYFUNCTION("""COMPUTED_VALUE"""),1554)</f>
        <v>1554</v>
      </c>
      <c r="AB197" s="12">
        <f ca="1">IFERROR(__xludf.DUMMYFUNCTION("""COMPUTED_VALUE"""),3457)</f>
        <v>3457</v>
      </c>
      <c r="AC197" s="12">
        <f ca="1">IFERROR(__xludf.DUMMYFUNCTION("""COMPUTED_VALUE"""),5844)</f>
        <v>5844</v>
      </c>
      <c r="AD197" s="12">
        <f ca="1">IFERROR(__xludf.DUMMYFUNCTION("""COMPUTED_VALUE"""),8493)</f>
        <v>8493</v>
      </c>
      <c r="AE197" s="12">
        <f ca="1">IFERROR(__xludf.DUMMYFUNCTION("""COMPUTED_VALUE"""),8686)</f>
        <v>8686</v>
      </c>
      <c r="AF197" s="8">
        <f ca="1">IFERROR(__xludf.DUMMYFUNCTION("""COMPUTED_VALUE"""),12733)</f>
        <v>12733</v>
      </c>
      <c r="AG197" s="8">
        <f ca="1">IFERROR(__xludf.DUMMYFUNCTION("""COMPUTED_VALUE"""),1125)</f>
        <v>1125</v>
      </c>
      <c r="AH197" s="8">
        <f ca="1">IFERROR(__xludf.DUMMYFUNCTION("""COMPUTED_VALUE"""),3752)</f>
        <v>3752</v>
      </c>
      <c r="AI197" s="8">
        <f ca="1">IFERROR(__xludf.DUMMYFUNCTION("""COMPUTED_VALUE"""),4176)</f>
        <v>4176</v>
      </c>
      <c r="AJ197" s="8">
        <f ca="1">IFERROR(__xludf.DUMMYFUNCTION("""COMPUTED_VALUE"""),864)</f>
        <v>864</v>
      </c>
      <c r="AK197" s="8">
        <f ca="1">IFERROR(__xludf.DUMMYFUNCTION("""COMPUTED_VALUE"""),784)</f>
        <v>784</v>
      </c>
      <c r="AL197" s="8">
        <f ca="1">IFERROR(__xludf.DUMMYFUNCTION("""COMPUTED_VALUE"""),1224)</f>
        <v>1224</v>
      </c>
      <c r="AM197" s="8">
        <f ca="1">IFERROR(__xludf.DUMMYFUNCTION("""COMPUTED_VALUE"""),4130)</f>
        <v>4130</v>
      </c>
      <c r="AN197" s="8">
        <f ca="1">IFERROR(__xludf.DUMMYFUNCTION("""COMPUTED_VALUE"""),4775)</f>
        <v>4775</v>
      </c>
      <c r="AO197" s="8">
        <f ca="1">IFERROR(__xludf.DUMMYFUNCTION("""COMPUTED_VALUE"""),5761)</f>
        <v>5761</v>
      </c>
      <c r="AP197" s="8"/>
      <c r="AQ197" s="8"/>
      <c r="AR197" s="8"/>
      <c r="AS197" s="8"/>
      <c r="AT197" s="8"/>
      <c r="AU197" s="8"/>
      <c r="AV197" s="8"/>
      <c r="AW197" s="8"/>
      <c r="AX197" s="8"/>
      <c r="AY197" s="8"/>
    </row>
    <row r="198" spans="1:51" ht="13.2" x14ac:dyDescent="0.25">
      <c r="A198" s="12" t="str">
        <f ca="1">IFERROR(__xludf.DUMMYFUNCTION("""COMPUTED_VALUE"""),"                     right Lateral visual area")</f>
        <v xml:space="preserve">                     right Lateral visual area</v>
      </c>
      <c r="B198" s="12">
        <f ca="1">IFERROR(__xludf.DUMMYFUNCTION("""COMPUTED_VALUE"""),7971)</f>
        <v>7971</v>
      </c>
      <c r="C198" s="12">
        <f ca="1">IFERROR(__xludf.DUMMYFUNCTION("""COMPUTED_VALUE"""),13871)</f>
        <v>13871</v>
      </c>
      <c r="D198" s="12">
        <f ca="1">IFERROR(__xludf.DUMMYFUNCTION("""COMPUTED_VALUE"""),2032)</f>
        <v>2032</v>
      </c>
      <c r="E198" s="12">
        <f ca="1">IFERROR(__xludf.DUMMYFUNCTION("""COMPUTED_VALUE"""),5107)</f>
        <v>5107</v>
      </c>
      <c r="F198" s="12">
        <f ca="1">IFERROR(__xludf.DUMMYFUNCTION("""COMPUTED_VALUE"""),7382)</f>
        <v>7382</v>
      </c>
      <c r="G198" s="12">
        <f ca="1">IFERROR(__xludf.DUMMYFUNCTION("""COMPUTED_VALUE"""),6941)</f>
        <v>6941</v>
      </c>
      <c r="H198" s="12">
        <f ca="1">IFERROR(__xludf.DUMMYFUNCTION("""COMPUTED_VALUE"""),3319)</f>
        <v>3319</v>
      </c>
      <c r="I198" s="12">
        <f ca="1">IFERROR(__xludf.DUMMYFUNCTION("""COMPUTED_VALUE"""),5888)</f>
        <v>5888</v>
      </c>
      <c r="J198" s="12">
        <f ca="1">IFERROR(__xludf.DUMMYFUNCTION("""COMPUTED_VALUE"""),4215)</f>
        <v>4215</v>
      </c>
      <c r="K198" s="12">
        <f ca="1">IFERROR(__xludf.DUMMYFUNCTION("""COMPUTED_VALUE"""),7972)</f>
        <v>7972</v>
      </c>
      <c r="L198" s="12">
        <f ca="1">IFERROR(__xludf.DUMMYFUNCTION("""COMPUTED_VALUE"""),5500)</f>
        <v>5500</v>
      </c>
      <c r="M198" s="12">
        <f ca="1">IFERROR(__xludf.DUMMYFUNCTION("""COMPUTED_VALUE"""),16040)</f>
        <v>16040</v>
      </c>
      <c r="N198" s="12">
        <f ca="1">IFERROR(__xludf.DUMMYFUNCTION("""COMPUTED_VALUE"""),803)</f>
        <v>803</v>
      </c>
      <c r="O198" s="12">
        <f ca="1">IFERROR(__xludf.DUMMYFUNCTION("""COMPUTED_VALUE"""),13292)</f>
        <v>13292</v>
      </c>
      <c r="P198" s="12">
        <f ca="1">IFERROR(__xludf.DUMMYFUNCTION("""COMPUTED_VALUE"""),9654)</f>
        <v>9654</v>
      </c>
      <c r="Q198" s="12">
        <f ca="1">IFERROR(__xludf.DUMMYFUNCTION("""COMPUTED_VALUE"""),8986)</f>
        <v>8986</v>
      </c>
      <c r="R198" s="12">
        <f ca="1">IFERROR(__xludf.DUMMYFUNCTION("""COMPUTED_VALUE"""),13932)</f>
        <v>13932</v>
      </c>
      <c r="S198" s="12">
        <f ca="1">IFERROR(__xludf.DUMMYFUNCTION("""COMPUTED_VALUE"""),6133)</f>
        <v>6133</v>
      </c>
      <c r="T198" s="12">
        <f ca="1">IFERROR(__xludf.DUMMYFUNCTION("""COMPUTED_VALUE"""),10859)</f>
        <v>10859</v>
      </c>
      <c r="U198" s="12">
        <f ca="1">IFERROR(__xludf.DUMMYFUNCTION("""COMPUTED_VALUE"""),18095)</f>
        <v>18095</v>
      </c>
      <c r="V198" s="12">
        <f ca="1">IFERROR(__xludf.DUMMYFUNCTION("""COMPUTED_VALUE"""),7557)</f>
        <v>7557</v>
      </c>
      <c r="W198" s="12">
        <f ca="1">IFERROR(__xludf.DUMMYFUNCTION("""COMPUTED_VALUE"""),23109)</f>
        <v>23109</v>
      </c>
      <c r="X198" s="12">
        <f ca="1">IFERROR(__xludf.DUMMYFUNCTION("""COMPUTED_VALUE"""),20135)</f>
        <v>20135</v>
      </c>
      <c r="Y198" s="12">
        <f ca="1">IFERROR(__xludf.DUMMYFUNCTION("""COMPUTED_VALUE"""),11804)</f>
        <v>11804</v>
      </c>
      <c r="Z198" s="12">
        <f ca="1">IFERROR(__xludf.DUMMYFUNCTION("""COMPUTED_VALUE"""),6963)</f>
        <v>6963</v>
      </c>
      <c r="AA198" s="12">
        <f ca="1">IFERROR(__xludf.DUMMYFUNCTION("""COMPUTED_VALUE"""),12742)</f>
        <v>12742</v>
      </c>
      <c r="AB198" s="12">
        <f ca="1">IFERROR(__xludf.DUMMYFUNCTION("""COMPUTED_VALUE"""),20297)</f>
        <v>20297</v>
      </c>
      <c r="AC198" s="12">
        <f ca="1">IFERROR(__xludf.DUMMYFUNCTION("""COMPUTED_VALUE"""),18886)</f>
        <v>18886</v>
      </c>
      <c r="AD198" s="12">
        <f ca="1">IFERROR(__xludf.DUMMYFUNCTION("""COMPUTED_VALUE"""),23223)</f>
        <v>23223</v>
      </c>
      <c r="AE198" s="12">
        <f ca="1">IFERROR(__xludf.DUMMYFUNCTION("""COMPUTED_VALUE"""),20193)</f>
        <v>20193</v>
      </c>
      <c r="AF198" s="8">
        <f ca="1">IFERROR(__xludf.DUMMYFUNCTION("""COMPUTED_VALUE"""),22154)</f>
        <v>22154</v>
      </c>
      <c r="AG198" s="8">
        <f ca="1">IFERROR(__xludf.DUMMYFUNCTION("""COMPUTED_VALUE"""),9920)</f>
        <v>9920</v>
      </c>
      <c r="AH198" s="8">
        <f ca="1">IFERROR(__xludf.DUMMYFUNCTION("""COMPUTED_VALUE"""),12671)</f>
        <v>12671</v>
      </c>
      <c r="AI198" s="8">
        <f ca="1">IFERROR(__xludf.DUMMYFUNCTION("""COMPUTED_VALUE"""),10069)</f>
        <v>10069</v>
      </c>
      <c r="AJ198" s="8">
        <f ca="1">IFERROR(__xludf.DUMMYFUNCTION("""COMPUTED_VALUE"""),6880)</f>
        <v>6880</v>
      </c>
      <c r="AK198" s="8">
        <f ca="1">IFERROR(__xludf.DUMMYFUNCTION("""COMPUTED_VALUE"""),4244)</f>
        <v>4244</v>
      </c>
      <c r="AL198" s="8">
        <f ca="1">IFERROR(__xludf.DUMMYFUNCTION("""COMPUTED_VALUE"""),6478)</f>
        <v>6478</v>
      </c>
      <c r="AM198" s="8">
        <f ca="1">IFERROR(__xludf.DUMMYFUNCTION("""COMPUTED_VALUE"""),16424)</f>
        <v>16424</v>
      </c>
      <c r="AN198" s="8">
        <f ca="1">IFERROR(__xludf.DUMMYFUNCTION("""COMPUTED_VALUE"""),14446)</f>
        <v>14446</v>
      </c>
      <c r="AO198" s="8">
        <f ca="1">IFERROR(__xludf.DUMMYFUNCTION("""COMPUTED_VALUE"""),7213)</f>
        <v>7213</v>
      </c>
      <c r="AP198" s="8"/>
      <c r="AQ198" s="8"/>
      <c r="AR198" s="8"/>
      <c r="AS198" s="8"/>
      <c r="AT198" s="8"/>
      <c r="AU198" s="8"/>
      <c r="AV198" s="8"/>
      <c r="AW198" s="8"/>
      <c r="AX198" s="8"/>
      <c r="AY198" s="8"/>
    </row>
    <row r="199" spans="1:51" ht="13.2" x14ac:dyDescent="0.25">
      <c r="A199" s="12" t="str">
        <f ca="1">IFERROR(__xludf.DUMMYFUNCTION("""COMPUTED_VALUE"""),"                     right Primary visual area")</f>
        <v xml:space="preserve">                     right Primary visual area</v>
      </c>
      <c r="B199" s="12">
        <f ca="1">IFERROR(__xludf.DUMMYFUNCTION("""COMPUTED_VALUE"""),45126)</f>
        <v>45126</v>
      </c>
      <c r="C199" s="12">
        <f ca="1">IFERROR(__xludf.DUMMYFUNCTION("""COMPUTED_VALUE"""),55987)</f>
        <v>55987</v>
      </c>
      <c r="D199" s="12">
        <f ca="1">IFERROR(__xludf.DUMMYFUNCTION("""COMPUTED_VALUE"""),9095)</f>
        <v>9095</v>
      </c>
      <c r="E199" s="12">
        <f ca="1">IFERROR(__xludf.DUMMYFUNCTION("""COMPUTED_VALUE"""),18964)</f>
        <v>18964</v>
      </c>
      <c r="F199" s="12">
        <f ca="1">IFERROR(__xludf.DUMMYFUNCTION("""COMPUTED_VALUE"""),39068)</f>
        <v>39068</v>
      </c>
      <c r="G199" s="12">
        <f ca="1">IFERROR(__xludf.DUMMYFUNCTION("""COMPUTED_VALUE"""),15606)</f>
        <v>15606</v>
      </c>
      <c r="H199" s="12">
        <f ca="1">IFERROR(__xludf.DUMMYFUNCTION("""COMPUTED_VALUE"""),23829)</f>
        <v>23829</v>
      </c>
      <c r="I199" s="12">
        <f ca="1">IFERROR(__xludf.DUMMYFUNCTION("""COMPUTED_VALUE"""),26924)</f>
        <v>26924</v>
      </c>
      <c r="J199" s="12">
        <f ca="1">IFERROR(__xludf.DUMMYFUNCTION("""COMPUTED_VALUE"""),25128)</f>
        <v>25128</v>
      </c>
      <c r="K199" s="12">
        <f ca="1">IFERROR(__xludf.DUMMYFUNCTION("""COMPUTED_VALUE"""),27339)</f>
        <v>27339</v>
      </c>
      <c r="L199" s="12">
        <f ca="1">IFERROR(__xludf.DUMMYFUNCTION("""COMPUTED_VALUE"""),12764)</f>
        <v>12764</v>
      </c>
      <c r="M199" s="12">
        <f ca="1">IFERROR(__xludf.DUMMYFUNCTION("""COMPUTED_VALUE"""),60363)</f>
        <v>60363</v>
      </c>
      <c r="N199" s="12">
        <f ca="1">IFERROR(__xludf.DUMMYFUNCTION("""COMPUTED_VALUE"""),5009)</f>
        <v>5009</v>
      </c>
      <c r="O199" s="12">
        <f ca="1">IFERROR(__xludf.DUMMYFUNCTION("""COMPUTED_VALUE"""),71944)</f>
        <v>71944</v>
      </c>
      <c r="P199" s="12">
        <f ca="1">IFERROR(__xludf.DUMMYFUNCTION("""COMPUTED_VALUE"""),31358)</f>
        <v>31358</v>
      </c>
      <c r="Q199" s="12">
        <f ca="1">IFERROR(__xludf.DUMMYFUNCTION("""COMPUTED_VALUE"""),40147)</f>
        <v>40147</v>
      </c>
      <c r="R199" s="12">
        <f ca="1">IFERROR(__xludf.DUMMYFUNCTION("""COMPUTED_VALUE"""),46980)</f>
        <v>46980</v>
      </c>
      <c r="S199" s="12">
        <f ca="1">IFERROR(__xludf.DUMMYFUNCTION("""COMPUTED_VALUE"""),20485)</f>
        <v>20485</v>
      </c>
      <c r="T199" s="12">
        <f ca="1">IFERROR(__xludf.DUMMYFUNCTION("""COMPUTED_VALUE"""),63929)</f>
        <v>63929</v>
      </c>
      <c r="U199" s="12">
        <f ca="1">IFERROR(__xludf.DUMMYFUNCTION("""COMPUTED_VALUE"""),108393)</f>
        <v>108393</v>
      </c>
      <c r="V199" s="12">
        <f ca="1">IFERROR(__xludf.DUMMYFUNCTION("""COMPUTED_VALUE"""),49935)</f>
        <v>49935</v>
      </c>
      <c r="W199" s="12">
        <f ca="1">IFERROR(__xludf.DUMMYFUNCTION("""COMPUTED_VALUE"""),68528)</f>
        <v>68528</v>
      </c>
      <c r="X199" s="12">
        <f ca="1">IFERROR(__xludf.DUMMYFUNCTION("""COMPUTED_VALUE"""),123662)</f>
        <v>123662</v>
      </c>
      <c r="Y199" s="12">
        <f ca="1">IFERROR(__xludf.DUMMYFUNCTION("""COMPUTED_VALUE"""),84533)</f>
        <v>84533</v>
      </c>
      <c r="Z199" s="12">
        <f ca="1">IFERROR(__xludf.DUMMYFUNCTION("""COMPUTED_VALUE"""),18095)</f>
        <v>18095</v>
      </c>
      <c r="AA199" s="12">
        <f ca="1">IFERROR(__xludf.DUMMYFUNCTION("""COMPUTED_VALUE"""),31994)</f>
        <v>31994</v>
      </c>
      <c r="AB199" s="12">
        <f ca="1">IFERROR(__xludf.DUMMYFUNCTION("""COMPUTED_VALUE"""),83943)</f>
        <v>83943</v>
      </c>
      <c r="AC199" s="12">
        <f ca="1">IFERROR(__xludf.DUMMYFUNCTION("""COMPUTED_VALUE"""),94010)</f>
        <v>94010</v>
      </c>
      <c r="AD199" s="12">
        <f ca="1">IFERROR(__xludf.DUMMYFUNCTION("""COMPUTED_VALUE"""),102638)</f>
        <v>102638</v>
      </c>
      <c r="AE199" s="12">
        <f ca="1">IFERROR(__xludf.DUMMYFUNCTION("""COMPUTED_VALUE"""),103781)</f>
        <v>103781</v>
      </c>
      <c r="AF199" s="8">
        <f ca="1">IFERROR(__xludf.DUMMYFUNCTION("""COMPUTED_VALUE"""),145634)</f>
        <v>145634</v>
      </c>
      <c r="AG199" s="8">
        <f ca="1">IFERROR(__xludf.DUMMYFUNCTION("""COMPUTED_VALUE"""),44174)</f>
        <v>44174</v>
      </c>
      <c r="AH199" s="8">
        <f ca="1">IFERROR(__xludf.DUMMYFUNCTION("""COMPUTED_VALUE"""),34677)</f>
        <v>34677</v>
      </c>
      <c r="AI199" s="8">
        <f ca="1">IFERROR(__xludf.DUMMYFUNCTION("""COMPUTED_VALUE"""),47111)</f>
        <v>47111</v>
      </c>
      <c r="AJ199" s="8">
        <f ca="1">IFERROR(__xludf.DUMMYFUNCTION("""COMPUTED_VALUE"""),51545)</f>
        <v>51545</v>
      </c>
      <c r="AK199" s="8">
        <f ca="1">IFERROR(__xludf.DUMMYFUNCTION("""COMPUTED_VALUE"""),23992)</f>
        <v>23992</v>
      </c>
      <c r="AL199" s="8">
        <f ca="1">IFERROR(__xludf.DUMMYFUNCTION("""COMPUTED_VALUE"""),21897)</f>
        <v>21897</v>
      </c>
      <c r="AM199" s="8">
        <f ca="1">IFERROR(__xludf.DUMMYFUNCTION("""COMPUTED_VALUE"""),70811)</f>
        <v>70811</v>
      </c>
      <c r="AN199" s="8">
        <f ca="1">IFERROR(__xludf.DUMMYFUNCTION("""COMPUTED_VALUE"""),74344)</f>
        <v>74344</v>
      </c>
      <c r="AO199" s="8">
        <f ca="1">IFERROR(__xludf.DUMMYFUNCTION("""COMPUTED_VALUE"""),42489)</f>
        <v>42489</v>
      </c>
      <c r="AP199" s="8"/>
      <c r="AQ199" s="8"/>
      <c r="AR199" s="8"/>
      <c r="AS199" s="8"/>
      <c r="AT199" s="8"/>
      <c r="AU199" s="8"/>
      <c r="AV199" s="8"/>
      <c r="AW199" s="8"/>
      <c r="AX199" s="8"/>
      <c r="AY199" s="8"/>
    </row>
    <row r="200" spans="1:51" ht="13.2" x14ac:dyDescent="0.25">
      <c r="A200" s="12" t="str">
        <f ca="1">IFERROR(__xludf.DUMMYFUNCTION("""COMPUTED_VALUE"""),"                     right Posterolateral visual area")</f>
        <v xml:space="preserve">                     right Posterolateral visual area</v>
      </c>
      <c r="B200" s="12">
        <f ca="1">IFERROR(__xludf.DUMMYFUNCTION("""COMPUTED_VALUE"""),4455)</f>
        <v>4455</v>
      </c>
      <c r="C200" s="12">
        <f ca="1">IFERROR(__xludf.DUMMYFUNCTION("""COMPUTED_VALUE"""),7186)</f>
        <v>7186</v>
      </c>
      <c r="D200" s="12">
        <f ca="1">IFERROR(__xludf.DUMMYFUNCTION("""COMPUTED_VALUE"""),2759)</f>
        <v>2759</v>
      </c>
      <c r="E200" s="12">
        <f ca="1">IFERROR(__xludf.DUMMYFUNCTION("""COMPUTED_VALUE"""),3790)</f>
        <v>3790</v>
      </c>
      <c r="F200" s="12">
        <f ca="1">IFERROR(__xludf.DUMMYFUNCTION("""COMPUTED_VALUE"""),6286)</f>
        <v>6286</v>
      </c>
      <c r="G200" s="12">
        <f ca="1">IFERROR(__xludf.DUMMYFUNCTION("""COMPUTED_VALUE"""),2884)</f>
        <v>2884</v>
      </c>
      <c r="H200" s="12">
        <f ca="1">IFERROR(__xludf.DUMMYFUNCTION("""COMPUTED_VALUE"""),3445)</f>
        <v>3445</v>
      </c>
      <c r="I200" s="12">
        <f ca="1">IFERROR(__xludf.DUMMYFUNCTION("""COMPUTED_VALUE"""),2271)</f>
        <v>2271</v>
      </c>
      <c r="J200" s="12">
        <f ca="1">IFERROR(__xludf.DUMMYFUNCTION("""COMPUTED_VALUE"""),3930)</f>
        <v>3930</v>
      </c>
      <c r="K200" s="12">
        <f ca="1">IFERROR(__xludf.DUMMYFUNCTION("""COMPUTED_VALUE"""),4195)</f>
        <v>4195</v>
      </c>
      <c r="L200" s="12">
        <f ca="1">IFERROR(__xludf.DUMMYFUNCTION("""COMPUTED_VALUE"""),2524)</f>
        <v>2524</v>
      </c>
      <c r="M200" s="12">
        <f ca="1">IFERROR(__xludf.DUMMYFUNCTION("""COMPUTED_VALUE"""),4679)</f>
        <v>4679</v>
      </c>
      <c r="N200" s="12">
        <f ca="1">IFERROR(__xludf.DUMMYFUNCTION("""COMPUTED_VALUE"""),744)</f>
        <v>744</v>
      </c>
      <c r="O200" s="12">
        <f ca="1">IFERROR(__xludf.DUMMYFUNCTION("""COMPUTED_VALUE"""),4456)</f>
        <v>4456</v>
      </c>
      <c r="P200" s="12">
        <f ca="1">IFERROR(__xludf.DUMMYFUNCTION("""COMPUTED_VALUE"""),3502)</f>
        <v>3502</v>
      </c>
      <c r="Q200" s="12">
        <f ca="1">IFERROR(__xludf.DUMMYFUNCTION("""COMPUTED_VALUE"""),3238)</f>
        <v>3238</v>
      </c>
      <c r="R200" s="12">
        <f ca="1">IFERROR(__xludf.DUMMYFUNCTION("""COMPUTED_VALUE"""),3406)</f>
        <v>3406</v>
      </c>
      <c r="S200" s="12">
        <f ca="1">IFERROR(__xludf.DUMMYFUNCTION("""COMPUTED_VALUE"""),3677)</f>
        <v>3677</v>
      </c>
      <c r="T200" s="12">
        <f ca="1">IFERROR(__xludf.DUMMYFUNCTION("""COMPUTED_VALUE"""),1807)</f>
        <v>1807</v>
      </c>
      <c r="U200" s="12">
        <f ca="1">IFERROR(__xludf.DUMMYFUNCTION("""COMPUTED_VALUE"""),5056)</f>
        <v>5056</v>
      </c>
      <c r="V200" s="12">
        <f ca="1">IFERROR(__xludf.DUMMYFUNCTION("""COMPUTED_VALUE"""),4261)</f>
        <v>4261</v>
      </c>
      <c r="W200" s="12">
        <f ca="1">IFERROR(__xludf.DUMMYFUNCTION("""COMPUTED_VALUE"""),7681)</f>
        <v>7681</v>
      </c>
      <c r="X200" s="12">
        <f ca="1">IFERROR(__xludf.DUMMYFUNCTION("""COMPUTED_VALUE"""),3396)</f>
        <v>3396</v>
      </c>
      <c r="Y200" s="12">
        <f ca="1">IFERROR(__xludf.DUMMYFUNCTION("""COMPUTED_VALUE"""),7728)</f>
        <v>7728</v>
      </c>
      <c r="Z200" s="12">
        <f ca="1">IFERROR(__xludf.DUMMYFUNCTION("""COMPUTED_VALUE"""),1972)</f>
        <v>1972</v>
      </c>
      <c r="AA200" s="12">
        <f ca="1">IFERROR(__xludf.DUMMYFUNCTION("""COMPUTED_VALUE"""),6264)</f>
        <v>6264</v>
      </c>
      <c r="AB200" s="12">
        <f ca="1">IFERROR(__xludf.DUMMYFUNCTION("""COMPUTED_VALUE"""),6946)</f>
        <v>6946</v>
      </c>
      <c r="AC200" s="12">
        <f ca="1">IFERROR(__xludf.DUMMYFUNCTION("""COMPUTED_VALUE"""),4303)</f>
        <v>4303</v>
      </c>
      <c r="AD200" s="12">
        <f ca="1">IFERROR(__xludf.DUMMYFUNCTION("""COMPUTED_VALUE"""),1465)</f>
        <v>1465</v>
      </c>
      <c r="AE200" s="12">
        <f ca="1">IFERROR(__xludf.DUMMYFUNCTION("""COMPUTED_VALUE"""),6859)</f>
        <v>6859</v>
      </c>
      <c r="AF200" s="8">
        <f ca="1">IFERROR(__xludf.DUMMYFUNCTION("""COMPUTED_VALUE"""),3489)</f>
        <v>3489</v>
      </c>
      <c r="AG200" s="8">
        <f ca="1">IFERROR(__xludf.DUMMYFUNCTION("""COMPUTED_VALUE"""),3058)</f>
        <v>3058</v>
      </c>
      <c r="AH200" s="8">
        <f ca="1">IFERROR(__xludf.DUMMYFUNCTION("""COMPUTED_VALUE"""),3654)</f>
        <v>3654</v>
      </c>
      <c r="AI200" s="8">
        <f ca="1">IFERROR(__xludf.DUMMYFUNCTION("""COMPUTED_VALUE"""),1199)</f>
        <v>1199</v>
      </c>
      <c r="AJ200" s="8">
        <f ca="1">IFERROR(__xludf.DUMMYFUNCTION("""COMPUTED_VALUE"""),6416)</f>
        <v>6416</v>
      </c>
      <c r="AK200" s="8">
        <f ca="1">IFERROR(__xludf.DUMMYFUNCTION("""COMPUTED_VALUE"""),2272)</f>
        <v>2272</v>
      </c>
      <c r="AL200" s="8">
        <f ca="1">IFERROR(__xludf.DUMMYFUNCTION("""COMPUTED_VALUE"""),4346)</f>
        <v>4346</v>
      </c>
      <c r="AM200" s="8">
        <f ca="1">IFERROR(__xludf.DUMMYFUNCTION("""COMPUTED_VALUE"""),5262)</f>
        <v>5262</v>
      </c>
      <c r="AN200" s="8">
        <f ca="1">IFERROR(__xludf.DUMMYFUNCTION("""COMPUTED_VALUE"""),4622)</f>
        <v>4622</v>
      </c>
      <c r="AO200" s="8">
        <f ca="1">IFERROR(__xludf.DUMMYFUNCTION("""COMPUTED_VALUE"""),1536)</f>
        <v>1536</v>
      </c>
      <c r="AP200" s="8"/>
      <c r="AQ200" s="8"/>
      <c r="AR200" s="8"/>
      <c r="AS200" s="8"/>
      <c r="AT200" s="8"/>
      <c r="AU200" s="8"/>
      <c r="AV200" s="8"/>
      <c r="AW200" s="8"/>
      <c r="AX200" s="8"/>
      <c r="AY200" s="8"/>
    </row>
    <row r="201" spans="1:51" ht="13.2" x14ac:dyDescent="0.25">
      <c r="A201" s="12" t="str">
        <f ca="1">IFERROR(__xludf.DUMMYFUNCTION("""COMPUTED_VALUE"""),"                     right posteromedial visual area")</f>
        <v xml:space="preserve">                     right posteromedial visual area</v>
      </c>
      <c r="B201" s="12">
        <f ca="1">IFERROR(__xludf.DUMMYFUNCTION("""COMPUTED_VALUE"""),6083)</f>
        <v>6083</v>
      </c>
      <c r="C201" s="12">
        <f ca="1">IFERROR(__xludf.DUMMYFUNCTION("""COMPUTED_VALUE"""),5259)</f>
        <v>5259</v>
      </c>
      <c r="D201" s="12">
        <f ca="1">IFERROR(__xludf.DUMMYFUNCTION("""COMPUTED_VALUE"""),2359)</f>
        <v>2359</v>
      </c>
      <c r="E201" s="12">
        <f ca="1">IFERROR(__xludf.DUMMYFUNCTION("""COMPUTED_VALUE"""),9053)</f>
        <v>9053</v>
      </c>
      <c r="F201" s="12">
        <f ca="1">IFERROR(__xludf.DUMMYFUNCTION("""COMPUTED_VALUE"""),8135)</f>
        <v>8135</v>
      </c>
      <c r="G201" s="12">
        <f ca="1">IFERROR(__xludf.DUMMYFUNCTION("""COMPUTED_VALUE"""),3317)</f>
        <v>3317</v>
      </c>
      <c r="H201" s="12">
        <f ca="1">IFERROR(__xludf.DUMMYFUNCTION("""COMPUTED_VALUE"""),5165)</f>
        <v>5165</v>
      </c>
      <c r="I201" s="12">
        <f ca="1">IFERROR(__xludf.DUMMYFUNCTION("""COMPUTED_VALUE"""),3527)</f>
        <v>3527</v>
      </c>
      <c r="J201" s="12">
        <f ca="1">IFERROR(__xludf.DUMMYFUNCTION("""COMPUTED_VALUE"""),5236)</f>
        <v>5236</v>
      </c>
      <c r="K201" s="12">
        <f ca="1">IFERROR(__xludf.DUMMYFUNCTION("""COMPUTED_VALUE"""),3968)</f>
        <v>3968</v>
      </c>
      <c r="L201" s="12">
        <f ca="1">IFERROR(__xludf.DUMMYFUNCTION("""COMPUTED_VALUE"""),4209)</f>
        <v>4209</v>
      </c>
      <c r="M201" s="12">
        <f ca="1">IFERROR(__xludf.DUMMYFUNCTION("""COMPUTED_VALUE"""),8713)</f>
        <v>8713</v>
      </c>
      <c r="N201" s="12">
        <f ca="1">IFERROR(__xludf.DUMMYFUNCTION("""COMPUTED_VALUE"""),945)</f>
        <v>945</v>
      </c>
      <c r="O201" s="12">
        <f ca="1">IFERROR(__xludf.DUMMYFUNCTION("""COMPUTED_VALUE"""),12157)</f>
        <v>12157</v>
      </c>
      <c r="P201" s="12">
        <f ca="1">IFERROR(__xludf.DUMMYFUNCTION("""COMPUTED_VALUE"""),5398)</f>
        <v>5398</v>
      </c>
      <c r="Q201" s="12">
        <f ca="1">IFERROR(__xludf.DUMMYFUNCTION("""COMPUTED_VALUE"""),6483)</f>
        <v>6483</v>
      </c>
      <c r="R201" s="12">
        <f ca="1">IFERROR(__xludf.DUMMYFUNCTION("""COMPUTED_VALUE"""),4578)</f>
        <v>4578</v>
      </c>
      <c r="S201" s="12">
        <f ca="1">IFERROR(__xludf.DUMMYFUNCTION("""COMPUTED_VALUE"""),4208)</f>
        <v>4208</v>
      </c>
      <c r="T201" s="12">
        <f ca="1">IFERROR(__xludf.DUMMYFUNCTION("""COMPUTED_VALUE"""),13584)</f>
        <v>13584</v>
      </c>
      <c r="U201" s="12">
        <f ca="1">IFERROR(__xludf.DUMMYFUNCTION("""COMPUTED_VALUE"""),19335)</f>
        <v>19335</v>
      </c>
      <c r="V201" s="12">
        <f ca="1">IFERROR(__xludf.DUMMYFUNCTION("""COMPUTED_VALUE"""),14938)</f>
        <v>14938</v>
      </c>
      <c r="W201" s="12">
        <f ca="1">IFERROR(__xludf.DUMMYFUNCTION("""COMPUTED_VALUE"""),6332)</f>
        <v>6332</v>
      </c>
      <c r="X201" s="12">
        <f ca="1">IFERROR(__xludf.DUMMYFUNCTION("""COMPUTED_VALUE"""),20534)</f>
        <v>20534</v>
      </c>
      <c r="Y201" s="12">
        <f ca="1">IFERROR(__xludf.DUMMYFUNCTION("""COMPUTED_VALUE"""),10591)</f>
        <v>10591</v>
      </c>
      <c r="Z201" s="12">
        <f ca="1">IFERROR(__xludf.DUMMYFUNCTION("""COMPUTED_VALUE"""),1506)</f>
        <v>1506</v>
      </c>
      <c r="AA201" s="12">
        <f ca="1">IFERROR(__xludf.DUMMYFUNCTION("""COMPUTED_VALUE"""),3478)</f>
        <v>3478</v>
      </c>
      <c r="AB201" s="12">
        <f ca="1">IFERROR(__xludf.DUMMYFUNCTION("""COMPUTED_VALUE"""),6857)</f>
        <v>6857</v>
      </c>
      <c r="AC201" s="12">
        <f ca="1">IFERROR(__xludf.DUMMYFUNCTION("""COMPUTED_VALUE"""),10755)</f>
        <v>10755</v>
      </c>
      <c r="AD201" s="12">
        <f ca="1">IFERROR(__xludf.DUMMYFUNCTION("""COMPUTED_VALUE"""),14645)</f>
        <v>14645</v>
      </c>
      <c r="AE201" s="12">
        <f ca="1">IFERROR(__xludf.DUMMYFUNCTION("""COMPUTED_VALUE"""),14684)</f>
        <v>14684</v>
      </c>
      <c r="AF201" s="8">
        <f ca="1">IFERROR(__xludf.DUMMYFUNCTION("""COMPUTED_VALUE"""),21759)</f>
        <v>21759</v>
      </c>
      <c r="AG201" s="8">
        <f ca="1">IFERROR(__xludf.DUMMYFUNCTION("""COMPUTED_VALUE"""),6989)</f>
        <v>6989</v>
      </c>
      <c r="AH201" s="8">
        <f ca="1">IFERROR(__xludf.DUMMYFUNCTION("""COMPUTED_VALUE"""),6147)</f>
        <v>6147</v>
      </c>
      <c r="AI201" s="8">
        <f ca="1">IFERROR(__xludf.DUMMYFUNCTION("""COMPUTED_VALUE"""),3234)</f>
        <v>3234</v>
      </c>
      <c r="AJ201" s="8">
        <f ca="1">IFERROR(__xludf.DUMMYFUNCTION("""COMPUTED_VALUE"""),4156)</f>
        <v>4156</v>
      </c>
      <c r="AK201" s="8">
        <f ca="1">IFERROR(__xludf.DUMMYFUNCTION("""COMPUTED_VALUE"""),3358)</f>
        <v>3358</v>
      </c>
      <c r="AL201" s="8">
        <f ca="1">IFERROR(__xludf.DUMMYFUNCTION("""COMPUTED_VALUE"""),5926)</f>
        <v>5926</v>
      </c>
      <c r="AM201" s="8">
        <f ca="1">IFERROR(__xludf.DUMMYFUNCTION("""COMPUTED_VALUE"""),3716)</f>
        <v>3716</v>
      </c>
      <c r="AN201" s="8">
        <f ca="1">IFERROR(__xludf.DUMMYFUNCTION("""COMPUTED_VALUE"""),9180)</f>
        <v>9180</v>
      </c>
      <c r="AO201" s="8">
        <f ca="1">IFERROR(__xludf.DUMMYFUNCTION("""COMPUTED_VALUE"""),9323)</f>
        <v>9323</v>
      </c>
      <c r="AP201" s="8"/>
      <c r="AQ201" s="8"/>
      <c r="AR201" s="8"/>
      <c r="AS201" s="8"/>
      <c r="AT201" s="8"/>
      <c r="AU201" s="8"/>
      <c r="AV201" s="8"/>
      <c r="AW201" s="8"/>
      <c r="AX201" s="8"/>
      <c r="AY201" s="8"/>
    </row>
    <row r="202" spans="1:51" ht="13.2" x14ac:dyDescent="0.25">
      <c r="A202" s="12" t="str">
        <f ca="1">IFERROR(__xludf.DUMMYFUNCTION("""COMPUTED_VALUE"""),"                     right Laterointermediate area")</f>
        <v xml:space="preserve">                     right Laterointermediate area</v>
      </c>
      <c r="B202" s="12">
        <f ca="1">IFERROR(__xludf.DUMMYFUNCTION("""COMPUTED_VALUE"""),3726)</f>
        <v>3726</v>
      </c>
      <c r="C202" s="12">
        <f ca="1">IFERROR(__xludf.DUMMYFUNCTION("""COMPUTED_VALUE"""),6028)</f>
        <v>6028</v>
      </c>
      <c r="D202" s="12">
        <f ca="1">IFERROR(__xludf.DUMMYFUNCTION("""COMPUTED_VALUE"""),876)</f>
        <v>876</v>
      </c>
      <c r="E202" s="12">
        <f ca="1">IFERROR(__xludf.DUMMYFUNCTION("""COMPUTED_VALUE"""),3044)</f>
        <v>3044</v>
      </c>
      <c r="F202" s="12">
        <f ca="1">IFERROR(__xludf.DUMMYFUNCTION("""COMPUTED_VALUE"""),4071)</f>
        <v>4071</v>
      </c>
      <c r="G202" s="12">
        <f ca="1">IFERROR(__xludf.DUMMYFUNCTION("""COMPUTED_VALUE"""),3266)</f>
        <v>3266</v>
      </c>
      <c r="H202" s="12">
        <f ca="1">IFERROR(__xludf.DUMMYFUNCTION("""COMPUTED_VALUE"""),1208)</f>
        <v>1208</v>
      </c>
      <c r="I202" s="12">
        <f ca="1">IFERROR(__xludf.DUMMYFUNCTION("""COMPUTED_VALUE"""),3101)</f>
        <v>3101</v>
      </c>
      <c r="J202" s="12">
        <f ca="1">IFERROR(__xludf.DUMMYFUNCTION("""COMPUTED_VALUE"""),2727)</f>
        <v>2727</v>
      </c>
      <c r="K202" s="12">
        <f ca="1">IFERROR(__xludf.DUMMYFUNCTION("""COMPUTED_VALUE"""),4175)</f>
        <v>4175</v>
      </c>
      <c r="L202" s="12">
        <f ca="1">IFERROR(__xludf.DUMMYFUNCTION("""COMPUTED_VALUE"""),3256)</f>
        <v>3256</v>
      </c>
      <c r="M202" s="12">
        <f ca="1">IFERROR(__xludf.DUMMYFUNCTION("""COMPUTED_VALUE"""),6802)</f>
        <v>6802</v>
      </c>
      <c r="N202" s="12">
        <f ca="1">IFERROR(__xludf.DUMMYFUNCTION("""COMPUTED_VALUE"""),346)</f>
        <v>346</v>
      </c>
      <c r="O202" s="12">
        <f ca="1">IFERROR(__xludf.DUMMYFUNCTION("""COMPUTED_VALUE"""),5860)</f>
        <v>5860</v>
      </c>
      <c r="P202" s="12">
        <f ca="1">IFERROR(__xludf.DUMMYFUNCTION("""COMPUTED_VALUE"""),3892)</f>
        <v>3892</v>
      </c>
      <c r="Q202" s="12">
        <f ca="1">IFERROR(__xludf.DUMMYFUNCTION("""COMPUTED_VALUE"""),3249)</f>
        <v>3249</v>
      </c>
      <c r="R202" s="12">
        <f ca="1">IFERROR(__xludf.DUMMYFUNCTION("""COMPUTED_VALUE"""),5474)</f>
        <v>5474</v>
      </c>
      <c r="S202" s="12">
        <f ca="1">IFERROR(__xludf.DUMMYFUNCTION("""COMPUTED_VALUE"""),2101)</f>
        <v>2101</v>
      </c>
      <c r="T202" s="12">
        <f ca="1">IFERROR(__xludf.DUMMYFUNCTION("""COMPUTED_VALUE"""),3520)</f>
        <v>3520</v>
      </c>
      <c r="U202" s="12">
        <f ca="1">IFERROR(__xludf.DUMMYFUNCTION("""COMPUTED_VALUE"""),6111)</f>
        <v>6111</v>
      </c>
      <c r="V202" s="12">
        <f ca="1">IFERROR(__xludf.DUMMYFUNCTION("""COMPUTED_VALUE"""),4235)</f>
        <v>4235</v>
      </c>
      <c r="W202" s="12">
        <f ca="1">IFERROR(__xludf.DUMMYFUNCTION("""COMPUTED_VALUE"""),9447)</f>
        <v>9447</v>
      </c>
      <c r="X202" s="12">
        <f ca="1">IFERROR(__xludf.DUMMYFUNCTION("""COMPUTED_VALUE"""),7119)</f>
        <v>7119</v>
      </c>
      <c r="Y202" s="12">
        <f ca="1">IFERROR(__xludf.DUMMYFUNCTION("""COMPUTED_VALUE"""),4618)</f>
        <v>4618</v>
      </c>
      <c r="Z202" s="12">
        <f ca="1">IFERROR(__xludf.DUMMYFUNCTION("""COMPUTED_VALUE"""),4689)</f>
        <v>4689</v>
      </c>
      <c r="AA202" s="12">
        <f ca="1">IFERROR(__xludf.DUMMYFUNCTION("""COMPUTED_VALUE"""),5634)</f>
        <v>5634</v>
      </c>
      <c r="AB202" s="12">
        <f ca="1">IFERROR(__xludf.DUMMYFUNCTION("""COMPUTED_VALUE"""),5198)</f>
        <v>5198</v>
      </c>
      <c r="AC202" s="12">
        <f ca="1">IFERROR(__xludf.DUMMYFUNCTION("""COMPUTED_VALUE"""),5158)</f>
        <v>5158</v>
      </c>
      <c r="AD202" s="12">
        <f ca="1">IFERROR(__xludf.DUMMYFUNCTION("""COMPUTED_VALUE"""),10015)</f>
        <v>10015</v>
      </c>
      <c r="AE202" s="12">
        <f ca="1">IFERROR(__xludf.DUMMYFUNCTION("""COMPUTED_VALUE"""),6976)</f>
        <v>6976</v>
      </c>
      <c r="AF202" s="8">
        <f ca="1">IFERROR(__xludf.DUMMYFUNCTION("""COMPUTED_VALUE"""),6445)</f>
        <v>6445</v>
      </c>
      <c r="AG202" s="8">
        <f ca="1">IFERROR(__xludf.DUMMYFUNCTION("""COMPUTED_VALUE"""),4632)</f>
        <v>4632</v>
      </c>
      <c r="AH202" s="8">
        <f ca="1">IFERROR(__xludf.DUMMYFUNCTION("""COMPUTED_VALUE"""),6510)</f>
        <v>6510</v>
      </c>
      <c r="AI202" s="8">
        <f ca="1">IFERROR(__xludf.DUMMYFUNCTION("""COMPUTED_VALUE"""),3116)</f>
        <v>3116</v>
      </c>
      <c r="AJ202" s="8">
        <f ca="1">IFERROR(__xludf.DUMMYFUNCTION("""COMPUTED_VALUE"""),2818)</f>
        <v>2818</v>
      </c>
      <c r="AK202" s="8">
        <f ca="1">IFERROR(__xludf.DUMMYFUNCTION("""COMPUTED_VALUE"""),1606)</f>
        <v>1606</v>
      </c>
      <c r="AL202" s="8">
        <f ca="1">IFERROR(__xludf.DUMMYFUNCTION("""COMPUTED_VALUE"""),3299)</f>
        <v>3299</v>
      </c>
      <c r="AM202" s="8">
        <f ca="1">IFERROR(__xludf.DUMMYFUNCTION("""COMPUTED_VALUE"""),6331)</f>
        <v>6331</v>
      </c>
      <c r="AN202" s="8">
        <f ca="1">IFERROR(__xludf.DUMMYFUNCTION("""COMPUTED_VALUE"""),5805)</f>
        <v>5805</v>
      </c>
      <c r="AO202" s="8">
        <f ca="1">IFERROR(__xludf.DUMMYFUNCTION("""COMPUTED_VALUE"""),1832)</f>
        <v>1832</v>
      </c>
      <c r="AP202" s="8"/>
      <c r="AQ202" s="8"/>
      <c r="AR202" s="8"/>
      <c r="AS202" s="8"/>
      <c r="AT202" s="8"/>
      <c r="AU202" s="8"/>
      <c r="AV202" s="8"/>
      <c r="AW202" s="8"/>
      <c r="AX202" s="8"/>
      <c r="AY202" s="8"/>
    </row>
    <row r="203" spans="1:51" ht="13.2" x14ac:dyDescent="0.25">
      <c r="A203" s="12" t="str">
        <f ca="1">IFERROR(__xludf.DUMMYFUNCTION("""COMPUTED_VALUE"""),"                     right Postrhinal area")</f>
        <v xml:space="preserve">                     right Postrhinal area</v>
      </c>
      <c r="B203" s="12">
        <f ca="1">IFERROR(__xludf.DUMMYFUNCTION("""COMPUTED_VALUE"""),9199)</f>
        <v>9199</v>
      </c>
      <c r="C203" s="12">
        <f ca="1">IFERROR(__xludf.DUMMYFUNCTION("""COMPUTED_VALUE"""),10332)</f>
        <v>10332</v>
      </c>
      <c r="D203" s="12">
        <f ca="1">IFERROR(__xludf.DUMMYFUNCTION("""COMPUTED_VALUE"""),4166)</f>
        <v>4166</v>
      </c>
      <c r="E203" s="12">
        <f ca="1">IFERROR(__xludf.DUMMYFUNCTION("""COMPUTED_VALUE"""),7808)</f>
        <v>7808</v>
      </c>
      <c r="F203" s="12">
        <f ca="1">IFERROR(__xludf.DUMMYFUNCTION("""COMPUTED_VALUE"""),12268)</f>
        <v>12268</v>
      </c>
      <c r="G203" s="12">
        <f ca="1">IFERROR(__xludf.DUMMYFUNCTION("""COMPUTED_VALUE"""),5692)</f>
        <v>5692</v>
      </c>
      <c r="H203" s="12">
        <f ca="1">IFERROR(__xludf.DUMMYFUNCTION("""COMPUTED_VALUE"""),5186)</f>
        <v>5186</v>
      </c>
      <c r="I203" s="12">
        <f ca="1">IFERROR(__xludf.DUMMYFUNCTION("""COMPUTED_VALUE"""),5965)</f>
        <v>5965</v>
      </c>
      <c r="J203" s="12">
        <f ca="1">IFERROR(__xludf.DUMMYFUNCTION("""COMPUTED_VALUE"""),5916)</f>
        <v>5916</v>
      </c>
      <c r="K203" s="12">
        <f ca="1">IFERROR(__xludf.DUMMYFUNCTION("""COMPUTED_VALUE"""),8074)</f>
        <v>8074</v>
      </c>
      <c r="L203" s="12">
        <f ca="1">IFERROR(__xludf.DUMMYFUNCTION("""COMPUTED_VALUE"""),6206)</f>
        <v>6206</v>
      </c>
      <c r="M203" s="12">
        <f ca="1">IFERROR(__xludf.DUMMYFUNCTION("""COMPUTED_VALUE"""),10960)</f>
        <v>10960</v>
      </c>
      <c r="N203" s="12">
        <f ca="1">IFERROR(__xludf.DUMMYFUNCTION("""COMPUTED_VALUE"""),975)</f>
        <v>975</v>
      </c>
      <c r="O203" s="12">
        <f ca="1">IFERROR(__xludf.DUMMYFUNCTION("""COMPUTED_VALUE"""),9836)</f>
        <v>9836</v>
      </c>
      <c r="P203" s="12">
        <f ca="1">IFERROR(__xludf.DUMMYFUNCTION("""COMPUTED_VALUE"""),6687)</f>
        <v>6687</v>
      </c>
      <c r="Q203" s="12">
        <f ca="1">IFERROR(__xludf.DUMMYFUNCTION("""COMPUTED_VALUE"""),5931)</f>
        <v>5931</v>
      </c>
      <c r="R203" s="12">
        <f ca="1">IFERROR(__xludf.DUMMYFUNCTION("""COMPUTED_VALUE"""),8691)</f>
        <v>8691</v>
      </c>
      <c r="S203" s="12">
        <f ca="1">IFERROR(__xludf.DUMMYFUNCTION("""COMPUTED_VALUE"""),4804)</f>
        <v>4804</v>
      </c>
      <c r="T203" s="12">
        <f ca="1">IFERROR(__xludf.DUMMYFUNCTION("""COMPUTED_VALUE"""),1133)</f>
        <v>1133</v>
      </c>
      <c r="U203" s="12">
        <f ca="1">IFERROR(__xludf.DUMMYFUNCTION("""COMPUTED_VALUE"""),10157)</f>
        <v>10157</v>
      </c>
      <c r="V203" s="12">
        <f ca="1">IFERROR(__xludf.DUMMYFUNCTION("""COMPUTED_VALUE"""),17477)</f>
        <v>17477</v>
      </c>
      <c r="W203" s="12">
        <f ca="1">IFERROR(__xludf.DUMMYFUNCTION("""COMPUTED_VALUE"""),20219)</f>
        <v>20219</v>
      </c>
      <c r="X203" s="12">
        <f ca="1">IFERROR(__xludf.DUMMYFUNCTION("""COMPUTED_VALUE"""),16215)</f>
        <v>16215</v>
      </c>
      <c r="Y203" s="12">
        <f ca="1">IFERROR(__xludf.DUMMYFUNCTION("""COMPUTED_VALUE"""),14759)</f>
        <v>14759</v>
      </c>
      <c r="Z203" s="12">
        <f ca="1">IFERROR(__xludf.DUMMYFUNCTION("""COMPUTED_VALUE"""),7632)</f>
        <v>7632</v>
      </c>
      <c r="AA203" s="12">
        <f ca="1">IFERROR(__xludf.DUMMYFUNCTION("""COMPUTED_VALUE"""),14770)</f>
        <v>14770</v>
      </c>
      <c r="AB203" s="12">
        <f ca="1">IFERROR(__xludf.DUMMYFUNCTION("""COMPUTED_VALUE"""),7044)</f>
        <v>7044</v>
      </c>
      <c r="AC203" s="12">
        <f ca="1">IFERROR(__xludf.DUMMYFUNCTION("""COMPUTED_VALUE"""),9251)</f>
        <v>9251</v>
      </c>
      <c r="AD203" s="12">
        <f ca="1">IFERROR(__xludf.DUMMYFUNCTION("""COMPUTED_VALUE"""),17339)</f>
        <v>17339</v>
      </c>
      <c r="AE203" s="12">
        <f ca="1">IFERROR(__xludf.DUMMYFUNCTION("""COMPUTED_VALUE"""),14941)</f>
        <v>14941</v>
      </c>
      <c r="AF203" s="8">
        <f ca="1">IFERROR(__xludf.DUMMYFUNCTION("""COMPUTED_VALUE"""),4801)</f>
        <v>4801</v>
      </c>
      <c r="AG203" s="8">
        <f ca="1">IFERROR(__xludf.DUMMYFUNCTION("""COMPUTED_VALUE"""),9975)</f>
        <v>9975</v>
      </c>
      <c r="AH203" s="8">
        <f ca="1">IFERROR(__xludf.DUMMYFUNCTION("""COMPUTED_VALUE"""),11796)</f>
        <v>11796</v>
      </c>
      <c r="AI203" s="8">
        <f ca="1">IFERROR(__xludf.DUMMYFUNCTION("""COMPUTED_VALUE"""),4967)</f>
        <v>4967</v>
      </c>
      <c r="AJ203" s="8">
        <f ca="1">IFERROR(__xludf.DUMMYFUNCTION("""COMPUTED_VALUE"""),11614)</f>
        <v>11614</v>
      </c>
      <c r="AK203" s="8">
        <f ca="1">IFERROR(__xludf.DUMMYFUNCTION("""COMPUTED_VALUE"""),4304)</f>
        <v>4304</v>
      </c>
      <c r="AL203" s="8">
        <f ca="1">IFERROR(__xludf.DUMMYFUNCTION("""COMPUTED_VALUE"""),11234)</f>
        <v>11234</v>
      </c>
      <c r="AM203" s="8">
        <f ca="1">IFERROR(__xludf.DUMMYFUNCTION("""COMPUTED_VALUE"""),12092)</f>
        <v>12092</v>
      </c>
      <c r="AN203" s="8">
        <f ca="1">IFERROR(__xludf.DUMMYFUNCTION("""COMPUTED_VALUE"""),10518)</f>
        <v>10518</v>
      </c>
      <c r="AO203" s="8">
        <f ca="1">IFERROR(__xludf.DUMMYFUNCTION("""COMPUTED_VALUE"""),8884)</f>
        <v>8884</v>
      </c>
      <c r="AP203" s="8"/>
      <c r="AQ203" s="8"/>
      <c r="AR203" s="8"/>
      <c r="AS203" s="8"/>
      <c r="AT203" s="8"/>
      <c r="AU203" s="8"/>
      <c r="AV203" s="8"/>
      <c r="AW203" s="8"/>
      <c r="AX203" s="8"/>
      <c r="AY203" s="8"/>
    </row>
    <row r="204" spans="1:51" ht="13.2" x14ac:dyDescent="0.25">
      <c r="A204" s="12" t="str">
        <f ca="1">IFERROR(__xludf.DUMMYFUNCTION("""COMPUTED_VALUE"""),"                  right Anterior cingulate area")</f>
        <v xml:space="preserve">                  right Anterior cingulate area</v>
      </c>
      <c r="B204" s="12">
        <f ca="1">IFERROR(__xludf.DUMMYFUNCTION("""COMPUTED_VALUE"""),20387)</f>
        <v>20387</v>
      </c>
      <c r="C204" s="12">
        <f ca="1">IFERROR(__xludf.DUMMYFUNCTION("""COMPUTED_VALUE"""),33038)</f>
        <v>33038</v>
      </c>
      <c r="D204" s="12">
        <f ca="1">IFERROR(__xludf.DUMMYFUNCTION("""COMPUTED_VALUE"""),25933)</f>
        <v>25933</v>
      </c>
      <c r="E204" s="12">
        <f ca="1">IFERROR(__xludf.DUMMYFUNCTION("""COMPUTED_VALUE"""),16587)</f>
        <v>16587</v>
      </c>
      <c r="F204" s="12">
        <f ca="1">IFERROR(__xludf.DUMMYFUNCTION("""COMPUTED_VALUE"""),38895)</f>
        <v>38895</v>
      </c>
      <c r="G204" s="12">
        <f ca="1">IFERROR(__xludf.DUMMYFUNCTION("""COMPUTED_VALUE"""),24158)</f>
        <v>24158</v>
      </c>
      <c r="H204" s="12">
        <f ca="1">IFERROR(__xludf.DUMMYFUNCTION("""COMPUTED_VALUE"""),25570)</f>
        <v>25570</v>
      </c>
      <c r="I204" s="12">
        <f ca="1">IFERROR(__xludf.DUMMYFUNCTION("""COMPUTED_VALUE"""),10926)</f>
        <v>10926</v>
      </c>
      <c r="J204" s="12">
        <f ca="1">IFERROR(__xludf.DUMMYFUNCTION("""COMPUTED_VALUE"""),24141)</f>
        <v>24141</v>
      </c>
      <c r="K204" s="12">
        <f ca="1">IFERROR(__xludf.DUMMYFUNCTION("""COMPUTED_VALUE"""),30576)</f>
        <v>30576</v>
      </c>
      <c r="L204" s="12">
        <f ca="1">IFERROR(__xludf.DUMMYFUNCTION("""COMPUTED_VALUE"""),29130)</f>
        <v>29130</v>
      </c>
      <c r="M204" s="12">
        <f ca="1">IFERROR(__xludf.DUMMYFUNCTION("""COMPUTED_VALUE"""),52429)</f>
        <v>52429</v>
      </c>
      <c r="N204" s="12">
        <f ca="1">IFERROR(__xludf.DUMMYFUNCTION("""COMPUTED_VALUE"""),14684)</f>
        <v>14684</v>
      </c>
      <c r="O204" s="12">
        <f ca="1">IFERROR(__xludf.DUMMYFUNCTION("""COMPUTED_VALUE"""),47117)</f>
        <v>47117</v>
      </c>
      <c r="P204" s="12">
        <f ca="1">IFERROR(__xludf.DUMMYFUNCTION("""COMPUTED_VALUE"""),16582)</f>
        <v>16582</v>
      </c>
      <c r="Q204" s="12">
        <f ca="1">IFERROR(__xludf.DUMMYFUNCTION("""COMPUTED_VALUE"""),21014)</f>
        <v>21014</v>
      </c>
      <c r="R204" s="12">
        <f ca="1">IFERROR(__xludf.DUMMYFUNCTION("""COMPUTED_VALUE"""),11614)</f>
        <v>11614</v>
      </c>
      <c r="S204" s="12">
        <f ca="1">IFERROR(__xludf.DUMMYFUNCTION("""COMPUTED_VALUE"""),7055)</f>
        <v>7055</v>
      </c>
      <c r="T204" s="12">
        <f ca="1">IFERROR(__xludf.DUMMYFUNCTION("""COMPUTED_VALUE"""),29322)</f>
        <v>29322</v>
      </c>
      <c r="U204" s="12">
        <f ca="1">IFERROR(__xludf.DUMMYFUNCTION("""COMPUTED_VALUE"""),25078)</f>
        <v>25078</v>
      </c>
      <c r="V204" s="12">
        <f ca="1">IFERROR(__xludf.DUMMYFUNCTION("""COMPUTED_VALUE"""),37141)</f>
        <v>37141</v>
      </c>
      <c r="W204" s="12">
        <f ca="1">IFERROR(__xludf.DUMMYFUNCTION("""COMPUTED_VALUE"""),70397)</f>
        <v>70397</v>
      </c>
      <c r="X204" s="12">
        <f ca="1">IFERROR(__xludf.DUMMYFUNCTION("""COMPUTED_VALUE"""),52021)</f>
        <v>52021</v>
      </c>
      <c r="Y204" s="12">
        <f ca="1">IFERROR(__xludf.DUMMYFUNCTION("""COMPUTED_VALUE"""),32532)</f>
        <v>32532</v>
      </c>
      <c r="Z204" s="12">
        <f ca="1">IFERROR(__xludf.DUMMYFUNCTION("""COMPUTED_VALUE"""),15499)</f>
        <v>15499</v>
      </c>
      <c r="AA204" s="12">
        <f ca="1">IFERROR(__xludf.DUMMYFUNCTION("""COMPUTED_VALUE"""),31254)</f>
        <v>31254</v>
      </c>
      <c r="AB204" s="12">
        <f ca="1">IFERROR(__xludf.DUMMYFUNCTION("""COMPUTED_VALUE"""),29498)</f>
        <v>29498</v>
      </c>
      <c r="AC204" s="12">
        <f ca="1">IFERROR(__xludf.DUMMYFUNCTION("""COMPUTED_VALUE"""),35663)</f>
        <v>35663</v>
      </c>
      <c r="AD204" s="12">
        <f ca="1">IFERROR(__xludf.DUMMYFUNCTION("""COMPUTED_VALUE"""),33669)</f>
        <v>33669</v>
      </c>
      <c r="AE204" s="12">
        <f ca="1">IFERROR(__xludf.DUMMYFUNCTION("""COMPUTED_VALUE"""),32304)</f>
        <v>32304</v>
      </c>
      <c r="AF204" s="8">
        <f ca="1">IFERROR(__xludf.DUMMYFUNCTION("""COMPUTED_VALUE"""),45752)</f>
        <v>45752</v>
      </c>
      <c r="AG204" s="8">
        <f ca="1">IFERROR(__xludf.DUMMYFUNCTION("""COMPUTED_VALUE"""),10029)</f>
        <v>10029</v>
      </c>
      <c r="AH204" s="8">
        <f ca="1">IFERROR(__xludf.DUMMYFUNCTION("""COMPUTED_VALUE"""),30689)</f>
        <v>30689</v>
      </c>
      <c r="AI204" s="8">
        <f ca="1">IFERROR(__xludf.DUMMYFUNCTION("""COMPUTED_VALUE"""),12006)</f>
        <v>12006</v>
      </c>
      <c r="AJ204" s="8">
        <f ca="1">IFERROR(__xludf.DUMMYFUNCTION("""COMPUTED_VALUE"""),20553)</f>
        <v>20553</v>
      </c>
      <c r="AK204" s="8">
        <f ca="1">IFERROR(__xludf.DUMMYFUNCTION("""COMPUTED_VALUE"""),14064)</f>
        <v>14064</v>
      </c>
      <c r="AL204" s="8">
        <f ca="1">IFERROR(__xludf.DUMMYFUNCTION("""COMPUTED_VALUE"""),19266)</f>
        <v>19266</v>
      </c>
      <c r="AM204" s="8">
        <f ca="1">IFERROR(__xludf.DUMMYFUNCTION("""COMPUTED_VALUE"""),55177)</f>
        <v>55177</v>
      </c>
      <c r="AN204" s="8">
        <f ca="1">IFERROR(__xludf.DUMMYFUNCTION("""COMPUTED_VALUE"""),19349)</f>
        <v>19349</v>
      </c>
      <c r="AO204" s="8">
        <f ca="1">IFERROR(__xludf.DUMMYFUNCTION("""COMPUTED_VALUE"""),29823)</f>
        <v>29823</v>
      </c>
      <c r="AP204" s="8"/>
      <c r="AQ204" s="8"/>
      <c r="AR204" s="8"/>
      <c r="AS204" s="8"/>
      <c r="AT204" s="8"/>
      <c r="AU204" s="8"/>
      <c r="AV204" s="8"/>
      <c r="AW204" s="8"/>
      <c r="AX204" s="8"/>
      <c r="AY204" s="8"/>
    </row>
    <row r="205" spans="1:51" ht="13.2" x14ac:dyDescent="0.25">
      <c r="A205" s="12" t="str">
        <f ca="1">IFERROR(__xludf.DUMMYFUNCTION("""COMPUTED_VALUE"""),"                     right Anterior cingulate area, dorsal part")</f>
        <v xml:space="preserve">                     right Anterior cingulate area, dorsal part</v>
      </c>
      <c r="B205" s="12">
        <f ca="1">IFERROR(__xludf.DUMMYFUNCTION("""COMPUTED_VALUE"""),9029)</f>
        <v>9029</v>
      </c>
      <c r="C205" s="12">
        <f ca="1">IFERROR(__xludf.DUMMYFUNCTION("""COMPUTED_VALUE"""),15857)</f>
        <v>15857</v>
      </c>
      <c r="D205" s="12">
        <f ca="1">IFERROR(__xludf.DUMMYFUNCTION("""COMPUTED_VALUE"""),15422)</f>
        <v>15422</v>
      </c>
      <c r="E205" s="12">
        <f ca="1">IFERROR(__xludf.DUMMYFUNCTION("""COMPUTED_VALUE"""),6581)</f>
        <v>6581</v>
      </c>
      <c r="F205" s="12">
        <f ca="1">IFERROR(__xludf.DUMMYFUNCTION("""COMPUTED_VALUE"""),20577)</f>
        <v>20577</v>
      </c>
      <c r="G205" s="12">
        <f ca="1">IFERROR(__xludf.DUMMYFUNCTION("""COMPUTED_VALUE"""),10923)</f>
        <v>10923</v>
      </c>
      <c r="H205" s="12">
        <f ca="1">IFERROR(__xludf.DUMMYFUNCTION("""COMPUTED_VALUE"""),13514)</f>
        <v>13514</v>
      </c>
      <c r="I205" s="12">
        <f ca="1">IFERROR(__xludf.DUMMYFUNCTION("""COMPUTED_VALUE"""),4458)</f>
        <v>4458</v>
      </c>
      <c r="J205" s="12">
        <f ca="1">IFERROR(__xludf.DUMMYFUNCTION("""COMPUTED_VALUE"""),8064)</f>
        <v>8064</v>
      </c>
      <c r="K205" s="12">
        <f ca="1">IFERROR(__xludf.DUMMYFUNCTION("""COMPUTED_VALUE"""),17512)</f>
        <v>17512</v>
      </c>
      <c r="L205" s="12">
        <f ca="1">IFERROR(__xludf.DUMMYFUNCTION("""COMPUTED_VALUE"""),15691)</f>
        <v>15691</v>
      </c>
      <c r="M205" s="12">
        <f ca="1">IFERROR(__xludf.DUMMYFUNCTION("""COMPUTED_VALUE"""),26371)</f>
        <v>26371</v>
      </c>
      <c r="N205" s="12">
        <f ca="1">IFERROR(__xludf.DUMMYFUNCTION("""COMPUTED_VALUE"""),6793)</f>
        <v>6793</v>
      </c>
      <c r="O205" s="12">
        <f ca="1">IFERROR(__xludf.DUMMYFUNCTION("""COMPUTED_VALUE"""),19092)</f>
        <v>19092</v>
      </c>
      <c r="P205" s="12">
        <f ca="1">IFERROR(__xludf.DUMMYFUNCTION("""COMPUTED_VALUE"""),7210)</f>
        <v>7210</v>
      </c>
      <c r="Q205" s="12">
        <f ca="1">IFERROR(__xludf.DUMMYFUNCTION("""COMPUTED_VALUE"""),10709)</f>
        <v>10709</v>
      </c>
      <c r="R205" s="12">
        <f ca="1">IFERROR(__xludf.DUMMYFUNCTION("""COMPUTED_VALUE"""),4582)</f>
        <v>4582</v>
      </c>
      <c r="S205" s="12">
        <f ca="1">IFERROR(__xludf.DUMMYFUNCTION("""COMPUTED_VALUE"""),4087)</f>
        <v>4087</v>
      </c>
      <c r="T205" s="12">
        <f ca="1">IFERROR(__xludf.DUMMYFUNCTION("""COMPUTED_VALUE"""),16490)</f>
        <v>16490</v>
      </c>
      <c r="U205" s="12">
        <f ca="1">IFERROR(__xludf.DUMMYFUNCTION("""COMPUTED_VALUE"""),13779)</f>
        <v>13779</v>
      </c>
      <c r="V205" s="12">
        <f ca="1">IFERROR(__xludf.DUMMYFUNCTION("""COMPUTED_VALUE"""),17126)</f>
        <v>17126</v>
      </c>
      <c r="W205" s="12">
        <f ca="1">IFERROR(__xludf.DUMMYFUNCTION("""COMPUTED_VALUE"""),37137)</f>
        <v>37137</v>
      </c>
      <c r="X205" s="12">
        <f ca="1">IFERROR(__xludf.DUMMYFUNCTION("""COMPUTED_VALUE"""),30453)</f>
        <v>30453</v>
      </c>
      <c r="Y205" s="12">
        <f ca="1">IFERROR(__xludf.DUMMYFUNCTION("""COMPUTED_VALUE"""),16951)</f>
        <v>16951</v>
      </c>
      <c r="Z205" s="12">
        <f ca="1">IFERROR(__xludf.DUMMYFUNCTION("""COMPUTED_VALUE"""),5414)</f>
        <v>5414</v>
      </c>
      <c r="AA205" s="12">
        <f ca="1">IFERROR(__xludf.DUMMYFUNCTION("""COMPUTED_VALUE"""),15778)</f>
        <v>15778</v>
      </c>
      <c r="AB205" s="12">
        <f ca="1">IFERROR(__xludf.DUMMYFUNCTION("""COMPUTED_VALUE"""),20765)</f>
        <v>20765</v>
      </c>
      <c r="AC205" s="12">
        <f ca="1">IFERROR(__xludf.DUMMYFUNCTION("""COMPUTED_VALUE"""),23478)</f>
        <v>23478</v>
      </c>
      <c r="AD205" s="12">
        <f ca="1">IFERROR(__xludf.DUMMYFUNCTION("""COMPUTED_VALUE"""),19611)</f>
        <v>19611</v>
      </c>
      <c r="AE205" s="12">
        <f ca="1">IFERROR(__xludf.DUMMYFUNCTION("""COMPUTED_VALUE"""),25323)</f>
        <v>25323</v>
      </c>
      <c r="AF205" s="8">
        <f ca="1">IFERROR(__xludf.DUMMYFUNCTION("""COMPUTED_VALUE"""),19518)</f>
        <v>19518</v>
      </c>
      <c r="AG205" s="8">
        <f ca="1">IFERROR(__xludf.DUMMYFUNCTION("""COMPUTED_VALUE"""),4950)</f>
        <v>4950</v>
      </c>
      <c r="AH205" s="8">
        <f ca="1">IFERROR(__xludf.DUMMYFUNCTION("""COMPUTED_VALUE"""),17194)</f>
        <v>17194</v>
      </c>
      <c r="AI205" s="8">
        <f ca="1">IFERROR(__xludf.DUMMYFUNCTION("""COMPUTED_VALUE"""),6081)</f>
        <v>6081</v>
      </c>
      <c r="AJ205" s="8">
        <f ca="1">IFERROR(__xludf.DUMMYFUNCTION("""COMPUTED_VALUE"""),7925)</f>
        <v>7925</v>
      </c>
      <c r="AK205" s="8">
        <f ca="1">IFERROR(__xludf.DUMMYFUNCTION("""COMPUTED_VALUE"""),10616)</f>
        <v>10616</v>
      </c>
      <c r="AL205" s="8">
        <f ca="1">IFERROR(__xludf.DUMMYFUNCTION("""COMPUTED_VALUE"""),12493)</f>
        <v>12493</v>
      </c>
      <c r="AM205" s="8">
        <f ca="1">IFERROR(__xludf.DUMMYFUNCTION("""COMPUTED_VALUE"""),31174)</f>
        <v>31174</v>
      </c>
      <c r="AN205" s="8">
        <f ca="1">IFERROR(__xludf.DUMMYFUNCTION("""COMPUTED_VALUE"""),9364)</f>
        <v>9364</v>
      </c>
      <c r="AO205" s="8">
        <f ca="1">IFERROR(__xludf.DUMMYFUNCTION("""COMPUTED_VALUE"""),18164)</f>
        <v>18164</v>
      </c>
      <c r="AP205" s="8"/>
      <c r="AQ205" s="8"/>
      <c r="AR205" s="8"/>
      <c r="AS205" s="8"/>
      <c r="AT205" s="8"/>
      <c r="AU205" s="8"/>
      <c r="AV205" s="8"/>
      <c r="AW205" s="8"/>
      <c r="AX205" s="8"/>
      <c r="AY205" s="8"/>
    </row>
    <row r="206" spans="1:51" ht="13.2" x14ac:dyDescent="0.25">
      <c r="A206" s="12" t="str">
        <f ca="1">IFERROR(__xludf.DUMMYFUNCTION("""COMPUTED_VALUE"""),"                     right Anterior cingulate area, ventral part")</f>
        <v xml:space="preserve">                     right Anterior cingulate area, ventral part</v>
      </c>
      <c r="B206" s="12">
        <f ca="1">IFERROR(__xludf.DUMMYFUNCTION("""COMPUTED_VALUE"""),11358)</f>
        <v>11358</v>
      </c>
      <c r="C206" s="12">
        <f ca="1">IFERROR(__xludf.DUMMYFUNCTION("""COMPUTED_VALUE"""),17181)</f>
        <v>17181</v>
      </c>
      <c r="D206" s="12">
        <f ca="1">IFERROR(__xludf.DUMMYFUNCTION("""COMPUTED_VALUE"""),10511)</f>
        <v>10511</v>
      </c>
      <c r="E206" s="12">
        <f ca="1">IFERROR(__xludf.DUMMYFUNCTION("""COMPUTED_VALUE"""),10006)</f>
        <v>10006</v>
      </c>
      <c r="F206" s="12">
        <f ca="1">IFERROR(__xludf.DUMMYFUNCTION("""COMPUTED_VALUE"""),18318)</f>
        <v>18318</v>
      </c>
      <c r="G206" s="12">
        <f ca="1">IFERROR(__xludf.DUMMYFUNCTION("""COMPUTED_VALUE"""),13235)</f>
        <v>13235</v>
      </c>
      <c r="H206" s="12">
        <f ca="1">IFERROR(__xludf.DUMMYFUNCTION("""COMPUTED_VALUE"""),12056)</f>
        <v>12056</v>
      </c>
      <c r="I206" s="12">
        <f ca="1">IFERROR(__xludf.DUMMYFUNCTION("""COMPUTED_VALUE"""),6468)</f>
        <v>6468</v>
      </c>
      <c r="J206" s="12">
        <f ca="1">IFERROR(__xludf.DUMMYFUNCTION("""COMPUTED_VALUE"""),16077)</f>
        <v>16077</v>
      </c>
      <c r="K206" s="12">
        <f ca="1">IFERROR(__xludf.DUMMYFUNCTION("""COMPUTED_VALUE"""),13064)</f>
        <v>13064</v>
      </c>
      <c r="L206" s="12">
        <f ca="1">IFERROR(__xludf.DUMMYFUNCTION("""COMPUTED_VALUE"""),13439)</f>
        <v>13439</v>
      </c>
      <c r="M206" s="12">
        <f ca="1">IFERROR(__xludf.DUMMYFUNCTION("""COMPUTED_VALUE"""),26058)</f>
        <v>26058</v>
      </c>
      <c r="N206" s="12">
        <f ca="1">IFERROR(__xludf.DUMMYFUNCTION("""COMPUTED_VALUE"""),7891)</f>
        <v>7891</v>
      </c>
      <c r="O206" s="12">
        <f ca="1">IFERROR(__xludf.DUMMYFUNCTION("""COMPUTED_VALUE"""),28025)</f>
        <v>28025</v>
      </c>
      <c r="P206" s="12">
        <f ca="1">IFERROR(__xludf.DUMMYFUNCTION("""COMPUTED_VALUE"""),9372)</f>
        <v>9372</v>
      </c>
      <c r="Q206" s="12">
        <f ca="1">IFERROR(__xludf.DUMMYFUNCTION("""COMPUTED_VALUE"""),10305)</f>
        <v>10305</v>
      </c>
      <c r="R206" s="12">
        <f ca="1">IFERROR(__xludf.DUMMYFUNCTION("""COMPUTED_VALUE"""),7032)</f>
        <v>7032</v>
      </c>
      <c r="S206" s="12">
        <f ca="1">IFERROR(__xludf.DUMMYFUNCTION("""COMPUTED_VALUE"""),2968)</f>
        <v>2968</v>
      </c>
      <c r="T206" s="12">
        <f ca="1">IFERROR(__xludf.DUMMYFUNCTION("""COMPUTED_VALUE"""),12832)</f>
        <v>12832</v>
      </c>
      <c r="U206" s="12">
        <f ca="1">IFERROR(__xludf.DUMMYFUNCTION("""COMPUTED_VALUE"""),11299)</f>
        <v>11299</v>
      </c>
      <c r="V206" s="12">
        <f ca="1">IFERROR(__xludf.DUMMYFUNCTION("""COMPUTED_VALUE"""),20015)</f>
        <v>20015</v>
      </c>
      <c r="W206" s="12">
        <f ca="1">IFERROR(__xludf.DUMMYFUNCTION("""COMPUTED_VALUE"""),33260)</f>
        <v>33260</v>
      </c>
      <c r="X206" s="12">
        <f ca="1">IFERROR(__xludf.DUMMYFUNCTION("""COMPUTED_VALUE"""),21568)</f>
        <v>21568</v>
      </c>
      <c r="Y206" s="12">
        <f ca="1">IFERROR(__xludf.DUMMYFUNCTION("""COMPUTED_VALUE"""),15581)</f>
        <v>15581</v>
      </c>
      <c r="Z206" s="12">
        <f ca="1">IFERROR(__xludf.DUMMYFUNCTION("""COMPUTED_VALUE"""),10085)</f>
        <v>10085</v>
      </c>
      <c r="AA206" s="12">
        <f ca="1">IFERROR(__xludf.DUMMYFUNCTION("""COMPUTED_VALUE"""),15476)</f>
        <v>15476</v>
      </c>
      <c r="AB206" s="12">
        <f ca="1">IFERROR(__xludf.DUMMYFUNCTION("""COMPUTED_VALUE"""),8733)</f>
        <v>8733</v>
      </c>
      <c r="AC206" s="12">
        <f ca="1">IFERROR(__xludf.DUMMYFUNCTION("""COMPUTED_VALUE"""),12185)</f>
        <v>12185</v>
      </c>
      <c r="AD206" s="12">
        <f ca="1">IFERROR(__xludf.DUMMYFUNCTION("""COMPUTED_VALUE"""),14058)</f>
        <v>14058</v>
      </c>
      <c r="AE206" s="12">
        <f ca="1">IFERROR(__xludf.DUMMYFUNCTION("""COMPUTED_VALUE"""),6981)</f>
        <v>6981</v>
      </c>
      <c r="AF206" s="8">
        <f ca="1">IFERROR(__xludf.DUMMYFUNCTION("""COMPUTED_VALUE"""),26234)</f>
        <v>26234</v>
      </c>
      <c r="AG206" s="8">
        <f ca="1">IFERROR(__xludf.DUMMYFUNCTION("""COMPUTED_VALUE"""),5079)</f>
        <v>5079</v>
      </c>
      <c r="AH206" s="8">
        <f ca="1">IFERROR(__xludf.DUMMYFUNCTION("""COMPUTED_VALUE"""),13495)</f>
        <v>13495</v>
      </c>
      <c r="AI206" s="8">
        <f ca="1">IFERROR(__xludf.DUMMYFUNCTION("""COMPUTED_VALUE"""),5925)</f>
        <v>5925</v>
      </c>
      <c r="AJ206" s="8">
        <f ca="1">IFERROR(__xludf.DUMMYFUNCTION("""COMPUTED_VALUE"""),12628)</f>
        <v>12628</v>
      </c>
      <c r="AK206" s="8">
        <f ca="1">IFERROR(__xludf.DUMMYFUNCTION("""COMPUTED_VALUE"""),3448)</f>
        <v>3448</v>
      </c>
      <c r="AL206" s="8">
        <f ca="1">IFERROR(__xludf.DUMMYFUNCTION("""COMPUTED_VALUE"""),6773)</f>
        <v>6773</v>
      </c>
      <c r="AM206" s="8">
        <f ca="1">IFERROR(__xludf.DUMMYFUNCTION("""COMPUTED_VALUE"""),24003)</f>
        <v>24003</v>
      </c>
      <c r="AN206" s="8">
        <f ca="1">IFERROR(__xludf.DUMMYFUNCTION("""COMPUTED_VALUE"""),9985)</f>
        <v>9985</v>
      </c>
      <c r="AO206" s="8">
        <f ca="1">IFERROR(__xludf.DUMMYFUNCTION("""COMPUTED_VALUE"""),11659)</f>
        <v>11659</v>
      </c>
      <c r="AP206" s="8"/>
      <c r="AQ206" s="8"/>
      <c r="AR206" s="8"/>
      <c r="AS206" s="8"/>
      <c r="AT206" s="8"/>
      <c r="AU206" s="8"/>
      <c r="AV206" s="8"/>
      <c r="AW206" s="8"/>
      <c r="AX206" s="8"/>
      <c r="AY206" s="8"/>
    </row>
    <row r="207" spans="1:51" ht="13.2" x14ac:dyDescent="0.25">
      <c r="A207" s="12" t="str">
        <f ca="1">IFERROR(__xludf.DUMMYFUNCTION("""COMPUTED_VALUE"""),"                  right Prelimbic area")</f>
        <v xml:space="preserve">                  right Prelimbic area</v>
      </c>
      <c r="B207" s="12">
        <f ca="1">IFERROR(__xludf.DUMMYFUNCTION("""COMPUTED_VALUE"""),9972)</f>
        <v>9972</v>
      </c>
      <c r="C207" s="12">
        <f ca="1">IFERROR(__xludf.DUMMYFUNCTION("""COMPUTED_VALUE"""),13492)</f>
        <v>13492</v>
      </c>
      <c r="D207" s="12">
        <f ca="1">IFERROR(__xludf.DUMMYFUNCTION("""COMPUTED_VALUE"""),8353)</f>
        <v>8353</v>
      </c>
      <c r="E207" s="12">
        <f ca="1">IFERROR(__xludf.DUMMYFUNCTION("""COMPUTED_VALUE"""),8841)</f>
        <v>8841</v>
      </c>
      <c r="F207" s="12">
        <f ca="1">IFERROR(__xludf.DUMMYFUNCTION("""COMPUTED_VALUE"""),17808)</f>
        <v>17808</v>
      </c>
      <c r="G207" s="12">
        <f ca="1">IFERROR(__xludf.DUMMYFUNCTION("""COMPUTED_VALUE"""),6036)</f>
        <v>6036</v>
      </c>
      <c r="H207" s="12">
        <f ca="1">IFERROR(__xludf.DUMMYFUNCTION("""COMPUTED_VALUE"""),7088)</f>
        <v>7088</v>
      </c>
      <c r="I207" s="12">
        <f ca="1">IFERROR(__xludf.DUMMYFUNCTION("""COMPUTED_VALUE"""),4785)</f>
        <v>4785</v>
      </c>
      <c r="J207" s="12">
        <f ca="1">IFERROR(__xludf.DUMMYFUNCTION("""COMPUTED_VALUE"""),11625)</f>
        <v>11625</v>
      </c>
      <c r="K207" s="12">
        <f ca="1">IFERROR(__xludf.DUMMYFUNCTION("""COMPUTED_VALUE"""),16475)</f>
        <v>16475</v>
      </c>
      <c r="L207" s="12">
        <f ca="1">IFERROR(__xludf.DUMMYFUNCTION("""COMPUTED_VALUE"""),17143)</f>
        <v>17143</v>
      </c>
      <c r="M207" s="12">
        <f ca="1">IFERROR(__xludf.DUMMYFUNCTION("""COMPUTED_VALUE"""),13787)</f>
        <v>13787</v>
      </c>
      <c r="N207" s="12">
        <f ca="1">IFERROR(__xludf.DUMMYFUNCTION("""COMPUTED_VALUE"""),5259)</f>
        <v>5259</v>
      </c>
      <c r="O207" s="12">
        <f ca="1">IFERROR(__xludf.DUMMYFUNCTION("""COMPUTED_VALUE"""),14303)</f>
        <v>14303</v>
      </c>
      <c r="P207" s="12">
        <f ca="1">IFERROR(__xludf.DUMMYFUNCTION("""COMPUTED_VALUE"""),10569)</f>
        <v>10569</v>
      </c>
      <c r="Q207" s="12">
        <f ca="1">IFERROR(__xludf.DUMMYFUNCTION("""COMPUTED_VALUE"""),8321)</f>
        <v>8321</v>
      </c>
      <c r="R207" s="12">
        <f ca="1">IFERROR(__xludf.DUMMYFUNCTION("""COMPUTED_VALUE"""),7683)</f>
        <v>7683</v>
      </c>
      <c r="S207" s="12">
        <f ca="1">IFERROR(__xludf.DUMMYFUNCTION("""COMPUTED_VALUE"""),3568)</f>
        <v>3568</v>
      </c>
      <c r="T207" s="12">
        <f ca="1">IFERROR(__xludf.DUMMYFUNCTION("""COMPUTED_VALUE"""),14911)</f>
        <v>14911</v>
      </c>
      <c r="U207" s="12">
        <f ca="1">IFERROR(__xludf.DUMMYFUNCTION("""COMPUTED_VALUE"""),12647)</f>
        <v>12647</v>
      </c>
      <c r="V207" s="12">
        <f ca="1">IFERROR(__xludf.DUMMYFUNCTION("""COMPUTED_VALUE"""),22207)</f>
        <v>22207</v>
      </c>
      <c r="W207" s="12">
        <f ca="1">IFERROR(__xludf.DUMMYFUNCTION("""COMPUTED_VALUE"""),33398)</f>
        <v>33398</v>
      </c>
      <c r="X207" s="12">
        <f ca="1">IFERROR(__xludf.DUMMYFUNCTION("""COMPUTED_VALUE"""),26809)</f>
        <v>26809</v>
      </c>
      <c r="Y207" s="12">
        <f ca="1">IFERROR(__xludf.DUMMYFUNCTION("""COMPUTED_VALUE"""),12962)</f>
        <v>12962</v>
      </c>
      <c r="Z207" s="12">
        <f ca="1">IFERROR(__xludf.DUMMYFUNCTION("""COMPUTED_VALUE"""),3499)</f>
        <v>3499</v>
      </c>
      <c r="AA207" s="12">
        <f ca="1">IFERROR(__xludf.DUMMYFUNCTION("""COMPUTED_VALUE"""),19527)</f>
        <v>19527</v>
      </c>
      <c r="AB207" s="12">
        <f ca="1">IFERROR(__xludf.DUMMYFUNCTION("""COMPUTED_VALUE"""),22196)</f>
        <v>22196</v>
      </c>
      <c r="AC207" s="12">
        <f ca="1">IFERROR(__xludf.DUMMYFUNCTION("""COMPUTED_VALUE"""),16598)</f>
        <v>16598</v>
      </c>
      <c r="AD207" s="12">
        <f ca="1">IFERROR(__xludf.DUMMYFUNCTION("""COMPUTED_VALUE"""),24010)</f>
        <v>24010</v>
      </c>
      <c r="AE207" s="12">
        <f ca="1">IFERROR(__xludf.DUMMYFUNCTION("""COMPUTED_VALUE"""),25735)</f>
        <v>25735</v>
      </c>
      <c r="AF207" s="8">
        <f ca="1">IFERROR(__xludf.DUMMYFUNCTION("""COMPUTED_VALUE"""),33965)</f>
        <v>33965</v>
      </c>
      <c r="AG207" s="8">
        <f ca="1">IFERROR(__xludf.DUMMYFUNCTION("""COMPUTED_VALUE"""),6977)</f>
        <v>6977</v>
      </c>
      <c r="AH207" s="8">
        <f ca="1">IFERROR(__xludf.DUMMYFUNCTION("""COMPUTED_VALUE"""),19429)</f>
        <v>19429</v>
      </c>
      <c r="AI207" s="8">
        <f ca="1">IFERROR(__xludf.DUMMYFUNCTION("""COMPUTED_VALUE"""),2656)</f>
        <v>2656</v>
      </c>
      <c r="AJ207" s="8">
        <f ca="1">IFERROR(__xludf.DUMMYFUNCTION("""COMPUTED_VALUE"""),6066)</f>
        <v>6066</v>
      </c>
      <c r="AK207" s="8">
        <f ca="1">IFERROR(__xludf.DUMMYFUNCTION("""COMPUTED_VALUE"""),12952)</f>
        <v>12952</v>
      </c>
      <c r="AL207" s="8">
        <f ca="1">IFERROR(__xludf.DUMMYFUNCTION("""COMPUTED_VALUE"""),14865)</f>
        <v>14865</v>
      </c>
      <c r="AM207" s="8">
        <f ca="1">IFERROR(__xludf.DUMMYFUNCTION("""COMPUTED_VALUE"""),25474)</f>
        <v>25474</v>
      </c>
      <c r="AN207" s="8">
        <f ca="1">IFERROR(__xludf.DUMMYFUNCTION("""COMPUTED_VALUE"""),5426)</f>
        <v>5426</v>
      </c>
      <c r="AO207" s="8">
        <f ca="1">IFERROR(__xludf.DUMMYFUNCTION("""COMPUTED_VALUE"""),13879)</f>
        <v>13879</v>
      </c>
      <c r="AP207" s="8"/>
      <c r="AQ207" s="8"/>
      <c r="AR207" s="8"/>
      <c r="AS207" s="8"/>
      <c r="AT207" s="8"/>
      <c r="AU207" s="8"/>
      <c r="AV207" s="8"/>
      <c r="AW207" s="8"/>
      <c r="AX207" s="8"/>
      <c r="AY207" s="8"/>
    </row>
    <row r="208" spans="1:51" ht="13.2" x14ac:dyDescent="0.25">
      <c r="A208" s="12" t="str">
        <f ca="1">IFERROR(__xludf.DUMMYFUNCTION("""COMPUTED_VALUE"""),"                  right Infralimbic area")</f>
        <v xml:space="preserve">                  right Infralimbic area</v>
      </c>
      <c r="B208" s="12">
        <f ca="1">IFERROR(__xludf.DUMMYFUNCTION("""COMPUTED_VALUE"""),4025)</f>
        <v>4025</v>
      </c>
      <c r="C208" s="12">
        <f ca="1">IFERROR(__xludf.DUMMYFUNCTION("""COMPUTED_VALUE"""),6665)</f>
        <v>6665</v>
      </c>
      <c r="D208" s="12">
        <f ca="1">IFERROR(__xludf.DUMMYFUNCTION("""COMPUTED_VALUE"""),2908)</f>
        <v>2908</v>
      </c>
      <c r="E208" s="12">
        <f ca="1">IFERROR(__xludf.DUMMYFUNCTION("""COMPUTED_VALUE"""),4407)</f>
        <v>4407</v>
      </c>
      <c r="F208" s="12">
        <f ca="1">IFERROR(__xludf.DUMMYFUNCTION("""COMPUTED_VALUE"""),6350)</f>
        <v>6350</v>
      </c>
      <c r="G208" s="12">
        <f ca="1">IFERROR(__xludf.DUMMYFUNCTION("""COMPUTED_VALUE"""),2872)</f>
        <v>2872</v>
      </c>
      <c r="H208" s="12">
        <f ca="1">IFERROR(__xludf.DUMMYFUNCTION("""COMPUTED_VALUE"""),2402)</f>
        <v>2402</v>
      </c>
      <c r="I208" s="12">
        <f ca="1">IFERROR(__xludf.DUMMYFUNCTION("""COMPUTED_VALUE"""),2334)</f>
        <v>2334</v>
      </c>
      <c r="J208" s="12">
        <f ca="1">IFERROR(__xludf.DUMMYFUNCTION("""COMPUTED_VALUE"""),4269)</f>
        <v>4269</v>
      </c>
      <c r="K208" s="12">
        <f ca="1">IFERROR(__xludf.DUMMYFUNCTION("""COMPUTED_VALUE"""),4248)</f>
        <v>4248</v>
      </c>
      <c r="L208" s="12">
        <f ca="1">IFERROR(__xludf.DUMMYFUNCTION("""COMPUTED_VALUE"""),8677)</f>
        <v>8677</v>
      </c>
      <c r="M208" s="12">
        <f ca="1">IFERROR(__xludf.DUMMYFUNCTION("""COMPUTED_VALUE"""),5397)</f>
        <v>5397</v>
      </c>
      <c r="N208" s="12">
        <f ca="1">IFERROR(__xludf.DUMMYFUNCTION("""COMPUTED_VALUE"""),4554)</f>
        <v>4554</v>
      </c>
      <c r="O208" s="12">
        <f ca="1">IFERROR(__xludf.DUMMYFUNCTION("""COMPUTED_VALUE"""),7228)</f>
        <v>7228</v>
      </c>
      <c r="P208" s="12">
        <f ca="1">IFERROR(__xludf.DUMMYFUNCTION("""COMPUTED_VALUE"""),4096)</f>
        <v>4096</v>
      </c>
      <c r="Q208" s="12">
        <f ca="1">IFERROR(__xludf.DUMMYFUNCTION("""COMPUTED_VALUE"""),3916)</f>
        <v>3916</v>
      </c>
      <c r="R208" s="12">
        <f ca="1">IFERROR(__xludf.DUMMYFUNCTION("""COMPUTED_VALUE"""),3524)</f>
        <v>3524</v>
      </c>
      <c r="S208" s="12">
        <f ca="1">IFERROR(__xludf.DUMMYFUNCTION("""COMPUTED_VALUE"""),1374)</f>
        <v>1374</v>
      </c>
      <c r="T208" s="12">
        <f ca="1">IFERROR(__xludf.DUMMYFUNCTION("""COMPUTED_VALUE"""),5939)</f>
        <v>5939</v>
      </c>
      <c r="U208" s="12">
        <f ca="1">IFERROR(__xludf.DUMMYFUNCTION("""COMPUTED_VALUE"""),2397)</f>
        <v>2397</v>
      </c>
      <c r="V208" s="12">
        <f ca="1">IFERROR(__xludf.DUMMYFUNCTION("""COMPUTED_VALUE"""),8089)</f>
        <v>8089</v>
      </c>
      <c r="W208" s="12">
        <f ca="1">IFERROR(__xludf.DUMMYFUNCTION("""COMPUTED_VALUE"""),8804)</f>
        <v>8804</v>
      </c>
      <c r="X208" s="12">
        <f ca="1">IFERROR(__xludf.DUMMYFUNCTION("""COMPUTED_VALUE"""),15129)</f>
        <v>15129</v>
      </c>
      <c r="Y208" s="12">
        <f ca="1">IFERROR(__xludf.DUMMYFUNCTION("""COMPUTED_VALUE"""),5753)</f>
        <v>5753</v>
      </c>
      <c r="Z208" s="12">
        <f ca="1">IFERROR(__xludf.DUMMYFUNCTION("""COMPUTED_VALUE"""),2692)</f>
        <v>2692</v>
      </c>
      <c r="AA208" s="12">
        <f ca="1">IFERROR(__xludf.DUMMYFUNCTION("""COMPUTED_VALUE"""),6599)</f>
        <v>6599</v>
      </c>
      <c r="AB208" s="12">
        <f ca="1">IFERROR(__xludf.DUMMYFUNCTION("""COMPUTED_VALUE"""),4849)</f>
        <v>4849</v>
      </c>
      <c r="AC208" s="12">
        <f ca="1">IFERROR(__xludf.DUMMYFUNCTION("""COMPUTED_VALUE"""),3353)</f>
        <v>3353</v>
      </c>
      <c r="AD208" s="12">
        <f ca="1">IFERROR(__xludf.DUMMYFUNCTION("""COMPUTED_VALUE"""),6596)</f>
        <v>6596</v>
      </c>
      <c r="AE208" s="12">
        <f ca="1">IFERROR(__xludf.DUMMYFUNCTION("""COMPUTED_VALUE"""),3470)</f>
        <v>3470</v>
      </c>
      <c r="AF208" s="8">
        <f ca="1">IFERROR(__xludf.DUMMYFUNCTION("""COMPUTED_VALUE"""),11280)</f>
        <v>11280</v>
      </c>
      <c r="AG208" s="8">
        <f ca="1">IFERROR(__xludf.DUMMYFUNCTION("""COMPUTED_VALUE"""),2874)</f>
        <v>2874</v>
      </c>
      <c r="AH208" s="8">
        <f ca="1">IFERROR(__xludf.DUMMYFUNCTION("""COMPUTED_VALUE"""),9832)</f>
        <v>9832</v>
      </c>
      <c r="AI208" s="8">
        <f ca="1">IFERROR(__xludf.DUMMYFUNCTION("""COMPUTED_VALUE"""),699)</f>
        <v>699</v>
      </c>
      <c r="AJ208" s="8">
        <f ca="1">IFERROR(__xludf.DUMMYFUNCTION("""COMPUTED_VALUE"""),2319)</f>
        <v>2319</v>
      </c>
      <c r="AK208" s="8">
        <f ca="1">IFERROR(__xludf.DUMMYFUNCTION("""COMPUTED_VALUE"""),3056)</f>
        <v>3056</v>
      </c>
      <c r="AL208" s="8">
        <f ca="1">IFERROR(__xludf.DUMMYFUNCTION("""COMPUTED_VALUE"""),4084)</f>
        <v>4084</v>
      </c>
      <c r="AM208" s="8">
        <f ca="1">IFERROR(__xludf.DUMMYFUNCTION("""COMPUTED_VALUE"""),7529)</f>
        <v>7529</v>
      </c>
      <c r="AN208" s="8">
        <f ca="1">IFERROR(__xludf.DUMMYFUNCTION("""COMPUTED_VALUE"""),1618)</f>
        <v>1618</v>
      </c>
      <c r="AO208" s="8">
        <f ca="1">IFERROR(__xludf.DUMMYFUNCTION("""COMPUTED_VALUE"""),2868)</f>
        <v>2868</v>
      </c>
      <c r="AP208" s="8"/>
      <c r="AQ208" s="8"/>
      <c r="AR208" s="8"/>
      <c r="AS208" s="8"/>
      <c r="AT208" s="8"/>
      <c r="AU208" s="8"/>
      <c r="AV208" s="8"/>
      <c r="AW208" s="8"/>
      <c r="AX208" s="8"/>
      <c r="AY208" s="8"/>
    </row>
    <row r="209" spans="1:51" ht="13.2" x14ac:dyDescent="0.25">
      <c r="A209" s="12" t="str">
        <f ca="1">IFERROR(__xludf.DUMMYFUNCTION("""COMPUTED_VALUE"""),"                  right Orbital area")</f>
        <v xml:space="preserve">                  right Orbital area</v>
      </c>
      <c r="B209" s="12">
        <f ca="1">IFERROR(__xludf.DUMMYFUNCTION("""COMPUTED_VALUE"""),18724)</f>
        <v>18724</v>
      </c>
      <c r="C209" s="12">
        <f ca="1">IFERROR(__xludf.DUMMYFUNCTION("""COMPUTED_VALUE"""),31502)</f>
        <v>31502</v>
      </c>
      <c r="D209" s="12">
        <f ca="1">IFERROR(__xludf.DUMMYFUNCTION("""COMPUTED_VALUE"""),25624)</f>
        <v>25624</v>
      </c>
      <c r="E209" s="12">
        <f ca="1">IFERROR(__xludf.DUMMYFUNCTION("""COMPUTED_VALUE"""),38612)</f>
        <v>38612</v>
      </c>
      <c r="F209" s="12">
        <f ca="1">IFERROR(__xludf.DUMMYFUNCTION("""COMPUTED_VALUE"""),46695)</f>
        <v>46695</v>
      </c>
      <c r="G209" s="12">
        <f ca="1">IFERROR(__xludf.DUMMYFUNCTION("""COMPUTED_VALUE"""),24021)</f>
        <v>24021</v>
      </c>
      <c r="H209" s="12">
        <f ca="1">IFERROR(__xludf.DUMMYFUNCTION("""COMPUTED_VALUE"""),26389)</f>
        <v>26389</v>
      </c>
      <c r="I209" s="12">
        <f ca="1">IFERROR(__xludf.DUMMYFUNCTION("""COMPUTED_VALUE"""),15676)</f>
        <v>15676</v>
      </c>
      <c r="J209" s="12">
        <f ca="1">IFERROR(__xludf.DUMMYFUNCTION("""COMPUTED_VALUE"""),32354)</f>
        <v>32354</v>
      </c>
      <c r="K209" s="12">
        <f ca="1">IFERROR(__xludf.DUMMYFUNCTION("""COMPUTED_VALUE"""),52043)</f>
        <v>52043</v>
      </c>
      <c r="L209" s="12">
        <f ca="1">IFERROR(__xludf.DUMMYFUNCTION("""COMPUTED_VALUE"""),50323)</f>
        <v>50323</v>
      </c>
      <c r="M209" s="12">
        <f ca="1">IFERROR(__xludf.DUMMYFUNCTION("""COMPUTED_VALUE"""),30446)</f>
        <v>30446</v>
      </c>
      <c r="N209" s="12">
        <f ca="1">IFERROR(__xludf.DUMMYFUNCTION("""COMPUTED_VALUE"""),23836)</f>
        <v>23836</v>
      </c>
      <c r="O209" s="12">
        <f ca="1">IFERROR(__xludf.DUMMYFUNCTION("""COMPUTED_VALUE"""),12484)</f>
        <v>12484</v>
      </c>
      <c r="P209" s="12">
        <f ca="1">IFERROR(__xludf.DUMMYFUNCTION("""COMPUTED_VALUE"""),28938)</f>
        <v>28938</v>
      </c>
      <c r="Q209" s="12">
        <f ca="1">IFERROR(__xludf.DUMMYFUNCTION("""COMPUTED_VALUE"""),22537)</f>
        <v>22537</v>
      </c>
      <c r="R209" s="12">
        <f ca="1">IFERROR(__xludf.DUMMYFUNCTION("""COMPUTED_VALUE"""),30814)</f>
        <v>30814</v>
      </c>
      <c r="S209" s="12">
        <f ca="1">IFERROR(__xludf.DUMMYFUNCTION("""COMPUTED_VALUE"""),2718)</f>
        <v>2718</v>
      </c>
      <c r="T209" s="12">
        <f ca="1">IFERROR(__xludf.DUMMYFUNCTION("""COMPUTED_VALUE"""),45912)</f>
        <v>45912</v>
      </c>
      <c r="U209" s="12">
        <f ca="1">IFERROR(__xludf.DUMMYFUNCTION("""COMPUTED_VALUE"""),38562)</f>
        <v>38562</v>
      </c>
      <c r="V209" s="12">
        <f ca="1">IFERROR(__xludf.DUMMYFUNCTION("""COMPUTED_VALUE"""),23373)</f>
        <v>23373</v>
      </c>
      <c r="W209" s="12">
        <f ca="1">IFERROR(__xludf.DUMMYFUNCTION("""COMPUTED_VALUE"""),52458)</f>
        <v>52458</v>
      </c>
      <c r="X209" s="12">
        <f ca="1">IFERROR(__xludf.DUMMYFUNCTION("""COMPUTED_VALUE"""),100357)</f>
        <v>100357</v>
      </c>
      <c r="Y209" s="12">
        <f ca="1">IFERROR(__xludf.DUMMYFUNCTION("""COMPUTED_VALUE"""),12846)</f>
        <v>12846</v>
      </c>
      <c r="Z209" s="12">
        <f ca="1">IFERROR(__xludf.DUMMYFUNCTION("""COMPUTED_VALUE"""),28534)</f>
        <v>28534</v>
      </c>
      <c r="AA209" s="12">
        <f ca="1">IFERROR(__xludf.DUMMYFUNCTION("""COMPUTED_VALUE"""),33217)</f>
        <v>33217</v>
      </c>
      <c r="AB209" s="12">
        <f ca="1">IFERROR(__xludf.DUMMYFUNCTION("""COMPUTED_VALUE"""),36123)</f>
        <v>36123</v>
      </c>
      <c r="AC209" s="12">
        <f ca="1">IFERROR(__xludf.DUMMYFUNCTION("""COMPUTED_VALUE"""),50485)</f>
        <v>50485</v>
      </c>
      <c r="AD209" s="12">
        <f ca="1">IFERROR(__xludf.DUMMYFUNCTION("""COMPUTED_VALUE"""),46014)</f>
        <v>46014</v>
      </c>
      <c r="AE209" s="12">
        <f ca="1">IFERROR(__xludf.DUMMYFUNCTION("""COMPUTED_VALUE"""),77027)</f>
        <v>77027</v>
      </c>
      <c r="AF209" s="8">
        <f ca="1">IFERROR(__xludf.DUMMYFUNCTION("""COMPUTED_VALUE"""),87297)</f>
        <v>87297</v>
      </c>
      <c r="AG209" s="8">
        <f ca="1">IFERROR(__xludf.DUMMYFUNCTION("""COMPUTED_VALUE"""),11964)</f>
        <v>11964</v>
      </c>
      <c r="AH209" s="8">
        <f ca="1">IFERROR(__xludf.DUMMYFUNCTION("""COMPUTED_VALUE"""),56494)</f>
        <v>56494</v>
      </c>
      <c r="AI209" s="8">
        <f ca="1">IFERROR(__xludf.DUMMYFUNCTION("""COMPUTED_VALUE"""),12498)</f>
        <v>12498</v>
      </c>
      <c r="AJ209" s="8">
        <f ca="1">IFERROR(__xludf.DUMMYFUNCTION("""COMPUTED_VALUE"""),23679)</f>
        <v>23679</v>
      </c>
      <c r="AK209" s="8">
        <f ca="1">IFERROR(__xludf.DUMMYFUNCTION("""COMPUTED_VALUE"""),29203)</f>
        <v>29203</v>
      </c>
      <c r="AL209" s="8">
        <f ca="1">IFERROR(__xludf.DUMMYFUNCTION("""COMPUTED_VALUE"""),22877)</f>
        <v>22877</v>
      </c>
      <c r="AM209" s="8">
        <f ca="1">IFERROR(__xludf.DUMMYFUNCTION("""COMPUTED_VALUE"""),39123)</f>
        <v>39123</v>
      </c>
      <c r="AN209" s="8">
        <f ca="1">IFERROR(__xludf.DUMMYFUNCTION("""COMPUTED_VALUE"""),20507)</f>
        <v>20507</v>
      </c>
      <c r="AO209" s="8">
        <f ca="1">IFERROR(__xludf.DUMMYFUNCTION("""COMPUTED_VALUE"""),24367)</f>
        <v>24367</v>
      </c>
      <c r="AP209" s="8"/>
      <c r="AQ209" s="8"/>
      <c r="AR209" s="8"/>
      <c r="AS209" s="8"/>
      <c r="AT209" s="8"/>
      <c r="AU209" s="8"/>
      <c r="AV209" s="8"/>
      <c r="AW209" s="8"/>
      <c r="AX209" s="8"/>
      <c r="AY209" s="8"/>
    </row>
    <row r="210" spans="1:51" ht="13.2" x14ac:dyDescent="0.25">
      <c r="A210" s="12" t="str">
        <f ca="1">IFERROR(__xludf.DUMMYFUNCTION("""COMPUTED_VALUE"""),"                     right Orbital area, lateral part")</f>
        <v xml:space="preserve">                     right Orbital area, lateral part</v>
      </c>
      <c r="B210" s="12">
        <f ca="1">IFERROR(__xludf.DUMMYFUNCTION("""COMPUTED_VALUE"""),4760)</f>
        <v>4760</v>
      </c>
      <c r="C210" s="12">
        <f ca="1">IFERROR(__xludf.DUMMYFUNCTION("""COMPUTED_VALUE"""),13065)</f>
        <v>13065</v>
      </c>
      <c r="D210" s="12">
        <f ca="1">IFERROR(__xludf.DUMMYFUNCTION("""COMPUTED_VALUE"""),14178)</f>
        <v>14178</v>
      </c>
      <c r="E210" s="12">
        <f ca="1">IFERROR(__xludf.DUMMYFUNCTION("""COMPUTED_VALUE"""),21934)</f>
        <v>21934</v>
      </c>
      <c r="F210" s="12">
        <f ca="1">IFERROR(__xludf.DUMMYFUNCTION("""COMPUTED_VALUE"""),23578)</f>
        <v>23578</v>
      </c>
      <c r="G210" s="12">
        <f ca="1">IFERROR(__xludf.DUMMYFUNCTION("""COMPUTED_VALUE"""),11164)</f>
        <v>11164</v>
      </c>
      <c r="H210" s="12">
        <f ca="1">IFERROR(__xludf.DUMMYFUNCTION("""COMPUTED_VALUE"""),9317)</f>
        <v>9317</v>
      </c>
      <c r="I210" s="12">
        <f ca="1">IFERROR(__xludf.DUMMYFUNCTION("""COMPUTED_VALUE"""),6172)</f>
        <v>6172</v>
      </c>
      <c r="J210" s="12">
        <f ca="1">IFERROR(__xludf.DUMMYFUNCTION("""COMPUTED_VALUE"""),12803)</f>
        <v>12803</v>
      </c>
      <c r="K210" s="12">
        <f ca="1">IFERROR(__xludf.DUMMYFUNCTION("""COMPUTED_VALUE"""),24437)</f>
        <v>24437</v>
      </c>
      <c r="L210" s="12">
        <f ca="1">IFERROR(__xludf.DUMMYFUNCTION("""COMPUTED_VALUE"""),25858)</f>
        <v>25858</v>
      </c>
      <c r="M210" s="12">
        <f ca="1">IFERROR(__xludf.DUMMYFUNCTION("""COMPUTED_VALUE"""),17968)</f>
        <v>17968</v>
      </c>
      <c r="N210" s="12">
        <f ca="1">IFERROR(__xludf.DUMMYFUNCTION("""COMPUTED_VALUE"""),11792)</f>
        <v>11792</v>
      </c>
      <c r="O210" s="12">
        <f ca="1">IFERROR(__xludf.DUMMYFUNCTION("""COMPUTED_VALUE"""),3199)</f>
        <v>3199</v>
      </c>
      <c r="P210" s="12">
        <f ca="1">IFERROR(__xludf.DUMMYFUNCTION("""COMPUTED_VALUE"""),10247)</f>
        <v>10247</v>
      </c>
      <c r="Q210" s="12">
        <f ca="1">IFERROR(__xludf.DUMMYFUNCTION("""COMPUTED_VALUE"""),7413)</f>
        <v>7413</v>
      </c>
      <c r="R210" s="12">
        <f ca="1">IFERROR(__xludf.DUMMYFUNCTION("""COMPUTED_VALUE"""),11341)</f>
        <v>11341</v>
      </c>
      <c r="S210" s="12">
        <f ca="1">IFERROR(__xludf.DUMMYFUNCTION("""COMPUTED_VALUE"""),1078)</f>
        <v>1078</v>
      </c>
      <c r="T210" s="12">
        <f ca="1">IFERROR(__xludf.DUMMYFUNCTION("""COMPUTED_VALUE"""),29979)</f>
        <v>29979</v>
      </c>
      <c r="U210" s="12">
        <f ca="1">IFERROR(__xludf.DUMMYFUNCTION("""COMPUTED_VALUE"""),20668)</f>
        <v>20668</v>
      </c>
      <c r="V210" s="12">
        <f ca="1">IFERROR(__xludf.DUMMYFUNCTION("""COMPUTED_VALUE"""),11514)</f>
        <v>11514</v>
      </c>
      <c r="W210" s="12">
        <f ca="1">IFERROR(__xludf.DUMMYFUNCTION("""COMPUTED_VALUE"""),29355)</f>
        <v>29355</v>
      </c>
      <c r="X210" s="12">
        <f ca="1">IFERROR(__xludf.DUMMYFUNCTION("""COMPUTED_VALUE"""),55444)</f>
        <v>55444</v>
      </c>
      <c r="Y210" s="12">
        <f ca="1">IFERROR(__xludf.DUMMYFUNCTION("""COMPUTED_VALUE"""),6377)</f>
        <v>6377</v>
      </c>
      <c r="Z210" s="12">
        <f ca="1">IFERROR(__xludf.DUMMYFUNCTION("""COMPUTED_VALUE"""),22170)</f>
        <v>22170</v>
      </c>
      <c r="AA210" s="12">
        <f ca="1">IFERROR(__xludf.DUMMYFUNCTION("""COMPUTED_VALUE"""),11685)</f>
        <v>11685</v>
      </c>
      <c r="AB210" s="12">
        <f ca="1">IFERROR(__xludf.DUMMYFUNCTION("""COMPUTED_VALUE"""),15941)</f>
        <v>15941</v>
      </c>
      <c r="AC210" s="12">
        <f ca="1">IFERROR(__xludf.DUMMYFUNCTION("""COMPUTED_VALUE"""),21825)</f>
        <v>21825</v>
      </c>
      <c r="AD210" s="12">
        <f ca="1">IFERROR(__xludf.DUMMYFUNCTION("""COMPUTED_VALUE"""),19412)</f>
        <v>19412</v>
      </c>
      <c r="AE210" s="12">
        <f ca="1">IFERROR(__xludf.DUMMYFUNCTION("""COMPUTED_VALUE"""),41580)</f>
        <v>41580</v>
      </c>
      <c r="AF210" s="8">
        <f ca="1">IFERROR(__xludf.DUMMYFUNCTION("""COMPUTED_VALUE"""),52252)</f>
        <v>52252</v>
      </c>
      <c r="AG210" s="8">
        <f ca="1">IFERROR(__xludf.DUMMYFUNCTION("""COMPUTED_VALUE"""),5617)</f>
        <v>5617</v>
      </c>
      <c r="AH210" s="8">
        <f ca="1">IFERROR(__xludf.DUMMYFUNCTION("""COMPUTED_VALUE"""),26559)</f>
        <v>26559</v>
      </c>
      <c r="AI210" s="8">
        <f ca="1">IFERROR(__xludf.DUMMYFUNCTION("""COMPUTED_VALUE"""),6201)</f>
        <v>6201</v>
      </c>
      <c r="AJ210" s="8">
        <f ca="1">IFERROR(__xludf.DUMMYFUNCTION("""COMPUTED_VALUE"""),13576)</f>
        <v>13576</v>
      </c>
      <c r="AK210" s="8">
        <f ca="1">IFERROR(__xludf.DUMMYFUNCTION("""COMPUTED_VALUE"""),13952)</f>
        <v>13952</v>
      </c>
      <c r="AL210" s="8">
        <f ca="1">IFERROR(__xludf.DUMMYFUNCTION("""COMPUTED_VALUE"""),9450)</f>
        <v>9450</v>
      </c>
      <c r="AM210" s="8">
        <f ca="1">IFERROR(__xludf.DUMMYFUNCTION("""COMPUTED_VALUE"""),20556)</f>
        <v>20556</v>
      </c>
      <c r="AN210" s="8">
        <f ca="1">IFERROR(__xludf.DUMMYFUNCTION("""COMPUTED_VALUE"""),12428)</f>
        <v>12428</v>
      </c>
      <c r="AO210" s="8">
        <f ca="1">IFERROR(__xludf.DUMMYFUNCTION("""COMPUTED_VALUE"""),8187)</f>
        <v>8187</v>
      </c>
      <c r="AP210" s="8"/>
      <c r="AQ210" s="8"/>
      <c r="AR210" s="8"/>
      <c r="AS210" s="8"/>
      <c r="AT210" s="8"/>
      <c r="AU210" s="8"/>
      <c r="AV210" s="8"/>
      <c r="AW210" s="8"/>
      <c r="AX210" s="8"/>
      <c r="AY210" s="8"/>
    </row>
    <row r="211" spans="1:51" ht="13.2" x14ac:dyDescent="0.25">
      <c r="A211" s="12" t="str">
        <f ca="1">IFERROR(__xludf.DUMMYFUNCTION("""COMPUTED_VALUE"""),"                     right Orbital area, medial part")</f>
        <v xml:space="preserve">                     right Orbital area, medial part</v>
      </c>
      <c r="B211" s="12">
        <f ca="1">IFERROR(__xludf.DUMMYFUNCTION("""COMPUTED_VALUE"""),5114)</f>
        <v>5114</v>
      </c>
      <c r="C211" s="12">
        <f ca="1">IFERROR(__xludf.DUMMYFUNCTION("""COMPUTED_VALUE"""),5666)</f>
        <v>5666</v>
      </c>
      <c r="D211" s="12">
        <f ca="1">IFERROR(__xludf.DUMMYFUNCTION("""COMPUTED_VALUE"""),2802)</f>
        <v>2802</v>
      </c>
      <c r="E211" s="12">
        <f ca="1">IFERROR(__xludf.DUMMYFUNCTION("""COMPUTED_VALUE"""),4443)</f>
        <v>4443</v>
      </c>
      <c r="F211" s="12">
        <f ca="1">IFERROR(__xludf.DUMMYFUNCTION("""COMPUTED_VALUE"""),7880)</f>
        <v>7880</v>
      </c>
      <c r="G211" s="12">
        <f ca="1">IFERROR(__xludf.DUMMYFUNCTION("""COMPUTED_VALUE"""),4014)</f>
        <v>4014</v>
      </c>
      <c r="H211" s="12">
        <f ca="1">IFERROR(__xludf.DUMMYFUNCTION("""COMPUTED_VALUE"""),5858)</f>
        <v>5858</v>
      </c>
      <c r="I211" s="12">
        <f ca="1">IFERROR(__xludf.DUMMYFUNCTION("""COMPUTED_VALUE"""),2650)</f>
        <v>2650</v>
      </c>
      <c r="J211" s="12">
        <f ca="1">IFERROR(__xludf.DUMMYFUNCTION("""COMPUTED_VALUE"""),4614)</f>
        <v>4614</v>
      </c>
      <c r="K211" s="12">
        <f ca="1">IFERROR(__xludf.DUMMYFUNCTION("""COMPUTED_VALUE"""),7729)</f>
        <v>7729</v>
      </c>
      <c r="L211" s="12">
        <f ca="1">IFERROR(__xludf.DUMMYFUNCTION("""COMPUTED_VALUE"""),9292)</f>
        <v>9292</v>
      </c>
      <c r="M211" s="12">
        <f ca="1">IFERROR(__xludf.DUMMYFUNCTION("""COMPUTED_VALUE"""),5655)</f>
        <v>5655</v>
      </c>
      <c r="N211" s="12">
        <f ca="1">IFERROR(__xludf.DUMMYFUNCTION("""COMPUTED_VALUE"""),5131)</f>
        <v>5131</v>
      </c>
      <c r="O211" s="12">
        <f ca="1">IFERROR(__xludf.DUMMYFUNCTION("""COMPUTED_VALUE"""),5255)</f>
        <v>5255</v>
      </c>
      <c r="P211" s="12">
        <f ca="1">IFERROR(__xludf.DUMMYFUNCTION("""COMPUTED_VALUE"""),6301)</f>
        <v>6301</v>
      </c>
      <c r="Q211" s="12">
        <f ca="1">IFERROR(__xludf.DUMMYFUNCTION("""COMPUTED_VALUE"""),6573)</f>
        <v>6573</v>
      </c>
      <c r="R211" s="12">
        <f ca="1">IFERROR(__xludf.DUMMYFUNCTION("""COMPUTED_VALUE"""),5803)</f>
        <v>5803</v>
      </c>
      <c r="S211" s="12">
        <f ca="1">IFERROR(__xludf.DUMMYFUNCTION("""COMPUTED_VALUE"""),929)</f>
        <v>929</v>
      </c>
      <c r="T211" s="12">
        <f ca="1">IFERROR(__xludf.DUMMYFUNCTION("""COMPUTED_VALUE"""),4986)</f>
        <v>4986</v>
      </c>
      <c r="U211" s="12">
        <f ca="1">IFERROR(__xludf.DUMMYFUNCTION("""COMPUTED_VALUE"""),7232)</f>
        <v>7232</v>
      </c>
      <c r="V211" s="12">
        <f ca="1">IFERROR(__xludf.DUMMYFUNCTION("""COMPUTED_VALUE"""),4575)</f>
        <v>4575</v>
      </c>
      <c r="W211" s="12">
        <f ca="1">IFERROR(__xludf.DUMMYFUNCTION("""COMPUTED_VALUE"""),9031)</f>
        <v>9031</v>
      </c>
      <c r="X211" s="12">
        <f ca="1">IFERROR(__xludf.DUMMYFUNCTION("""COMPUTED_VALUE"""),17260)</f>
        <v>17260</v>
      </c>
      <c r="Y211" s="12">
        <f ca="1">IFERROR(__xludf.DUMMYFUNCTION("""COMPUTED_VALUE"""),2950)</f>
        <v>2950</v>
      </c>
      <c r="Z211" s="12">
        <f ca="1">IFERROR(__xludf.DUMMYFUNCTION("""COMPUTED_VALUE"""),2627)</f>
        <v>2627</v>
      </c>
      <c r="AA211" s="12">
        <f ca="1">IFERROR(__xludf.DUMMYFUNCTION("""COMPUTED_VALUE"""),9297)</f>
        <v>9297</v>
      </c>
      <c r="AB211" s="12">
        <f ca="1">IFERROR(__xludf.DUMMYFUNCTION("""COMPUTED_VALUE"""),8110)</f>
        <v>8110</v>
      </c>
      <c r="AC211" s="12">
        <f ca="1">IFERROR(__xludf.DUMMYFUNCTION("""COMPUTED_VALUE"""),8845)</f>
        <v>8845</v>
      </c>
      <c r="AD211" s="12">
        <f ca="1">IFERROR(__xludf.DUMMYFUNCTION("""COMPUTED_VALUE"""),12668)</f>
        <v>12668</v>
      </c>
      <c r="AE211" s="12">
        <f ca="1">IFERROR(__xludf.DUMMYFUNCTION("""COMPUTED_VALUE"""),15796)</f>
        <v>15796</v>
      </c>
      <c r="AF211" s="8">
        <f ca="1">IFERROR(__xludf.DUMMYFUNCTION("""COMPUTED_VALUE"""),15455)</f>
        <v>15455</v>
      </c>
      <c r="AG211" s="8">
        <f ca="1">IFERROR(__xludf.DUMMYFUNCTION("""COMPUTED_VALUE"""),2871)</f>
        <v>2871</v>
      </c>
      <c r="AH211" s="8">
        <f ca="1">IFERROR(__xludf.DUMMYFUNCTION("""COMPUTED_VALUE"""),12148)</f>
        <v>12148</v>
      </c>
      <c r="AI211" s="8">
        <f ca="1">IFERROR(__xludf.DUMMYFUNCTION("""COMPUTED_VALUE"""),3540)</f>
        <v>3540</v>
      </c>
      <c r="AJ211" s="8">
        <f ca="1">IFERROR(__xludf.DUMMYFUNCTION("""COMPUTED_VALUE"""),3751)</f>
        <v>3751</v>
      </c>
      <c r="AK211" s="8">
        <f ca="1">IFERROR(__xludf.DUMMYFUNCTION("""COMPUTED_VALUE"""),3708)</f>
        <v>3708</v>
      </c>
      <c r="AL211" s="8">
        <f ca="1">IFERROR(__xludf.DUMMYFUNCTION("""COMPUTED_VALUE"""),6288)</f>
        <v>6288</v>
      </c>
      <c r="AM211" s="8">
        <f ca="1">IFERROR(__xludf.DUMMYFUNCTION("""COMPUTED_VALUE"""),5139)</f>
        <v>5139</v>
      </c>
      <c r="AN211" s="8">
        <f ca="1">IFERROR(__xludf.DUMMYFUNCTION("""COMPUTED_VALUE"""),2414)</f>
        <v>2414</v>
      </c>
      <c r="AO211" s="8">
        <f ca="1">IFERROR(__xludf.DUMMYFUNCTION("""COMPUTED_VALUE"""),8510)</f>
        <v>8510</v>
      </c>
      <c r="AP211" s="8"/>
      <c r="AQ211" s="8"/>
      <c r="AR211" s="8"/>
      <c r="AS211" s="8"/>
      <c r="AT211" s="8"/>
      <c r="AU211" s="8"/>
      <c r="AV211" s="8"/>
      <c r="AW211" s="8"/>
      <c r="AX211" s="8"/>
      <c r="AY211" s="8"/>
    </row>
    <row r="212" spans="1:51" ht="13.2" x14ac:dyDescent="0.25">
      <c r="A212" s="12" t="str">
        <f ca="1">IFERROR(__xludf.DUMMYFUNCTION("""COMPUTED_VALUE"""),"                     right Orbital area, ventrolateral part")</f>
        <v xml:space="preserve">                     right Orbital area, ventrolateral part</v>
      </c>
      <c r="B212" s="12">
        <f ca="1">IFERROR(__xludf.DUMMYFUNCTION("""COMPUTED_VALUE"""),8850)</f>
        <v>8850</v>
      </c>
      <c r="C212" s="12">
        <f ca="1">IFERROR(__xludf.DUMMYFUNCTION("""COMPUTED_VALUE"""),12771)</f>
        <v>12771</v>
      </c>
      <c r="D212" s="12">
        <f ca="1">IFERROR(__xludf.DUMMYFUNCTION("""COMPUTED_VALUE"""),8644)</f>
        <v>8644</v>
      </c>
      <c r="E212" s="12">
        <f ca="1">IFERROR(__xludf.DUMMYFUNCTION("""COMPUTED_VALUE"""),12235)</f>
        <v>12235</v>
      </c>
      <c r="F212" s="12">
        <f ca="1">IFERROR(__xludf.DUMMYFUNCTION("""COMPUTED_VALUE"""),15237)</f>
        <v>15237</v>
      </c>
      <c r="G212" s="12">
        <f ca="1">IFERROR(__xludf.DUMMYFUNCTION("""COMPUTED_VALUE"""),8843)</f>
        <v>8843</v>
      </c>
      <c r="H212" s="12">
        <f ca="1">IFERROR(__xludf.DUMMYFUNCTION("""COMPUTED_VALUE"""),11214)</f>
        <v>11214</v>
      </c>
      <c r="I212" s="12">
        <f ca="1">IFERROR(__xludf.DUMMYFUNCTION("""COMPUTED_VALUE"""),6854)</f>
        <v>6854</v>
      </c>
      <c r="J212" s="12">
        <f ca="1">IFERROR(__xludf.DUMMYFUNCTION("""COMPUTED_VALUE"""),14937)</f>
        <v>14937</v>
      </c>
      <c r="K212" s="12">
        <f ca="1">IFERROR(__xludf.DUMMYFUNCTION("""COMPUTED_VALUE"""),19877)</f>
        <v>19877</v>
      </c>
      <c r="L212" s="12">
        <f ca="1">IFERROR(__xludf.DUMMYFUNCTION("""COMPUTED_VALUE"""),15173)</f>
        <v>15173</v>
      </c>
      <c r="M212" s="12">
        <f ca="1">IFERROR(__xludf.DUMMYFUNCTION("""COMPUTED_VALUE"""),6823)</f>
        <v>6823</v>
      </c>
      <c r="N212" s="12">
        <f ca="1">IFERROR(__xludf.DUMMYFUNCTION("""COMPUTED_VALUE"""),6913)</f>
        <v>6913</v>
      </c>
      <c r="O212" s="12">
        <f ca="1">IFERROR(__xludf.DUMMYFUNCTION("""COMPUTED_VALUE"""),4030)</f>
        <v>4030</v>
      </c>
      <c r="P212" s="12">
        <f ca="1">IFERROR(__xludf.DUMMYFUNCTION("""COMPUTED_VALUE"""),12390)</f>
        <v>12390</v>
      </c>
      <c r="Q212" s="12">
        <f ca="1">IFERROR(__xludf.DUMMYFUNCTION("""COMPUTED_VALUE"""),8551)</f>
        <v>8551</v>
      </c>
      <c r="R212" s="12">
        <f ca="1">IFERROR(__xludf.DUMMYFUNCTION("""COMPUTED_VALUE"""),13670)</f>
        <v>13670</v>
      </c>
      <c r="S212" s="12">
        <f ca="1">IFERROR(__xludf.DUMMYFUNCTION("""COMPUTED_VALUE"""),711)</f>
        <v>711</v>
      </c>
      <c r="T212" s="12">
        <f ca="1">IFERROR(__xludf.DUMMYFUNCTION("""COMPUTED_VALUE"""),10947)</f>
        <v>10947</v>
      </c>
      <c r="U212" s="12">
        <f ca="1">IFERROR(__xludf.DUMMYFUNCTION("""COMPUTED_VALUE"""),10662)</f>
        <v>10662</v>
      </c>
      <c r="V212" s="12">
        <f ca="1">IFERROR(__xludf.DUMMYFUNCTION("""COMPUTED_VALUE"""),7284)</f>
        <v>7284</v>
      </c>
      <c r="W212" s="12">
        <f ca="1">IFERROR(__xludf.DUMMYFUNCTION("""COMPUTED_VALUE"""),14072)</f>
        <v>14072</v>
      </c>
      <c r="X212" s="12">
        <f ca="1">IFERROR(__xludf.DUMMYFUNCTION("""COMPUTED_VALUE"""),27653)</f>
        <v>27653</v>
      </c>
      <c r="Y212" s="12">
        <f ca="1">IFERROR(__xludf.DUMMYFUNCTION("""COMPUTED_VALUE"""),3519)</f>
        <v>3519</v>
      </c>
      <c r="Z212" s="12">
        <f ca="1">IFERROR(__xludf.DUMMYFUNCTION("""COMPUTED_VALUE"""),3737)</f>
        <v>3737</v>
      </c>
      <c r="AA212" s="12">
        <f ca="1">IFERROR(__xludf.DUMMYFUNCTION("""COMPUTED_VALUE"""),12235)</f>
        <v>12235</v>
      </c>
      <c r="AB212" s="12">
        <f ca="1">IFERROR(__xludf.DUMMYFUNCTION("""COMPUTED_VALUE"""),12072)</f>
        <v>12072</v>
      </c>
      <c r="AC212" s="12">
        <f ca="1">IFERROR(__xludf.DUMMYFUNCTION("""COMPUTED_VALUE"""),19815)</f>
        <v>19815</v>
      </c>
      <c r="AD212" s="12">
        <f ca="1">IFERROR(__xludf.DUMMYFUNCTION("""COMPUTED_VALUE"""),13934)</f>
        <v>13934</v>
      </c>
      <c r="AE212" s="12">
        <f ca="1">IFERROR(__xludf.DUMMYFUNCTION("""COMPUTED_VALUE"""),19651)</f>
        <v>19651</v>
      </c>
      <c r="AF212" s="8">
        <f ca="1">IFERROR(__xludf.DUMMYFUNCTION("""COMPUTED_VALUE"""),19590)</f>
        <v>19590</v>
      </c>
      <c r="AG212" s="8">
        <f ca="1">IFERROR(__xludf.DUMMYFUNCTION("""COMPUTED_VALUE"""),3476)</f>
        <v>3476</v>
      </c>
      <c r="AH212" s="8">
        <f ca="1">IFERROR(__xludf.DUMMYFUNCTION("""COMPUTED_VALUE"""),17787)</f>
        <v>17787</v>
      </c>
      <c r="AI212" s="8">
        <f ca="1">IFERROR(__xludf.DUMMYFUNCTION("""COMPUTED_VALUE"""),2757)</f>
        <v>2757</v>
      </c>
      <c r="AJ212" s="8">
        <f ca="1">IFERROR(__xludf.DUMMYFUNCTION("""COMPUTED_VALUE"""),6352)</f>
        <v>6352</v>
      </c>
      <c r="AK212" s="8">
        <f ca="1">IFERROR(__xludf.DUMMYFUNCTION("""COMPUTED_VALUE"""),11543)</f>
        <v>11543</v>
      </c>
      <c r="AL212" s="8">
        <f ca="1">IFERROR(__xludf.DUMMYFUNCTION("""COMPUTED_VALUE"""),7139)</f>
        <v>7139</v>
      </c>
      <c r="AM212" s="8">
        <f ca="1">IFERROR(__xludf.DUMMYFUNCTION("""COMPUTED_VALUE"""),13428)</f>
        <v>13428</v>
      </c>
      <c r="AN212" s="8">
        <f ca="1">IFERROR(__xludf.DUMMYFUNCTION("""COMPUTED_VALUE"""),5665)</f>
        <v>5665</v>
      </c>
      <c r="AO212" s="8">
        <f ca="1">IFERROR(__xludf.DUMMYFUNCTION("""COMPUTED_VALUE"""),7670)</f>
        <v>7670</v>
      </c>
      <c r="AP212" s="8"/>
      <c r="AQ212" s="8"/>
      <c r="AR212" s="8"/>
      <c r="AS212" s="8"/>
      <c r="AT212" s="8"/>
      <c r="AU212" s="8"/>
      <c r="AV212" s="8"/>
      <c r="AW212" s="8"/>
      <c r="AX212" s="8"/>
      <c r="AY212" s="8"/>
    </row>
    <row r="213" spans="1:51" ht="13.2" x14ac:dyDescent="0.25">
      <c r="A213" s="12" t="str">
        <f ca="1">IFERROR(__xludf.DUMMYFUNCTION("""COMPUTED_VALUE"""),"                  right Agranular insular area")</f>
        <v xml:space="preserve">                  right Agranular insular area</v>
      </c>
      <c r="B213" s="12">
        <f ca="1">IFERROR(__xludf.DUMMYFUNCTION("""COMPUTED_VALUE"""),11139)</f>
        <v>11139</v>
      </c>
      <c r="C213" s="12">
        <f ca="1">IFERROR(__xludf.DUMMYFUNCTION("""COMPUTED_VALUE"""),18606)</f>
        <v>18606</v>
      </c>
      <c r="D213" s="12">
        <f ca="1">IFERROR(__xludf.DUMMYFUNCTION("""COMPUTED_VALUE"""),28407)</f>
        <v>28407</v>
      </c>
      <c r="E213" s="12">
        <f ca="1">IFERROR(__xludf.DUMMYFUNCTION("""COMPUTED_VALUE"""),19029)</f>
        <v>19029</v>
      </c>
      <c r="F213" s="12">
        <f ca="1">IFERROR(__xludf.DUMMYFUNCTION("""COMPUTED_VALUE"""),29856)</f>
        <v>29856</v>
      </c>
      <c r="G213" s="12">
        <f ca="1">IFERROR(__xludf.DUMMYFUNCTION("""COMPUTED_VALUE"""),15430)</f>
        <v>15430</v>
      </c>
      <c r="H213" s="12">
        <f ca="1">IFERROR(__xludf.DUMMYFUNCTION("""COMPUTED_VALUE"""),8244)</f>
        <v>8244</v>
      </c>
      <c r="I213" s="12">
        <f ca="1">IFERROR(__xludf.DUMMYFUNCTION("""COMPUTED_VALUE"""),7322)</f>
        <v>7322</v>
      </c>
      <c r="J213" s="12">
        <f ca="1">IFERROR(__xludf.DUMMYFUNCTION("""COMPUTED_VALUE"""),12478)</f>
        <v>12478</v>
      </c>
      <c r="K213" s="12">
        <f ca="1">IFERROR(__xludf.DUMMYFUNCTION("""COMPUTED_VALUE"""),23541)</f>
        <v>23541</v>
      </c>
      <c r="L213" s="12">
        <f ca="1">IFERROR(__xludf.DUMMYFUNCTION("""COMPUTED_VALUE"""),31872)</f>
        <v>31872</v>
      </c>
      <c r="M213" s="12">
        <f ca="1">IFERROR(__xludf.DUMMYFUNCTION("""COMPUTED_VALUE"""),38799)</f>
        <v>38799</v>
      </c>
      <c r="N213" s="12">
        <f ca="1">IFERROR(__xludf.DUMMYFUNCTION("""COMPUTED_VALUE"""),28595)</f>
        <v>28595</v>
      </c>
      <c r="O213" s="12">
        <f ca="1">IFERROR(__xludf.DUMMYFUNCTION("""COMPUTED_VALUE"""),20492)</f>
        <v>20492</v>
      </c>
      <c r="P213" s="12">
        <f ca="1">IFERROR(__xludf.DUMMYFUNCTION("""COMPUTED_VALUE"""),12450)</f>
        <v>12450</v>
      </c>
      <c r="Q213" s="12">
        <f ca="1">IFERROR(__xludf.DUMMYFUNCTION("""COMPUTED_VALUE"""),3581)</f>
        <v>3581</v>
      </c>
      <c r="R213" s="12">
        <f ca="1">IFERROR(__xludf.DUMMYFUNCTION("""COMPUTED_VALUE"""),13721)</f>
        <v>13721</v>
      </c>
      <c r="S213" s="12">
        <f ca="1">IFERROR(__xludf.DUMMYFUNCTION("""COMPUTED_VALUE"""),5562)</f>
        <v>5562</v>
      </c>
      <c r="T213" s="12">
        <f ca="1">IFERROR(__xludf.DUMMYFUNCTION("""COMPUTED_VALUE"""),28123)</f>
        <v>28123</v>
      </c>
      <c r="U213" s="12">
        <f ca="1">IFERROR(__xludf.DUMMYFUNCTION("""COMPUTED_VALUE"""),32398)</f>
        <v>32398</v>
      </c>
      <c r="V213" s="12">
        <f ca="1">IFERROR(__xludf.DUMMYFUNCTION("""COMPUTED_VALUE"""),18502)</f>
        <v>18502</v>
      </c>
      <c r="W213" s="12">
        <f ca="1">IFERROR(__xludf.DUMMYFUNCTION("""COMPUTED_VALUE"""),84332)</f>
        <v>84332</v>
      </c>
      <c r="X213" s="12">
        <f ca="1">IFERROR(__xludf.DUMMYFUNCTION("""COMPUTED_VALUE"""),104814)</f>
        <v>104814</v>
      </c>
      <c r="Y213" s="12">
        <f ca="1">IFERROR(__xludf.DUMMYFUNCTION("""COMPUTED_VALUE"""),29339)</f>
        <v>29339</v>
      </c>
      <c r="Z213" s="12">
        <f ca="1">IFERROR(__xludf.DUMMYFUNCTION("""COMPUTED_VALUE"""),46219)</f>
        <v>46219</v>
      </c>
      <c r="AA213" s="12">
        <f ca="1">IFERROR(__xludf.DUMMYFUNCTION("""COMPUTED_VALUE"""),37770)</f>
        <v>37770</v>
      </c>
      <c r="AB213" s="12">
        <f ca="1">IFERROR(__xludf.DUMMYFUNCTION("""COMPUTED_VALUE"""),32421)</f>
        <v>32421</v>
      </c>
      <c r="AC213" s="12">
        <f ca="1">IFERROR(__xludf.DUMMYFUNCTION("""COMPUTED_VALUE"""),16560)</f>
        <v>16560</v>
      </c>
      <c r="AD213" s="12">
        <f ca="1">IFERROR(__xludf.DUMMYFUNCTION("""COMPUTED_VALUE"""),26240)</f>
        <v>26240</v>
      </c>
      <c r="AE213" s="12">
        <f ca="1">IFERROR(__xludf.DUMMYFUNCTION("""COMPUTED_VALUE"""),36597)</f>
        <v>36597</v>
      </c>
      <c r="AF213" s="8">
        <f ca="1">IFERROR(__xludf.DUMMYFUNCTION("""COMPUTED_VALUE"""),74006)</f>
        <v>74006</v>
      </c>
      <c r="AG213" s="8">
        <f ca="1">IFERROR(__xludf.DUMMYFUNCTION("""COMPUTED_VALUE"""),27814)</f>
        <v>27814</v>
      </c>
      <c r="AH213" s="8">
        <f ca="1">IFERROR(__xludf.DUMMYFUNCTION("""COMPUTED_VALUE"""),43263)</f>
        <v>43263</v>
      </c>
      <c r="AI213" s="8">
        <f ca="1">IFERROR(__xludf.DUMMYFUNCTION("""COMPUTED_VALUE"""),16795)</f>
        <v>16795</v>
      </c>
      <c r="AJ213" s="8">
        <f ca="1">IFERROR(__xludf.DUMMYFUNCTION("""COMPUTED_VALUE"""),27796)</f>
        <v>27796</v>
      </c>
      <c r="AK213" s="8">
        <f ca="1">IFERROR(__xludf.DUMMYFUNCTION("""COMPUTED_VALUE"""),25247)</f>
        <v>25247</v>
      </c>
      <c r="AL213" s="8">
        <f ca="1">IFERROR(__xludf.DUMMYFUNCTION("""COMPUTED_VALUE"""),23613)</f>
        <v>23613</v>
      </c>
      <c r="AM213" s="8">
        <f ca="1">IFERROR(__xludf.DUMMYFUNCTION("""COMPUTED_VALUE"""),46132)</f>
        <v>46132</v>
      </c>
      <c r="AN213" s="8">
        <f ca="1">IFERROR(__xludf.DUMMYFUNCTION("""COMPUTED_VALUE"""),24383)</f>
        <v>24383</v>
      </c>
      <c r="AO213" s="8">
        <f ca="1">IFERROR(__xludf.DUMMYFUNCTION("""COMPUTED_VALUE"""),20045)</f>
        <v>20045</v>
      </c>
      <c r="AP213" s="8"/>
      <c r="AQ213" s="8"/>
      <c r="AR213" s="8"/>
      <c r="AS213" s="8"/>
      <c r="AT213" s="8"/>
      <c r="AU213" s="8"/>
      <c r="AV213" s="8"/>
      <c r="AW213" s="8"/>
      <c r="AX213" s="8"/>
      <c r="AY213" s="8"/>
    </row>
    <row r="214" spans="1:51" ht="13.2" x14ac:dyDescent="0.25">
      <c r="A214" s="12" t="str">
        <f ca="1">IFERROR(__xludf.DUMMYFUNCTION("""COMPUTED_VALUE"""),"                     right Agranular insular area, dorsal part")</f>
        <v xml:space="preserve">                     right Agranular insular area, dorsal part</v>
      </c>
      <c r="B214" s="12">
        <f ca="1">IFERROR(__xludf.DUMMYFUNCTION("""COMPUTED_VALUE"""),3428)</f>
        <v>3428</v>
      </c>
      <c r="C214" s="12">
        <f ca="1">IFERROR(__xludf.DUMMYFUNCTION("""COMPUTED_VALUE"""),7307)</f>
        <v>7307</v>
      </c>
      <c r="D214" s="12">
        <f ca="1">IFERROR(__xludf.DUMMYFUNCTION("""COMPUTED_VALUE"""),14504)</f>
        <v>14504</v>
      </c>
      <c r="E214" s="12">
        <f ca="1">IFERROR(__xludf.DUMMYFUNCTION("""COMPUTED_VALUE"""),8614)</f>
        <v>8614</v>
      </c>
      <c r="F214" s="12">
        <f ca="1">IFERROR(__xludf.DUMMYFUNCTION("""COMPUTED_VALUE"""),15938)</f>
        <v>15938</v>
      </c>
      <c r="G214" s="12">
        <f ca="1">IFERROR(__xludf.DUMMYFUNCTION("""COMPUTED_VALUE"""),7889)</f>
        <v>7889</v>
      </c>
      <c r="H214" s="12">
        <f ca="1">IFERROR(__xludf.DUMMYFUNCTION("""COMPUTED_VALUE"""),3640)</f>
        <v>3640</v>
      </c>
      <c r="I214" s="12">
        <f ca="1">IFERROR(__xludf.DUMMYFUNCTION("""COMPUTED_VALUE"""),2535)</f>
        <v>2535</v>
      </c>
      <c r="J214" s="12">
        <f ca="1">IFERROR(__xludf.DUMMYFUNCTION("""COMPUTED_VALUE"""),4210)</f>
        <v>4210</v>
      </c>
      <c r="K214" s="12">
        <f ca="1">IFERROR(__xludf.DUMMYFUNCTION("""COMPUTED_VALUE"""),9961)</f>
        <v>9961</v>
      </c>
      <c r="L214" s="12">
        <f ca="1">IFERROR(__xludf.DUMMYFUNCTION("""COMPUTED_VALUE"""),16707)</f>
        <v>16707</v>
      </c>
      <c r="M214" s="12">
        <f ca="1">IFERROR(__xludf.DUMMYFUNCTION("""COMPUTED_VALUE"""),18224)</f>
        <v>18224</v>
      </c>
      <c r="N214" s="12">
        <f ca="1">IFERROR(__xludf.DUMMYFUNCTION("""COMPUTED_VALUE"""),15109)</f>
        <v>15109</v>
      </c>
      <c r="O214" s="12">
        <f ca="1">IFERROR(__xludf.DUMMYFUNCTION("""COMPUTED_VALUE"""),6049)</f>
        <v>6049</v>
      </c>
      <c r="P214" s="12">
        <f ca="1">IFERROR(__xludf.DUMMYFUNCTION("""COMPUTED_VALUE"""),4082)</f>
        <v>4082</v>
      </c>
      <c r="Q214" s="12">
        <f ca="1">IFERROR(__xludf.DUMMYFUNCTION("""COMPUTED_VALUE"""),855)</f>
        <v>855</v>
      </c>
      <c r="R214" s="12">
        <f ca="1">IFERROR(__xludf.DUMMYFUNCTION("""COMPUTED_VALUE"""),5455)</f>
        <v>5455</v>
      </c>
      <c r="S214" s="12">
        <f ca="1">IFERROR(__xludf.DUMMYFUNCTION("""COMPUTED_VALUE"""),1945)</f>
        <v>1945</v>
      </c>
      <c r="T214" s="12">
        <f ca="1">IFERROR(__xludf.DUMMYFUNCTION("""COMPUTED_VALUE"""),15568)</f>
        <v>15568</v>
      </c>
      <c r="U214" s="12">
        <f ca="1">IFERROR(__xludf.DUMMYFUNCTION("""COMPUTED_VALUE"""),17035)</f>
        <v>17035</v>
      </c>
      <c r="V214" s="12">
        <f ca="1">IFERROR(__xludf.DUMMYFUNCTION("""COMPUTED_VALUE"""),6730)</f>
        <v>6730</v>
      </c>
      <c r="W214" s="12">
        <f ca="1">IFERROR(__xludf.DUMMYFUNCTION("""COMPUTED_VALUE"""),46064)</f>
        <v>46064</v>
      </c>
      <c r="X214" s="12">
        <f ca="1">IFERROR(__xludf.DUMMYFUNCTION("""COMPUTED_VALUE"""),62155)</f>
        <v>62155</v>
      </c>
      <c r="Y214" s="12">
        <f ca="1">IFERROR(__xludf.DUMMYFUNCTION("""COMPUTED_VALUE"""),16386)</f>
        <v>16386</v>
      </c>
      <c r="Z214" s="12">
        <f ca="1">IFERROR(__xludf.DUMMYFUNCTION("""COMPUTED_VALUE"""),22413)</f>
        <v>22413</v>
      </c>
      <c r="AA214" s="12">
        <f ca="1">IFERROR(__xludf.DUMMYFUNCTION("""COMPUTED_VALUE"""),15921)</f>
        <v>15921</v>
      </c>
      <c r="AB214" s="12">
        <f ca="1">IFERROR(__xludf.DUMMYFUNCTION("""COMPUTED_VALUE"""),15004)</f>
        <v>15004</v>
      </c>
      <c r="AC214" s="12">
        <f ca="1">IFERROR(__xludf.DUMMYFUNCTION("""COMPUTED_VALUE"""),8671)</f>
        <v>8671</v>
      </c>
      <c r="AD214" s="12">
        <f ca="1">IFERROR(__xludf.DUMMYFUNCTION("""COMPUTED_VALUE"""),13552)</f>
        <v>13552</v>
      </c>
      <c r="AE214" s="12">
        <f ca="1">IFERROR(__xludf.DUMMYFUNCTION("""COMPUTED_VALUE"""),16724)</f>
        <v>16724</v>
      </c>
      <c r="AF214" s="8">
        <f ca="1">IFERROR(__xludf.DUMMYFUNCTION("""COMPUTED_VALUE"""),39496)</f>
        <v>39496</v>
      </c>
      <c r="AG214" s="8">
        <f ca="1">IFERROR(__xludf.DUMMYFUNCTION("""COMPUTED_VALUE"""),12106)</f>
        <v>12106</v>
      </c>
      <c r="AH214" s="8">
        <f ca="1">IFERROR(__xludf.DUMMYFUNCTION("""COMPUTED_VALUE"""),25547)</f>
        <v>25547</v>
      </c>
      <c r="AI214" s="8">
        <f ca="1">IFERROR(__xludf.DUMMYFUNCTION("""COMPUTED_VALUE"""),8379)</f>
        <v>8379</v>
      </c>
      <c r="AJ214" s="8">
        <f ca="1">IFERROR(__xludf.DUMMYFUNCTION("""COMPUTED_VALUE"""),11528)</f>
        <v>11528</v>
      </c>
      <c r="AK214" s="8">
        <f ca="1">IFERROR(__xludf.DUMMYFUNCTION("""COMPUTED_VALUE"""),14947)</f>
        <v>14947</v>
      </c>
      <c r="AL214" s="8">
        <f ca="1">IFERROR(__xludf.DUMMYFUNCTION("""COMPUTED_VALUE"""),11182)</f>
        <v>11182</v>
      </c>
      <c r="AM214" s="8">
        <f ca="1">IFERROR(__xludf.DUMMYFUNCTION("""COMPUTED_VALUE"""),26143)</f>
        <v>26143</v>
      </c>
      <c r="AN214" s="8">
        <f ca="1">IFERROR(__xludf.DUMMYFUNCTION("""COMPUTED_VALUE"""),11999)</f>
        <v>11999</v>
      </c>
      <c r="AO214" s="8">
        <f ca="1">IFERROR(__xludf.DUMMYFUNCTION("""COMPUTED_VALUE"""),9323)</f>
        <v>9323</v>
      </c>
      <c r="AP214" s="8"/>
      <c r="AQ214" s="8"/>
      <c r="AR214" s="8"/>
      <c r="AS214" s="8"/>
      <c r="AT214" s="8"/>
      <c r="AU214" s="8"/>
      <c r="AV214" s="8"/>
      <c r="AW214" s="8"/>
      <c r="AX214" s="8"/>
      <c r="AY214" s="8"/>
    </row>
    <row r="215" spans="1:51" ht="13.2" x14ac:dyDescent="0.25">
      <c r="A215" s="12" t="str">
        <f ca="1">IFERROR(__xludf.DUMMYFUNCTION("""COMPUTED_VALUE"""),"                     right Agranular insular area, posterior part")</f>
        <v xml:space="preserve">                     right Agranular insular area, posterior part</v>
      </c>
      <c r="B215" s="12">
        <f ca="1">IFERROR(__xludf.DUMMYFUNCTION("""COMPUTED_VALUE"""),3309)</f>
        <v>3309</v>
      </c>
      <c r="C215" s="12">
        <f ca="1">IFERROR(__xludf.DUMMYFUNCTION("""COMPUTED_VALUE"""),4114)</f>
        <v>4114</v>
      </c>
      <c r="D215" s="12">
        <f ca="1">IFERROR(__xludf.DUMMYFUNCTION("""COMPUTED_VALUE"""),6272)</f>
        <v>6272</v>
      </c>
      <c r="E215" s="12">
        <f ca="1">IFERROR(__xludf.DUMMYFUNCTION("""COMPUTED_VALUE"""),3708)</f>
        <v>3708</v>
      </c>
      <c r="F215" s="12">
        <f ca="1">IFERROR(__xludf.DUMMYFUNCTION("""COMPUTED_VALUE"""),7632)</f>
        <v>7632</v>
      </c>
      <c r="G215" s="12">
        <f ca="1">IFERROR(__xludf.DUMMYFUNCTION("""COMPUTED_VALUE"""),3945)</f>
        <v>3945</v>
      </c>
      <c r="H215" s="12">
        <f ca="1">IFERROR(__xludf.DUMMYFUNCTION("""COMPUTED_VALUE"""),1465)</f>
        <v>1465</v>
      </c>
      <c r="I215" s="12">
        <f ca="1">IFERROR(__xludf.DUMMYFUNCTION("""COMPUTED_VALUE"""),2552)</f>
        <v>2552</v>
      </c>
      <c r="J215" s="12">
        <f ca="1">IFERROR(__xludf.DUMMYFUNCTION("""COMPUTED_VALUE"""),2601)</f>
        <v>2601</v>
      </c>
      <c r="K215" s="12">
        <f ca="1">IFERROR(__xludf.DUMMYFUNCTION("""COMPUTED_VALUE"""),5264)</f>
        <v>5264</v>
      </c>
      <c r="L215" s="12">
        <f ca="1">IFERROR(__xludf.DUMMYFUNCTION("""COMPUTED_VALUE"""),7659)</f>
        <v>7659</v>
      </c>
      <c r="M215" s="12">
        <f ca="1">IFERROR(__xludf.DUMMYFUNCTION("""COMPUTED_VALUE"""),11195)</f>
        <v>11195</v>
      </c>
      <c r="N215" s="12">
        <f ca="1">IFERROR(__xludf.DUMMYFUNCTION("""COMPUTED_VALUE"""),6336)</f>
        <v>6336</v>
      </c>
      <c r="O215" s="12">
        <f ca="1">IFERROR(__xludf.DUMMYFUNCTION("""COMPUTED_VALUE"""),6772)</f>
        <v>6772</v>
      </c>
      <c r="P215" s="12">
        <f ca="1">IFERROR(__xludf.DUMMYFUNCTION("""COMPUTED_VALUE"""),3685)</f>
        <v>3685</v>
      </c>
      <c r="Q215" s="12">
        <f ca="1">IFERROR(__xludf.DUMMYFUNCTION("""COMPUTED_VALUE"""),1271)</f>
        <v>1271</v>
      </c>
      <c r="R215" s="12">
        <f ca="1">IFERROR(__xludf.DUMMYFUNCTION("""COMPUTED_VALUE"""),3509)</f>
        <v>3509</v>
      </c>
      <c r="S215" s="12">
        <f ca="1">IFERROR(__xludf.DUMMYFUNCTION("""COMPUTED_VALUE"""),760)</f>
        <v>760</v>
      </c>
      <c r="T215" s="12">
        <f ca="1">IFERROR(__xludf.DUMMYFUNCTION("""COMPUTED_VALUE"""),4127)</f>
        <v>4127</v>
      </c>
      <c r="U215" s="12">
        <f ca="1">IFERROR(__xludf.DUMMYFUNCTION("""COMPUTED_VALUE"""),9515)</f>
        <v>9515</v>
      </c>
      <c r="V215" s="12">
        <f ca="1">IFERROR(__xludf.DUMMYFUNCTION("""COMPUTED_VALUE"""),5934)</f>
        <v>5934</v>
      </c>
      <c r="W215" s="12">
        <f ca="1">IFERROR(__xludf.DUMMYFUNCTION("""COMPUTED_VALUE"""),19593)</f>
        <v>19593</v>
      </c>
      <c r="X215" s="12">
        <f ca="1">IFERROR(__xludf.DUMMYFUNCTION("""COMPUTED_VALUE"""),15650)</f>
        <v>15650</v>
      </c>
      <c r="Y215" s="12">
        <f ca="1">IFERROR(__xludf.DUMMYFUNCTION("""COMPUTED_VALUE"""),6942)</f>
        <v>6942</v>
      </c>
      <c r="Z215" s="12">
        <f ca="1">IFERROR(__xludf.DUMMYFUNCTION("""COMPUTED_VALUE"""),13762)</f>
        <v>13762</v>
      </c>
      <c r="AA215" s="12">
        <f ca="1">IFERROR(__xludf.DUMMYFUNCTION("""COMPUTED_VALUE"""),14129)</f>
        <v>14129</v>
      </c>
      <c r="AB215" s="12">
        <f ca="1">IFERROR(__xludf.DUMMYFUNCTION("""COMPUTED_VALUE"""),9939)</f>
        <v>9939</v>
      </c>
      <c r="AC215" s="12">
        <f ca="1">IFERROR(__xludf.DUMMYFUNCTION("""COMPUTED_VALUE"""),2904)</f>
        <v>2904</v>
      </c>
      <c r="AD215" s="12">
        <f ca="1">IFERROR(__xludf.DUMMYFUNCTION("""COMPUTED_VALUE"""),5414)</f>
        <v>5414</v>
      </c>
      <c r="AE215" s="12">
        <f ca="1">IFERROR(__xludf.DUMMYFUNCTION("""COMPUTED_VALUE"""),6774)</f>
        <v>6774</v>
      </c>
      <c r="AF215" s="8">
        <f ca="1">IFERROR(__xludf.DUMMYFUNCTION("""COMPUTED_VALUE"""),16664)</f>
        <v>16664</v>
      </c>
      <c r="AG215" s="8">
        <f ca="1">IFERROR(__xludf.DUMMYFUNCTION("""COMPUTED_VALUE"""),8219)</f>
        <v>8219</v>
      </c>
      <c r="AH215" s="8">
        <f ca="1">IFERROR(__xludf.DUMMYFUNCTION("""COMPUTED_VALUE"""),4516)</f>
        <v>4516</v>
      </c>
      <c r="AI215" s="8">
        <f ca="1">IFERROR(__xludf.DUMMYFUNCTION("""COMPUTED_VALUE"""),4798)</f>
        <v>4798</v>
      </c>
      <c r="AJ215" s="8">
        <f ca="1">IFERROR(__xludf.DUMMYFUNCTION("""COMPUTED_VALUE"""),9629)</f>
        <v>9629</v>
      </c>
      <c r="AK215" s="8">
        <f ca="1">IFERROR(__xludf.DUMMYFUNCTION("""COMPUTED_VALUE"""),5546)</f>
        <v>5546</v>
      </c>
      <c r="AL215" s="8">
        <f ca="1">IFERROR(__xludf.DUMMYFUNCTION("""COMPUTED_VALUE"""),7852)</f>
        <v>7852</v>
      </c>
      <c r="AM215" s="8">
        <f ca="1">IFERROR(__xludf.DUMMYFUNCTION("""COMPUTED_VALUE"""),8690)</f>
        <v>8690</v>
      </c>
      <c r="AN215" s="8">
        <f ca="1">IFERROR(__xludf.DUMMYFUNCTION("""COMPUTED_VALUE"""),6482)</f>
        <v>6482</v>
      </c>
      <c r="AO215" s="8">
        <f ca="1">IFERROR(__xludf.DUMMYFUNCTION("""COMPUTED_VALUE"""),4757)</f>
        <v>4757</v>
      </c>
      <c r="AP215" s="8"/>
      <c r="AQ215" s="8"/>
      <c r="AR215" s="8"/>
      <c r="AS215" s="8"/>
      <c r="AT215" s="8"/>
      <c r="AU215" s="8"/>
      <c r="AV215" s="8"/>
      <c r="AW215" s="8"/>
      <c r="AX215" s="8"/>
      <c r="AY215" s="8"/>
    </row>
    <row r="216" spans="1:51" ht="13.2" x14ac:dyDescent="0.25">
      <c r="A216" s="12" t="str">
        <f ca="1">IFERROR(__xludf.DUMMYFUNCTION("""COMPUTED_VALUE"""),"                     right Agranular insular area, ventral part")</f>
        <v xml:space="preserve">                     right Agranular insular area, ventral part</v>
      </c>
      <c r="B216" s="12">
        <f ca="1">IFERROR(__xludf.DUMMYFUNCTION("""COMPUTED_VALUE"""),4402)</f>
        <v>4402</v>
      </c>
      <c r="C216" s="12">
        <f ca="1">IFERROR(__xludf.DUMMYFUNCTION("""COMPUTED_VALUE"""),7185)</f>
        <v>7185</v>
      </c>
      <c r="D216" s="12">
        <f ca="1">IFERROR(__xludf.DUMMYFUNCTION("""COMPUTED_VALUE"""),7631)</f>
        <v>7631</v>
      </c>
      <c r="E216" s="12">
        <f ca="1">IFERROR(__xludf.DUMMYFUNCTION("""COMPUTED_VALUE"""),6707)</f>
        <v>6707</v>
      </c>
      <c r="F216" s="12">
        <f ca="1">IFERROR(__xludf.DUMMYFUNCTION("""COMPUTED_VALUE"""),6286)</f>
        <v>6286</v>
      </c>
      <c r="G216" s="12">
        <f ca="1">IFERROR(__xludf.DUMMYFUNCTION("""COMPUTED_VALUE"""),3596)</f>
        <v>3596</v>
      </c>
      <c r="H216" s="12">
        <f ca="1">IFERROR(__xludf.DUMMYFUNCTION("""COMPUTED_VALUE"""),3139)</f>
        <v>3139</v>
      </c>
      <c r="I216" s="12">
        <f ca="1">IFERROR(__xludf.DUMMYFUNCTION("""COMPUTED_VALUE"""),2235)</f>
        <v>2235</v>
      </c>
      <c r="J216" s="12">
        <f ca="1">IFERROR(__xludf.DUMMYFUNCTION("""COMPUTED_VALUE"""),5667)</f>
        <v>5667</v>
      </c>
      <c r="K216" s="12">
        <f ca="1">IFERROR(__xludf.DUMMYFUNCTION("""COMPUTED_VALUE"""),8316)</f>
        <v>8316</v>
      </c>
      <c r="L216" s="12">
        <f ca="1">IFERROR(__xludf.DUMMYFUNCTION("""COMPUTED_VALUE"""),7506)</f>
        <v>7506</v>
      </c>
      <c r="M216" s="12">
        <f ca="1">IFERROR(__xludf.DUMMYFUNCTION("""COMPUTED_VALUE"""),9380)</f>
        <v>9380</v>
      </c>
      <c r="N216" s="12">
        <f ca="1">IFERROR(__xludf.DUMMYFUNCTION("""COMPUTED_VALUE"""),7150)</f>
        <v>7150</v>
      </c>
      <c r="O216" s="12">
        <f ca="1">IFERROR(__xludf.DUMMYFUNCTION("""COMPUTED_VALUE"""),7671)</f>
        <v>7671</v>
      </c>
      <c r="P216" s="12">
        <f ca="1">IFERROR(__xludf.DUMMYFUNCTION("""COMPUTED_VALUE"""),4683)</f>
        <v>4683</v>
      </c>
      <c r="Q216" s="12">
        <f ca="1">IFERROR(__xludf.DUMMYFUNCTION("""COMPUTED_VALUE"""),1455)</f>
        <v>1455</v>
      </c>
      <c r="R216" s="12">
        <f ca="1">IFERROR(__xludf.DUMMYFUNCTION("""COMPUTED_VALUE"""),4757)</f>
        <v>4757</v>
      </c>
      <c r="S216" s="12">
        <f ca="1">IFERROR(__xludf.DUMMYFUNCTION("""COMPUTED_VALUE"""),2857)</f>
        <v>2857</v>
      </c>
      <c r="T216" s="12">
        <f ca="1">IFERROR(__xludf.DUMMYFUNCTION("""COMPUTED_VALUE"""),8428)</f>
        <v>8428</v>
      </c>
      <c r="U216" s="12">
        <f ca="1">IFERROR(__xludf.DUMMYFUNCTION("""COMPUTED_VALUE"""),5848)</f>
        <v>5848</v>
      </c>
      <c r="V216" s="12">
        <f ca="1">IFERROR(__xludf.DUMMYFUNCTION("""COMPUTED_VALUE"""),5838)</f>
        <v>5838</v>
      </c>
      <c r="W216" s="12">
        <f ca="1">IFERROR(__xludf.DUMMYFUNCTION("""COMPUTED_VALUE"""),18675)</f>
        <v>18675</v>
      </c>
      <c r="X216" s="12">
        <f ca="1">IFERROR(__xludf.DUMMYFUNCTION("""COMPUTED_VALUE"""),27009)</f>
        <v>27009</v>
      </c>
      <c r="Y216" s="12">
        <f ca="1">IFERROR(__xludf.DUMMYFUNCTION("""COMPUTED_VALUE"""),6011)</f>
        <v>6011</v>
      </c>
      <c r="Z216" s="12">
        <f ca="1">IFERROR(__xludf.DUMMYFUNCTION("""COMPUTED_VALUE"""),10044)</f>
        <v>10044</v>
      </c>
      <c r="AA216" s="12">
        <f ca="1">IFERROR(__xludf.DUMMYFUNCTION("""COMPUTED_VALUE"""),7720)</f>
        <v>7720</v>
      </c>
      <c r="AB216" s="12">
        <f ca="1">IFERROR(__xludf.DUMMYFUNCTION("""COMPUTED_VALUE"""),7478)</f>
        <v>7478</v>
      </c>
      <c r="AC216" s="12">
        <f ca="1">IFERROR(__xludf.DUMMYFUNCTION("""COMPUTED_VALUE"""),4985)</f>
        <v>4985</v>
      </c>
      <c r="AD216" s="12">
        <f ca="1">IFERROR(__xludf.DUMMYFUNCTION("""COMPUTED_VALUE"""),7274)</f>
        <v>7274</v>
      </c>
      <c r="AE216" s="12">
        <f ca="1">IFERROR(__xludf.DUMMYFUNCTION("""COMPUTED_VALUE"""),13099)</f>
        <v>13099</v>
      </c>
      <c r="AF216" s="8">
        <f ca="1">IFERROR(__xludf.DUMMYFUNCTION("""COMPUTED_VALUE"""),17846)</f>
        <v>17846</v>
      </c>
      <c r="AG216" s="8">
        <f ca="1">IFERROR(__xludf.DUMMYFUNCTION("""COMPUTED_VALUE"""),7489)</f>
        <v>7489</v>
      </c>
      <c r="AH216" s="8">
        <f ca="1">IFERROR(__xludf.DUMMYFUNCTION("""COMPUTED_VALUE"""),13200)</f>
        <v>13200</v>
      </c>
      <c r="AI216" s="8">
        <f ca="1">IFERROR(__xludf.DUMMYFUNCTION("""COMPUTED_VALUE"""),3618)</f>
        <v>3618</v>
      </c>
      <c r="AJ216" s="8">
        <f ca="1">IFERROR(__xludf.DUMMYFUNCTION("""COMPUTED_VALUE"""),6639)</f>
        <v>6639</v>
      </c>
      <c r="AK216" s="8">
        <f ca="1">IFERROR(__xludf.DUMMYFUNCTION("""COMPUTED_VALUE"""),4754)</f>
        <v>4754</v>
      </c>
      <c r="AL216" s="8">
        <f ca="1">IFERROR(__xludf.DUMMYFUNCTION("""COMPUTED_VALUE"""),4579)</f>
        <v>4579</v>
      </c>
      <c r="AM216" s="8">
        <f ca="1">IFERROR(__xludf.DUMMYFUNCTION("""COMPUTED_VALUE"""),11299)</f>
        <v>11299</v>
      </c>
      <c r="AN216" s="8">
        <f ca="1">IFERROR(__xludf.DUMMYFUNCTION("""COMPUTED_VALUE"""),5902)</f>
        <v>5902</v>
      </c>
      <c r="AO216" s="8">
        <f ca="1">IFERROR(__xludf.DUMMYFUNCTION("""COMPUTED_VALUE"""),5965)</f>
        <v>5965</v>
      </c>
      <c r="AP216" s="8"/>
      <c r="AQ216" s="8"/>
      <c r="AR216" s="8"/>
      <c r="AS216" s="8"/>
      <c r="AT216" s="8"/>
      <c r="AU216" s="8"/>
      <c r="AV216" s="8"/>
      <c r="AW216" s="8"/>
      <c r="AX216" s="8"/>
      <c r="AY216" s="8"/>
    </row>
    <row r="217" spans="1:51" ht="13.2" x14ac:dyDescent="0.25">
      <c r="A217" s="12" t="str">
        <f ca="1">IFERROR(__xludf.DUMMYFUNCTION("""COMPUTED_VALUE"""),"                  right Retrosplenial area")</f>
        <v xml:space="preserve">                  right Retrosplenial area</v>
      </c>
      <c r="B217" s="12">
        <f ca="1">IFERROR(__xludf.DUMMYFUNCTION("""COMPUTED_VALUE"""),32735)</f>
        <v>32735</v>
      </c>
      <c r="C217" s="12">
        <f ca="1">IFERROR(__xludf.DUMMYFUNCTION("""COMPUTED_VALUE"""),37195)</f>
        <v>37195</v>
      </c>
      <c r="D217" s="12">
        <f ca="1">IFERROR(__xludf.DUMMYFUNCTION("""COMPUTED_VALUE"""),10201)</f>
        <v>10201</v>
      </c>
      <c r="E217" s="12">
        <f ca="1">IFERROR(__xludf.DUMMYFUNCTION("""COMPUTED_VALUE"""),25747)</f>
        <v>25747</v>
      </c>
      <c r="F217" s="12">
        <f ca="1">IFERROR(__xludf.DUMMYFUNCTION("""COMPUTED_VALUE"""),37553)</f>
        <v>37553</v>
      </c>
      <c r="G217" s="12">
        <f ca="1">IFERROR(__xludf.DUMMYFUNCTION("""COMPUTED_VALUE"""),22343)</f>
        <v>22343</v>
      </c>
      <c r="H217" s="12">
        <f ca="1">IFERROR(__xludf.DUMMYFUNCTION("""COMPUTED_VALUE"""),22497)</f>
        <v>22497</v>
      </c>
      <c r="I217" s="12">
        <f ca="1">IFERROR(__xludf.DUMMYFUNCTION("""COMPUTED_VALUE"""),19365)</f>
        <v>19365</v>
      </c>
      <c r="J217" s="12">
        <f ca="1">IFERROR(__xludf.DUMMYFUNCTION("""COMPUTED_VALUE"""),23204)</f>
        <v>23204</v>
      </c>
      <c r="K217" s="12">
        <f ca="1">IFERROR(__xludf.DUMMYFUNCTION("""COMPUTED_VALUE"""),31656)</f>
        <v>31656</v>
      </c>
      <c r="L217" s="12">
        <f ca="1">IFERROR(__xludf.DUMMYFUNCTION("""COMPUTED_VALUE"""),16532)</f>
        <v>16532</v>
      </c>
      <c r="M217" s="12">
        <f ca="1">IFERROR(__xludf.DUMMYFUNCTION("""COMPUTED_VALUE"""),54966)</f>
        <v>54966</v>
      </c>
      <c r="N217" s="12">
        <f ca="1">IFERROR(__xludf.DUMMYFUNCTION("""COMPUTED_VALUE"""),11474)</f>
        <v>11474</v>
      </c>
      <c r="O217" s="12">
        <f ca="1">IFERROR(__xludf.DUMMYFUNCTION("""COMPUTED_VALUE"""),62182)</f>
        <v>62182</v>
      </c>
      <c r="P217" s="12">
        <f ca="1">IFERROR(__xludf.DUMMYFUNCTION("""COMPUTED_VALUE"""),37172)</f>
        <v>37172</v>
      </c>
      <c r="Q217" s="12">
        <f ca="1">IFERROR(__xludf.DUMMYFUNCTION("""COMPUTED_VALUE"""),27690)</f>
        <v>27690</v>
      </c>
      <c r="R217" s="12">
        <f ca="1">IFERROR(__xludf.DUMMYFUNCTION("""COMPUTED_VALUE"""),27240)</f>
        <v>27240</v>
      </c>
      <c r="S217" s="12">
        <f ca="1">IFERROR(__xludf.DUMMYFUNCTION("""COMPUTED_VALUE"""),13172)</f>
        <v>13172</v>
      </c>
      <c r="T217" s="12">
        <f ca="1">IFERROR(__xludf.DUMMYFUNCTION("""COMPUTED_VALUE"""),79253)</f>
        <v>79253</v>
      </c>
      <c r="U217" s="12">
        <f ca="1">IFERROR(__xludf.DUMMYFUNCTION("""COMPUTED_VALUE"""),55022)</f>
        <v>55022</v>
      </c>
      <c r="V217" s="12">
        <f ca="1">IFERROR(__xludf.DUMMYFUNCTION("""COMPUTED_VALUE"""),73578)</f>
        <v>73578</v>
      </c>
      <c r="W217" s="12">
        <f ca="1">IFERROR(__xludf.DUMMYFUNCTION("""COMPUTED_VALUE"""),55683)</f>
        <v>55683</v>
      </c>
      <c r="X217" s="12">
        <f ca="1">IFERROR(__xludf.DUMMYFUNCTION("""COMPUTED_VALUE"""),55981)</f>
        <v>55981</v>
      </c>
      <c r="Y217" s="12">
        <f ca="1">IFERROR(__xludf.DUMMYFUNCTION("""COMPUTED_VALUE"""),52077)</f>
        <v>52077</v>
      </c>
      <c r="Z217" s="12">
        <f ca="1">IFERROR(__xludf.DUMMYFUNCTION("""COMPUTED_VALUE"""),9988)</f>
        <v>9988</v>
      </c>
      <c r="AA217" s="12">
        <f ca="1">IFERROR(__xludf.DUMMYFUNCTION("""COMPUTED_VALUE"""),31047)</f>
        <v>31047</v>
      </c>
      <c r="AB217" s="12">
        <f ca="1">IFERROR(__xludf.DUMMYFUNCTION("""COMPUTED_VALUE"""),49138)</f>
        <v>49138</v>
      </c>
      <c r="AC217" s="12">
        <f ca="1">IFERROR(__xludf.DUMMYFUNCTION("""COMPUTED_VALUE"""),76260)</f>
        <v>76260</v>
      </c>
      <c r="AD217" s="12">
        <f ca="1">IFERROR(__xludf.DUMMYFUNCTION("""COMPUTED_VALUE"""),69891)</f>
        <v>69891</v>
      </c>
      <c r="AE217" s="12">
        <f ca="1">IFERROR(__xludf.DUMMYFUNCTION("""COMPUTED_VALUE"""),49106)</f>
        <v>49106</v>
      </c>
      <c r="AF217" s="8">
        <f ca="1">IFERROR(__xludf.DUMMYFUNCTION("""COMPUTED_VALUE"""),105084)</f>
        <v>105084</v>
      </c>
      <c r="AG217" s="8">
        <f ca="1">IFERROR(__xludf.DUMMYFUNCTION("""COMPUTED_VALUE"""),27450)</f>
        <v>27450</v>
      </c>
      <c r="AH217" s="8">
        <f ca="1">IFERROR(__xludf.DUMMYFUNCTION("""COMPUTED_VALUE"""),30687)</f>
        <v>30687</v>
      </c>
      <c r="AI217" s="8">
        <f ca="1">IFERROR(__xludf.DUMMYFUNCTION("""COMPUTED_VALUE"""),17373)</f>
        <v>17373</v>
      </c>
      <c r="AJ217" s="8">
        <f ca="1">IFERROR(__xludf.DUMMYFUNCTION("""COMPUTED_VALUE"""),37818)</f>
        <v>37818</v>
      </c>
      <c r="AK217" s="8">
        <f ca="1">IFERROR(__xludf.DUMMYFUNCTION("""COMPUTED_VALUE"""),30455)</f>
        <v>30455</v>
      </c>
      <c r="AL217" s="8">
        <f ca="1">IFERROR(__xludf.DUMMYFUNCTION("""COMPUTED_VALUE"""),21387)</f>
        <v>21387</v>
      </c>
      <c r="AM217" s="8">
        <f ca="1">IFERROR(__xludf.DUMMYFUNCTION("""COMPUTED_VALUE"""),44084)</f>
        <v>44084</v>
      </c>
      <c r="AN217" s="8">
        <f ca="1">IFERROR(__xludf.DUMMYFUNCTION("""COMPUTED_VALUE"""),26433)</f>
        <v>26433</v>
      </c>
      <c r="AO217" s="8">
        <f ca="1">IFERROR(__xludf.DUMMYFUNCTION("""COMPUTED_VALUE"""),51621)</f>
        <v>51621</v>
      </c>
      <c r="AP217" s="8"/>
      <c r="AQ217" s="8"/>
      <c r="AR217" s="8"/>
      <c r="AS217" s="8"/>
      <c r="AT217" s="8"/>
      <c r="AU217" s="8"/>
      <c r="AV217" s="8"/>
      <c r="AW217" s="8"/>
      <c r="AX217" s="8"/>
      <c r="AY217" s="8"/>
    </row>
    <row r="218" spans="1:51" ht="13.2" x14ac:dyDescent="0.25">
      <c r="A218" s="12" t="str">
        <f ca="1">IFERROR(__xludf.DUMMYFUNCTION("""COMPUTED_VALUE"""),"                     right Retrosplenial area, lateral agranular part")</f>
        <v xml:space="preserve">                     right Retrosplenial area, lateral agranular part</v>
      </c>
      <c r="B218" s="12">
        <f ca="1">IFERROR(__xludf.DUMMYFUNCTION("""COMPUTED_VALUE"""),10985)</f>
        <v>10985</v>
      </c>
      <c r="C218" s="12">
        <f ca="1">IFERROR(__xludf.DUMMYFUNCTION("""COMPUTED_VALUE"""),10592)</f>
        <v>10592</v>
      </c>
      <c r="D218" s="12">
        <f ca="1">IFERROR(__xludf.DUMMYFUNCTION("""COMPUTED_VALUE"""),3835)</f>
        <v>3835</v>
      </c>
      <c r="E218" s="12">
        <f ca="1">IFERROR(__xludf.DUMMYFUNCTION("""COMPUTED_VALUE"""),11426)</f>
        <v>11426</v>
      </c>
      <c r="F218" s="12">
        <f ca="1">IFERROR(__xludf.DUMMYFUNCTION("""COMPUTED_VALUE"""),14106)</f>
        <v>14106</v>
      </c>
      <c r="G218" s="12">
        <f ca="1">IFERROR(__xludf.DUMMYFUNCTION("""COMPUTED_VALUE"""),7077)</f>
        <v>7077</v>
      </c>
      <c r="H218" s="12">
        <f ca="1">IFERROR(__xludf.DUMMYFUNCTION("""COMPUTED_VALUE"""),6129)</f>
        <v>6129</v>
      </c>
      <c r="I218" s="12">
        <f ca="1">IFERROR(__xludf.DUMMYFUNCTION("""COMPUTED_VALUE"""),6776)</f>
        <v>6776</v>
      </c>
      <c r="J218" s="12">
        <f ca="1">IFERROR(__xludf.DUMMYFUNCTION("""COMPUTED_VALUE"""),7484)</f>
        <v>7484</v>
      </c>
      <c r="K218" s="12">
        <f ca="1">IFERROR(__xludf.DUMMYFUNCTION("""COMPUTED_VALUE"""),9049)</f>
        <v>9049</v>
      </c>
      <c r="L218" s="12">
        <f ca="1">IFERROR(__xludf.DUMMYFUNCTION("""COMPUTED_VALUE"""),7539)</f>
        <v>7539</v>
      </c>
      <c r="M218" s="12">
        <f ca="1">IFERROR(__xludf.DUMMYFUNCTION("""COMPUTED_VALUE"""),16512)</f>
        <v>16512</v>
      </c>
      <c r="N218" s="12">
        <f ca="1">IFERROR(__xludf.DUMMYFUNCTION("""COMPUTED_VALUE"""),2531)</f>
        <v>2531</v>
      </c>
      <c r="O218" s="12">
        <f ca="1">IFERROR(__xludf.DUMMYFUNCTION("""COMPUTED_VALUE"""),17273)</f>
        <v>17273</v>
      </c>
      <c r="P218" s="12">
        <f ca="1">IFERROR(__xludf.DUMMYFUNCTION("""COMPUTED_VALUE"""),10191)</f>
        <v>10191</v>
      </c>
      <c r="Q218" s="12">
        <f ca="1">IFERROR(__xludf.DUMMYFUNCTION("""COMPUTED_VALUE"""),7028)</f>
        <v>7028</v>
      </c>
      <c r="R218" s="12">
        <f ca="1">IFERROR(__xludf.DUMMYFUNCTION("""COMPUTED_VALUE"""),8130)</f>
        <v>8130</v>
      </c>
      <c r="S218" s="12">
        <f ca="1">IFERROR(__xludf.DUMMYFUNCTION("""COMPUTED_VALUE"""),3964)</f>
        <v>3964</v>
      </c>
      <c r="T218" s="12">
        <f ca="1">IFERROR(__xludf.DUMMYFUNCTION("""COMPUTED_VALUE"""),23384)</f>
        <v>23384</v>
      </c>
      <c r="U218" s="12">
        <f ca="1">IFERROR(__xludf.DUMMYFUNCTION("""COMPUTED_VALUE"""),19013)</f>
        <v>19013</v>
      </c>
      <c r="V218" s="12">
        <f ca="1">IFERROR(__xludf.DUMMYFUNCTION("""COMPUTED_VALUE"""),25381)</f>
        <v>25381</v>
      </c>
      <c r="W218" s="12">
        <f ca="1">IFERROR(__xludf.DUMMYFUNCTION("""COMPUTED_VALUE"""),14062)</f>
        <v>14062</v>
      </c>
      <c r="X218" s="12">
        <f ca="1">IFERROR(__xludf.DUMMYFUNCTION("""COMPUTED_VALUE"""),21542)</f>
        <v>21542</v>
      </c>
      <c r="Y218" s="12">
        <f ca="1">IFERROR(__xludf.DUMMYFUNCTION("""COMPUTED_VALUE"""),17066)</f>
        <v>17066</v>
      </c>
      <c r="Z218" s="12">
        <f ca="1">IFERROR(__xludf.DUMMYFUNCTION("""COMPUTED_VALUE"""),2600)</f>
        <v>2600</v>
      </c>
      <c r="AA218" s="12">
        <f ca="1">IFERROR(__xludf.DUMMYFUNCTION("""COMPUTED_VALUE"""),6810)</f>
        <v>6810</v>
      </c>
      <c r="AB218" s="12">
        <f ca="1">IFERROR(__xludf.DUMMYFUNCTION("""COMPUTED_VALUE"""),12624)</f>
        <v>12624</v>
      </c>
      <c r="AC218" s="12">
        <f ca="1">IFERROR(__xludf.DUMMYFUNCTION("""COMPUTED_VALUE"""),18788)</f>
        <v>18788</v>
      </c>
      <c r="AD218" s="12">
        <f ca="1">IFERROR(__xludf.DUMMYFUNCTION("""COMPUTED_VALUE"""),20633)</f>
        <v>20633</v>
      </c>
      <c r="AE218" s="12">
        <f ca="1">IFERROR(__xludf.DUMMYFUNCTION("""COMPUTED_VALUE"""),17178)</f>
        <v>17178</v>
      </c>
      <c r="AF218" s="8">
        <f ca="1">IFERROR(__xludf.DUMMYFUNCTION("""COMPUTED_VALUE"""),26179)</f>
        <v>26179</v>
      </c>
      <c r="AG218" s="8">
        <f ca="1">IFERROR(__xludf.DUMMYFUNCTION("""COMPUTED_VALUE"""),8949)</f>
        <v>8949</v>
      </c>
      <c r="AH218" s="8">
        <f ca="1">IFERROR(__xludf.DUMMYFUNCTION("""COMPUTED_VALUE"""),9400)</f>
        <v>9400</v>
      </c>
      <c r="AI218" s="8">
        <f ca="1">IFERROR(__xludf.DUMMYFUNCTION("""COMPUTED_VALUE"""),7500)</f>
        <v>7500</v>
      </c>
      <c r="AJ218" s="8">
        <f ca="1">IFERROR(__xludf.DUMMYFUNCTION("""COMPUTED_VALUE"""),8641)</f>
        <v>8641</v>
      </c>
      <c r="AK218" s="8">
        <f ca="1">IFERROR(__xludf.DUMMYFUNCTION("""COMPUTED_VALUE"""),8313)</f>
        <v>8313</v>
      </c>
      <c r="AL218" s="8">
        <f ca="1">IFERROR(__xludf.DUMMYFUNCTION("""COMPUTED_VALUE"""),6189)</f>
        <v>6189</v>
      </c>
      <c r="AM218" s="8">
        <f ca="1">IFERROR(__xludf.DUMMYFUNCTION("""COMPUTED_VALUE"""),11158)</f>
        <v>11158</v>
      </c>
      <c r="AN218" s="8">
        <f ca="1">IFERROR(__xludf.DUMMYFUNCTION("""COMPUTED_VALUE"""),10101)</f>
        <v>10101</v>
      </c>
      <c r="AO218" s="8">
        <f ca="1">IFERROR(__xludf.DUMMYFUNCTION("""COMPUTED_VALUE"""),11429)</f>
        <v>11429</v>
      </c>
      <c r="AP218" s="8"/>
      <c r="AQ218" s="8"/>
      <c r="AR218" s="8"/>
      <c r="AS218" s="8"/>
      <c r="AT218" s="8"/>
      <c r="AU218" s="8"/>
      <c r="AV218" s="8"/>
      <c r="AW218" s="8"/>
      <c r="AX218" s="8"/>
      <c r="AY218" s="8"/>
    </row>
    <row r="219" spans="1:51" ht="13.2" x14ac:dyDescent="0.25">
      <c r="A219" s="12" t="str">
        <f ca="1">IFERROR(__xludf.DUMMYFUNCTION("""COMPUTED_VALUE"""),"                     right Retrosplenial area, dorsal part")</f>
        <v xml:space="preserve">                     right Retrosplenial area, dorsal part</v>
      </c>
      <c r="B219" s="12">
        <f ca="1">IFERROR(__xludf.DUMMYFUNCTION("""COMPUTED_VALUE"""),11465)</f>
        <v>11465</v>
      </c>
      <c r="C219" s="12">
        <f ca="1">IFERROR(__xludf.DUMMYFUNCTION("""COMPUTED_VALUE"""),10391)</f>
        <v>10391</v>
      </c>
      <c r="D219" s="12">
        <f ca="1">IFERROR(__xludf.DUMMYFUNCTION("""COMPUTED_VALUE"""),3354)</f>
        <v>3354</v>
      </c>
      <c r="E219" s="12">
        <f ca="1">IFERROR(__xludf.DUMMYFUNCTION("""COMPUTED_VALUE"""),7330)</f>
        <v>7330</v>
      </c>
      <c r="F219" s="12">
        <f ca="1">IFERROR(__xludf.DUMMYFUNCTION("""COMPUTED_VALUE"""),12446)</f>
        <v>12446</v>
      </c>
      <c r="G219" s="12">
        <f ca="1">IFERROR(__xludf.DUMMYFUNCTION("""COMPUTED_VALUE"""),6588)</f>
        <v>6588</v>
      </c>
      <c r="H219" s="12">
        <f ca="1">IFERROR(__xludf.DUMMYFUNCTION("""COMPUTED_VALUE"""),4593)</f>
        <v>4593</v>
      </c>
      <c r="I219" s="12">
        <f ca="1">IFERROR(__xludf.DUMMYFUNCTION("""COMPUTED_VALUE"""),6718)</f>
        <v>6718</v>
      </c>
      <c r="J219" s="12">
        <f ca="1">IFERROR(__xludf.DUMMYFUNCTION("""COMPUTED_VALUE"""),6012)</f>
        <v>6012</v>
      </c>
      <c r="K219" s="12">
        <f ca="1">IFERROR(__xludf.DUMMYFUNCTION("""COMPUTED_VALUE"""),8223)</f>
        <v>8223</v>
      </c>
      <c r="L219" s="12">
        <f ca="1">IFERROR(__xludf.DUMMYFUNCTION("""COMPUTED_VALUE"""),4760)</f>
        <v>4760</v>
      </c>
      <c r="M219" s="12">
        <f ca="1">IFERROR(__xludf.DUMMYFUNCTION("""COMPUTED_VALUE"""),19229)</f>
        <v>19229</v>
      </c>
      <c r="N219" s="12">
        <f ca="1">IFERROR(__xludf.DUMMYFUNCTION("""COMPUTED_VALUE"""),3169)</f>
        <v>3169</v>
      </c>
      <c r="O219" s="12">
        <f ca="1">IFERROR(__xludf.DUMMYFUNCTION("""COMPUTED_VALUE"""),19709)</f>
        <v>19709</v>
      </c>
      <c r="P219" s="12">
        <f ca="1">IFERROR(__xludf.DUMMYFUNCTION("""COMPUTED_VALUE"""),13355)</f>
        <v>13355</v>
      </c>
      <c r="Q219" s="12">
        <f ca="1">IFERROR(__xludf.DUMMYFUNCTION("""COMPUTED_VALUE"""),9491)</f>
        <v>9491</v>
      </c>
      <c r="R219" s="12">
        <f ca="1">IFERROR(__xludf.DUMMYFUNCTION("""COMPUTED_VALUE"""),8875)</f>
        <v>8875</v>
      </c>
      <c r="S219" s="12">
        <f ca="1">IFERROR(__xludf.DUMMYFUNCTION("""COMPUTED_VALUE"""),3881)</f>
        <v>3881</v>
      </c>
      <c r="T219" s="12">
        <f ca="1">IFERROR(__xludf.DUMMYFUNCTION("""COMPUTED_VALUE"""),34473)</f>
        <v>34473</v>
      </c>
      <c r="U219" s="12">
        <f ca="1">IFERROR(__xludf.DUMMYFUNCTION("""COMPUTED_VALUE"""),18534)</f>
        <v>18534</v>
      </c>
      <c r="V219" s="12">
        <f ca="1">IFERROR(__xludf.DUMMYFUNCTION("""COMPUTED_VALUE"""),23722)</f>
        <v>23722</v>
      </c>
      <c r="W219" s="12">
        <f ca="1">IFERROR(__xludf.DUMMYFUNCTION("""COMPUTED_VALUE"""),21201)</f>
        <v>21201</v>
      </c>
      <c r="X219" s="12">
        <f ca="1">IFERROR(__xludf.DUMMYFUNCTION("""COMPUTED_VALUE"""),19145)</f>
        <v>19145</v>
      </c>
      <c r="Y219" s="12">
        <f ca="1">IFERROR(__xludf.DUMMYFUNCTION("""COMPUTED_VALUE"""),20000)</f>
        <v>20000</v>
      </c>
      <c r="Z219" s="12">
        <f ca="1">IFERROR(__xludf.DUMMYFUNCTION("""COMPUTED_VALUE"""),3378)</f>
        <v>3378</v>
      </c>
      <c r="AA219" s="12">
        <f ca="1">IFERROR(__xludf.DUMMYFUNCTION("""COMPUTED_VALUE"""),10332)</f>
        <v>10332</v>
      </c>
      <c r="AB219" s="12">
        <f ca="1">IFERROR(__xludf.DUMMYFUNCTION("""COMPUTED_VALUE"""),20143)</f>
        <v>20143</v>
      </c>
      <c r="AC219" s="12">
        <f ca="1">IFERROR(__xludf.DUMMYFUNCTION("""COMPUTED_VALUE"""),26793)</f>
        <v>26793</v>
      </c>
      <c r="AD219" s="12">
        <f ca="1">IFERROR(__xludf.DUMMYFUNCTION("""COMPUTED_VALUE"""),24114)</f>
        <v>24114</v>
      </c>
      <c r="AE219" s="12">
        <f ca="1">IFERROR(__xludf.DUMMYFUNCTION("""COMPUTED_VALUE"""),16705)</f>
        <v>16705</v>
      </c>
      <c r="AF219" s="8">
        <f ca="1">IFERROR(__xludf.DUMMYFUNCTION("""COMPUTED_VALUE"""),36413)</f>
        <v>36413</v>
      </c>
      <c r="AG219" s="8">
        <f ca="1">IFERROR(__xludf.DUMMYFUNCTION("""COMPUTED_VALUE"""),9213)</f>
        <v>9213</v>
      </c>
      <c r="AH219" s="8">
        <f ca="1">IFERROR(__xludf.DUMMYFUNCTION("""COMPUTED_VALUE"""),12766)</f>
        <v>12766</v>
      </c>
      <c r="AI219" s="8">
        <f ca="1">IFERROR(__xludf.DUMMYFUNCTION("""COMPUTED_VALUE"""),5802)</f>
        <v>5802</v>
      </c>
      <c r="AJ219" s="8">
        <f ca="1">IFERROR(__xludf.DUMMYFUNCTION("""COMPUTED_VALUE"""),14267)</f>
        <v>14267</v>
      </c>
      <c r="AK219" s="8">
        <f ca="1">IFERROR(__xludf.DUMMYFUNCTION("""COMPUTED_VALUE"""),12607)</f>
        <v>12607</v>
      </c>
      <c r="AL219" s="8">
        <f ca="1">IFERROR(__xludf.DUMMYFUNCTION("""COMPUTED_VALUE"""),6297)</f>
        <v>6297</v>
      </c>
      <c r="AM219" s="8">
        <f ca="1">IFERROR(__xludf.DUMMYFUNCTION("""COMPUTED_VALUE"""),15673)</f>
        <v>15673</v>
      </c>
      <c r="AN219" s="8">
        <f ca="1">IFERROR(__xludf.DUMMYFUNCTION("""COMPUTED_VALUE"""),9562)</f>
        <v>9562</v>
      </c>
      <c r="AO219" s="8">
        <f ca="1">IFERROR(__xludf.DUMMYFUNCTION("""COMPUTED_VALUE"""),16296)</f>
        <v>16296</v>
      </c>
      <c r="AP219" s="8"/>
      <c r="AQ219" s="8"/>
      <c r="AR219" s="8"/>
      <c r="AS219" s="8"/>
      <c r="AT219" s="8"/>
      <c r="AU219" s="8"/>
      <c r="AV219" s="8"/>
      <c r="AW219" s="8"/>
      <c r="AX219" s="8"/>
      <c r="AY219" s="8"/>
    </row>
    <row r="220" spans="1:51" ht="13.2" x14ac:dyDescent="0.25">
      <c r="A220" s="12" t="str">
        <f ca="1">IFERROR(__xludf.DUMMYFUNCTION("""COMPUTED_VALUE"""),"                     right Retrosplenial area, ventral part")</f>
        <v xml:space="preserve">                     right Retrosplenial area, ventral part</v>
      </c>
      <c r="B220" s="12">
        <f ca="1">IFERROR(__xludf.DUMMYFUNCTION("""COMPUTED_VALUE"""),10285)</f>
        <v>10285</v>
      </c>
      <c r="C220" s="12">
        <f ca="1">IFERROR(__xludf.DUMMYFUNCTION("""COMPUTED_VALUE"""),16212)</f>
        <v>16212</v>
      </c>
      <c r="D220" s="12">
        <f ca="1">IFERROR(__xludf.DUMMYFUNCTION("""COMPUTED_VALUE"""),3012)</f>
        <v>3012</v>
      </c>
      <c r="E220" s="12">
        <f ca="1">IFERROR(__xludf.DUMMYFUNCTION("""COMPUTED_VALUE"""),6991)</f>
        <v>6991</v>
      </c>
      <c r="F220" s="12">
        <f ca="1">IFERROR(__xludf.DUMMYFUNCTION("""COMPUTED_VALUE"""),11001)</f>
        <v>11001</v>
      </c>
      <c r="G220" s="12">
        <f ca="1">IFERROR(__xludf.DUMMYFUNCTION("""COMPUTED_VALUE"""),8678)</f>
        <v>8678</v>
      </c>
      <c r="H220" s="12">
        <f ca="1">IFERROR(__xludf.DUMMYFUNCTION("""COMPUTED_VALUE"""),11775)</f>
        <v>11775</v>
      </c>
      <c r="I220" s="12">
        <f ca="1">IFERROR(__xludf.DUMMYFUNCTION("""COMPUTED_VALUE"""),5871)</f>
        <v>5871</v>
      </c>
      <c r="J220" s="12">
        <f ca="1">IFERROR(__xludf.DUMMYFUNCTION("""COMPUTED_VALUE"""),9708)</f>
        <v>9708</v>
      </c>
      <c r="K220" s="12">
        <f ca="1">IFERROR(__xludf.DUMMYFUNCTION("""COMPUTED_VALUE"""),14384)</f>
        <v>14384</v>
      </c>
      <c r="L220" s="12">
        <f ca="1">IFERROR(__xludf.DUMMYFUNCTION("""COMPUTED_VALUE"""),4233)</f>
        <v>4233</v>
      </c>
      <c r="M220" s="12">
        <f ca="1">IFERROR(__xludf.DUMMYFUNCTION("""COMPUTED_VALUE"""),19225)</f>
        <v>19225</v>
      </c>
      <c r="N220" s="12">
        <f ca="1">IFERROR(__xludf.DUMMYFUNCTION("""COMPUTED_VALUE"""),5774)</f>
        <v>5774</v>
      </c>
      <c r="O220" s="12">
        <f ca="1">IFERROR(__xludf.DUMMYFUNCTION("""COMPUTED_VALUE"""),25200)</f>
        <v>25200</v>
      </c>
      <c r="P220" s="12">
        <f ca="1">IFERROR(__xludf.DUMMYFUNCTION("""COMPUTED_VALUE"""),13626)</f>
        <v>13626</v>
      </c>
      <c r="Q220" s="12">
        <f ca="1">IFERROR(__xludf.DUMMYFUNCTION("""COMPUTED_VALUE"""),11171)</f>
        <v>11171</v>
      </c>
      <c r="R220" s="12">
        <f ca="1">IFERROR(__xludf.DUMMYFUNCTION("""COMPUTED_VALUE"""),10235)</f>
        <v>10235</v>
      </c>
      <c r="S220" s="12">
        <f ca="1">IFERROR(__xludf.DUMMYFUNCTION("""COMPUTED_VALUE"""),5327)</f>
        <v>5327</v>
      </c>
      <c r="T220" s="12">
        <f ca="1">IFERROR(__xludf.DUMMYFUNCTION("""COMPUTED_VALUE"""),21396)</f>
        <v>21396</v>
      </c>
      <c r="U220" s="12">
        <f ca="1">IFERROR(__xludf.DUMMYFUNCTION("""COMPUTED_VALUE"""),17475)</f>
        <v>17475</v>
      </c>
      <c r="V220" s="12">
        <f ca="1">IFERROR(__xludf.DUMMYFUNCTION("""COMPUTED_VALUE"""),24475)</f>
        <v>24475</v>
      </c>
      <c r="W220" s="12">
        <f ca="1">IFERROR(__xludf.DUMMYFUNCTION("""COMPUTED_VALUE"""),20420)</f>
        <v>20420</v>
      </c>
      <c r="X220" s="12">
        <f ca="1">IFERROR(__xludf.DUMMYFUNCTION("""COMPUTED_VALUE"""),15294)</f>
        <v>15294</v>
      </c>
      <c r="Y220" s="12">
        <f ca="1">IFERROR(__xludf.DUMMYFUNCTION("""COMPUTED_VALUE"""),15011)</f>
        <v>15011</v>
      </c>
      <c r="Z220" s="12">
        <f ca="1">IFERROR(__xludf.DUMMYFUNCTION("""COMPUTED_VALUE"""),4010)</f>
        <v>4010</v>
      </c>
      <c r="AA220" s="12">
        <f ca="1">IFERROR(__xludf.DUMMYFUNCTION("""COMPUTED_VALUE"""),13905)</f>
        <v>13905</v>
      </c>
      <c r="AB220" s="12">
        <f ca="1">IFERROR(__xludf.DUMMYFUNCTION("""COMPUTED_VALUE"""),16371)</f>
        <v>16371</v>
      </c>
      <c r="AC220" s="12">
        <f ca="1">IFERROR(__xludf.DUMMYFUNCTION("""COMPUTED_VALUE"""),30679)</f>
        <v>30679</v>
      </c>
      <c r="AD220" s="12">
        <f ca="1">IFERROR(__xludf.DUMMYFUNCTION("""COMPUTED_VALUE"""),25144)</f>
        <v>25144</v>
      </c>
      <c r="AE220" s="12">
        <f ca="1">IFERROR(__xludf.DUMMYFUNCTION("""COMPUTED_VALUE"""),15223)</f>
        <v>15223</v>
      </c>
      <c r="AF220" s="8">
        <f ca="1">IFERROR(__xludf.DUMMYFUNCTION("""COMPUTED_VALUE"""),42492)</f>
        <v>42492</v>
      </c>
      <c r="AG220" s="8">
        <f ca="1">IFERROR(__xludf.DUMMYFUNCTION("""COMPUTED_VALUE"""),9288)</f>
        <v>9288</v>
      </c>
      <c r="AH220" s="8">
        <f ca="1">IFERROR(__xludf.DUMMYFUNCTION("""COMPUTED_VALUE"""),8521)</f>
        <v>8521</v>
      </c>
      <c r="AI220" s="8">
        <f ca="1">IFERROR(__xludf.DUMMYFUNCTION("""COMPUTED_VALUE"""),4071)</f>
        <v>4071</v>
      </c>
      <c r="AJ220" s="8">
        <f ca="1">IFERROR(__xludf.DUMMYFUNCTION("""COMPUTED_VALUE"""),14910)</f>
        <v>14910</v>
      </c>
      <c r="AK220" s="8">
        <f ca="1">IFERROR(__xludf.DUMMYFUNCTION("""COMPUTED_VALUE"""),9535)</f>
        <v>9535</v>
      </c>
      <c r="AL220" s="8">
        <f ca="1">IFERROR(__xludf.DUMMYFUNCTION("""COMPUTED_VALUE"""),8901)</f>
        <v>8901</v>
      </c>
      <c r="AM220" s="8">
        <f ca="1">IFERROR(__xludf.DUMMYFUNCTION("""COMPUTED_VALUE"""),17253)</f>
        <v>17253</v>
      </c>
      <c r="AN220" s="8">
        <f ca="1">IFERROR(__xludf.DUMMYFUNCTION("""COMPUTED_VALUE"""),6770)</f>
        <v>6770</v>
      </c>
      <c r="AO220" s="8">
        <f ca="1">IFERROR(__xludf.DUMMYFUNCTION("""COMPUTED_VALUE"""),23896)</f>
        <v>23896</v>
      </c>
      <c r="AP220" s="8"/>
      <c r="AQ220" s="8"/>
      <c r="AR220" s="8"/>
      <c r="AS220" s="8"/>
      <c r="AT220" s="8"/>
      <c r="AU220" s="8"/>
      <c r="AV220" s="8"/>
      <c r="AW220" s="8"/>
      <c r="AX220" s="8"/>
      <c r="AY220" s="8"/>
    </row>
    <row r="221" spans="1:51" ht="13.2" x14ac:dyDescent="0.25">
      <c r="A221" s="12" t="str">
        <f ca="1">IFERROR(__xludf.DUMMYFUNCTION("""COMPUTED_VALUE"""),"                  right Posterior parietal association areas")</f>
        <v xml:space="preserve">                  right Posterior parietal association areas</v>
      </c>
      <c r="B221" s="12">
        <f ca="1">IFERROR(__xludf.DUMMYFUNCTION("""COMPUTED_VALUE"""),15000)</f>
        <v>15000</v>
      </c>
      <c r="C221" s="12">
        <f ca="1">IFERROR(__xludf.DUMMYFUNCTION("""COMPUTED_VALUE"""),16490)</f>
        <v>16490</v>
      </c>
      <c r="D221" s="12">
        <f ca="1">IFERROR(__xludf.DUMMYFUNCTION("""COMPUTED_VALUE"""),8494)</f>
        <v>8494</v>
      </c>
      <c r="E221" s="12">
        <f ca="1">IFERROR(__xludf.DUMMYFUNCTION("""COMPUTED_VALUE"""),12599)</f>
        <v>12599</v>
      </c>
      <c r="F221" s="12">
        <f ca="1">IFERROR(__xludf.DUMMYFUNCTION("""COMPUTED_VALUE"""),16062)</f>
        <v>16062</v>
      </c>
      <c r="G221" s="12">
        <f ca="1">IFERROR(__xludf.DUMMYFUNCTION("""COMPUTED_VALUE"""),8319)</f>
        <v>8319</v>
      </c>
      <c r="H221" s="12">
        <f ca="1">IFERROR(__xludf.DUMMYFUNCTION("""COMPUTED_VALUE"""),6696)</f>
        <v>6696</v>
      </c>
      <c r="I221" s="12">
        <f ca="1">IFERROR(__xludf.DUMMYFUNCTION("""COMPUTED_VALUE"""),6519)</f>
        <v>6519</v>
      </c>
      <c r="J221" s="12">
        <f ca="1">IFERROR(__xludf.DUMMYFUNCTION("""COMPUTED_VALUE"""),8780)</f>
        <v>8780</v>
      </c>
      <c r="K221" s="12">
        <f ca="1">IFERROR(__xludf.DUMMYFUNCTION("""COMPUTED_VALUE"""),8509)</f>
        <v>8509</v>
      </c>
      <c r="L221" s="12">
        <f ca="1">IFERROR(__xludf.DUMMYFUNCTION("""COMPUTED_VALUE"""),4748)</f>
        <v>4748</v>
      </c>
      <c r="M221" s="12">
        <f ca="1">IFERROR(__xludf.DUMMYFUNCTION("""COMPUTED_VALUE"""),25318)</f>
        <v>25318</v>
      </c>
      <c r="N221" s="12">
        <f ca="1">IFERROR(__xludf.DUMMYFUNCTION("""COMPUTED_VALUE"""),2058)</f>
        <v>2058</v>
      </c>
      <c r="O221" s="12">
        <f ca="1">IFERROR(__xludf.DUMMYFUNCTION("""COMPUTED_VALUE"""),21467)</f>
        <v>21467</v>
      </c>
      <c r="P221" s="12">
        <f ca="1">IFERROR(__xludf.DUMMYFUNCTION("""COMPUTED_VALUE"""),10179)</f>
        <v>10179</v>
      </c>
      <c r="Q221" s="12">
        <f ca="1">IFERROR(__xludf.DUMMYFUNCTION("""COMPUTED_VALUE"""),9983)</f>
        <v>9983</v>
      </c>
      <c r="R221" s="12">
        <f ca="1">IFERROR(__xludf.DUMMYFUNCTION("""COMPUTED_VALUE"""),8620)</f>
        <v>8620</v>
      </c>
      <c r="S221" s="12">
        <f ca="1">IFERROR(__xludf.DUMMYFUNCTION("""COMPUTED_VALUE"""),4102)</f>
        <v>4102</v>
      </c>
      <c r="T221" s="12">
        <f ca="1">IFERROR(__xludf.DUMMYFUNCTION("""COMPUTED_VALUE"""),21677)</f>
        <v>21677</v>
      </c>
      <c r="U221" s="12">
        <f ca="1">IFERROR(__xludf.DUMMYFUNCTION("""COMPUTED_VALUE"""),16318)</f>
        <v>16318</v>
      </c>
      <c r="V221" s="12">
        <f ca="1">IFERROR(__xludf.DUMMYFUNCTION("""COMPUTED_VALUE"""),10229)</f>
        <v>10229</v>
      </c>
      <c r="W221" s="12">
        <f ca="1">IFERROR(__xludf.DUMMYFUNCTION("""COMPUTED_VALUE"""),16589)</f>
        <v>16589</v>
      </c>
      <c r="X221" s="12">
        <f ca="1">IFERROR(__xludf.DUMMYFUNCTION("""COMPUTED_VALUE"""),38303)</f>
        <v>38303</v>
      </c>
      <c r="Y221" s="12">
        <f ca="1">IFERROR(__xludf.DUMMYFUNCTION("""COMPUTED_VALUE"""),15596)</f>
        <v>15596</v>
      </c>
      <c r="Z221" s="12">
        <f ca="1">IFERROR(__xludf.DUMMYFUNCTION("""COMPUTED_VALUE"""),14092)</f>
        <v>14092</v>
      </c>
      <c r="AA221" s="12">
        <f ca="1">IFERROR(__xludf.DUMMYFUNCTION("""COMPUTED_VALUE"""),6660)</f>
        <v>6660</v>
      </c>
      <c r="AB221" s="12">
        <f ca="1">IFERROR(__xludf.DUMMYFUNCTION("""COMPUTED_VALUE"""),11143)</f>
        <v>11143</v>
      </c>
      <c r="AC221" s="12">
        <f ca="1">IFERROR(__xludf.DUMMYFUNCTION("""COMPUTED_VALUE"""),14617)</f>
        <v>14617</v>
      </c>
      <c r="AD221" s="12">
        <f ca="1">IFERROR(__xludf.DUMMYFUNCTION("""COMPUTED_VALUE"""),21038)</f>
        <v>21038</v>
      </c>
      <c r="AE221" s="12">
        <f ca="1">IFERROR(__xludf.DUMMYFUNCTION("""COMPUTED_VALUE"""),19839)</f>
        <v>19839</v>
      </c>
      <c r="AF221" s="8">
        <f ca="1">IFERROR(__xludf.DUMMYFUNCTION("""COMPUTED_VALUE"""),29659)</f>
        <v>29659</v>
      </c>
      <c r="AG221" s="8">
        <f ca="1">IFERROR(__xludf.DUMMYFUNCTION("""COMPUTED_VALUE"""),2861)</f>
        <v>2861</v>
      </c>
      <c r="AH221" s="8">
        <f ca="1">IFERROR(__xludf.DUMMYFUNCTION("""COMPUTED_VALUE"""),13031)</f>
        <v>13031</v>
      </c>
      <c r="AI221" s="8">
        <f ca="1">IFERROR(__xludf.DUMMYFUNCTION("""COMPUTED_VALUE"""),20107)</f>
        <v>20107</v>
      </c>
      <c r="AJ221" s="8">
        <f ca="1">IFERROR(__xludf.DUMMYFUNCTION("""COMPUTED_VALUE"""),2505)</f>
        <v>2505</v>
      </c>
      <c r="AK221" s="8">
        <f ca="1">IFERROR(__xludf.DUMMYFUNCTION("""COMPUTED_VALUE"""),4522)</f>
        <v>4522</v>
      </c>
      <c r="AL221" s="8">
        <f ca="1">IFERROR(__xludf.DUMMYFUNCTION("""COMPUTED_VALUE"""),1762)</f>
        <v>1762</v>
      </c>
      <c r="AM221" s="8">
        <f ca="1">IFERROR(__xludf.DUMMYFUNCTION("""COMPUTED_VALUE"""),8229)</f>
        <v>8229</v>
      </c>
      <c r="AN221" s="8">
        <f ca="1">IFERROR(__xludf.DUMMYFUNCTION("""COMPUTED_VALUE"""),15366)</f>
        <v>15366</v>
      </c>
      <c r="AO221" s="8">
        <f ca="1">IFERROR(__xludf.DUMMYFUNCTION("""COMPUTED_VALUE"""),11278)</f>
        <v>11278</v>
      </c>
      <c r="AP221" s="8"/>
      <c r="AQ221" s="8"/>
      <c r="AR221" s="8"/>
      <c r="AS221" s="8"/>
      <c r="AT221" s="8"/>
      <c r="AU221" s="8"/>
      <c r="AV221" s="8"/>
      <c r="AW221" s="8"/>
      <c r="AX221" s="8"/>
      <c r="AY221" s="8"/>
    </row>
    <row r="222" spans="1:51" ht="13.2" x14ac:dyDescent="0.25">
      <c r="A222" s="12" t="str">
        <f ca="1">IFERROR(__xludf.DUMMYFUNCTION("""COMPUTED_VALUE"""),"                     right Anterior area")</f>
        <v xml:space="preserve">                     right Anterior area</v>
      </c>
      <c r="B222" s="12">
        <f ca="1">IFERROR(__xludf.DUMMYFUNCTION("""COMPUTED_VALUE"""),6805)</f>
        <v>6805</v>
      </c>
      <c r="C222" s="12">
        <f ca="1">IFERROR(__xludf.DUMMYFUNCTION("""COMPUTED_VALUE"""),8217)</f>
        <v>8217</v>
      </c>
      <c r="D222" s="12">
        <f ca="1">IFERROR(__xludf.DUMMYFUNCTION("""COMPUTED_VALUE"""),4587)</f>
        <v>4587</v>
      </c>
      <c r="E222" s="12">
        <f ca="1">IFERROR(__xludf.DUMMYFUNCTION("""COMPUTED_VALUE"""),7750)</f>
        <v>7750</v>
      </c>
      <c r="F222" s="12">
        <f ca="1">IFERROR(__xludf.DUMMYFUNCTION("""COMPUTED_VALUE"""),8825)</f>
        <v>8825</v>
      </c>
      <c r="G222" s="12">
        <f ca="1">IFERROR(__xludf.DUMMYFUNCTION("""COMPUTED_VALUE"""),5642)</f>
        <v>5642</v>
      </c>
      <c r="H222" s="12">
        <f ca="1">IFERROR(__xludf.DUMMYFUNCTION("""COMPUTED_VALUE"""),3172)</f>
        <v>3172</v>
      </c>
      <c r="I222" s="12">
        <f ca="1">IFERROR(__xludf.DUMMYFUNCTION("""COMPUTED_VALUE"""),5014)</f>
        <v>5014</v>
      </c>
      <c r="J222" s="12">
        <f ca="1">IFERROR(__xludf.DUMMYFUNCTION("""COMPUTED_VALUE"""),5132)</f>
        <v>5132</v>
      </c>
      <c r="K222" s="12">
        <f ca="1">IFERROR(__xludf.DUMMYFUNCTION("""COMPUTED_VALUE"""),4637)</f>
        <v>4637</v>
      </c>
      <c r="L222" s="12">
        <f ca="1">IFERROR(__xludf.DUMMYFUNCTION("""COMPUTED_VALUE"""),2947)</f>
        <v>2947</v>
      </c>
      <c r="M222" s="12">
        <f ca="1">IFERROR(__xludf.DUMMYFUNCTION("""COMPUTED_VALUE"""),11015)</f>
        <v>11015</v>
      </c>
      <c r="N222" s="12">
        <f ca="1">IFERROR(__xludf.DUMMYFUNCTION("""COMPUTED_VALUE"""),1326)</f>
        <v>1326</v>
      </c>
      <c r="O222" s="12">
        <f ca="1">IFERROR(__xludf.DUMMYFUNCTION("""COMPUTED_VALUE"""),10606)</f>
        <v>10606</v>
      </c>
      <c r="P222" s="12">
        <f ca="1">IFERROR(__xludf.DUMMYFUNCTION("""COMPUTED_VALUE"""),4055)</f>
        <v>4055</v>
      </c>
      <c r="Q222" s="12">
        <f ca="1">IFERROR(__xludf.DUMMYFUNCTION("""COMPUTED_VALUE"""),7425)</f>
        <v>7425</v>
      </c>
      <c r="R222" s="12">
        <f ca="1">IFERROR(__xludf.DUMMYFUNCTION("""COMPUTED_VALUE"""),2513)</f>
        <v>2513</v>
      </c>
      <c r="S222" s="12">
        <f ca="1">IFERROR(__xludf.DUMMYFUNCTION("""COMPUTED_VALUE"""),672)</f>
        <v>672</v>
      </c>
      <c r="T222" s="12">
        <f ca="1">IFERROR(__xludf.DUMMYFUNCTION("""COMPUTED_VALUE"""),11384)</f>
        <v>11384</v>
      </c>
      <c r="U222" s="12">
        <f ca="1">IFERROR(__xludf.DUMMYFUNCTION("""COMPUTED_VALUE"""),7924)</f>
        <v>7924</v>
      </c>
      <c r="V222" s="12">
        <f ca="1">IFERROR(__xludf.DUMMYFUNCTION("""COMPUTED_VALUE"""),8089)</f>
        <v>8089</v>
      </c>
      <c r="W222" s="12">
        <f ca="1">IFERROR(__xludf.DUMMYFUNCTION("""COMPUTED_VALUE"""),4903)</f>
        <v>4903</v>
      </c>
      <c r="X222" s="12">
        <f ca="1">IFERROR(__xludf.DUMMYFUNCTION("""COMPUTED_VALUE"""),22534)</f>
        <v>22534</v>
      </c>
      <c r="Y222" s="12">
        <f ca="1">IFERROR(__xludf.DUMMYFUNCTION("""COMPUTED_VALUE"""),8106)</f>
        <v>8106</v>
      </c>
      <c r="Z222" s="12">
        <f ca="1">IFERROR(__xludf.DUMMYFUNCTION("""COMPUTED_VALUE"""),4516)</f>
        <v>4516</v>
      </c>
      <c r="AA222" s="12">
        <f ca="1">IFERROR(__xludf.DUMMYFUNCTION("""COMPUTED_VALUE"""),2021)</f>
        <v>2021</v>
      </c>
      <c r="AB222" s="12">
        <f ca="1">IFERROR(__xludf.DUMMYFUNCTION("""COMPUTED_VALUE"""),4983)</f>
        <v>4983</v>
      </c>
      <c r="AC222" s="12">
        <f ca="1">IFERROR(__xludf.DUMMYFUNCTION("""COMPUTED_VALUE"""),7230)</f>
        <v>7230</v>
      </c>
      <c r="AD222" s="12">
        <f ca="1">IFERROR(__xludf.DUMMYFUNCTION("""COMPUTED_VALUE"""),10025)</f>
        <v>10025</v>
      </c>
      <c r="AE222" s="12">
        <f ca="1">IFERROR(__xludf.DUMMYFUNCTION("""COMPUTED_VALUE"""),7196)</f>
        <v>7196</v>
      </c>
      <c r="AF222" s="8">
        <f ca="1">IFERROR(__xludf.DUMMYFUNCTION("""COMPUTED_VALUE"""),13835)</f>
        <v>13835</v>
      </c>
      <c r="AG222" s="8">
        <f ca="1">IFERROR(__xludf.DUMMYFUNCTION("""COMPUTED_VALUE"""),1025)</f>
        <v>1025</v>
      </c>
      <c r="AH222" s="8">
        <f ca="1">IFERROR(__xludf.DUMMYFUNCTION("""COMPUTED_VALUE"""),7458)</f>
        <v>7458</v>
      </c>
      <c r="AI222" s="8">
        <f ca="1">IFERROR(__xludf.DUMMYFUNCTION("""COMPUTED_VALUE"""),10546)</f>
        <v>10546</v>
      </c>
      <c r="AJ222" s="8">
        <f ca="1">IFERROR(__xludf.DUMMYFUNCTION("""COMPUTED_VALUE"""),1066)</f>
        <v>1066</v>
      </c>
      <c r="AK222" s="8">
        <f ca="1">IFERROR(__xludf.DUMMYFUNCTION("""COMPUTED_VALUE"""),428)</f>
        <v>428</v>
      </c>
      <c r="AL222" s="8">
        <f ca="1">IFERROR(__xludf.DUMMYFUNCTION("""COMPUTED_VALUE"""),880)</f>
        <v>880</v>
      </c>
      <c r="AM222" s="8">
        <f ca="1">IFERROR(__xludf.DUMMYFUNCTION("""COMPUTED_VALUE"""),4185)</f>
        <v>4185</v>
      </c>
      <c r="AN222" s="8">
        <f ca="1">IFERROR(__xludf.DUMMYFUNCTION("""COMPUTED_VALUE"""),6474)</f>
        <v>6474</v>
      </c>
      <c r="AO222" s="8">
        <f ca="1">IFERROR(__xludf.DUMMYFUNCTION("""COMPUTED_VALUE"""),4773)</f>
        <v>4773</v>
      </c>
      <c r="AP222" s="8"/>
      <c r="AQ222" s="8"/>
      <c r="AR222" s="8"/>
      <c r="AS222" s="8"/>
      <c r="AT222" s="8"/>
      <c r="AU222" s="8"/>
      <c r="AV222" s="8"/>
      <c r="AW222" s="8"/>
      <c r="AX222" s="8"/>
      <c r="AY222" s="8"/>
    </row>
    <row r="223" spans="1:51" ht="13.2" x14ac:dyDescent="0.25">
      <c r="A223" s="12" t="str">
        <f ca="1">IFERROR(__xludf.DUMMYFUNCTION("""COMPUTED_VALUE"""),"                     right Rostrolateral visual area")</f>
        <v xml:space="preserve">                     right Rostrolateral visual area</v>
      </c>
      <c r="B223" s="12">
        <f ca="1">IFERROR(__xludf.DUMMYFUNCTION("""COMPUTED_VALUE"""),8195)</f>
        <v>8195</v>
      </c>
      <c r="C223" s="12">
        <f ca="1">IFERROR(__xludf.DUMMYFUNCTION("""COMPUTED_VALUE"""),8273)</f>
        <v>8273</v>
      </c>
      <c r="D223" s="12">
        <f ca="1">IFERROR(__xludf.DUMMYFUNCTION("""COMPUTED_VALUE"""),3907)</f>
        <v>3907</v>
      </c>
      <c r="E223" s="12">
        <f ca="1">IFERROR(__xludf.DUMMYFUNCTION("""COMPUTED_VALUE"""),4849)</f>
        <v>4849</v>
      </c>
      <c r="F223" s="12">
        <f ca="1">IFERROR(__xludf.DUMMYFUNCTION("""COMPUTED_VALUE"""),7237)</f>
        <v>7237</v>
      </c>
      <c r="G223" s="12">
        <f ca="1">IFERROR(__xludf.DUMMYFUNCTION("""COMPUTED_VALUE"""),2677)</f>
        <v>2677</v>
      </c>
      <c r="H223" s="12">
        <f ca="1">IFERROR(__xludf.DUMMYFUNCTION("""COMPUTED_VALUE"""),3524)</f>
        <v>3524</v>
      </c>
      <c r="I223" s="12">
        <f ca="1">IFERROR(__xludf.DUMMYFUNCTION("""COMPUTED_VALUE"""),1505)</f>
        <v>1505</v>
      </c>
      <c r="J223" s="12">
        <f ca="1">IFERROR(__xludf.DUMMYFUNCTION("""COMPUTED_VALUE"""),3648)</f>
        <v>3648</v>
      </c>
      <c r="K223" s="12">
        <f ca="1">IFERROR(__xludf.DUMMYFUNCTION("""COMPUTED_VALUE"""),3872)</f>
        <v>3872</v>
      </c>
      <c r="L223" s="12">
        <f ca="1">IFERROR(__xludf.DUMMYFUNCTION("""COMPUTED_VALUE"""),1801)</f>
        <v>1801</v>
      </c>
      <c r="M223" s="12">
        <f ca="1">IFERROR(__xludf.DUMMYFUNCTION("""COMPUTED_VALUE"""),14303)</f>
        <v>14303</v>
      </c>
      <c r="N223" s="12">
        <f ca="1">IFERROR(__xludf.DUMMYFUNCTION("""COMPUTED_VALUE"""),732)</f>
        <v>732</v>
      </c>
      <c r="O223" s="12">
        <f ca="1">IFERROR(__xludf.DUMMYFUNCTION("""COMPUTED_VALUE"""),10861)</f>
        <v>10861</v>
      </c>
      <c r="P223" s="12">
        <f ca="1">IFERROR(__xludf.DUMMYFUNCTION("""COMPUTED_VALUE"""),6124)</f>
        <v>6124</v>
      </c>
      <c r="Q223" s="12">
        <f ca="1">IFERROR(__xludf.DUMMYFUNCTION("""COMPUTED_VALUE"""),2558)</f>
        <v>2558</v>
      </c>
      <c r="R223" s="12">
        <f ca="1">IFERROR(__xludf.DUMMYFUNCTION("""COMPUTED_VALUE"""),6107)</f>
        <v>6107</v>
      </c>
      <c r="S223" s="12">
        <f ca="1">IFERROR(__xludf.DUMMYFUNCTION("""COMPUTED_VALUE"""),3430)</f>
        <v>3430</v>
      </c>
      <c r="T223" s="12">
        <f ca="1">IFERROR(__xludf.DUMMYFUNCTION("""COMPUTED_VALUE"""),10293)</f>
        <v>10293</v>
      </c>
      <c r="U223" s="12">
        <f ca="1">IFERROR(__xludf.DUMMYFUNCTION("""COMPUTED_VALUE"""),8394)</f>
        <v>8394</v>
      </c>
      <c r="V223" s="12">
        <f ca="1">IFERROR(__xludf.DUMMYFUNCTION("""COMPUTED_VALUE"""),2140)</f>
        <v>2140</v>
      </c>
      <c r="W223" s="12">
        <f ca="1">IFERROR(__xludf.DUMMYFUNCTION("""COMPUTED_VALUE"""),11686)</f>
        <v>11686</v>
      </c>
      <c r="X223" s="12">
        <f ca="1">IFERROR(__xludf.DUMMYFUNCTION("""COMPUTED_VALUE"""),15769)</f>
        <v>15769</v>
      </c>
      <c r="Y223" s="12">
        <f ca="1">IFERROR(__xludf.DUMMYFUNCTION("""COMPUTED_VALUE"""),7490)</f>
        <v>7490</v>
      </c>
      <c r="Z223" s="12">
        <f ca="1">IFERROR(__xludf.DUMMYFUNCTION("""COMPUTED_VALUE"""),9576)</f>
        <v>9576</v>
      </c>
      <c r="AA223" s="12">
        <f ca="1">IFERROR(__xludf.DUMMYFUNCTION("""COMPUTED_VALUE"""),4639)</f>
        <v>4639</v>
      </c>
      <c r="AB223" s="12">
        <f ca="1">IFERROR(__xludf.DUMMYFUNCTION("""COMPUTED_VALUE"""),6160)</f>
        <v>6160</v>
      </c>
      <c r="AC223" s="12">
        <f ca="1">IFERROR(__xludf.DUMMYFUNCTION("""COMPUTED_VALUE"""),7387)</f>
        <v>7387</v>
      </c>
      <c r="AD223" s="12">
        <f ca="1">IFERROR(__xludf.DUMMYFUNCTION("""COMPUTED_VALUE"""),11013)</f>
        <v>11013</v>
      </c>
      <c r="AE223" s="12">
        <f ca="1">IFERROR(__xludf.DUMMYFUNCTION("""COMPUTED_VALUE"""),12643)</f>
        <v>12643</v>
      </c>
      <c r="AF223" s="8">
        <f ca="1">IFERROR(__xludf.DUMMYFUNCTION("""COMPUTED_VALUE"""),15824)</f>
        <v>15824</v>
      </c>
      <c r="AG223" s="8">
        <f ca="1">IFERROR(__xludf.DUMMYFUNCTION("""COMPUTED_VALUE"""),1836)</f>
        <v>1836</v>
      </c>
      <c r="AH223" s="8">
        <f ca="1">IFERROR(__xludf.DUMMYFUNCTION("""COMPUTED_VALUE"""),5573)</f>
        <v>5573</v>
      </c>
      <c r="AI223" s="8">
        <f ca="1">IFERROR(__xludf.DUMMYFUNCTION("""COMPUTED_VALUE"""),9561)</f>
        <v>9561</v>
      </c>
      <c r="AJ223" s="8">
        <f ca="1">IFERROR(__xludf.DUMMYFUNCTION("""COMPUTED_VALUE"""),1439)</f>
        <v>1439</v>
      </c>
      <c r="AK223" s="8">
        <f ca="1">IFERROR(__xludf.DUMMYFUNCTION("""COMPUTED_VALUE"""),4094)</f>
        <v>4094</v>
      </c>
      <c r="AL223" s="8">
        <f ca="1">IFERROR(__xludf.DUMMYFUNCTION("""COMPUTED_VALUE"""),882)</f>
        <v>882</v>
      </c>
      <c r="AM223" s="8">
        <f ca="1">IFERROR(__xludf.DUMMYFUNCTION("""COMPUTED_VALUE"""),4044)</f>
        <v>4044</v>
      </c>
      <c r="AN223" s="8">
        <f ca="1">IFERROR(__xludf.DUMMYFUNCTION("""COMPUTED_VALUE"""),8892)</f>
        <v>8892</v>
      </c>
      <c r="AO223" s="8">
        <f ca="1">IFERROR(__xludf.DUMMYFUNCTION("""COMPUTED_VALUE"""),6505)</f>
        <v>6505</v>
      </c>
      <c r="AP223" s="8"/>
      <c r="AQ223" s="8"/>
      <c r="AR223" s="8"/>
      <c r="AS223" s="8"/>
      <c r="AT223" s="8"/>
      <c r="AU223" s="8"/>
      <c r="AV223" s="8"/>
      <c r="AW223" s="8"/>
      <c r="AX223" s="8"/>
      <c r="AY223" s="8"/>
    </row>
    <row r="224" spans="1:51" ht="13.2" x14ac:dyDescent="0.25">
      <c r="A224" s="12" t="str">
        <f ca="1">IFERROR(__xludf.DUMMYFUNCTION("""COMPUTED_VALUE"""),"                  right Temporal association areas")</f>
        <v xml:space="preserve">                  right Temporal association areas</v>
      </c>
      <c r="B224" s="12">
        <f ca="1">IFERROR(__xludf.DUMMYFUNCTION("""COMPUTED_VALUE"""),17427)</f>
        <v>17427</v>
      </c>
      <c r="C224" s="12">
        <f ca="1">IFERROR(__xludf.DUMMYFUNCTION("""COMPUTED_VALUE"""),31836)</f>
        <v>31836</v>
      </c>
      <c r="D224" s="12">
        <f ca="1">IFERROR(__xludf.DUMMYFUNCTION("""COMPUTED_VALUE"""),22882)</f>
        <v>22882</v>
      </c>
      <c r="E224" s="12">
        <f ca="1">IFERROR(__xludf.DUMMYFUNCTION("""COMPUTED_VALUE"""),17260)</f>
        <v>17260</v>
      </c>
      <c r="F224" s="12">
        <f ca="1">IFERROR(__xludf.DUMMYFUNCTION("""COMPUTED_VALUE"""),30865)</f>
        <v>30865</v>
      </c>
      <c r="G224" s="12">
        <f ca="1">IFERROR(__xludf.DUMMYFUNCTION("""COMPUTED_VALUE"""),15686)</f>
        <v>15686</v>
      </c>
      <c r="H224" s="12">
        <f ca="1">IFERROR(__xludf.DUMMYFUNCTION("""COMPUTED_VALUE"""),7702)</f>
        <v>7702</v>
      </c>
      <c r="I224" s="12">
        <f ca="1">IFERROR(__xludf.DUMMYFUNCTION("""COMPUTED_VALUE"""),15862)</f>
        <v>15862</v>
      </c>
      <c r="J224" s="12">
        <f ca="1">IFERROR(__xludf.DUMMYFUNCTION("""COMPUTED_VALUE"""),20806)</f>
        <v>20806</v>
      </c>
      <c r="K224" s="12">
        <f ca="1">IFERROR(__xludf.DUMMYFUNCTION("""COMPUTED_VALUE"""),22422)</f>
        <v>22422</v>
      </c>
      <c r="L224" s="12">
        <f ca="1">IFERROR(__xludf.DUMMYFUNCTION("""COMPUTED_VALUE"""),20340)</f>
        <v>20340</v>
      </c>
      <c r="M224" s="12">
        <f ca="1">IFERROR(__xludf.DUMMYFUNCTION("""COMPUTED_VALUE"""),33685)</f>
        <v>33685</v>
      </c>
      <c r="N224" s="12">
        <f ca="1">IFERROR(__xludf.DUMMYFUNCTION("""COMPUTED_VALUE"""),3920)</f>
        <v>3920</v>
      </c>
      <c r="O224" s="12">
        <f ca="1">IFERROR(__xludf.DUMMYFUNCTION("""COMPUTED_VALUE"""),31757)</f>
        <v>31757</v>
      </c>
      <c r="P224" s="12">
        <f ca="1">IFERROR(__xludf.DUMMYFUNCTION("""COMPUTED_VALUE"""),21150)</f>
        <v>21150</v>
      </c>
      <c r="Q224" s="12">
        <f ca="1">IFERROR(__xludf.DUMMYFUNCTION("""COMPUTED_VALUE"""),10062)</f>
        <v>10062</v>
      </c>
      <c r="R224" s="12">
        <f ca="1">IFERROR(__xludf.DUMMYFUNCTION("""COMPUTED_VALUE"""),18496)</f>
        <v>18496</v>
      </c>
      <c r="S224" s="12">
        <f ca="1">IFERROR(__xludf.DUMMYFUNCTION("""COMPUTED_VALUE"""),5264)</f>
        <v>5264</v>
      </c>
      <c r="T224" s="12">
        <f ca="1">IFERROR(__xludf.DUMMYFUNCTION("""COMPUTED_VALUE"""),15336)</f>
        <v>15336</v>
      </c>
      <c r="U224" s="12">
        <f ca="1">IFERROR(__xludf.DUMMYFUNCTION("""COMPUTED_VALUE"""),28372)</f>
        <v>28372</v>
      </c>
      <c r="V224" s="12">
        <f ca="1">IFERROR(__xludf.DUMMYFUNCTION("""COMPUTED_VALUE"""),29899)</f>
        <v>29899</v>
      </c>
      <c r="W224" s="12">
        <f ca="1">IFERROR(__xludf.DUMMYFUNCTION("""COMPUTED_VALUE"""),52801)</f>
        <v>52801</v>
      </c>
      <c r="X224" s="12">
        <f ca="1">IFERROR(__xludf.DUMMYFUNCTION("""COMPUTED_VALUE"""),43619)</f>
        <v>43619</v>
      </c>
      <c r="Y224" s="12">
        <f ca="1">IFERROR(__xludf.DUMMYFUNCTION("""COMPUTED_VALUE"""),18519)</f>
        <v>18519</v>
      </c>
      <c r="Z224" s="12">
        <f ca="1">IFERROR(__xludf.DUMMYFUNCTION("""COMPUTED_VALUE"""),34429)</f>
        <v>34429</v>
      </c>
      <c r="AA224" s="12">
        <f ca="1">IFERROR(__xludf.DUMMYFUNCTION("""COMPUTED_VALUE"""),40708)</f>
        <v>40708</v>
      </c>
      <c r="AB224" s="12">
        <f ca="1">IFERROR(__xludf.DUMMYFUNCTION("""COMPUTED_VALUE"""),33444)</f>
        <v>33444</v>
      </c>
      <c r="AC224" s="12">
        <f ca="1">IFERROR(__xludf.DUMMYFUNCTION("""COMPUTED_VALUE"""),15232)</f>
        <v>15232</v>
      </c>
      <c r="AD224" s="12">
        <f ca="1">IFERROR(__xludf.DUMMYFUNCTION("""COMPUTED_VALUE"""),25914)</f>
        <v>25914</v>
      </c>
      <c r="AE224" s="12">
        <f ca="1">IFERROR(__xludf.DUMMYFUNCTION("""COMPUTED_VALUE"""),24678)</f>
        <v>24678</v>
      </c>
      <c r="AF224" s="8">
        <f ca="1">IFERROR(__xludf.DUMMYFUNCTION("""COMPUTED_VALUE"""),35829)</f>
        <v>35829</v>
      </c>
      <c r="AG224" s="8">
        <f ca="1">IFERROR(__xludf.DUMMYFUNCTION("""COMPUTED_VALUE"""),26477)</f>
        <v>26477</v>
      </c>
      <c r="AH224" s="8">
        <f ca="1">IFERROR(__xludf.DUMMYFUNCTION("""COMPUTED_VALUE"""),28868)</f>
        <v>28868</v>
      </c>
      <c r="AI224" s="8">
        <f ca="1">IFERROR(__xludf.DUMMYFUNCTION("""COMPUTED_VALUE"""),17812)</f>
        <v>17812</v>
      </c>
      <c r="AJ224" s="8">
        <f ca="1">IFERROR(__xludf.DUMMYFUNCTION("""COMPUTED_VALUE"""),20131)</f>
        <v>20131</v>
      </c>
      <c r="AK224" s="8">
        <f ca="1">IFERROR(__xludf.DUMMYFUNCTION("""COMPUTED_VALUE"""),7032)</f>
        <v>7032</v>
      </c>
      <c r="AL224" s="8">
        <f ca="1">IFERROR(__xludf.DUMMYFUNCTION("""COMPUTED_VALUE"""),17337)</f>
        <v>17337</v>
      </c>
      <c r="AM224" s="8">
        <f ca="1">IFERROR(__xludf.DUMMYFUNCTION("""COMPUTED_VALUE"""),27591)</f>
        <v>27591</v>
      </c>
      <c r="AN224" s="8">
        <f ca="1">IFERROR(__xludf.DUMMYFUNCTION("""COMPUTED_VALUE"""),27549)</f>
        <v>27549</v>
      </c>
      <c r="AO224" s="8">
        <f ca="1">IFERROR(__xludf.DUMMYFUNCTION("""COMPUTED_VALUE"""),13595)</f>
        <v>13595</v>
      </c>
      <c r="AP224" s="8"/>
      <c r="AQ224" s="8"/>
      <c r="AR224" s="8"/>
      <c r="AS224" s="8"/>
      <c r="AT224" s="8"/>
      <c r="AU224" s="8"/>
      <c r="AV224" s="8"/>
      <c r="AW224" s="8"/>
      <c r="AX224" s="8"/>
      <c r="AY224" s="8"/>
    </row>
    <row r="225" spans="1:51" ht="13.2" x14ac:dyDescent="0.25">
      <c r="A225" s="12" t="str">
        <f ca="1">IFERROR(__xludf.DUMMYFUNCTION("""COMPUTED_VALUE"""),"                  right Perirhinal area")</f>
        <v xml:space="preserve">                  right Perirhinal area</v>
      </c>
      <c r="B225" s="12">
        <f ca="1">IFERROR(__xludf.DUMMYFUNCTION("""COMPUTED_VALUE"""),1153)</f>
        <v>1153</v>
      </c>
      <c r="C225" s="12">
        <f ca="1">IFERROR(__xludf.DUMMYFUNCTION("""COMPUTED_VALUE"""),1699)</f>
        <v>1699</v>
      </c>
      <c r="D225" s="12">
        <f ca="1">IFERROR(__xludf.DUMMYFUNCTION("""COMPUTED_VALUE"""),2374)</f>
        <v>2374</v>
      </c>
      <c r="E225" s="12">
        <f ca="1">IFERROR(__xludf.DUMMYFUNCTION("""COMPUTED_VALUE"""),465)</f>
        <v>465</v>
      </c>
      <c r="F225" s="12">
        <f ca="1">IFERROR(__xludf.DUMMYFUNCTION("""COMPUTED_VALUE"""),2168)</f>
        <v>2168</v>
      </c>
      <c r="G225" s="12">
        <f ca="1">IFERROR(__xludf.DUMMYFUNCTION("""COMPUTED_VALUE"""),1683)</f>
        <v>1683</v>
      </c>
      <c r="H225" s="12">
        <f ca="1">IFERROR(__xludf.DUMMYFUNCTION("""COMPUTED_VALUE"""),880)</f>
        <v>880</v>
      </c>
      <c r="I225" s="12">
        <f ca="1">IFERROR(__xludf.DUMMYFUNCTION("""COMPUTED_VALUE"""),1137)</f>
        <v>1137</v>
      </c>
      <c r="J225" s="12">
        <f ca="1">IFERROR(__xludf.DUMMYFUNCTION("""COMPUTED_VALUE"""),704)</f>
        <v>704</v>
      </c>
      <c r="K225" s="12">
        <f ca="1">IFERROR(__xludf.DUMMYFUNCTION("""COMPUTED_VALUE"""),2211)</f>
        <v>2211</v>
      </c>
      <c r="L225" s="12">
        <f ca="1">IFERROR(__xludf.DUMMYFUNCTION("""COMPUTED_VALUE"""),2405)</f>
        <v>2405</v>
      </c>
      <c r="M225" s="12">
        <f ca="1">IFERROR(__xludf.DUMMYFUNCTION("""COMPUTED_VALUE"""),2892)</f>
        <v>2892</v>
      </c>
      <c r="N225" s="12">
        <f ca="1">IFERROR(__xludf.DUMMYFUNCTION("""COMPUTED_VALUE"""),1522)</f>
        <v>1522</v>
      </c>
      <c r="O225" s="12">
        <f ca="1">IFERROR(__xludf.DUMMYFUNCTION("""COMPUTED_VALUE"""),2148)</f>
        <v>2148</v>
      </c>
      <c r="P225" s="12">
        <f ca="1">IFERROR(__xludf.DUMMYFUNCTION("""COMPUTED_VALUE"""),1998)</f>
        <v>1998</v>
      </c>
      <c r="Q225" s="12">
        <f ca="1">IFERROR(__xludf.DUMMYFUNCTION("""COMPUTED_VALUE"""),1323)</f>
        <v>1323</v>
      </c>
      <c r="R225" s="12">
        <f ca="1">IFERROR(__xludf.DUMMYFUNCTION("""COMPUTED_VALUE"""),1822)</f>
        <v>1822</v>
      </c>
      <c r="S225" s="12">
        <f ca="1">IFERROR(__xludf.DUMMYFUNCTION("""COMPUTED_VALUE"""),494)</f>
        <v>494</v>
      </c>
      <c r="T225" s="12">
        <f ca="1">IFERROR(__xludf.DUMMYFUNCTION("""COMPUTED_VALUE"""),2264)</f>
        <v>2264</v>
      </c>
      <c r="U225" s="12">
        <f ca="1">IFERROR(__xludf.DUMMYFUNCTION("""COMPUTED_VALUE"""),5041)</f>
        <v>5041</v>
      </c>
      <c r="V225" s="12">
        <f ca="1">IFERROR(__xludf.DUMMYFUNCTION("""COMPUTED_VALUE"""),7054)</f>
        <v>7054</v>
      </c>
      <c r="W225" s="12">
        <f ca="1">IFERROR(__xludf.DUMMYFUNCTION("""COMPUTED_VALUE"""),7924)</f>
        <v>7924</v>
      </c>
      <c r="X225" s="12">
        <f ca="1">IFERROR(__xludf.DUMMYFUNCTION("""COMPUTED_VALUE"""),4705)</f>
        <v>4705</v>
      </c>
      <c r="Y225" s="12">
        <f ca="1">IFERROR(__xludf.DUMMYFUNCTION("""COMPUTED_VALUE"""),2182)</f>
        <v>2182</v>
      </c>
      <c r="Z225" s="12">
        <f ca="1">IFERROR(__xludf.DUMMYFUNCTION("""COMPUTED_VALUE"""),6642)</f>
        <v>6642</v>
      </c>
      <c r="AA225" s="12">
        <f ca="1">IFERROR(__xludf.DUMMYFUNCTION("""COMPUTED_VALUE"""),4025)</f>
        <v>4025</v>
      </c>
      <c r="AB225" s="12">
        <f ca="1">IFERROR(__xludf.DUMMYFUNCTION("""COMPUTED_VALUE"""),2507)</f>
        <v>2507</v>
      </c>
      <c r="AC225" s="12">
        <f ca="1">IFERROR(__xludf.DUMMYFUNCTION("""COMPUTED_VALUE"""),3693)</f>
        <v>3693</v>
      </c>
      <c r="AD225" s="12">
        <f ca="1">IFERROR(__xludf.DUMMYFUNCTION("""COMPUTED_VALUE"""),1938)</f>
        <v>1938</v>
      </c>
      <c r="AE225" s="12">
        <f ca="1">IFERROR(__xludf.DUMMYFUNCTION("""COMPUTED_VALUE"""),3955)</f>
        <v>3955</v>
      </c>
      <c r="AF225" s="8">
        <f ca="1">IFERROR(__xludf.DUMMYFUNCTION("""COMPUTED_VALUE"""),2805)</f>
        <v>2805</v>
      </c>
      <c r="AG225" s="8">
        <f ca="1">IFERROR(__xludf.DUMMYFUNCTION("""COMPUTED_VALUE"""),3425)</f>
        <v>3425</v>
      </c>
      <c r="AH225" s="8">
        <f ca="1">IFERROR(__xludf.DUMMYFUNCTION("""COMPUTED_VALUE"""),3052)</f>
        <v>3052</v>
      </c>
      <c r="AI225" s="8">
        <f ca="1">IFERROR(__xludf.DUMMYFUNCTION("""COMPUTED_VALUE"""),1531)</f>
        <v>1531</v>
      </c>
      <c r="AJ225" s="8">
        <f ca="1">IFERROR(__xludf.DUMMYFUNCTION("""COMPUTED_VALUE"""),3135)</f>
        <v>3135</v>
      </c>
      <c r="AK225" s="8">
        <f ca="1">IFERROR(__xludf.DUMMYFUNCTION("""COMPUTED_VALUE"""),736)</f>
        <v>736</v>
      </c>
      <c r="AL225" s="8">
        <f ca="1">IFERROR(__xludf.DUMMYFUNCTION("""COMPUTED_VALUE"""),3902)</f>
        <v>3902</v>
      </c>
      <c r="AM225" s="8">
        <f ca="1">IFERROR(__xludf.DUMMYFUNCTION("""COMPUTED_VALUE"""),4377)</f>
        <v>4377</v>
      </c>
      <c r="AN225" s="8">
        <f ca="1">IFERROR(__xludf.DUMMYFUNCTION("""COMPUTED_VALUE"""),2111)</f>
        <v>2111</v>
      </c>
      <c r="AO225" s="8">
        <f ca="1">IFERROR(__xludf.DUMMYFUNCTION("""COMPUTED_VALUE"""),4287)</f>
        <v>4287</v>
      </c>
      <c r="AP225" s="8"/>
      <c r="AQ225" s="8"/>
      <c r="AR225" s="8"/>
      <c r="AS225" s="8"/>
      <c r="AT225" s="8"/>
      <c r="AU225" s="8"/>
      <c r="AV225" s="8"/>
      <c r="AW225" s="8"/>
      <c r="AX225" s="8"/>
      <c r="AY225" s="8"/>
    </row>
    <row r="226" spans="1:51" ht="13.2" x14ac:dyDescent="0.25">
      <c r="A226" s="12" t="str">
        <f ca="1">IFERROR(__xludf.DUMMYFUNCTION("""COMPUTED_VALUE"""),"                  right Ectorhinal area")</f>
        <v xml:space="preserve">                  right Ectorhinal area</v>
      </c>
      <c r="B226" s="12">
        <f ca="1">IFERROR(__xludf.DUMMYFUNCTION("""COMPUTED_VALUE"""),4524)</f>
        <v>4524</v>
      </c>
      <c r="C226" s="12">
        <f ca="1">IFERROR(__xludf.DUMMYFUNCTION("""COMPUTED_VALUE"""),10365)</f>
        <v>10365</v>
      </c>
      <c r="D226" s="12">
        <f ca="1">IFERROR(__xludf.DUMMYFUNCTION("""COMPUTED_VALUE"""),12457)</f>
        <v>12457</v>
      </c>
      <c r="E226" s="12">
        <f ca="1">IFERROR(__xludf.DUMMYFUNCTION("""COMPUTED_VALUE"""),3928)</f>
        <v>3928</v>
      </c>
      <c r="F226" s="12">
        <f ca="1">IFERROR(__xludf.DUMMYFUNCTION("""COMPUTED_VALUE"""),10601)</f>
        <v>10601</v>
      </c>
      <c r="G226" s="12">
        <f ca="1">IFERROR(__xludf.DUMMYFUNCTION("""COMPUTED_VALUE"""),6876)</f>
        <v>6876</v>
      </c>
      <c r="H226" s="12">
        <f ca="1">IFERROR(__xludf.DUMMYFUNCTION("""COMPUTED_VALUE"""),3178)</f>
        <v>3178</v>
      </c>
      <c r="I226" s="12">
        <f ca="1">IFERROR(__xludf.DUMMYFUNCTION("""COMPUTED_VALUE"""),6052)</f>
        <v>6052</v>
      </c>
      <c r="J226" s="12">
        <f ca="1">IFERROR(__xludf.DUMMYFUNCTION("""COMPUTED_VALUE"""),5994)</f>
        <v>5994</v>
      </c>
      <c r="K226" s="12">
        <f ca="1">IFERROR(__xludf.DUMMYFUNCTION("""COMPUTED_VALUE"""),9886)</f>
        <v>9886</v>
      </c>
      <c r="L226" s="12">
        <f ca="1">IFERROR(__xludf.DUMMYFUNCTION("""COMPUTED_VALUE"""),5263)</f>
        <v>5263</v>
      </c>
      <c r="M226" s="12">
        <f ca="1">IFERROR(__xludf.DUMMYFUNCTION("""COMPUTED_VALUE"""),11644)</f>
        <v>11644</v>
      </c>
      <c r="N226" s="12">
        <f ca="1">IFERROR(__xludf.DUMMYFUNCTION("""COMPUTED_VALUE"""),2954)</f>
        <v>2954</v>
      </c>
      <c r="O226" s="12">
        <f ca="1">IFERROR(__xludf.DUMMYFUNCTION("""COMPUTED_VALUE"""),10301)</f>
        <v>10301</v>
      </c>
      <c r="P226" s="12">
        <f ca="1">IFERROR(__xludf.DUMMYFUNCTION("""COMPUTED_VALUE"""),5045)</f>
        <v>5045</v>
      </c>
      <c r="Q226" s="12">
        <f ca="1">IFERROR(__xludf.DUMMYFUNCTION("""COMPUTED_VALUE"""),4147)</f>
        <v>4147</v>
      </c>
      <c r="R226" s="12">
        <f ca="1">IFERROR(__xludf.DUMMYFUNCTION("""COMPUTED_VALUE"""),4095)</f>
        <v>4095</v>
      </c>
      <c r="S226" s="12">
        <f ca="1">IFERROR(__xludf.DUMMYFUNCTION("""COMPUTED_VALUE"""),834)</f>
        <v>834</v>
      </c>
      <c r="T226" s="12">
        <f ca="1">IFERROR(__xludf.DUMMYFUNCTION("""COMPUTED_VALUE"""),7260)</f>
        <v>7260</v>
      </c>
      <c r="U226" s="12">
        <f ca="1">IFERROR(__xludf.DUMMYFUNCTION("""COMPUTED_VALUE"""),16134)</f>
        <v>16134</v>
      </c>
      <c r="V226" s="12">
        <f ca="1">IFERROR(__xludf.DUMMYFUNCTION("""COMPUTED_VALUE"""),17395)</f>
        <v>17395</v>
      </c>
      <c r="W226" s="12">
        <f ca="1">IFERROR(__xludf.DUMMYFUNCTION("""COMPUTED_VALUE"""),26202)</f>
        <v>26202</v>
      </c>
      <c r="X226" s="12">
        <f ca="1">IFERROR(__xludf.DUMMYFUNCTION("""COMPUTED_VALUE"""),14314)</f>
        <v>14314</v>
      </c>
      <c r="Y226" s="12">
        <f ca="1">IFERROR(__xludf.DUMMYFUNCTION("""COMPUTED_VALUE"""),4775)</f>
        <v>4775</v>
      </c>
      <c r="Z226" s="12">
        <f ca="1">IFERROR(__xludf.DUMMYFUNCTION("""COMPUTED_VALUE"""),18489)</f>
        <v>18489</v>
      </c>
      <c r="AA226" s="12">
        <f ca="1">IFERROR(__xludf.DUMMYFUNCTION("""COMPUTED_VALUE"""),16558)</f>
        <v>16558</v>
      </c>
      <c r="AB226" s="12">
        <f ca="1">IFERROR(__xludf.DUMMYFUNCTION("""COMPUTED_VALUE"""),12045)</f>
        <v>12045</v>
      </c>
      <c r="AC226" s="12">
        <f ca="1">IFERROR(__xludf.DUMMYFUNCTION("""COMPUTED_VALUE"""),9297)</f>
        <v>9297</v>
      </c>
      <c r="AD226" s="12">
        <f ca="1">IFERROR(__xludf.DUMMYFUNCTION("""COMPUTED_VALUE"""),7204)</f>
        <v>7204</v>
      </c>
      <c r="AE226" s="12">
        <f ca="1">IFERROR(__xludf.DUMMYFUNCTION("""COMPUTED_VALUE"""),8575)</f>
        <v>8575</v>
      </c>
      <c r="AF226" s="8">
        <f ca="1">IFERROR(__xludf.DUMMYFUNCTION("""COMPUTED_VALUE"""),12184)</f>
        <v>12184</v>
      </c>
      <c r="AG226" s="8">
        <f ca="1">IFERROR(__xludf.DUMMYFUNCTION("""COMPUTED_VALUE"""),11686)</f>
        <v>11686</v>
      </c>
      <c r="AH226" s="8">
        <f ca="1">IFERROR(__xludf.DUMMYFUNCTION("""COMPUTED_VALUE"""),11474)</f>
        <v>11474</v>
      </c>
      <c r="AI226" s="8">
        <f ca="1">IFERROR(__xludf.DUMMYFUNCTION("""COMPUTED_VALUE"""),6018)</f>
        <v>6018</v>
      </c>
      <c r="AJ226" s="8">
        <f ca="1">IFERROR(__xludf.DUMMYFUNCTION("""COMPUTED_VALUE"""),11576)</f>
        <v>11576</v>
      </c>
      <c r="AK226" s="8">
        <f ca="1">IFERROR(__xludf.DUMMYFUNCTION("""COMPUTED_VALUE"""),2511)</f>
        <v>2511</v>
      </c>
      <c r="AL226" s="8">
        <f ca="1">IFERROR(__xludf.DUMMYFUNCTION("""COMPUTED_VALUE"""),9574)</f>
        <v>9574</v>
      </c>
      <c r="AM226" s="8">
        <f ca="1">IFERROR(__xludf.DUMMYFUNCTION("""COMPUTED_VALUE"""),9943)</f>
        <v>9943</v>
      </c>
      <c r="AN226" s="8">
        <f ca="1">IFERROR(__xludf.DUMMYFUNCTION("""COMPUTED_VALUE"""),5390)</f>
        <v>5390</v>
      </c>
      <c r="AO226" s="8">
        <f ca="1">IFERROR(__xludf.DUMMYFUNCTION("""COMPUTED_VALUE"""),8983)</f>
        <v>8983</v>
      </c>
      <c r="AP226" s="8"/>
      <c r="AQ226" s="8"/>
      <c r="AR226" s="8"/>
      <c r="AS226" s="8"/>
      <c r="AT226" s="8"/>
      <c r="AU226" s="8"/>
      <c r="AV226" s="8"/>
      <c r="AW226" s="8"/>
      <c r="AX226" s="8"/>
      <c r="AY226" s="8"/>
    </row>
    <row r="227" spans="1:51" ht="13.2" x14ac:dyDescent="0.25">
      <c r="A227" s="12" t="str">
        <f ca="1">IFERROR(__xludf.DUMMYFUNCTION("""COMPUTED_VALUE"""),"               right Olfactory areas")</f>
        <v xml:space="preserve">               right Olfactory areas</v>
      </c>
      <c r="B227" s="12">
        <f ca="1">IFERROR(__xludf.DUMMYFUNCTION("""COMPUTED_VALUE"""),134409)</f>
        <v>134409</v>
      </c>
      <c r="C227" s="12">
        <f ca="1">IFERROR(__xludf.DUMMYFUNCTION("""COMPUTED_VALUE"""),158356)</f>
        <v>158356</v>
      </c>
      <c r="D227" s="12">
        <f ca="1">IFERROR(__xludf.DUMMYFUNCTION("""COMPUTED_VALUE"""),145766)</f>
        <v>145766</v>
      </c>
      <c r="E227" s="12">
        <f ca="1">IFERROR(__xludf.DUMMYFUNCTION("""COMPUTED_VALUE"""),115719)</f>
        <v>115719</v>
      </c>
      <c r="F227" s="12">
        <f ca="1">IFERROR(__xludf.DUMMYFUNCTION("""COMPUTED_VALUE"""),123059)</f>
        <v>123059</v>
      </c>
      <c r="G227" s="12">
        <f ca="1">IFERROR(__xludf.DUMMYFUNCTION("""COMPUTED_VALUE"""),71997)</f>
        <v>71997</v>
      </c>
      <c r="H227" s="12">
        <f ca="1">IFERROR(__xludf.DUMMYFUNCTION("""COMPUTED_VALUE"""),62979)</f>
        <v>62979</v>
      </c>
      <c r="I227" s="12">
        <f ca="1">IFERROR(__xludf.DUMMYFUNCTION("""COMPUTED_VALUE"""),41136)</f>
        <v>41136</v>
      </c>
      <c r="J227" s="12">
        <f ca="1">IFERROR(__xludf.DUMMYFUNCTION("""COMPUTED_VALUE"""),68330)</f>
        <v>68330</v>
      </c>
      <c r="K227" s="12">
        <f ca="1">IFERROR(__xludf.DUMMYFUNCTION("""COMPUTED_VALUE"""),101186)</f>
        <v>101186</v>
      </c>
      <c r="L227" s="12">
        <f ca="1">IFERROR(__xludf.DUMMYFUNCTION("""COMPUTED_VALUE"""),204854)</f>
        <v>204854</v>
      </c>
      <c r="M227" s="12">
        <f ca="1">IFERROR(__xludf.DUMMYFUNCTION("""COMPUTED_VALUE"""),194003)</f>
        <v>194003</v>
      </c>
      <c r="N227" s="12">
        <f ca="1">IFERROR(__xludf.DUMMYFUNCTION("""COMPUTED_VALUE"""),97786)</f>
        <v>97786</v>
      </c>
      <c r="O227" s="12">
        <f ca="1">IFERROR(__xludf.DUMMYFUNCTION("""COMPUTED_VALUE"""),226699)</f>
        <v>226699</v>
      </c>
      <c r="P227" s="12">
        <f ca="1">IFERROR(__xludf.DUMMYFUNCTION("""COMPUTED_VALUE"""),150463)</f>
        <v>150463</v>
      </c>
      <c r="Q227" s="12">
        <f ca="1">IFERROR(__xludf.DUMMYFUNCTION("""COMPUTED_VALUE"""),59381)</f>
        <v>59381</v>
      </c>
      <c r="R227" s="12">
        <f ca="1">IFERROR(__xludf.DUMMYFUNCTION("""COMPUTED_VALUE"""),138021)</f>
        <v>138021</v>
      </c>
      <c r="S227" s="12">
        <f ca="1">IFERROR(__xludf.DUMMYFUNCTION("""COMPUTED_VALUE"""),66828)</f>
        <v>66828</v>
      </c>
      <c r="T227" s="12">
        <f ca="1">IFERROR(__xludf.DUMMYFUNCTION("""COMPUTED_VALUE"""),153767)</f>
        <v>153767</v>
      </c>
      <c r="U227" s="12">
        <f ca="1">IFERROR(__xludf.DUMMYFUNCTION("""COMPUTED_VALUE"""),146601)</f>
        <v>146601</v>
      </c>
      <c r="V227" s="12">
        <f ca="1">IFERROR(__xludf.DUMMYFUNCTION("""COMPUTED_VALUE"""),188447)</f>
        <v>188447</v>
      </c>
      <c r="W227" s="12">
        <f ca="1">IFERROR(__xludf.DUMMYFUNCTION("""COMPUTED_VALUE"""),369161)</f>
        <v>369161</v>
      </c>
      <c r="X227" s="12">
        <f ca="1">IFERROR(__xludf.DUMMYFUNCTION("""COMPUTED_VALUE"""),406172)</f>
        <v>406172</v>
      </c>
      <c r="Y227" s="12">
        <f ca="1">IFERROR(__xludf.DUMMYFUNCTION("""COMPUTED_VALUE"""),133623)</f>
        <v>133623</v>
      </c>
      <c r="Z227" s="12">
        <f ca="1">IFERROR(__xludf.DUMMYFUNCTION("""COMPUTED_VALUE"""),261099)</f>
        <v>261099</v>
      </c>
      <c r="AA227" s="12">
        <f ca="1">IFERROR(__xludf.DUMMYFUNCTION("""COMPUTED_VALUE"""),284248)</f>
        <v>284248</v>
      </c>
      <c r="AB227" s="12">
        <f ca="1">IFERROR(__xludf.DUMMYFUNCTION("""COMPUTED_VALUE"""),189346)</f>
        <v>189346</v>
      </c>
      <c r="AC227" s="12">
        <f ca="1">IFERROR(__xludf.DUMMYFUNCTION("""COMPUTED_VALUE"""),148095)</f>
        <v>148095</v>
      </c>
      <c r="AD227" s="12">
        <f ca="1">IFERROR(__xludf.DUMMYFUNCTION("""COMPUTED_VALUE"""),232300)</f>
        <v>232300</v>
      </c>
      <c r="AE227" s="12">
        <f ca="1">IFERROR(__xludf.DUMMYFUNCTION("""COMPUTED_VALUE"""),179110)</f>
        <v>179110</v>
      </c>
      <c r="AF227" s="8">
        <f ca="1">IFERROR(__xludf.DUMMYFUNCTION("""COMPUTED_VALUE"""),402617)</f>
        <v>402617</v>
      </c>
      <c r="AG227" s="8">
        <f ca="1">IFERROR(__xludf.DUMMYFUNCTION("""COMPUTED_VALUE"""),138474)</f>
        <v>138474</v>
      </c>
      <c r="AH227" s="8">
        <f ca="1">IFERROR(__xludf.DUMMYFUNCTION("""COMPUTED_VALUE"""),232694)</f>
        <v>232694</v>
      </c>
      <c r="AI227" s="8">
        <f ca="1">IFERROR(__xludf.DUMMYFUNCTION("""COMPUTED_VALUE"""),97335)</f>
        <v>97335</v>
      </c>
      <c r="AJ227" s="8">
        <f ca="1">IFERROR(__xludf.DUMMYFUNCTION("""COMPUTED_VALUE"""),147700)</f>
        <v>147700</v>
      </c>
      <c r="AK227" s="8">
        <f ca="1">IFERROR(__xludf.DUMMYFUNCTION("""COMPUTED_VALUE"""),85011)</f>
        <v>85011</v>
      </c>
      <c r="AL227" s="8">
        <f ca="1">IFERROR(__xludf.DUMMYFUNCTION("""COMPUTED_VALUE"""),163635)</f>
        <v>163635</v>
      </c>
      <c r="AM227" s="8">
        <f ca="1">IFERROR(__xludf.DUMMYFUNCTION("""COMPUTED_VALUE"""),189764)</f>
        <v>189764</v>
      </c>
      <c r="AN227" s="8">
        <f ca="1">IFERROR(__xludf.DUMMYFUNCTION("""COMPUTED_VALUE"""),133959)</f>
        <v>133959</v>
      </c>
      <c r="AO227" s="8">
        <f ca="1">IFERROR(__xludf.DUMMYFUNCTION("""COMPUTED_VALUE"""),153414)</f>
        <v>153414</v>
      </c>
      <c r="AP227" s="8"/>
      <c r="AQ227" s="8"/>
      <c r="AR227" s="8"/>
      <c r="AS227" s="8"/>
      <c r="AT227" s="8"/>
      <c r="AU227" s="8"/>
      <c r="AV227" s="8"/>
      <c r="AW227" s="8"/>
      <c r="AX227" s="8"/>
      <c r="AY227" s="8"/>
    </row>
    <row r="228" spans="1:51" ht="13.2" x14ac:dyDescent="0.25">
      <c r="A228" s="12" t="str">
        <f ca="1">IFERROR(__xludf.DUMMYFUNCTION("""COMPUTED_VALUE"""),"                  right Main olfactory bulb")</f>
        <v xml:space="preserve">                  right Main olfactory bulb</v>
      </c>
      <c r="B228" s="12">
        <f ca="1">IFERROR(__xludf.DUMMYFUNCTION("""COMPUTED_VALUE"""),66175)</f>
        <v>66175</v>
      </c>
      <c r="C228" s="12">
        <f ca="1">IFERROR(__xludf.DUMMYFUNCTION("""COMPUTED_VALUE"""),47515)</f>
        <v>47515</v>
      </c>
      <c r="D228" s="12">
        <f ca="1">IFERROR(__xludf.DUMMYFUNCTION("""COMPUTED_VALUE"""),58364)</f>
        <v>58364</v>
      </c>
      <c r="E228" s="12">
        <f ca="1">IFERROR(__xludf.DUMMYFUNCTION("""COMPUTED_VALUE"""),45180)</f>
        <v>45180</v>
      </c>
      <c r="F228" s="12">
        <f ca="1">IFERROR(__xludf.DUMMYFUNCTION("""COMPUTED_VALUE"""),39106)</f>
        <v>39106</v>
      </c>
      <c r="G228" s="12">
        <f ca="1">IFERROR(__xludf.DUMMYFUNCTION("""COMPUTED_VALUE"""),31419)</f>
        <v>31419</v>
      </c>
      <c r="H228" s="12">
        <f ca="1">IFERROR(__xludf.DUMMYFUNCTION("""COMPUTED_VALUE"""),18866)</f>
        <v>18866</v>
      </c>
      <c r="I228" s="12">
        <f ca="1">IFERROR(__xludf.DUMMYFUNCTION("""COMPUTED_VALUE"""),18777)</f>
        <v>18777</v>
      </c>
      <c r="J228" s="12">
        <f ca="1">IFERROR(__xludf.DUMMYFUNCTION("""COMPUTED_VALUE"""),10776)</f>
        <v>10776</v>
      </c>
      <c r="K228" s="12">
        <f ca="1">IFERROR(__xludf.DUMMYFUNCTION("""COMPUTED_VALUE"""),18892)</f>
        <v>18892</v>
      </c>
      <c r="L228" s="12">
        <f ca="1">IFERROR(__xludf.DUMMYFUNCTION("""COMPUTED_VALUE"""),69634)</f>
        <v>69634</v>
      </c>
      <c r="M228" s="12">
        <f ca="1">IFERROR(__xludf.DUMMYFUNCTION("""COMPUTED_VALUE"""),60356)</f>
        <v>60356</v>
      </c>
      <c r="N228" s="12">
        <f ca="1">IFERROR(__xludf.DUMMYFUNCTION("""COMPUTED_VALUE"""),27929)</f>
        <v>27929</v>
      </c>
      <c r="O228" s="12">
        <f ca="1">IFERROR(__xludf.DUMMYFUNCTION("""COMPUTED_VALUE"""),101158)</f>
        <v>101158</v>
      </c>
      <c r="P228" s="12">
        <f ca="1">IFERROR(__xludf.DUMMYFUNCTION("""COMPUTED_VALUE"""),64008)</f>
        <v>64008</v>
      </c>
      <c r="Q228" s="12">
        <f ca="1">IFERROR(__xludf.DUMMYFUNCTION("""COMPUTED_VALUE"""),22010)</f>
        <v>22010</v>
      </c>
      <c r="R228" s="12">
        <f ca="1">IFERROR(__xludf.DUMMYFUNCTION("""COMPUTED_VALUE"""),59384)</f>
        <v>59384</v>
      </c>
      <c r="S228" s="12">
        <f ca="1">IFERROR(__xludf.DUMMYFUNCTION("""COMPUTED_VALUE"""),28159)</f>
        <v>28159</v>
      </c>
      <c r="T228" s="12">
        <f ca="1">IFERROR(__xludf.DUMMYFUNCTION("""COMPUTED_VALUE"""),34095)</f>
        <v>34095</v>
      </c>
      <c r="U228" s="12">
        <f ca="1">IFERROR(__xludf.DUMMYFUNCTION("""COMPUTED_VALUE"""),37281)</f>
        <v>37281</v>
      </c>
      <c r="V228" s="12">
        <f ca="1">IFERROR(__xludf.DUMMYFUNCTION("""COMPUTED_VALUE"""),60532)</f>
        <v>60532</v>
      </c>
      <c r="W228" s="12">
        <f ca="1">IFERROR(__xludf.DUMMYFUNCTION("""COMPUTED_VALUE"""),136562)</f>
        <v>136562</v>
      </c>
      <c r="X228" s="12">
        <f ca="1">IFERROR(__xludf.DUMMYFUNCTION("""COMPUTED_VALUE"""),134516)</f>
        <v>134516</v>
      </c>
      <c r="Y228" s="12">
        <f ca="1">IFERROR(__xludf.DUMMYFUNCTION("""COMPUTED_VALUE"""),53037)</f>
        <v>53037</v>
      </c>
      <c r="Z228" s="12">
        <f ca="1">IFERROR(__xludf.DUMMYFUNCTION("""COMPUTED_VALUE"""),97418)</f>
        <v>97418</v>
      </c>
      <c r="AA228" s="12">
        <f ca="1">IFERROR(__xludf.DUMMYFUNCTION("""COMPUTED_VALUE"""),90977)</f>
        <v>90977</v>
      </c>
      <c r="AB228" s="12">
        <f ca="1">IFERROR(__xludf.DUMMYFUNCTION("""COMPUTED_VALUE"""),69916)</f>
        <v>69916</v>
      </c>
      <c r="AC228" s="12">
        <f ca="1">IFERROR(__xludf.DUMMYFUNCTION("""COMPUTED_VALUE"""),78425)</f>
        <v>78425</v>
      </c>
      <c r="AD228" s="12">
        <f ca="1">IFERROR(__xludf.DUMMYFUNCTION("""COMPUTED_VALUE"""),91562)</f>
        <v>91562</v>
      </c>
      <c r="AE228" s="12">
        <f ca="1">IFERROR(__xludf.DUMMYFUNCTION("""COMPUTED_VALUE"""),1450)</f>
        <v>1450</v>
      </c>
      <c r="AF228" s="8">
        <f ca="1">IFERROR(__xludf.DUMMYFUNCTION("""COMPUTED_VALUE"""),135447)</f>
        <v>135447</v>
      </c>
      <c r="AG228" s="8">
        <f ca="1">IFERROR(__xludf.DUMMYFUNCTION("""COMPUTED_VALUE"""),44880)</f>
        <v>44880</v>
      </c>
      <c r="AH228" s="8">
        <f ca="1">IFERROR(__xludf.DUMMYFUNCTION("""COMPUTED_VALUE"""),70021)</f>
        <v>70021</v>
      </c>
      <c r="AI228" s="8">
        <f ca="1">IFERROR(__xludf.DUMMYFUNCTION("""COMPUTED_VALUE"""),30639)</f>
        <v>30639</v>
      </c>
      <c r="AJ228" s="8">
        <f ca="1">IFERROR(__xludf.DUMMYFUNCTION("""COMPUTED_VALUE"""),41047)</f>
        <v>41047</v>
      </c>
      <c r="AK228" s="8">
        <f ca="1">IFERROR(__xludf.DUMMYFUNCTION("""COMPUTED_VALUE"""),20271)</f>
        <v>20271</v>
      </c>
      <c r="AL228" s="8">
        <f ca="1">IFERROR(__xludf.DUMMYFUNCTION("""COMPUTED_VALUE"""),69276)</f>
        <v>69276</v>
      </c>
      <c r="AM228" s="8">
        <f ca="1">IFERROR(__xludf.DUMMYFUNCTION("""COMPUTED_VALUE"""),65237)</f>
        <v>65237</v>
      </c>
      <c r="AN228" s="8">
        <f ca="1">IFERROR(__xludf.DUMMYFUNCTION("""COMPUTED_VALUE"""),45592)</f>
        <v>45592</v>
      </c>
      <c r="AO228" s="8">
        <f ca="1">IFERROR(__xludf.DUMMYFUNCTION("""COMPUTED_VALUE"""),48641)</f>
        <v>48641</v>
      </c>
      <c r="AP228" s="8"/>
      <c r="AQ228" s="8"/>
      <c r="AR228" s="8"/>
      <c r="AS228" s="8"/>
      <c r="AT228" s="8"/>
      <c r="AU228" s="8"/>
      <c r="AV228" s="8"/>
      <c r="AW228" s="8"/>
      <c r="AX228" s="8"/>
      <c r="AY228" s="8"/>
    </row>
    <row r="229" spans="1:51" ht="13.2" x14ac:dyDescent="0.25">
      <c r="A229" s="12" t="str">
        <f ca="1">IFERROR(__xludf.DUMMYFUNCTION("""COMPUTED_VALUE"""),"                  right Accessory olfactory bulb")</f>
        <v xml:space="preserve">                  right Accessory olfactory bulb</v>
      </c>
      <c r="B229" s="12">
        <f ca="1">IFERROR(__xludf.DUMMYFUNCTION("""COMPUTED_VALUE"""),2281)</f>
        <v>2281</v>
      </c>
      <c r="C229" s="12">
        <f ca="1">IFERROR(__xludf.DUMMYFUNCTION("""COMPUTED_VALUE"""),1294)</f>
        <v>1294</v>
      </c>
      <c r="D229" s="12">
        <f ca="1">IFERROR(__xludf.DUMMYFUNCTION("""COMPUTED_VALUE"""),2126)</f>
        <v>2126</v>
      </c>
      <c r="E229" s="12">
        <f ca="1">IFERROR(__xludf.DUMMYFUNCTION("""COMPUTED_VALUE"""),2117)</f>
        <v>2117</v>
      </c>
      <c r="F229" s="12">
        <f ca="1">IFERROR(__xludf.DUMMYFUNCTION("""COMPUTED_VALUE"""),2732)</f>
        <v>2732</v>
      </c>
      <c r="G229" s="12">
        <f ca="1">IFERROR(__xludf.DUMMYFUNCTION("""COMPUTED_VALUE"""),1824)</f>
        <v>1824</v>
      </c>
      <c r="H229" s="12">
        <f ca="1">IFERROR(__xludf.DUMMYFUNCTION("""COMPUTED_VALUE"""),529)</f>
        <v>529</v>
      </c>
      <c r="I229" s="12">
        <f ca="1">IFERROR(__xludf.DUMMYFUNCTION("""COMPUTED_VALUE"""),967)</f>
        <v>967</v>
      </c>
      <c r="J229" s="12">
        <f ca="1">IFERROR(__xludf.DUMMYFUNCTION("""COMPUTED_VALUE"""),528)</f>
        <v>528</v>
      </c>
      <c r="K229" s="12">
        <f ca="1">IFERROR(__xludf.DUMMYFUNCTION("""COMPUTED_VALUE"""),241)</f>
        <v>241</v>
      </c>
      <c r="L229" s="12">
        <f ca="1">IFERROR(__xludf.DUMMYFUNCTION("""COMPUTED_VALUE"""),2938)</f>
        <v>2938</v>
      </c>
      <c r="M229" s="12">
        <f ca="1">IFERROR(__xludf.DUMMYFUNCTION("""COMPUTED_VALUE"""),2893)</f>
        <v>2893</v>
      </c>
      <c r="N229" s="12">
        <f ca="1">IFERROR(__xludf.DUMMYFUNCTION("""COMPUTED_VALUE"""),2255)</f>
        <v>2255</v>
      </c>
      <c r="O229" s="12">
        <f ca="1">IFERROR(__xludf.DUMMYFUNCTION("""COMPUTED_VALUE"""),5236)</f>
        <v>5236</v>
      </c>
      <c r="P229" s="12">
        <f ca="1">IFERROR(__xludf.DUMMYFUNCTION("""COMPUTED_VALUE"""),1243)</f>
        <v>1243</v>
      </c>
      <c r="Q229" s="12">
        <f ca="1">IFERROR(__xludf.DUMMYFUNCTION("""COMPUTED_VALUE"""),405)</f>
        <v>405</v>
      </c>
      <c r="R229" s="12">
        <f ca="1">IFERROR(__xludf.DUMMYFUNCTION("""COMPUTED_VALUE"""),3777)</f>
        <v>3777</v>
      </c>
      <c r="S229" s="12">
        <f ca="1">IFERROR(__xludf.DUMMYFUNCTION("""COMPUTED_VALUE"""),1235)</f>
        <v>1235</v>
      </c>
      <c r="T229" s="12">
        <f ca="1">IFERROR(__xludf.DUMMYFUNCTION("""COMPUTED_VALUE"""),1120)</f>
        <v>1120</v>
      </c>
      <c r="U229" s="12">
        <f ca="1">IFERROR(__xludf.DUMMYFUNCTION("""COMPUTED_VALUE"""),2763)</f>
        <v>2763</v>
      </c>
      <c r="V229" s="12">
        <f ca="1">IFERROR(__xludf.DUMMYFUNCTION("""COMPUTED_VALUE"""),1895)</f>
        <v>1895</v>
      </c>
      <c r="W229" s="12">
        <f ca="1">IFERROR(__xludf.DUMMYFUNCTION("""COMPUTED_VALUE"""),4627)</f>
        <v>4627</v>
      </c>
      <c r="X229" s="12">
        <f ca="1">IFERROR(__xludf.DUMMYFUNCTION("""COMPUTED_VALUE"""),7256)</f>
        <v>7256</v>
      </c>
      <c r="Y229" s="12">
        <f ca="1">IFERROR(__xludf.DUMMYFUNCTION("""COMPUTED_VALUE"""),3571)</f>
        <v>3571</v>
      </c>
      <c r="Z229" s="12">
        <f ca="1">IFERROR(__xludf.DUMMYFUNCTION("""COMPUTED_VALUE"""),9970)</f>
        <v>9970</v>
      </c>
      <c r="AA229" s="12">
        <f ca="1">IFERROR(__xludf.DUMMYFUNCTION("""COMPUTED_VALUE"""),5637)</f>
        <v>5637</v>
      </c>
      <c r="AB229" s="12">
        <f ca="1">IFERROR(__xludf.DUMMYFUNCTION("""COMPUTED_VALUE"""),3066)</f>
        <v>3066</v>
      </c>
      <c r="AC229" s="12">
        <f ca="1">IFERROR(__xludf.DUMMYFUNCTION("""COMPUTED_VALUE"""),5601)</f>
        <v>5601</v>
      </c>
      <c r="AD229" s="12">
        <f ca="1">IFERROR(__xludf.DUMMYFUNCTION("""COMPUTED_VALUE"""),3836)</f>
        <v>3836</v>
      </c>
      <c r="AE229" s="12">
        <f ca="1">IFERROR(__xludf.DUMMYFUNCTION("""COMPUTED_VALUE"""),0)</f>
        <v>0</v>
      </c>
      <c r="AF229" s="8">
        <f ca="1">IFERROR(__xludf.DUMMYFUNCTION("""COMPUTED_VALUE"""),7318)</f>
        <v>7318</v>
      </c>
      <c r="AG229" s="8">
        <f ca="1">IFERROR(__xludf.DUMMYFUNCTION("""COMPUTED_VALUE"""),2261)</f>
        <v>2261</v>
      </c>
      <c r="AH229" s="8">
        <f ca="1">IFERROR(__xludf.DUMMYFUNCTION("""COMPUTED_VALUE"""),2240)</f>
        <v>2240</v>
      </c>
      <c r="AI229" s="8">
        <f ca="1">IFERROR(__xludf.DUMMYFUNCTION("""COMPUTED_VALUE"""),469)</f>
        <v>469</v>
      </c>
      <c r="AJ229" s="8">
        <f ca="1">IFERROR(__xludf.DUMMYFUNCTION("""COMPUTED_VALUE"""),2916)</f>
        <v>2916</v>
      </c>
      <c r="AK229" s="8">
        <f ca="1">IFERROR(__xludf.DUMMYFUNCTION("""COMPUTED_VALUE"""),4506)</f>
        <v>4506</v>
      </c>
      <c r="AL229" s="8">
        <f ca="1">IFERROR(__xludf.DUMMYFUNCTION("""COMPUTED_VALUE"""),3146)</f>
        <v>3146</v>
      </c>
      <c r="AM229" s="8">
        <f ca="1">IFERROR(__xludf.DUMMYFUNCTION("""COMPUTED_VALUE"""),4389)</f>
        <v>4389</v>
      </c>
      <c r="AN229" s="8">
        <f ca="1">IFERROR(__xludf.DUMMYFUNCTION("""COMPUTED_VALUE"""),3930)</f>
        <v>3930</v>
      </c>
      <c r="AO229" s="8">
        <f ca="1">IFERROR(__xludf.DUMMYFUNCTION("""COMPUTED_VALUE"""),1817)</f>
        <v>1817</v>
      </c>
      <c r="AP229" s="8"/>
      <c r="AQ229" s="8"/>
      <c r="AR229" s="8"/>
      <c r="AS229" s="8"/>
      <c r="AT229" s="8"/>
      <c r="AU229" s="8"/>
      <c r="AV229" s="8"/>
      <c r="AW229" s="8"/>
      <c r="AX229" s="8"/>
      <c r="AY229" s="8"/>
    </row>
    <row r="230" spans="1:51" ht="13.2" x14ac:dyDescent="0.25">
      <c r="A230" s="12" t="str">
        <f ca="1">IFERROR(__xludf.DUMMYFUNCTION("""COMPUTED_VALUE"""),"                  right Anterior olfactory nucleus")</f>
        <v xml:space="preserve">                  right Anterior olfactory nucleus</v>
      </c>
      <c r="B230" s="12">
        <f ca="1">IFERROR(__xludf.DUMMYFUNCTION("""COMPUTED_VALUE"""),17379)</f>
        <v>17379</v>
      </c>
      <c r="C230" s="12">
        <f ca="1">IFERROR(__xludf.DUMMYFUNCTION("""COMPUTED_VALUE"""),33536)</f>
        <v>33536</v>
      </c>
      <c r="D230" s="12">
        <f ca="1">IFERROR(__xludf.DUMMYFUNCTION("""COMPUTED_VALUE"""),6012)</f>
        <v>6012</v>
      </c>
      <c r="E230" s="12">
        <f ca="1">IFERROR(__xludf.DUMMYFUNCTION("""COMPUTED_VALUE"""),16338)</f>
        <v>16338</v>
      </c>
      <c r="F230" s="12">
        <f ca="1">IFERROR(__xludf.DUMMYFUNCTION("""COMPUTED_VALUE"""),24693)</f>
        <v>24693</v>
      </c>
      <c r="G230" s="12">
        <f ca="1">IFERROR(__xludf.DUMMYFUNCTION("""COMPUTED_VALUE"""),11860)</f>
        <v>11860</v>
      </c>
      <c r="H230" s="12">
        <f ca="1">IFERROR(__xludf.DUMMYFUNCTION("""COMPUTED_VALUE"""),16871)</f>
        <v>16871</v>
      </c>
      <c r="I230" s="12">
        <f ca="1">IFERROR(__xludf.DUMMYFUNCTION("""COMPUTED_VALUE"""),4143)</f>
        <v>4143</v>
      </c>
      <c r="J230" s="12">
        <f ca="1">IFERROR(__xludf.DUMMYFUNCTION("""COMPUTED_VALUE"""),15731)</f>
        <v>15731</v>
      </c>
      <c r="K230" s="12">
        <f ca="1">IFERROR(__xludf.DUMMYFUNCTION("""COMPUTED_VALUE"""),20979)</f>
        <v>20979</v>
      </c>
      <c r="L230" s="12">
        <f ca="1">IFERROR(__xludf.DUMMYFUNCTION("""COMPUTED_VALUE"""),31589)</f>
        <v>31589</v>
      </c>
      <c r="M230" s="12">
        <f ca="1">IFERROR(__xludf.DUMMYFUNCTION("""COMPUTED_VALUE"""),30812)</f>
        <v>30812</v>
      </c>
      <c r="N230" s="12">
        <f ca="1">IFERROR(__xludf.DUMMYFUNCTION("""COMPUTED_VALUE"""),19502)</f>
        <v>19502</v>
      </c>
      <c r="O230" s="12">
        <f ca="1">IFERROR(__xludf.DUMMYFUNCTION("""COMPUTED_VALUE"""),32922)</f>
        <v>32922</v>
      </c>
      <c r="P230" s="12">
        <f ca="1">IFERROR(__xludf.DUMMYFUNCTION("""COMPUTED_VALUE"""),23434)</f>
        <v>23434</v>
      </c>
      <c r="Q230" s="12">
        <f ca="1">IFERROR(__xludf.DUMMYFUNCTION("""COMPUTED_VALUE"""),8676)</f>
        <v>8676</v>
      </c>
      <c r="R230" s="12">
        <f ca="1">IFERROR(__xludf.DUMMYFUNCTION("""COMPUTED_VALUE"""),21917)</f>
        <v>21917</v>
      </c>
      <c r="S230" s="12">
        <f ca="1">IFERROR(__xludf.DUMMYFUNCTION("""COMPUTED_VALUE"""),8461)</f>
        <v>8461</v>
      </c>
      <c r="T230" s="12">
        <f ca="1">IFERROR(__xludf.DUMMYFUNCTION("""COMPUTED_VALUE"""),24803)</f>
        <v>24803</v>
      </c>
      <c r="U230" s="12">
        <f ca="1">IFERROR(__xludf.DUMMYFUNCTION("""COMPUTED_VALUE"""),27109)</f>
        <v>27109</v>
      </c>
      <c r="V230" s="12">
        <f ca="1">IFERROR(__xludf.DUMMYFUNCTION("""COMPUTED_VALUE"""),24091)</f>
        <v>24091</v>
      </c>
      <c r="W230" s="12">
        <f ca="1">IFERROR(__xludf.DUMMYFUNCTION("""COMPUTED_VALUE"""),63146)</f>
        <v>63146</v>
      </c>
      <c r="X230" s="12">
        <f ca="1">IFERROR(__xludf.DUMMYFUNCTION("""COMPUTED_VALUE"""),42244)</f>
        <v>42244</v>
      </c>
      <c r="Y230" s="12">
        <f ca="1">IFERROR(__xludf.DUMMYFUNCTION("""COMPUTED_VALUE"""),7559)</f>
        <v>7559</v>
      </c>
      <c r="Z230" s="12">
        <f ca="1">IFERROR(__xludf.DUMMYFUNCTION("""COMPUTED_VALUE"""),22104)</f>
        <v>22104</v>
      </c>
      <c r="AA230" s="12">
        <f ca="1">IFERROR(__xludf.DUMMYFUNCTION("""COMPUTED_VALUE"""),33169)</f>
        <v>33169</v>
      </c>
      <c r="AB230" s="12">
        <f ca="1">IFERROR(__xludf.DUMMYFUNCTION("""COMPUTED_VALUE"""),25356)</f>
        <v>25356</v>
      </c>
      <c r="AC230" s="12">
        <f ca="1">IFERROR(__xludf.DUMMYFUNCTION("""COMPUTED_VALUE"""),18354)</f>
        <v>18354</v>
      </c>
      <c r="AD230" s="12">
        <f ca="1">IFERROR(__xludf.DUMMYFUNCTION("""COMPUTED_VALUE"""),35843)</f>
        <v>35843</v>
      </c>
      <c r="AE230" s="12">
        <f ca="1">IFERROR(__xludf.DUMMYFUNCTION("""COMPUTED_VALUE"""),49522)</f>
        <v>49522</v>
      </c>
      <c r="AF230" s="8">
        <f ca="1">IFERROR(__xludf.DUMMYFUNCTION("""COMPUTED_VALUE"""),56316)</f>
        <v>56316</v>
      </c>
      <c r="AG230" s="8">
        <f ca="1">IFERROR(__xludf.DUMMYFUNCTION("""COMPUTED_VALUE"""),12018)</f>
        <v>12018</v>
      </c>
      <c r="AH230" s="8">
        <f ca="1">IFERROR(__xludf.DUMMYFUNCTION("""COMPUTED_VALUE"""),31498)</f>
        <v>31498</v>
      </c>
      <c r="AI230" s="8">
        <f ca="1">IFERROR(__xludf.DUMMYFUNCTION("""COMPUTED_VALUE"""),9193)</f>
        <v>9193</v>
      </c>
      <c r="AJ230" s="8">
        <f ca="1">IFERROR(__xludf.DUMMYFUNCTION("""COMPUTED_VALUE"""),21128)</f>
        <v>21128</v>
      </c>
      <c r="AK230" s="8">
        <f ca="1">IFERROR(__xludf.DUMMYFUNCTION("""COMPUTED_VALUE"""),15432)</f>
        <v>15432</v>
      </c>
      <c r="AL230" s="8">
        <f ca="1">IFERROR(__xludf.DUMMYFUNCTION("""COMPUTED_VALUE"""),25360)</f>
        <v>25360</v>
      </c>
      <c r="AM230" s="8">
        <f ca="1">IFERROR(__xludf.DUMMYFUNCTION("""COMPUTED_VALUE"""),20662)</f>
        <v>20662</v>
      </c>
      <c r="AN230" s="8">
        <f ca="1">IFERROR(__xludf.DUMMYFUNCTION("""COMPUTED_VALUE"""),20944)</f>
        <v>20944</v>
      </c>
      <c r="AO230" s="8">
        <f ca="1">IFERROR(__xludf.DUMMYFUNCTION("""COMPUTED_VALUE"""),27781)</f>
        <v>27781</v>
      </c>
      <c r="AP230" s="8"/>
      <c r="AQ230" s="8"/>
      <c r="AR230" s="8"/>
      <c r="AS230" s="8"/>
      <c r="AT230" s="8"/>
      <c r="AU230" s="8"/>
      <c r="AV230" s="8"/>
      <c r="AW230" s="8"/>
      <c r="AX230" s="8"/>
      <c r="AY230" s="8"/>
    </row>
    <row r="231" spans="1:51" ht="13.2" x14ac:dyDescent="0.25">
      <c r="A231" s="12" t="str">
        <f ca="1">IFERROR(__xludf.DUMMYFUNCTION("""COMPUTED_VALUE"""),"                  right Taenia tecta")</f>
        <v xml:space="preserve">                  right Taenia tecta</v>
      </c>
      <c r="B231" s="12">
        <f ca="1">IFERROR(__xludf.DUMMYFUNCTION("""COMPUTED_VALUE"""),2813)</f>
        <v>2813</v>
      </c>
      <c r="C231" s="12">
        <f ca="1">IFERROR(__xludf.DUMMYFUNCTION("""COMPUTED_VALUE"""),3876)</f>
        <v>3876</v>
      </c>
      <c r="D231" s="12">
        <f ca="1">IFERROR(__xludf.DUMMYFUNCTION("""COMPUTED_VALUE"""),3260)</f>
        <v>3260</v>
      </c>
      <c r="E231" s="12">
        <f ca="1">IFERROR(__xludf.DUMMYFUNCTION("""COMPUTED_VALUE"""),2794)</f>
        <v>2794</v>
      </c>
      <c r="F231" s="12">
        <f ca="1">IFERROR(__xludf.DUMMYFUNCTION("""COMPUTED_VALUE"""),5038)</f>
        <v>5038</v>
      </c>
      <c r="G231" s="12">
        <f ca="1">IFERROR(__xludf.DUMMYFUNCTION("""COMPUTED_VALUE"""),2075)</f>
        <v>2075</v>
      </c>
      <c r="H231" s="12">
        <f ca="1">IFERROR(__xludf.DUMMYFUNCTION("""COMPUTED_VALUE"""),2909)</f>
        <v>2909</v>
      </c>
      <c r="I231" s="12">
        <f ca="1">IFERROR(__xludf.DUMMYFUNCTION("""COMPUTED_VALUE"""),923)</f>
        <v>923</v>
      </c>
      <c r="J231" s="12">
        <f ca="1">IFERROR(__xludf.DUMMYFUNCTION("""COMPUTED_VALUE"""),3554)</f>
        <v>3554</v>
      </c>
      <c r="K231" s="12">
        <f ca="1">IFERROR(__xludf.DUMMYFUNCTION("""COMPUTED_VALUE"""),1873)</f>
        <v>1873</v>
      </c>
      <c r="L231" s="12">
        <f ca="1">IFERROR(__xludf.DUMMYFUNCTION("""COMPUTED_VALUE"""),8670)</f>
        <v>8670</v>
      </c>
      <c r="M231" s="12">
        <f ca="1">IFERROR(__xludf.DUMMYFUNCTION("""COMPUTED_VALUE"""),4734)</f>
        <v>4734</v>
      </c>
      <c r="N231" s="12">
        <f ca="1">IFERROR(__xludf.DUMMYFUNCTION("""COMPUTED_VALUE"""),6823)</f>
        <v>6823</v>
      </c>
      <c r="O231" s="12">
        <f ca="1">IFERROR(__xludf.DUMMYFUNCTION("""COMPUTED_VALUE"""),6016)</f>
        <v>6016</v>
      </c>
      <c r="P231" s="12">
        <f ca="1">IFERROR(__xludf.DUMMYFUNCTION("""COMPUTED_VALUE"""),2759)</f>
        <v>2759</v>
      </c>
      <c r="Q231" s="12">
        <f ca="1">IFERROR(__xludf.DUMMYFUNCTION("""COMPUTED_VALUE"""),2332)</f>
        <v>2332</v>
      </c>
      <c r="R231" s="12">
        <f ca="1">IFERROR(__xludf.DUMMYFUNCTION("""COMPUTED_VALUE"""),2528)</f>
        <v>2528</v>
      </c>
      <c r="S231" s="12">
        <f ca="1">IFERROR(__xludf.DUMMYFUNCTION("""COMPUTED_VALUE"""),1560)</f>
        <v>1560</v>
      </c>
      <c r="T231" s="12">
        <f ca="1">IFERROR(__xludf.DUMMYFUNCTION("""COMPUTED_VALUE"""),4084)</f>
        <v>4084</v>
      </c>
      <c r="U231" s="12">
        <f ca="1">IFERROR(__xludf.DUMMYFUNCTION("""COMPUTED_VALUE"""),4089)</f>
        <v>4089</v>
      </c>
      <c r="V231" s="12">
        <f ca="1">IFERROR(__xludf.DUMMYFUNCTION("""COMPUTED_VALUE"""),5407)</f>
        <v>5407</v>
      </c>
      <c r="W231" s="12">
        <f ca="1">IFERROR(__xludf.DUMMYFUNCTION("""COMPUTED_VALUE"""),9420)</f>
        <v>9420</v>
      </c>
      <c r="X231" s="12">
        <f ca="1">IFERROR(__xludf.DUMMYFUNCTION("""COMPUTED_VALUE"""),9314)</f>
        <v>9314</v>
      </c>
      <c r="Y231" s="12">
        <f ca="1">IFERROR(__xludf.DUMMYFUNCTION("""COMPUTED_VALUE"""),3397)</f>
        <v>3397</v>
      </c>
      <c r="Z231" s="12">
        <f ca="1">IFERROR(__xludf.DUMMYFUNCTION("""COMPUTED_VALUE"""),2910)</f>
        <v>2910</v>
      </c>
      <c r="AA231" s="12">
        <f ca="1">IFERROR(__xludf.DUMMYFUNCTION("""COMPUTED_VALUE"""),8616)</f>
        <v>8616</v>
      </c>
      <c r="AB231" s="12">
        <f ca="1">IFERROR(__xludf.DUMMYFUNCTION("""COMPUTED_VALUE"""),5855)</f>
        <v>5855</v>
      </c>
      <c r="AC231" s="12">
        <f ca="1">IFERROR(__xludf.DUMMYFUNCTION("""COMPUTED_VALUE"""),1822)</f>
        <v>1822</v>
      </c>
      <c r="AD231" s="12">
        <f ca="1">IFERROR(__xludf.DUMMYFUNCTION("""COMPUTED_VALUE"""),7619)</f>
        <v>7619</v>
      </c>
      <c r="AE231" s="12">
        <f ca="1">IFERROR(__xludf.DUMMYFUNCTION("""COMPUTED_VALUE"""),8784)</f>
        <v>8784</v>
      </c>
      <c r="AF231" s="8">
        <f ca="1">IFERROR(__xludf.DUMMYFUNCTION("""COMPUTED_VALUE"""),9182)</f>
        <v>9182</v>
      </c>
      <c r="AG231" s="8">
        <f ca="1">IFERROR(__xludf.DUMMYFUNCTION("""COMPUTED_VALUE"""),1942)</f>
        <v>1942</v>
      </c>
      <c r="AH231" s="8">
        <f ca="1">IFERROR(__xludf.DUMMYFUNCTION("""COMPUTED_VALUE"""),7975)</f>
        <v>7975</v>
      </c>
      <c r="AI231" s="8">
        <f ca="1">IFERROR(__xludf.DUMMYFUNCTION("""COMPUTED_VALUE"""),1773)</f>
        <v>1773</v>
      </c>
      <c r="AJ231" s="8">
        <f ca="1">IFERROR(__xludf.DUMMYFUNCTION("""COMPUTED_VALUE"""),4113)</f>
        <v>4113</v>
      </c>
      <c r="AK231" s="8">
        <f ca="1">IFERROR(__xludf.DUMMYFUNCTION("""COMPUTED_VALUE"""),1935)</f>
        <v>1935</v>
      </c>
      <c r="AL231" s="8">
        <f ca="1">IFERROR(__xludf.DUMMYFUNCTION("""COMPUTED_VALUE"""),4353)</f>
        <v>4353</v>
      </c>
      <c r="AM231" s="8">
        <f ca="1">IFERROR(__xludf.DUMMYFUNCTION("""COMPUTED_VALUE"""),3576)</f>
        <v>3576</v>
      </c>
      <c r="AN231" s="8">
        <f ca="1">IFERROR(__xludf.DUMMYFUNCTION("""COMPUTED_VALUE"""),1795)</f>
        <v>1795</v>
      </c>
      <c r="AO231" s="8">
        <f ca="1">IFERROR(__xludf.DUMMYFUNCTION("""COMPUTED_VALUE"""),2620)</f>
        <v>2620</v>
      </c>
      <c r="AP231" s="8"/>
      <c r="AQ231" s="8"/>
      <c r="AR231" s="8"/>
      <c r="AS231" s="8"/>
      <c r="AT231" s="8"/>
      <c r="AU231" s="8"/>
      <c r="AV231" s="8"/>
      <c r="AW231" s="8"/>
      <c r="AX231" s="8"/>
      <c r="AY231" s="8"/>
    </row>
    <row r="232" spans="1:51" ht="13.2" x14ac:dyDescent="0.25">
      <c r="A232" s="12" t="str">
        <f ca="1">IFERROR(__xludf.DUMMYFUNCTION("""COMPUTED_VALUE"""),"                  right Dorsal peduncular area")</f>
        <v xml:space="preserve">                  right Dorsal peduncular area</v>
      </c>
      <c r="B232" s="12">
        <f ca="1">IFERROR(__xludf.DUMMYFUNCTION("""COMPUTED_VALUE"""),1615)</f>
        <v>1615</v>
      </c>
      <c r="C232" s="12">
        <f ca="1">IFERROR(__xludf.DUMMYFUNCTION("""COMPUTED_VALUE"""),2400)</f>
        <v>2400</v>
      </c>
      <c r="D232" s="12">
        <f ca="1">IFERROR(__xludf.DUMMYFUNCTION("""COMPUTED_VALUE"""),1174)</f>
        <v>1174</v>
      </c>
      <c r="E232" s="12">
        <f ca="1">IFERROR(__xludf.DUMMYFUNCTION("""COMPUTED_VALUE"""),1416)</f>
        <v>1416</v>
      </c>
      <c r="F232" s="12">
        <f ca="1">IFERROR(__xludf.DUMMYFUNCTION("""COMPUTED_VALUE"""),2834)</f>
        <v>2834</v>
      </c>
      <c r="G232" s="12">
        <f ca="1">IFERROR(__xludf.DUMMYFUNCTION("""COMPUTED_VALUE"""),1263)</f>
        <v>1263</v>
      </c>
      <c r="H232" s="12">
        <f ca="1">IFERROR(__xludf.DUMMYFUNCTION("""COMPUTED_VALUE"""),1150)</f>
        <v>1150</v>
      </c>
      <c r="I232" s="12">
        <f ca="1">IFERROR(__xludf.DUMMYFUNCTION("""COMPUTED_VALUE"""),539)</f>
        <v>539</v>
      </c>
      <c r="J232" s="12">
        <f ca="1">IFERROR(__xludf.DUMMYFUNCTION("""COMPUTED_VALUE"""),1360)</f>
        <v>1360</v>
      </c>
      <c r="K232" s="12">
        <f ca="1">IFERROR(__xludf.DUMMYFUNCTION("""COMPUTED_VALUE"""),1391)</f>
        <v>1391</v>
      </c>
      <c r="L232" s="12">
        <f ca="1">IFERROR(__xludf.DUMMYFUNCTION("""COMPUTED_VALUE"""),3732)</f>
        <v>3732</v>
      </c>
      <c r="M232" s="12">
        <f ca="1">IFERROR(__xludf.DUMMYFUNCTION("""COMPUTED_VALUE"""),1908)</f>
        <v>1908</v>
      </c>
      <c r="N232" s="12">
        <f ca="1">IFERROR(__xludf.DUMMYFUNCTION("""COMPUTED_VALUE"""),3084)</f>
        <v>3084</v>
      </c>
      <c r="O232" s="12">
        <f ca="1">IFERROR(__xludf.DUMMYFUNCTION("""COMPUTED_VALUE"""),2886)</f>
        <v>2886</v>
      </c>
      <c r="P232" s="12">
        <f ca="1">IFERROR(__xludf.DUMMYFUNCTION("""COMPUTED_VALUE"""),1236)</f>
        <v>1236</v>
      </c>
      <c r="Q232" s="12">
        <f ca="1">IFERROR(__xludf.DUMMYFUNCTION("""COMPUTED_VALUE"""),1526)</f>
        <v>1526</v>
      </c>
      <c r="R232" s="12">
        <f ca="1">IFERROR(__xludf.DUMMYFUNCTION("""COMPUTED_VALUE"""),1505)</f>
        <v>1505</v>
      </c>
      <c r="S232" s="12">
        <f ca="1">IFERROR(__xludf.DUMMYFUNCTION("""COMPUTED_VALUE"""),625)</f>
        <v>625</v>
      </c>
      <c r="T232" s="12">
        <f ca="1">IFERROR(__xludf.DUMMYFUNCTION("""COMPUTED_VALUE"""),2066)</f>
        <v>2066</v>
      </c>
      <c r="U232" s="12">
        <f ca="1">IFERROR(__xludf.DUMMYFUNCTION("""COMPUTED_VALUE"""),1040)</f>
        <v>1040</v>
      </c>
      <c r="V232" s="12">
        <f ca="1">IFERROR(__xludf.DUMMYFUNCTION("""COMPUTED_VALUE"""),3397)</f>
        <v>3397</v>
      </c>
      <c r="W232" s="12">
        <f ca="1">IFERROR(__xludf.DUMMYFUNCTION("""COMPUTED_VALUE"""),4499)</f>
        <v>4499</v>
      </c>
      <c r="X232" s="12">
        <f ca="1">IFERROR(__xludf.DUMMYFUNCTION("""COMPUTED_VALUE"""),5266)</f>
        <v>5266</v>
      </c>
      <c r="Y232" s="12">
        <f ca="1">IFERROR(__xludf.DUMMYFUNCTION("""COMPUTED_VALUE"""),1826)</f>
        <v>1826</v>
      </c>
      <c r="Z232" s="12">
        <f ca="1">IFERROR(__xludf.DUMMYFUNCTION("""COMPUTED_VALUE"""),1683)</f>
        <v>1683</v>
      </c>
      <c r="AA232" s="12">
        <f ca="1">IFERROR(__xludf.DUMMYFUNCTION("""COMPUTED_VALUE"""),5072)</f>
        <v>5072</v>
      </c>
      <c r="AB232" s="12">
        <f ca="1">IFERROR(__xludf.DUMMYFUNCTION("""COMPUTED_VALUE"""),2837)</f>
        <v>2837</v>
      </c>
      <c r="AC232" s="12">
        <f ca="1">IFERROR(__xludf.DUMMYFUNCTION("""COMPUTED_VALUE"""),793)</f>
        <v>793</v>
      </c>
      <c r="AD232" s="12">
        <f ca="1">IFERROR(__xludf.DUMMYFUNCTION("""COMPUTED_VALUE"""),3112)</f>
        <v>3112</v>
      </c>
      <c r="AE232" s="12">
        <f ca="1">IFERROR(__xludf.DUMMYFUNCTION("""COMPUTED_VALUE"""),2651)</f>
        <v>2651</v>
      </c>
      <c r="AF232" s="8">
        <f ca="1">IFERROR(__xludf.DUMMYFUNCTION("""COMPUTED_VALUE"""),4625)</f>
        <v>4625</v>
      </c>
      <c r="AG232" s="8">
        <f ca="1">IFERROR(__xludf.DUMMYFUNCTION("""COMPUTED_VALUE"""),1022)</f>
        <v>1022</v>
      </c>
      <c r="AH232" s="8">
        <f ca="1">IFERROR(__xludf.DUMMYFUNCTION("""COMPUTED_VALUE"""),3028)</f>
        <v>3028</v>
      </c>
      <c r="AI232" s="8">
        <f ca="1">IFERROR(__xludf.DUMMYFUNCTION("""COMPUTED_VALUE"""),250)</f>
        <v>250</v>
      </c>
      <c r="AJ232" s="8">
        <f ca="1">IFERROR(__xludf.DUMMYFUNCTION("""COMPUTED_VALUE"""),1375)</f>
        <v>1375</v>
      </c>
      <c r="AK232" s="8">
        <f ca="1">IFERROR(__xludf.DUMMYFUNCTION("""COMPUTED_VALUE"""),731)</f>
        <v>731</v>
      </c>
      <c r="AL232" s="8">
        <f ca="1">IFERROR(__xludf.DUMMYFUNCTION("""COMPUTED_VALUE"""),2706)</f>
        <v>2706</v>
      </c>
      <c r="AM232" s="8">
        <f ca="1">IFERROR(__xludf.DUMMYFUNCTION("""COMPUTED_VALUE"""),2549)</f>
        <v>2549</v>
      </c>
      <c r="AN232" s="8">
        <f ca="1">IFERROR(__xludf.DUMMYFUNCTION("""COMPUTED_VALUE"""),785)</f>
        <v>785</v>
      </c>
      <c r="AO232" s="8">
        <f ca="1">IFERROR(__xludf.DUMMYFUNCTION("""COMPUTED_VALUE"""),904)</f>
        <v>904</v>
      </c>
      <c r="AP232" s="8"/>
      <c r="AQ232" s="8"/>
      <c r="AR232" s="8"/>
      <c r="AS232" s="8"/>
      <c r="AT232" s="8"/>
      <c r="AU232" s="8"/>
      <c r="AV232" s="8"/>
      <c r="AW232" s="8"/>
      <c r="AX232" s="8"/>
      <c r="AY232" s="8"/>
    </row>
    <row r="233" spans="1:51" ht="13.2" x14ac:dyDescent="0.25">
      <c r="A233" s="12" t="str">
        <f ca="1">IFERROR(__xludf.DUMMYFUNCTION("""COMPUTED_VALUE"""),"                  right Piriform area")</f>
        <v xml:space="preserve">                  right Piriform area</v>
      </c>
      <c r="B233" s="12">
        <f ca="1">IFERROR(__xludf.DUMMYFUNCTION("""COMPUTED_VALUE"""),24764)</f>
        <v>24764</v>
      </c>
      <c r="C233" s="12">
        <f ca="1">IFERROR(__xludf.DUMMYFUNCTION("""COMPUTED_VALUE"""),42112)</f>
        <v>42112</v>
      </c>
      <c r="D233" s="12">
        <f ca="1">IFERROR(__xludf.DUMMYFUNCTION("""COMPUTED_VALUE"""),47939)</f>
        <v>47939</v>
      </c>
      <c r="E233" s="12">
        <f ca="1">IFERROR(__xludf.DUMMYFUNCTION("""COMPUTED_VALUE"""),24851)</f>
        <v>24851</v>
      </c>
      <c r="F233" s="12">
        <f ca="1">IFERROR(__xludf.DUMMYFUNCTION("""COMPUTED_VALUE"""),28042)</f>
        <v>28042</v>
      </c>
      <c r="G233" s="12">
        <f ca="1">IFERROR(__xludf.DUMMYFUNCTION("""COMPUTED_VALUE"""),14356)</f>
        <v>14356</v>
      </c>
      <c r="H233" s="12">
        <f ca="1">IFERROR(__xludf.DUMMYFUNCTION("""COMPUTED_VALUE"""),13337)</f>
        <v>13337</v>
      </c>
      <c r="I233" s="12">
        <f ca="1">IFERROR(__xludf.DUMMYFUNCTION("""COMPUTED_VALUE"""),9155)</f>
        <v>9155</v>
      </c>
      <c r="J233" s="12">
        <f ca="1">IFERROR(__xludf.DUMMYFUNCTION("""COMPUTED_VALUE"""),25229)</f>
        <v>25229</v>
      </c>
      <c r="K233" s="12">
        <f ca="1">IFERROR(__xludf.DUMMYFUNCTION("""COMPUTED_VALUE"""),33846)</f>
        <v>33846</v>
      </c>
      <c r="L233" s="12">
        <f ca="1">IFERROR(__xludf.DUMMYFUNCTION("""COMPUTED_VALUE"""),52179)</f>
        <v>52179</v>
      </c>
      <c r="M233" s="12">
        <f ca="1">IFERROR(__xludf.DUMMYFUNCTION("""COMPUTED_VALUE"""),61343)</f>
        <v>61343</v>
      </c>
      <c r="N233" s="12">
        <f ca="1">IFERROR(__xludf.DUMMYFUNCTION("""COMPUTED_VALUE"""),21186)</f>
        <v>21186</v>
      </c>
      <c r="O233" s="12">
        <f ca="1">IFERROR(__xludf.DUMMYFUNCTION("""COMPUTED_VALUE"""),47427)</f>
        <v>47427</v>
      </c>
      <c r="P233" s="12">
        <f ca="1">IFERROR(__xludf.DUMMYFUNCTION("""COMPUTED_VALUE"""),35680)</f>
        <v>35680</v>
      </c>
      <c r="Q233" s="12">
        <f ca="1">IFERROR(__xludf.DUMMYFUNCTION("""COMPUTED_VALUE"""),12553)</f>
        <v>12553</v>
      </c>
      <c r="R233" s="12">
        <f ca="1">IFERROR(__xludf.DUMMYFUNCTION("""COMPUTED_VALUE"""),29362)</f>
        <v>29362</v>
      </c>
      <c r="S233" s="12">
        <f ca="1">IFERROR(__xludf.DUMMYFUNCTION("""COMPUTED_VALUE"""),18203)</f>
        <v>18203</v>
      </c>
      <c r="T233" s="12">
        <f ca="1">IFERROR(__xludf.DUMMYFUNCTION("""COMPUTED_VALUE"""),55019)</f>
        <v>55019</v>
      </c>
      <c r="U233" s="12">
        <f ca="1">IFERROR(__xludf.DUMMYFUNCTION("""COMPUTED_VALUE"""),52681)</f>
        <v>52681</v>
      </c>
      <c r="V233" s="12">
        <f ca="1">IFERROR(__xludf.DUMMYFUNCTION("""COMPUTED_VALUE"""),45257)</f>
        <v>45257</v>
      </c>
      <c r="W233" s="12">
        <f ca="1">IFERROR(__xludf.DUMMYFUNCTION("""COMPUTED_VALUE"""),98271)</f>
        <v>98271</v>
      </c>
      <c r="X233" s="12">
        <f ca="1">IFERROR(__xludf.DUMMYFUNCTION("""COMPUTED_VALUE"""),121429)</f>
        <v>121429</v>
      </c>
      <c r="Y233" s="12">
        <f ca="1">IFERROR(__xludf.DUMMYFUNCTION("""COMPUTED_VALUE"""),38432)</f>
        <v>38432</v>
      </c>
      <c r="Z233" s="12">
        <f ca="1">IFERROR(__xludf.DUMMYFUNCTION("""COMPUTED_VALUE"""),66643)</f>
        <v>66643</v>
      </c>
      <c r="AA233" s="12">
        <f ca="1">IFERROR(__xludf.DUMMYFUNCTION("""COMPUTED_VALUE"""),90769)</f>
        <v>90769</v>
      </c>
      <c r="AB233" s="12">
        <f ca="1">IFERROR(__xludf.DUMMYFUNCTION("""COMPUTED_VALUE"""),49779)</f>
        <v>49779</v>
      </c>
      <c r="AC233" s="12">
        <f ca="1">IFERROR(__xludf.DUMMYFUNCTION("""COMPUTED_VALUE"""),23265)</f>
        <v>23265</v>
      </c>
      <c r="AD233" s="12">
        <f ca="1">IFERROR(__xludf.DUMMYFUNCTION("""COMPUTED_VALUE"""),50473)</f>
        <v>50473</v>
      </c>
      <c r="AE233" s="12">
        <f ca="1">IFERROR(__xludf.DUMMYFUNCTION("""COMPUTED_VALUE"""),71043)</f>
        <v>71043</v>
      </c>
      <c r="AF233" s="8">
        <f ca="1">IFERROR(__xludf.DUMMYFUNCTION("""COMPUTED_VALUE"""),109605)</f>
        <v>109605</v>
      </c>
      <c r="AG233" s="8">
        <f ca="1">IFERROR(__xludf.DUMMYFUNCTION("""COMPUTED_VALUE"""),50176)</f>
        <v>50176</v>
      </c>
      <c r="AH233" s="8">
        <f ca="1">IFERROR(__xludf.DUMMYFUNCTION("""COMPUTED_VALUE"""),63411)</f>
        <v>63411</v>
      </c>
      <c r="AI233" s="8">
        <f ca="1">IFERROR(__xludf.DUMMYFUNCTION("""COMPUTED_VALUE"""),35991)</f>
        <v>35991</v>
      </c>
      <c r="AJ233" s="8">
        <f ca="1">IFERROR(__xludf.DUMMYFUNCTION("""COMPUTED_VALUE"""),53098)</f>
        <v>53098</v>
      </c>
      <c r="AK233" s="8">
        <f ca="1">IFERROR(__xludf.DUMMYFUNCTION("""COMPUTED_VALUE"""),25270)</f>
        <v>25270</v>
      </c>
      <c r="AL233" s="8">
        <f ca="1">IFERROR(__xludf.DUMMYFUNCTION("""COMPUTED_VALUE"""),35780)</f>
        <v>35780</v>
      </c>
      <c r="AM233" s="8">
        <f ca="1">IFERROR(__xludf.DUMMYFUNCTION("""COMPUTED_VALUE"""),55985)</f>
        <v>55985</v>
      </c>
      <c r="AN233" s="8">
        <f ca="1">IFERROR(__xludf.DUMMYFUNCTION("""COMPUTED_VALUE"""),37395)</f>
        <v>37395</v>
      </c>
      <c r="AO233" s="8">
        <f ca="1">IFERROR(__xludf.DUMMYFUNCTION("""COMPUTED_VALUE"""),42519)</f>
        <v>42519</v>
      </c>
      <c r="AP233" s="8"/>
      <c r="AQ233" s="8"/>
      <c r="AR233" s="8"/>
      <c r="AS233" s="8"/>
      <c r="AT233" s="8"/>
      <c r="AU233" s="8"/>
      <c r="AV233" s="8"/>
      <c r="AW233" s="8"/>
      <c r="AX233" s="8"/>
      <c r="AY233" s="8"/>
    </row>
    <row r="234" spans="1:51" ht="13.2" x14ac:dyDescent="0.25">
      <c r="A234" s="12" t="str">
        <f ca="1">IFERROR(__xludf.DUMMYFUNCTION("""COMPUTED_VALUE"""),"                  right Nucleus of the lateral olfactory tract")</f>
        <v xml:space="preserve">                  right Nucleus of the lateral olfactory tract</v>
      </c>
      <c r="B234" s="12">
        <f ca="1">IFERROR(__xludf.DUMMYFUNCTION("""COMPUTED_VALUE"""),618)</f>
        <v>618</v>
      </c>
      <c r="C234" s="12">
        <f ca="1">IFERROR(__xludf.DUMMYFUNCTION("""COMPUTED_VALUE"""),1356)</f>
        <v>1356</v>
      </c>
      <c r="D234" s="12">
        <f ca="1">IFERROR(__xludf.DUMMYFUNCTION("""COMPUTED_VALUE"""),554)</f>
        <v>554</v>
      </c>
      <c r="E234" s="12">
        <f ca="1">IFERROR(__xludf.DUMMYFUNCTION("""COMPUTED_VALUE"""),1130)</f>
        <v>1130</v>
      </c>
      <c r="F234" s="12">
        <f ca="1">IFERROR(__xludf.DUMMYFUNCTION("""COMPUTED_VALUE"""),298)</f>
        <v>298</v>
      </c>
      <c r="G234" s="12">
        <f ca="1">IFERROR(__xludf.DUMMYFUNCTION("""COMPUTED_VALUE"""),96)</f>
        <v>96</v>
      </c>
      <c r="H234" s="12">
        <f ca="1">IFERROR(__xludf.DUMMYFUNCTION("""COMPUTED_VALUE"""),385)</f>
        <v>385</v>
      </c>
      <c r="I234" s="12">
        <f ca="1">IFERROR(__xludf.DUMMYFUNCTION("""COMPUTED_VALUE"""),114)</f>
        <v>114</v>
      </c>
      <c r="J234" s="12">
        <f ca="1">IFERROR(__xludf.DUMMYFUNCTION("""COMPUTED_VALUE"""),827)</f>
        <v>827</v>
      </c>
      <c r="K234" s="12">
        <f ca="1">IFERROR(__xludf.DUMMYFUNCTION("""COMPUTED_VALUE"""),977)</f>
        <v>977</v>
      </c>
      <c r="L234" s="12">
        <f ca="1">IFERROR(__xludf.DUMMYFUNCTION("""COMPUTED_VALUE"""),977)</f>
        <v>977</v>
      </c>
      <c r="M234" s="12">
        <f ca="1">IFERROR(__xludf.DUMMYFUNCTION("""COMPUTED_VALUE"""),509)</f>
        <v>509</v>
      </c>
      <c r="N234" s="12">
        <f ca="1">IFERROR(__xludf.DUMMYFUNCTION("""COMPUTED_VALUE"""),437)</f>
        <v>437</v>
      </c>
      <c r="O234" s="12">
        <f ca="1">IFERROR(__xludf.DUMMYFUNCTION("""COMPUTED_VALUE"""),527)</f>
        <v>527</v>
      </c>
      <c r="P234" s="12">
        <f ca="1">IFERROR(__xludf.DUMMYFUNCTION("""COMPUTED_VALUE"""),694)</f>
        <v>694</v>
      </c>
      <c r="Q234" s="12">
        <f ca="1">IFERROR(__xludf.DUMMYFUNCTION("""COMPUTED_VALUE"""),856)</f>
        <v>856</v>
      </c>
      <c r="R234" s="12">
        <f ca="1">IFERROR(__xludf.DUMMYFUNCTION("""COMPUTED_VALUE"""),732)</f>
        <v>732</v>
      </c>
      <c r="S234" s="12">
        <f ca="1">IFERROR(__xludf.DUMMYFUNCTION("""COMPUTED_VALUE"""),212)</f>
        <v>212</v>
      </c>
      <c r="T234" s="12">
        <f ca="1">IFERROR(__xludf.DUMMYFUNCTION("""COMPUTED_VALUE"""),1400)</f>
        <v>1400</v>
      </c>
      <c r="U234" s="12">
        <f ca="1">IFERROR(__xludf.DUMMYFUNCTION("""COMPUTED_VALUE"""),540)</f>
        <v>540</v>
      </c>
      <c r="V234" s="12">
        <f ca="1">IFERROR(__xludf.DUMMYFUNCTION("""COMPUTED_VALUE"""),949)</f>
        <v>949</v>
      </c>
      <c r="W234" s="12">
        <f ca="1">IFERROR(__xludf.DUMMYFUNCTION("""COMPUTED_VALUE"""),1858)</f>
        <v>1858</v>
      </c>
      <c r="X234" s="12">
        <f ca="1">IFERROR(__xludf.DUMMYFUNCTION("""COMPUTED_VALUE"""),1893)</f>
        <v>1893</v>
      </c>
      <c r="Y234" s="12">
        <f ca="1">IFERROR(__xludf.DUMMYFUNCTION("""COMPUTED_VALUE"""),1038)</f>
        <v>1038</v>
      </c>
      <c r="Z234" s="12">
        <f ca="1">IFERROR(__xludf.DUMMYFUNCTION("""COMPUTED_VALUE"""),1379)</f>
        <v>1379</v>
      </c>
      <c r="AA234" s="12">
        <f ca="1">IFERROR(__xludf.DUMMYFUNCTION("""COMPUTED_VALUE"""),1115)</f>
        <v>1115</v>
      </c>
      <c r="AB234" s="12">
        <f ca="1">IFERROR(__xludf.DUMMYFUNCTION("""COMPUTED_VALUE"""),712)</f>
        <v>712</v>
      </c>
      <c r="AC234" s="12">
        <f ca="1">IFERROR(__xludf.DUMMYFUNCTION("""COMPUTED_VALUE"""),444)</f>
        <v>444</v>
      </c>
      <c r="AD234" s="12">
        <f ca="1">IFERROR(__xludf.DUMMYFUNCTION("""COMPUTED_VALUE"""),895)</f>
        <v>895</v>
      </c>
      <c r="AE234" s="12">
        <f ca="1">IFERROR(__xludf.DUMMYFUNCTION("""COMPUTED_VALUE"""),2713)</f>
        <v>2713</v>
      </c>
      <c r="AF234" s="8">
        <f ca="1">IFERROR(__xludf.DUMMYFUNCTION("""COMPUTED_VALUE"""),3324)</f>
        <v>3324</v>
      </c>
      <c r="AG234" s="8">
        <f ca="1">IFERROR(__xludf.DUMMYFUNCTION("""COMPUTED_VALUE"""),1013)</f>
        <v>1013</v>
      </c>
      <c r="AH234" s="8">
        <f ca="1">IFERROR(__xludf.DUMMYFUNCTION("""COMPUTED_VALUE"""),1502)</f>
        <v>1502</v>
      </c>
      <c r="AI234" s="8">
        <f ca="1">IFERROR(__xludf.DUMMYFUNCTION("""COMPUTED_VALUE"""),638)</f>
        <v>638</v>
      </c>
      <c r="AJ234" s="8">
        <f ca="1">IFERROR(__xludf.DUMMYFUNCTION("""COMPUTED_VALUE"""),630)</f>
        <v>630</v>
      </c>
      <c r="AK234" s="8">
        <f ca="1">IFERROR(__xludf.DUMMYFUNCTION("""COMPUTED_VALUE"""),440)</f>
        <v>440</v>
      </c>
      <c r="AL234" s="8">
        <f ca="1">IFERROR(__xludf.DUMMYFUNCTION("""COMPUTED_VALUE"""),483)</f>
        <v>483</v>
      </c>
      <c r="AM234" s="8">
        <f ca="1">IFERROR(__xludf.DUMMYFUNCTION("""COMPUTED_VALUE"""),1232)</f>
        <v>1232</v>
      </c>
      <c r="AN234" s="8">
        <f ca="1">IFERROR(__xludf.DUMMYFUNCTION("""COMPUTED_VALUE"""),964)</f>
        <v>964</v>
      </c>
      <c r="AO234" s="8">
        <f ca="1">IFERROR(__xludf.DUMMYFUNCTION("""COMPUTED_VALUE"""),812)</f>
        <v>812</v>
      </c>
      <c r="AP234" s="8"/>
      <c r="AQ234" s="8"/>
      <c r="AR234" s="8"/>
      <c r="AS234" s="8"/>
      <c r="AT234" s="8"/>
      <c r="AU234" s="8"/>
      <c r="AV234" s="8"/>
      <c r="AW234" s="8"/>
      <c r="AX234" s="8"/>
      <c r="AY234" s="8"/>
    </row>
    <row r="235" spans="1:51" ht="13.2" x14ac:dyDescent="0.25">
      <c r="A235" s="12" t="str">
        <f ca="1">IFERROR(__xludf.DUMMYFUNCTION("""COMPUTED_VALUE"""),"                  right Cortical amygdalar area")</f>
        <v xml:space="preserve">                  right Cortical amygdalar area</v>
      </c>
      <c r="B235" s="12">
        <f ca="1">IFERROR(__xludf.DUMMYFUNCTION("""COMPUTED_VALUE"""),2561)</f>
        <v>2561</v>
      </c>
      <c r="C235" s="12">
        <f ca="1">IFERROR(__xludf.DUMMYFUNCTION("""COMPUTED_VALUE"""),9129)</f>
        <v>9129</v>
      </c>
      <c r="D235" s="12">
        <f ca="1">IFERROR(__xludf.DUMMYFUNCTION("""COMPUTED_VALUE"""),7489)</f>
        <v>7489</v>
      </c>
      <c r="E235" s="12">
        <f ca="1">IFERROR(__xludf.DUMMYFUNCTION("""COMPUTED_VALUE"""),4321)</f>
        <v>4321</v>
      </c>
      <c r="F235" s="12">
        <f ca="1">IFERROR(__xludf.DUMMYFUNCTION("""COMPUTED_VALUE"""),3092)</f>
        <v>3092</v>
      </c>
      <c r="G235" s="12">
        <f ca="1">IFERROR(__xludf.DUMMYFUNCTION("""COMPUTED_VALUE"""),1518)</f>
        <v>1518</v>
      </c>
      <c r="H235" s="12">
        <f ca="1">IFERROR(__xludf.DUMMYFUNCTION("""COMPUTED_VALUE"""),1191)</f>
        <v>1191</v>
      </c>
      <c r="I235" s="12">
        <f ca="1">IFERROR(__xludf.DUMMYFUNCTION("""COMPUTED_VALUE"""),674)</f>
        <v>674</v>
      </c>
      <c r="J235" s="12">
        <f ca="1">IFERROR(__xludf.DUMMYFUNCTION("""COMPUTED_VALUE"""),3100)</f>
        <v>3100</v>
      </c>
      <c r="K235" s="12">
        <f ca="1">IFERROR(__xludf.DUMMYFUNCTION("""COMPUTED_VALUE"""),8126)</f>
        <v>8126</v>
      </c>
      <c r="L235" s="12">
        <f ca="1">IFERROR(__xludf.DUMMYFUNCTION("""COMPUTED_VALUE"""),9237)</f>
        <v>9237</v>
      </c>
      <c r="M235" s="12">
        <f ca="1">IFERROR(__xludf.DUMMYFUNCTION("""COMPUTED_VALUE"""),9656)</f>
        <v>9656</v>
      </c>
      <c r="N235" s="12">
        <f ca="1">IFERROR(__xludf.DUMMYFUNCTION("""COMPUTED_VALUE"""),2144)</f>
        <v>2144</v>
      </c>
      <c r="O235" s="12">
        <f ca="1">IFERROR(__xludf.DUMMYFUNCTION("""COMPUTED_VALUE"""),6249)</f>
        <v>6249</v>
      </c>
      <c r="P235" s="12">
        <f ca="1">IFERROR(__xludf.DUMMYFUNCTION("""COMPUTED_VALUE"""),3340)</f>
        <v>3340</v>
      </c>
      <c r="Q235" s="12">
        <f ca="1">IFERROR(__xludf.DUMMYFUNCTION("""COMPUTED_VALUE"""),4025)</f>
        <v>4025</v>
      </c>
      <c r="R235" s="12">
        <f ca="1">IFERROR(__xludf.DUMMYFUNCTION("""COMPUTED_VALUE"""),4552)</f>
        <v>4552</v>
      </c>
      <c r="S235" s="12">
        <f ca="1">IFERROR(__xludf.DUMMYFUNCTION("""COMPUTED_VALUE"""),2742)</f>
        <v>2742</v>
      </c>
      <c r="T235" s="12">
        <f ca="1">IFERROR(__xludf.DUMMYFUNCTION("""COMPUTED_VALUE"""),11385)</f>
        <v>11385</v>
      </c>
      <c r="U235" s="12">
        <f ca="1">IFERROR(__xludf.DUMMYFUNCTION("""COMPUTED_VALUE"""),6872)</f>
        <v>6872</v>
      </c>
      <c r="V235" s="12">
        <f ca="1">IFERROR(__xludf.DUMMYFUNCTION("""COMPUTED_VALUE"""),16372)</f>
        <v>16372</v>
      </c>
      <c r="W235" s="12">
        <f ca="1">IFERROR(__xludf.DUMMYFUNCTION("""COMPUTED_VALUE"""),14948)</f>
        <v>14948</v>
      </c>
      <c r="X235" s="12">
        <f ca="1">IFERROR(__xludf.DUMMYFUNCTION("""COMPUTED_VALUE"""),22225)</f>
        <v>22225</v>
      </c>
      <c r="Y235" s="12">
        <f ca="1">IFERROR(__xludf.DUMMYFUNCTION("""COMPUTED_VALUE"""),12371)</f>
        <v>12371</v>
      </c>
      <c r="Z235" s="12">
        <f ca="1">IFERROR(__xludf.DUMMYFUNCTION("""COMPUTED_VALUE"""),22889)</f>
        <v>22889</v>
      </c>
      <c r="AA235" s="12">
        <f ca="1">IFERROR(__xludf.DUMMYFUNCTION("""COMPUTED_VALUE"""),13690)</f>
        <v>13690</v>
      </c>
      <c r="AB235" s="12">
        <f ca="1">IFERROR(__xludf.DUMMYFUNCTION("""COMPUTED_VALUE"""),10886)</f>
        <v>10886</v>
      </c>
      <c r="AC235" s="12">
        <f ca="1">IFERROR(__xludf.DUMMYFUNCTION("""COMPUTED_VALUE"""),6701)</f>
        <v>6701</v>
      </c>
      <c r="AD235" s="12">
        <f ca="1">IFERROR(__xludf.DUMMYFUNCTION("""COMPUTED_VALUE"""),10116)</f>
        <v>10116</v>
      </c>
      <c r="AE235" s="12">
        <f ca="1">IFERROR(__xludf.DUMMYFUNCTION("""COMPUTED_VALUE"""),17387)</f>
        <v>17387</v>
      </c>
      <c r="AF235" s="8">
        <f ca="1">IFERROR(__xludf.DUMMYFUNCTION("""COMPUTED_VALUE"""),23943)</f>
        <v>23943</v>
      </c>
      <c r="AG235" s="8">
        <f ca="1">IFERROR(__xludf.DUMMYFUNCTION("""COMPUTED_VALUE"""),12312)</f>
        <v>12312</v>
      </c>
      <c r="AH235" s="8">
        <f ca="1">IFERROR(__xludf.DUMMYFUNCTION("""COMPUTED_VALUE"""),17794)</f>
        <v>17794</v>
      </c>
      <c r="AI235" s="8">
        <f ca="1">IFERROR(__xludf.DUMMYFUNCTION("""COMPUTED_VALUE"""),6970)</f>
        <v>6970</v>
      </c>
      <c r="AJ235" s="8">
        <f ca="1">IFERROR(__xludf.DUMMYFUNCTION("""COMPUTED_VALUE"""),7625)</f>
        <v>7625</v>
      </c>
      <c r="AK235" s="8">
        <f ca="1">IFERROR(__xludf.DUMMYFUNCTION("""COMPUTED_VALUE"""),6003)</f>
        <v>6003</v>
      </c>
      <c r="AL235" s="8">
        <f ca="1">IFERROR(__xludf.DUMMYFUNCTION("""COMPUTED_VALUE"""),4055)</f>
        <v>4055</v>
      </c>
      <c r="AM235" s="8">
        <f ca="1">IFERROR(__xludf.DUMMYFUNCTION("""COMPUTED_VALUE"""),12425)</f>
        <v>12425</v>
      </c>
      <c r="AN235" s="8">
        <f ca="1">IFERROR(__xludf.DUMMYFUNCTION("""COMPUTED_VALUE"""),7011)</f>
        <v>7011</v>
      </c>
      <c r="AO235" s="8">
        <f ca="1">IFERROR(__xludf.DUMMYFUNCTION("""COMPUTED_VALUE"""),9615)</f>
        <v>9615</v>
      </c>
      <c r="AP235" s="8"/>
      <c r="AQ235" s="8"/>
      <c r="AR235" s="8"/>
      <c r="AS235" s="8"/>
      <c r="AT235" s="8"/>
      <c r="AU235" s="8"/>
      <c r="AV235" s="8"/>
      <c r="AW235" s="8"/>
      <c r="AX235" s="8"/>
      <c r="AY235" s="8"/>
    </row>
    <row r="236" spans="1:51" ht="13.2" x14ac:dyDescent="0.25">
      <c r="A236" s="12" t="str">
        <f ca="1">IFERROR(__xludf.DUMMYFUNCTION("""COMPUTED_VALUE"""),"                     right Cortical amygdalar area, anterior part")</f>
        <v xml:space="preserve">                     right Cortical amygdalar area, anterior part</v>
      </c>
      <c r="B236" s="12">
        <f ca="1">IFERROR(__xludf.DUMMYFUNCTION("""COMPUTED_VALUE"""),1491)</f>
        <v>1491</v>
      </c>
      <c r="C236" s="12">
        <f ca="1">IFERROR(__xludf.DUMMYFUNCTION("""COMPUTED_VALUE"""),3209)</f>
        <v>3209</v>
      </c>
      <c r="D236" s="12">
        <f ca="1">IFERROR(__xludf.DUMMYFUNCTION("""COMPUTED_VALUE"""),2386)</f>
        <v>2386</v>
      </c>
      <c r="E236" s="12">
        <f ca="1">IFERROR(__xludf.DUMMYFUNCTION("""COMPUTED_VALUE"""),3062)</f>
        <v>3062</v>
      </c>
      <c r="F236" s="12">
        <f ca="1">IFERROR(__xludf.DUMMYFUNCTION("""COMPUTED_VALUE"""),939)</f>
        <v>939</v>
      </c>
      <c r="G236" s="12">
        <f ca="1">IFERROR(__xludf.DUMMYFUNCTION("""COMPUTED_VALUE"""),646)</f>
        <v>646</v>
      </c>
      <c r="H236" s="12">
        <f ca="1">IFERROR(__xludf.DUMMYFUNCTION("""COMPUTED_VALUE"""),579)</f>
        <v>579</v>
      </c>
      <c r="I236" s="12">
        <f ca="1">IFERROR(__xludf.DUMMYFUNCTION("""COMPUTED_VALUE"""),246)</f>
        <v>246</v>
      </c>
      <c r="J236" s="12">
        <f ca="1">IFERROR(__xludf.DUMMYFUNCTION("""COMPUTED_VALUE"""),1323)</f>
        <v>1323</v>
      </c>
      <c r="K236" s="12">
        <f ca="1">IFERROR(__xludf.DUMMYFUNCTION("""COMPUTED_VALUE"""),3564)</f>
        <v>3564</v>
      </c>
      <c r="L236" s="12">
        <f ca="1">IFERROR(__xludf.DUMMYFUNCTION("""COMPUTED_VALUE"""),2722)</f>
        <v>2722</v>
      </c>
      <c r="M236" s="12">
        <f ca="1">IFERROR(__xludf.DUMMYFUNCTION("""COMPUTED_VALUE"""),2624)</f>
        <v>2624</v>
      </c>
      <c r="N236" s="12">
        <f ca="1">IFERROR(__xludf.DUMMYFUNCTION("""COMPUTED_VALUE"""),249)</f>
        <v>249</v>
      </c>
      <c r="O236" s="12">
        <f ca="1">IFERROR(__xludf.DUMMYFUNCTION("""COMPUTED_VALUE"""),2305)</f>
        <v>2305</v>
      </c>
      <c r="P236" s="12">
        <f ca="1">IFERROR(__xludf.DUMMYFUNCTION("""COMPUTED_VALUE"""),1583)</f>
        <v>1583</v>
      </c>
      <c r="Q236" s="12">
        <f ca="1">IFERROR(__xludf.DUMMYFUNCTION("""COMPUTED_VALUE"""),1839)</f>
        <v>1839</v>
      </c>
      <c r="R236" s="12">
        <f ca="1">IFERROR(__xludf.DUMMYFUNCTION("""COMPUTED_VALUE"""),2103)</f>
        <v>2103</v>
      </c>
      <c r="S236" s="12">
        <f ca="1">IFERROR(__xludf.DUMMYFUNCTION("""COMPUTED_VALUE"""),1186)</f>
        <v>1186</v>
      </c>
      <c r="T236" s="12">
        <f ca="1">IFERROR(__xludf.DUMMYFUNCTION("""COMPUTED_VALUE"""),3738)</f>
        <v>3738</v>
      </c>
      <c r="U236" s="12">
        <f ca="1">IFERROR(__xludf.DUMMYFUNCTION("""COMPUTED_VALUE"""),1285)</f>
        <v>1285</v>
      </c>
      <c r="V236" s="12">
        <f ca="1">IFERROR(__xludf.DUMMYFUNCTION("""COMPUTED_VALUE"""),4263)</f>
        <v>4263</v>
      </c>
      <c r="W236" s="12">
        <f ca="1">IFERROR(__xludf.DUMMYFUNCTION("""COMPUTED_VALUE"""),6164)</f>
        <v>6164</v>
      </c>
      <c r="X236" s="12">
        <f ca="1">IFERROR(__xludf.DUMMYFUNCTION("""COMPUTED_VALUE"""),7174)</f>
        <v>7174</v>
      </c>
      <c r="Y236" s="12">
        <f ca="1">IFERROR(__xludf.DUMMYFUNCTION("""COMPUTED_VALUE"""),3767)</f>
        <v>3767</v>
      </c>
      <c r="Z236" s="12">
        <f ca="1">IFERROR(__xludf.DUMMYFUNCTION("""COMPUTED_VALUE"""),6209)</f>
        <v>6209</v>
      </c>
      <c r="AA236" s="12">
        <f ca="1">IFERROR(__xludf.DUMMYFUNCTION("""COMPUTED_VALUE"""),4367)</f>
        <v>4367</v>
      </c>
      <c r="AB236" s="12">
        <f ca="1">IFERROR(__xludf.DUMMYFUNCTION("""COMPUTED_VALUE"""),4076)</f>
        <v>4076</v>
      </c>
      <c r="AC236" s="12">
        <f ca="1">IFERROR(__xludf.DUMMYFUNCTION("""COMPUTED_VALUE"""),2260)</f>
        <v>2260</v>
      </c>
      <c r="AD236" s="12">
        <f ca="1">IFERROR(__xludf.DUMMYFUNCTION("""COMPUTED_VALUE"""),2535)</f>
        <v>2535</v>
      </c>
      <c r="AE236" s="12">
        <f ca="1">IFERROR(__xludf.DUMMYFUNCTION("""COMPUTED_VALUE"""),5320)</f>
        <v>5320</v>
      </c>
      <c r="AF236" s="8">
        <f ca="1">IFERROR(__xludf.DUMMYFUNCTION("""COMPUTED_VALUE"""),9932)</f>
        <v>9932</v>
      </c>
      <c r="AG236" s="8">
        <f ca="1">IFERROR(__xludf.DUMMYFUNCTION("""COMPUTED_VALUE"""),3386)</f>
        <v>3386</v>
      </c>
      <c r="AH236" s="8">
        <f ca="1">IFERROR(__xludf.DUMMYFUNCTION("""COMPUTED_VALUE"""),3887)</f>
        <v>3887</v>
      </c>
      <c r="AI236" s="8">
        <f ca="1">IFERROR(__xludf.DUMMYFUNCTION("""COMPUTED_VALUE"""),1896)</f>
        <v>1896</v>
      </c>
      <c r="AJ236" s="8">
        <f ca="1">IFERROR(__xludf.DUMMYFUNCTION("""COMPUTED_VALUE"""),2144)</f>
        <v>2144</v>
      </c>
      <c r="AK236" s="8">
        <f ca="1">IFERROR(__xludf.DUMMYFUNCTION("""COMPUTED_VALUE"""),1554)</f>
        <v>1554</v>
      </c>
      <c r="AL236" s="8">
        <f ca="1">IFERROR(__xludf.DUMMYFUNCTION("""COMPUTED_VALUE"""),1281)</f>
        <v>1281</v>
      </c>
      <c r="AM236" s="8">
        <f ca="1">IFERROR(__xludf.DUMMYFUNCTION("""COMPUTED_VALUE"""),3264)</f>
        <v>3264</v>
      </c>
      <c r="AN236" s="8">
        <f ca="1">IFERROR(__xludf.DUMMYFUNCTION("""COMPUTED_VALUE"""),3524)</f>
        <v>3524</v>
      </c>
      <c r="AO236" s="8">
        <f ca="1">IFERROR(__xludf.DUMMYFUNCTION("""COMPUTED_VALUE"""),3479)</f>
        <v>3479</v>
      </c>
      <c r="AP236" s="8"/>
      <c r="AQ236" s="8"/>
      <c r="AR236" s="8"/>
      <c r="AS236" s="8"/>
      <c r="AT236" s="8"/>
      <c r="AU236" s="8"/>
      <c r="AV236" s="8"/>
      <c r="AW236" s="8"/>
      <c r="AX236" s="8"/>
      <c r="AY236" s="8"/>
    </row>
    <row r="237" spans="1:51" ht="13.2" x14ac:dyDescent="0.25">
      <c r="A237" s="12" t="str">
        <f ca="1">IFERROR(__xludf.DUMMYFUNCTION("""COMPUTED_VALUE"""),"                     right Cortical amygdalar area, posterior part")</f>
        <v xml:space="preserve">                     right Cortical amygdalar area, posterior part</v>
      </c>
      <c r="B237" s="12">
        <f ca="1">IFERROR(__xludf.DUMMYFUNCTION("""COMPUTED_VALUE"""),1070)</f>
        <v>1070</v>
      </c>
      <c r="C237" s="12">
        <f ca="1">IFERROR(__xludf.DUMMYFUNCTION("""COMPUTED_VALUE"""),5920)</f>
        <v>5920</v>
      </c>
      <c r="D237" s="12">
        <f ca="1">IFERROR(__xludf.DUMMYFUNCTION("""COMPUTED_VALUE"""),5103)</f>
        <v>5103</v>
      </c>
      <c r="E237" s="12">
        <f ca="1">IFERROR(__xludf.DUMMYFUNCTION("""COMPUTED_VALUE"""),1259)</f>
        <v>1259</v>
      </c>
      <c r="F237" s="12">
        <f ca="1">IFERROR(__xludf.DUMMYFUNCTION("""COMPUTED_VALUE"""),2153)</f>
        <v>2153</v>
      </c>
      <c r="G237" s="12">
        <f ca="1">IFERROR(__xludf.DUMMYFUNCTION("""COMPUTED_VALUE"""),872)</f>
        <v>872</v>
      </c>
      <c r="H237" s="12">
        <f ca="1">IFERROR(__xludf.DUMMYFUNCTION("""COMPUTED_VALUE"""),612)</f>
        <v>612</v>
      </c>
      <c r="I237" s="12">
        <f ca="1">IFERROR(__xludf.DUMMYFUNCTION("""COMPUTED_VALUE"""),428)</f>
        <v>428</v>
      </c>
      <c r="J237" s="12">
        <f ca="1">IFERROR(__xludf.DUMMYFUNCTION("""COMPUTED_VALUE"""),1777)</f>
        <v>1777</v>
      </c>
      <c r="K237" s="12">
        <f ca="1">IFERROR(__xludf.DUMMYFUNCTION("""COMPUTED_VALUE"""),4562)</f>
        <v>4562</v>
      </c>
      <c r="L237" s="12">
        <f ca="1">IFERROR(__xludf.DUMMYFUNCTION("""COMPUTED_VALUE"""),6515)</f>
        <v>6515</v>
      </c>
      <c r="M237" s="12">
        <f ca="1">IFERROR(__xludf.DUMMYFUNCTION("""COMPUTED_VALUE"""),7032)</f>
        <v>7032</v>
      </c>
      <c r="N237" s="12">
        <f ca="1">IFERROR(__xludf.DUMMYFUNCTION("""COMPUTED_VALUE"""),1895)</f>
        <v>1895</v>
      </c>
      <c r="O237" s="12">
        <f ca="1">IFERROR(__xludf.DUMMYFUNCTION("""COMPUTED_VALUE"""),3944)</f>
        <v>3944</v>
      </c>
      <c r="P237" s="12">
        <f ca="1">IFERROR(__xludf.DUMMYFUNCTION("""COMPUTED_VALUE"""),1757)</f>
        <v>1757</v>
      </c>
      <c r="Q237" s="12">
        <f ca="1">IFERROR(__xludf.DUMMYFUNCTION("""COMPUTED_VALUE"""),2186)</f>
        <v>2186</v>
      </c>
      <c r="R237" s="12">
        <f ca="1">IFERROR(__xludf.DUMMYFUNCTION("""COMPUTED_VALUE"""),2449)</f>
        <v>2449</v>
      </c>
      <c r="S237" s="12">
        <f ca="1">IFERROR(__xludf.DUMMYFUNCTION("""COMPUTED_VALUE"""),1556)</f>
        <v>1556</v>
      </c>
      <c r="T237" s="12">
        <f ca="1">IFERROR(__xludf.DUMMYFUNCTION("""COMPUTED_VALUE"""),7647)</f>
        <v>7647</v>
      </c>
      <c r="U237" s="12">
        <f ca="1">IFERROR(__xludf.DUMMYFUNCTION("""COMPUTED_VALUE"""),5587)</f>
        <v>5587</v>
      </c>
      <c r="V237" s="12">
        <f ca="1">IFERROR(__xludf.DUMMYFUNCTION("""COMPUTED_VALUE"""),12109)</f>
        <v>12109</v>
      </c>
      <c r="W237" s="12">
        <f ca="1">IFERROR(__xludf.DUMMYFUNCTION("""COMPUTED_VALUE"""),8784)</f>
        <v>8784</v>
      </c>
      <c r="X237" s="12">
        <f ca="1">IFERROR(__xludf.DUMMYFUNCTION("""COMPUTED_VALUE"""),15051)</f>
        <v>15051</v>
      </c>
      <c r="Y237" s="12">
        <f ca="1">IFERROR(__xludf.DUMMYFUNCTION("""COMPUTED_VALUE"""),8604)</f>
        <v>8604</v>
      </c>
      <c r="Z237" s="12">
        <f ca="1">IFERROR(__xludf.DUMMYFUNCTION("""COMPUTED_VALUE"""),16680)</f>
        <v>16680</v>
      </c>
      <c r="AA237" s="12">
        <f ca="1">IFERROR(__xludf.DUMMYFUNCTION("""COMPUTED_VALUE"""),9323)</f>
        <v>9323</v>
      </c>
      <c r="AB237" s="12">
        <f ca="1">IFERROR(__xludf.DUMMYFUNCTION("""COMPUTED_VALUE"""),6810)</f>
        <v>6810</v>
      </c>
      <c r="AC237" s="12">
        <f ca="1">IFERROR(__xludf.DUMMYFUNCTION("""COMPUTED_VALUE"""),4441)</f>
        <v>4441</v>
      </c>
      <c r="AD237" s="12">
        <f ca="1">IFERROR(__xludf.DUMMYFUNCTION("""COMPUTED_VALUE"""),7581)</f>
        <v>7581</v>
      </c>
      <c r="AE237" s="12">
        <f ca="1">IFERROR(__xludf.DUMMYFUNCTION("""COMPUTED_VALUE"""),12067)</f>
        <v>12067</v>
      </c>
      <c r="AF237" s="8">
        <f ca="1">IFERROR(__xludf.DUMMYFUNCTION("""COMPUTED_VALUE"""),14011)</f>
        <v>14011</v>
      </c>
      <c r="AG237" s="8">
        <f ca="1">IFERROR(__xludf.DUMMYFUNCTION("""COMPUTED_VALUE"""),8926)</f>
        <v>8926</v>
      </c>
      <c r="AH237" s="8">
        <f ca="1">IFERROR(__xludf.DUMMYFUNCTION("""COMPUTED_VALUE"""),13907)</f>
        <v>13907</v>
      </c>
      <c r="AI237" s="8">
        <f ca="1">IFERROR(__xludf.DUMMYFUNCTION("""COMPUTED_VALUE"""),5074)</f>
        <v>5074</v>
      </c>
      <c r="AJ237" s="8">
        <f ca="1">IFERROR(__xludf.DUMMYFUNCTION("""COMPUTED_VALUE"""),5481)</f>
        <v>5481</v>
      </c>
      <c r="AK237" s="8">
        <f ca="1">IFERROR(__xludf.DUMMYFUNCTION("""COMPUTED_VALUE"""),4449)</f>
        <v>4449</v>
      </c>
      <c r="AL237" s="8">
        <f ca="1">IFERROR(__xludf.DUMMYFUNCTION("""COMPUTED_VALUE"""),2774)</f>
        <v>2774</v>
      </c>
      <c r="AM237" s="8">
        <f ca="1">IFERROR(__xludf.DUMMYFUNCTION("""COMPUTED_VALUE"""),9161)</f>
        <v>9161</v>
      </c>
      <c r="AN237" s="8">
        <f ca="1">IFERROR(__xludf.DUMMYFUNCTION("""COMPUTED_VALUE"""),3487)</f>
        <v>3487</v>
      </c>
      <c r="AO237" s="8">
        <f ca="1">IFERROR(__xludf.DUMMYFUNCTION("""COMPUTED_VALUE"""),6136)</f>
        <v>6136</v>
      </c>
      <c r="AP237" s="8"/>
      <c r="AQ237" s="8"/>
      <c r="AR237" s="8"/>
      <c r="AS237" s="8"/>
      <c r="AT237" s="8"/>
      <c r="AU237" s="8"/>
      <c r="AV237" s="8"/>
      <c r="AW237" s="8"/>
      <c r="AX237" s="8"/>
      <c r="AY237" s="8"/>
    </row>
    <row r="238" spans="1:51" ht="13.2" x14ac:dyDescent="0.25">
      <c r="A238" s="12" t="str">
        <f ca="1">IFERROR(__xludf.DUMMYFUNCTION("""COMPUTED_VALUE"""),"                  right Piriform-amygdalar area")</f>
        <v xml:space="preserve">                  right Piriform-amygdalar area</v>
      </c>
      <c r="B238" s="12">
        <f ca="1">IFERROR(__xludf.DUMMYFUNCTION("""COMPUTED_VALUE"""),727)</f>
        <v>727</v>
      </c>
      <c r="C238" s="12">
        <f ca="1">IFERROR(__xludf.DUMMYFUNCTION("""COMPUTED_VALUE"""),3163)</f>
        <v>3163</v>
      </c>
      <c r="D238" s="12">
        <f ca="1">IFERROR(__xludf.DUMMYFUNCTION("""COMPUTED_VALUE"""),3000)</f>
        <v>3000</v>
      </c>
      <c r="E238" s="12">
        <f ca="1">IFERROR(__xludf.DUMMYFUNCTION("""COMPUTED_VALUE"""),1457)</f>
        <v>1457</v>
      </c>
      <c r="F238" s="12">
        <f ca="1">IFERROR(__xludf.DUMMYFUNCTION("""COMPUTED_VALUE"""),1400)</f>
        <v>1400</v>
      </c>
      <c r="G238" s="12">
        <f ca="1">IFERROR(__xludf.DUMMYFUNCTION("""COMPUTED_VALUE"""),490)</f>
        <v>490</v>
      </c>
      <c r="H238" s="12">
        <f ca="1">IFERROR(__xludf.DUMMYFUNCTION("""COMPUTED_VALUE"""),273)</f>
        <v>273</v>
      </c>
      <c r="I238" s="12">
        <f ca="1">IFERROR(__xludf.DUMMYFUNCTION("""COMPUTED_VALUE"""),179)</f>
        <v>179</v>
      </c>
      <c r="J238" s="12">
        <f ca="1">IFERROR(__xludf.DUMMYFUNCTION("""COMPUTED_VALUE"""),870)</f>
        <v>870</v>
      </c>
      <c r="K238" s="12">
        <f ca="1">IFERROR(__xludf.DUMMYFUNCTION("""COMPUTED_VALUE"""),1764)</f>
        <v>1764</v>
      </c>
      <c r="L238" s="12">
        <f ca="1">IFERROR(__xludf.DUMMYFUNCTION("""COMPUTED_VALUE"""),3020)</f>
        <v>3020</v>
      </c>
      <c r="M238" s="12">
        <f ca="1">IFERROR(__xludf.DUMMYFUNCTION("""COMPUTED_VALUE"""),4382)</f>
        <v>4382</v>
      </c>
      <c r="N238" s="12">
        <f ca="1">IFERROR(__xludf.DUMMYFUNCTION("""COMPUTED_VALUE"""),358)</f>
        <v>358</v>
      </c>
      <c r="O238" s="12">
        <f ca="1">IFERROR(__xludf.DUMMYFUNCTION("""COMPUTED_VALUE"""),1353)</f>
        <v>1353</v>
      </c>
      <c r="P238" s="12">
        <f ca="1">IFERROR(__xludf.DUMMYFUNCTION("""COMPUTED_VALUE"""),903)</f>
        <v>903</v>
      </c>
      <c r="Q238" s="12">
        <f ca="1">IFERROR(__xludf.DUMMYFUNCTION("""COMPUTED_VALUE"""),633)</f>
        <v>633</v>
      </c>
      <c r="R238" s="12">
        <f ca="1">IFERROR(__xludf.DUMMYFUNCTION("""COMPUTED_VALUE"""),1325)</f>
        <v>1325</v>
      </c>
      <c r="S238" s="12">
        <f ca="1">IFERROR(__xludf.DUMMYFUNCTION("""COMPUTED_VALUE"""),1413)</f>
        <v>1413</v>
      </c>
      <c r="T238" s="12">
        <f ca="1">IFERROR(__xludf.DUMMYFUNCTION("""COMPUTED_VALUE"""),4563)</f>
        <v>4563</v>
      </c>
      <c r="U238" s="12">
        <f ca="1">IFERROR(__xludf.DUMMYFUNCTION("""COMPUTED_VALUE"""),2071)</f>
        <v>2071</v>
      </c>
      <c r="V238" s="12">
        <f ca="1">IFERROR(__xludf.DUMMYFUNCTION("""COMPUTED_VALUE"""),5194)</f>
        <v>5194</v>
      </c>
      <c r="W238" s="12">
        <f ca="1">IFERROR(__xludf.DUMMYFUNCTION("""COMPUTED_VALUE"""),4522)</f>
        <v>4522</v>
      </c>
      <c r="X238" s="12">
        <f ca="1">IFERROR(__xludf.DUMMYFUNCTION("""COMPUTED_VALUE"""),8167)</f>
        <v>8167</v>
      </c>
      <c r="Y238" s="12">
        <f ca="1">IFERROR(__xludf.DUMMYFUNCTION("""COMPUTED_VALUE"""),3431)</f>
        <v>3431</v>
      </c>
      <c r="Z238" s="12">
        <f ca="1">IFERROR(__xludf.DUMMYFUNCTION("""COMPUTED_VALUE"""),6967)</f>
        <v>6967</v>
      </c>
      <c r="AA238" s="12">
        <f ca="1">IFERROR(__xludf.DUMMYFUNCTION("""COMPUTED_VALUE"""),6660)</f>
        <v>6660</v>
      </c>
      <c r="AB238" s="12">
        <f ca="1">IFERROR(__xludf.DUMMYFUNCTION("""COMPUTED_VALUE"""),3149)</f>
        <v>3149</v>
      </c>
      <c r="AC238" s="12">
        <f ca="1">IFERROR(__xludf.DUMMYFUNCTION("""COMPUTED_VALUE"""),1667)</f>
        <v>1667</v>
      </c>
      <c r="AD238" s="12">
        <f ca="1">IFERROR(__xludf.DUMMYFUNCTION("""COMPUTED_VALUE"""),3958)</f>
        <v>3958</v>
      </c>
      <c r="AE238" s="12">
        <f ca="1">IFERROR(__xludf.DUMMYFUNCTION("""COMPUTED_VALUE"""),5533)</f>
        <v>5533</v>
      </c>
      <c r="AF238" s="8">
        <f ca="1">IFERROR(__xludf.DUMMYFUNCTION("""COMPUTED_VALUE"""),6731)</f>
        <v>6731</v>
      </c>
      <c r="AG238" s="8">
        <f ca="1">IFERROR(__xludf.DUMMYFUNCTION("""COMPUTED_VALUE"""),3142)</f>
        <v>3142</v>
      </c>
      <c r="AH238" s="8">
        <f ca="1">IFERROR(__xludf.DUMMYFUNCTION("""COMPUTED_VALUE"""),5670)</f>
        <v>5670</v>
      </c>
      <c r="AI238" s="8">
        <f ca="1">IFERROR(__xludf.DUMMYFUNCTION("""COMPUTED_VALUE"""),2346)</f>
        <v>2346</v>
      </c>
      <c r="AJ238" s="8">
        <f ca="1">IFERROR(__xludf.DUMMYFUNCTION("""COMPUTED_VALUE"""),2373)</f>
        <v>2373</v>
      </c>
      <c r="AK238" s="8">
        <f ca="1">IFERROR(__xludf.DUMMYFUNCTION("""COMPUTED_VALUE"""),1042)</f>
        <v>1042</v>
      </c>
      <c r="AL238" s="8">
        <f ca="1">IFERROR(__xludf.DUMMYFUNCTION("""COMPUTED_VALUE"""),1051)</f>
        <v>1051</v>
      </c>
      <c r="AM238" s="8">
        <f ca="1">IFERROR(__xludf.DUMMYFUNCTION("""COMPUTED_VALUE"""),4970)</f>
        <v>4970</v>
      </c>
      <c r="AN238" s="8">
        <f ca="1">IFERROR(__xludf.DUMMYFUNCTION("""COMPUTED_VALUE"""),2228)</f>
        <v>2228</v>
      </c>
      <c r="AO238" s="8">
        <f ca="1">IFERROR(__xludf.DUMMYFUNCTION("""COMPUTED_VALUE"""),3774)</f>
        <v>3774</v>
      </c>
      <c r="AP238" s="8"/>
      <c r="AQ238" s="8"/>
      <c r="AR238" s="8"/>
      <c r="AS238" s="8"/>
      <c r="AT238" s="8"/>
      <c r="AU238" s="8"/>
      <c r="AV238" s="8"/>
      <c r="AW238" s="8"/>
      <c r="AX238" s="8"/>
      <c r="AY238" s="8"/>
    </row>
    <row r="239" spans="1:51" ht="13.2" x14ac:dyDescent="0.25">
      <c r="A239" s="12" t="str">
        <f ca="1">IFERROR(__xludf.DUMMYFUNCTION("""COMPUTED_VALUE"""),"                  right Postpiriform transition area")</f>
        <v xml:space="preserve">                  right Postpiriform transition area</v>
      </c>
      <c r="B239" s="12">
        <f ca="1">IFERROR(__xludf.DUMMYFUNCTION("""COMPUTED_VALUE"""),692)</f>
        <v>692</v>
      </c>
      <c r="C239" s="12">
        <f ca="1">IFERROR(__xludf.DUMMYFUNCTION("""COMPUTED_VALUE"""),2865)</f>
        <v>2865</v>
      </c>
      <c r="D239" s="12">
        <f ca="1">IFERROR(__xludf.DUMMYFUNCTION("""COMPUTED_VALUE"""),3140)</f>
        <v>3140</v>
      </c>
      <c r="E239" s="12">
        <f ca="1">IFERROR(__xludf.DUMMYFUNCTION("""COMPUTED_VALUE"""),1212)</f>
        <v>1212</v>
      </c>
      <c r="F239" s="12">
        <f ca="1">IFERROR(__xludf.DUMMYFUNCTION("""COMPUTED_VALUE"""),1207)</f>
        <v>1207</v>
      </c>
      <c r="G239" s="12">
        <f ca="1">IFERROR(__xludf.DUMMYFUNCTION("""COMPUTED_VALUE"""),1066)</f>
        <v>1066</v>
      </c>
      <c r="H239" s="12">
        <f ca="1">IFERROR(__xludf.DUMMYFUNCTION("""COMPUTED_VALUE"""),1525)</f>
        <v>1525</v>
      </c>
      <c r="I239" s="12">
        <f ca="1">IFERROR(__xludf.DUMMYFUNCTION("""COMPUTED_VALUE"""),378)</f>
        <v>378</v>
      </c>
      <c r="J239" s="12">
        <f ca="1">IFERROR(__xludf.DUMMYFUNCTION("""COMPUTED_VALUE"""),1097)</f>
        <v>1097</v>
      </c>
      <c r="K239" s="12">
        <f ca="1">IFERROR(__xludf.DUMMYFUNCTION("""COMPUTED_VALUE"""),1772)</f>
        <v>1772</v>
      </c>
      <c r="L239" s="12">
        <f ca="1">IFERROR(__xludf.DUMMYFUNCTION("""COMPUTED_VALUE"""),4076)</f>
        <v>4076</v>
      </c>
      <c r="M239" s="12">
        <f ca="1">IFERROR(__xludf.DUMMYFUNCTION("""COMPUTED_VALUE"""),2785)</f>
        <v>2785</v>
      </c>
      <c r="N239" s="12">
        <f ca="1">IFERROR(__xludf.DUMMYFUNCTION("""COMPUTED_VALUE"""),1956)</f>
        <v>1956</v>
      </c>
      <c r="O239" s="12">
        <f ca="1">IFERROR(__xludf.DUMMYFUNCTION("""COMPUTED_VALUE"""),1745)</f>
        <v>1745</v>
      </c>
      <c r="P239" s="12">
        <f ca="1">IFERROR(__xludf.DUMMYFUNCTION("""COMPUTED_VALUE"""),1511)</f>
        <v>1511</v>
      </c>
      <c r="Q239" s="12">
        <f ca="1">IFERROR(__xludf.DUMMYFUNCTION("""COMPUTED_VALUE"""),1302)</f>
        <v>1302</v>
      </c>
      <c r="R239" s="12">
        <f ca="1">IFERROR(__xludf.DUMMYFUNCTION("""COMPUTED_VALUE"""),1904)</f>
        <v>1904</v>
      </c>
      <c r="S239" s="12">
        <f ca="1">IFERROR(__xludf.DUMMYFUNCTION("""COMPUTED_VALUE"""),1052)</f>
        <v>1052</v>
      </c>
      <c r="T239" s="12">
        <f ca="1">IFERROR(__xludf.DUMMYFUNCTION("""COMPUTED_VALUE"""),2072)</f>
        <v>2072</v>
      </c>
      <c r="U239" s="12">
        <f ca="1">IFERROR(__xludf.DUMMYFUNCTION("""COMPUTED_VALUE"""),1743)</f>
        <v>1743</v>
      </c>
      <c r="V239" s="12">
        <f ca="1">IFERROR(__xludf.DUMMYFUNCTION("""COMPUTED_VALUE"""),6094)</f>
        <v>6094</v>
      </c>
      <c r="W239" s="12">
        <f ca="1">IFERROR(__xludf.DUMMYFUNCTION("""COMPUTED_VALUE"""),7752)</f>
        <v>7752</v>
      </c>
      <c r="X239" s="12">
        <f ca="1">IFERROR(__xludf.DUMMYFUNCTION("""COMPUTED_VALUE"""),8969)</f>
        <v>8969</v>
      </c>
      <c r="Y239" s="12">
        <f ca="1">IFERROR(__xludf.DUMMYFUNCTION("""COMPUTED_VALUE"""),2681)</f>
        <v>2681</v>
      </c>
      <c r="Z239" s="12">
        <f ca="1">IFERROR(__xludf.DUMMYFUNCTION("""COMPUTED_VALUE"""),2952)</f>
        <v>2952</v>
      </c>
      <c r="AA239" s="12">
        <f ca="1">IFERROR(__xludf.DUMMYFUNCTION("""COMPUTED_VALUE"""),5991)</f>
        <v>5991</v>
      </c>
      <c r="AB239" s="12">
        <f ca="1">IFERROR(__xludf.DUMMYFUNCTION("""COMPUTED_VALUE"""),3589)</f>
        <v>3589</v>
      </c>
      <c r="AC239" s="12">
        <f ca="1">IFERROR(__xludf.DUMMYFUNCTION("""COMPUTED_VALUE"""),3790)</f>
        <v>3790</v>
      </c>
      <c r="AD239" s="12">
        <f ca="1">IFERROR(__xludf.DUMMYFUNCTION("""COMPUTED_VALUE"""),3770)</f>
        <v>3770</v>
      </c>
      <c r="AE239" s="12">
        <f ca="1">IFERROR(__xludf.DUMMYFUNCTION("""COMPUTED_VALUE"""),4448)</f>
        <v>4448</v>
      </c>
      <c r="AF239" s="8">
        <f ca="1">IFERROR(__xludf.DUMMYFUNCTION("""COMPUTED_VALUE"""),2880)</f>
        <v>2880</v>
      </c>
      <c r="AG239" s="8">
        <f ca="1">IFERROR(__xludf.DUMMYFUNCTION("""COMPUTED_VALUE"""),1884)</f>
        <v>1884</v>
      </c>
      <c r="AH239" s="8">
        <f ca="1">IFERROR(__xludf.DUMMYFUNCTION("""COMPUTED_VALUE"""),5322)</f>
        <v>5322</v>
      </c>
      <c r="AI239" s="8">
        <f ca="1">IFERROR(__xludf.DUMMYFUNCTION("""COMPUTED_VALUE"""),1743)</f>
        <v>1743</v>
      </c>
      <c r="AJ239" s="8">
        <f ca="1">IFERROR(__xludf.DUMMYFUNCTION("""COMPUTED_VALUE"""),2973)</f>
        <v>2973</v>
      </c>
      <c r="AK239" s="8">
        <f ca="1">IFERROR(__xludf.DUMMYFUNCTION("""COMPUTED_VALUE"""),2527)</f>
        <v>2527</v>
      </c>
      <c r="AL239" s="8">
        <f ca="1">IFERROR(__xludf.DUMMYFUNCTION("""COMPUTED_VALUE"""),3179)</f>
        <v>3179</v>
      </c>
      <c r="AM239" s="8">
        <f ca="1">IFERROR(__xludf.DUMMYFUNCTION("""COMPUTED_VALUE"""),5492)</f>
        <v>5492</v>
      </c>
      <c r="AN239" s="8">
        <f ca="1">IFERROR(__xludf.DUMMYFUNCTION("""COMPUTED_VALUE"""),2334)</f>
        <v>2334</v>
      </c>
      <c r="AO239" s="8">
        <f ca="1">IFERROR(__xludf.DUMMYFUNCTION("""COMPUTED_VALUE"""),5162)</f>
        <v>5162</v>
      </c>
      <c r="AP239" s="8"/>
      <c r="AQ239" s="8"/>
      <c r="AR239" s="8"/>
      <c r="AS239" s="8"/>
      <c r="AT239" s="8"/>
      <c r="AU239" s="8"/>
      <c r="AV239" s="8"/>
      <c r="AW239" s="8"/>
      <c r="AX239" s="8"/>
      <c r="AY239" s="8"/>
    </row>
    <row r="240" spans="1:51" ht="13.2" x14ac:dyDescent="0.25">
      <c r="A240" s="12" t="str">
        <f ca="1">IFERROR(__xludf.DUMMYFUNCTION("""COMPUTED_VALUE"""),"               right Hippocampal formation")</f>
        <v xml:space="preserve">               right Hippocampal formation</v>
      </c>
      <c r="B240" s="12">
        <f ca="1">IFERROR(__xludf.DUMMYFUNCTION("""COMPUTED_VALUE"""),59381)</f>
        <v>59381</v>
      </c>
      <c r="C240" s="12">
        <f ca="1">IFERROR(__xludf.DUMMYFUNCTION("""COMPUTED_VALUE"""),129430)</f>
        <v>129430</v>
      </c>
      <c r="D240" s="12">
        <f ca="1">IFERROR(__xludf.DUMMYFUNCTION("""COMPUTED_VALUE"""),56328)</f>
        <v>56328</v>
      </c>
      <c r="E240" s="12">
        <f ca="1">IFERROR(__xludf.DUMMYFUNCTION("""COMPUTED_VALUE"""),47534)</f>
        <v>47534</v>
      </c>
      <c r="F240" s="12">
        <f ca="1">IFERROR(__xludf.DUMMYFUNCTION("""COMPUTED_VALUE"""),111486)</f>
        <v>111486</v>
      </c>
      <c r="G240" s="12">
        <f ca="1">IFERROR(__xludf.DUMMYFUNCTION("""COMPUTED_VALUE"""),64337)</f>
        <v>64337</v>
      </c>
      <c r="H240" s="12">
        <f ca="1">IFERROR(__xludf.DUMMYFUNCTION("""COMPUTED_VALUE"""),69455)</f>
        <v>69455</v>
      </c>
      <c r="I240" s="12">
        <f ca="1">IFERROR(__xludf.DUMMYFUNCTION("""COMPUTED_VALUE"""),53994)</f>
        <v>53994</v>
      </c>
      <c r="J240" s="12">
        <f ca="1">IFERROR(__xludf.DUMMYFUNCTION("""COMPUTED_VALUE"""),74352)</f>
        <v>74352</v>
      </c>
      <c r="K240" s="12">
        <f ca="1">IFERROR(__xludf.DUMMYFUNCTION("""COMPUTED_VALUE"""),109226)</f>
        <v>109226</v>
      </c>
      <c r="L240" s="12">
        <f ca="1">IFERROR(__xludf.DUMMYFUNCTION("""COMPUTED_VALUE"""),47768)</f>
        <v>47768</v>
      </c>
      <c r="M240" s="12">
        <f ca="1">IFERROR(__xludf.DUMMYFUNCTION("""COMPUTED_VALUE"""),89524)</f>
        <v>89524</v>
      </c>
      <c r="N240" s="12">
        <f ca="1">IFERROR(__xludf.DUMMYFUNCTION("""COMPUTED_VALUE"""),100900)</f>
        <v>100900</v>
      </c>
      <c r="O240" s="12">
        <f ca="1">IFERROR(__xludf.DUMMYFUNCTION("""COMPUTED_VALUE"""),117435)</f>
        <v>117435</v>
      </c>
      <c r="P240" s="12">
        <f ca="1">IFERROR(__xludf.DUMMYFUNCTION("""COMPUTED_VALUE"""),71708)</f>
        <v>71708</v>
      </c>
      <c r="Q240" s="12">
        <f ca="1">IFERROR(__xludf.DUMMYFUNCTION("""COMPUTED_VALUE"""),69425)</f>
        <v>69425</v>
      </c>
      <c r="R240" s="12">
        <f ca="1">IFERROR(__xludf.DUMMYFUNCTION("""COMPUTED_VALUE"""),72533)</f>
        <v>72533</v>
      </c>
      <c r="S240" s="12">
        <f ca="1">IFERROR(__xludf.DUMMYFUNCTION("""COMPUTED_VALUE"""),31743)</f>
        <v>31743</v>
      </c>
      <c r="T240" s="12">
        <f ca="1">IFERROR(__xludf.DUMMYFUNCTION("""COMPUTED_VALUE"""),102566)</f>
        <v>102566</v>
      </c>
      <c r="U240" s="12">
        <f ca="1">IFERROR(__xludf.DUMMYFUNCTION("""COMPUTED_VALUE"""),95207)</f>
        <v>95207</v>
      </c>
      <c r="V240" s="12">
        <f ca="1">IFERROR(__xludf.DUMMYFUNCTION("""COMPUTED_VALUE"""),153226)</f>
        <v>153226</v>
      </c>
      <c r="W240" s="12">
        <f ca="1">IFERROR(__xludf.DUMMYFUNCTION("""COMPUTED_VALUE"""),208085)</f>
        <v>208085</v>
      </c>
      <c r="X240" s="12">
        <f ca="1">IFERROR(__xludf.DUMMYFUNCTION("""COMPUTED_VALUE"""),175008)</f>
        <v>175008</v>
      </c>
      <c r="Y240" s="12">
        <f ca="1">IFERROR(__xludf.DUMMYFUNCTION("""COMPUTED_VALUE"""),96028)</f>
        <v>96028</v>
      </c>
      <c r="Z240" s="12">
        <f ca="1">IFERROR(__xludf.DUMMYFUNCTION("""COMPUTED_VALUE"""),121393)</f>
        <v>121393</v>
      </c>
      <c r="AA240" s="12">
        <f ca="1">IFERROR(__xludf.DUMMYFUNCTION("""COMPUTED_VALUE"""),176467)</f>
        <v>176467</v>
      </c>
      <c r="AB240" s="12">
        <f ca="1">IFERROR(__xludf.DUMMYFUNCTION("""COMPUTED_VALUE"""),98288)</f>
        <v>98288</v>
      </c>
      <c r="AC240" s="12">
        <f ca="1">IFERROR(__xludf.DUMMYFUNCTION("""COMPUTED_VALUE"""),85832)</f>
        <v>85832</v>
      </c>
      <c r="AD240" s="12">
        <f ca="1">IFERROR(__xludf.DUMMYFUNCTION("""COMPUTED_VALUE"""),92259)</f>
        <v>92259</v>
      </c>
      <c r="AE240" s="12">
        <f ca="1">IFERROR(__xludf.DUMMYFUNCTION("""COMPUTED_VALUE"""),158870)</f>
        <v>158870</v>
      </c>
      <c r="AF240" s="8">
        <f ca="1">IFERROR(__xludf.DUMMYFUNCTION("""COMPUTED_VALUE"""),240329)</f>
        <v>240329</v>
      </c>
      <c r="AG240" s="8">
        <f ca="1">IFERROR(__xludf.DUMMYFUNCTION("""COMPUTED_VALUE"""),95570)</f>
        <v>95570</v>
      </c>
      <c r="AH240" s="8">
        <f ca="1">IFERROR(__xludf.DUMMYFUNCTION("""COMPUTED_VALUE"""),98902)</f>
        <v>98902</v>
      </c>
      <c r="AI240" s="8">
        <f ca="1">IFERROR(__xludf.DUMMYFUNCTION("""COMPUTED_VALUE"""),42242)</f>
        <v>42242</v>
      </c>
      <c r="AJ240" s="8">
        <f ca="1">IFERROR(__xludf.DUMMYFUNCTION("""COMPUTED_VALUE"""),95302)</f>
        <v>95302</v>
      </c>
      <c r="AK240" s="8">
        <f ca="1">IFERROR(__xludf.DUMMYFUNCTION("""COMPUTED_VALUE"""),50573)</f>
        <v>50573</v>
      </c>
      <c r="AL240" s="8">
        <f ca="1">IFERROR(__xludf.DUMMYFUNCTION("""COMPUTED_VALUE"""),50704)</f>
        <v>50704</v>
      </c>
      <c r="AM240" s="8">
        <f ca="1">IFERROR(__xludf.DUMMYFUNCTION("""COMPUTED_VALUE"""),120998)</f>
        <v>120998</v>
      </c>
      <c r="AN240" s="8">
        <f ca="1">IFERROR(__xludf.DUMMYFUNCTION("""COMPUTED_VALUE"""),79838)</f>
        <v>79838</v>
      </c>
      <c r="AO240" s="8">
        <f ca="1">IFERROR(__xludf.DUMMYFUNCTION("""COMPUTED_VALUE"""),86704)</f>
        <v>86704</v>
      </c>
      <c r="AP240" s="8"/>
      <c r="AQ240" s="8"/>
      <c r="AR240" s="8"/>
      <c r="AS240" s="8"/>
      <c r="AT240" s="8"/>
      <c r="AU240" s="8"/>
      <c r="AV240" s="8"/>
      <c r="AW240" s="8"/>
      <c r="AX240" s="8"/>
      <c r="AY240" s="8"/>
    </row>
    <row r="241" spans="1:51" ht="13.2" x14ac:dyDescent="0.25">
      <c r="A241" s="12" t="str">
        <f ca="1">IFERROR(__xludf.DUMMYFUNCTION("""COMPUTED_VALUE"""),"                  right Hippocampal region")</f>
        <v xml:space="preserve">                  right Hippocampal region</v>
      </c>
      <c r="B241" s="12">
        <f ca="1">IFERROR(__xludf.DUMMYFUNCTION("""COMPUTED_VALUE"""),21525)</f>
        <v>21525</v>
      </c>
      <c r="C241" s="12">
        <f ca="1">IFERROR(__xludf.DUMMYFUNCTION("""COMPUTED_VALUE"""),57122)</f>
        <v>57122</v>
      </c>
      <c r="D241" s="12">
        <f ca="1">IFERROR(__xludf.DUMMYFUNCTION("""COMPUTED_VALUE"""),22496)</f>
        <v>22496</v>
      </c>
      <c r="E241" s="12">
        <f ca="1">IFERROR(__xludf.DUMMYFUNCTION("""COMPUTED_VALUE"""),18496)</f>
        <v>18496</v>
      </c>
      <c r="F241" s="12">
        <f ca="1">IFERROR(__xludf.DUMMYFUNCTION("""COMPUTED_VALUE"""),59414)</f>
        <v>59414</v>
      </c>
      <c r="G241" s="12">
        <f ca="1">IFERROR(__xludf.DUMMYFUNCTION("""COMPUTED_VALUE"""),27223)</f>
        <v>27223</v>
      </c>
      <c r="H241" s="12">
        <f ca="1">IFERROR(__xludf.DUMMYFUNCTION("""COMPUTED_VALUE"""),32976)</f>
        <v>32976</v>
      </c>
      <c r="I241" s="12">
        <f ca="1">IFERROR(__xludf.DUMMYFUNCTION("""COMPUTED_VALUE"""),23070)</f>
        <v>23070</v>
      </c>
      <c r="J241" s="12">
        <f ca="1">IFERROR(__xludf.DUMMYFUNCTION("""COMPUTED_VALUE"""),30604)</f>
        <v>30604</v>
      </c>
      <c r="K241" s="12">
        <f ca="1">IFERROR(__xludf.DUMMYFUNCTION("""COMPUTED_VALUE"""),48018)</f>
        <v>48018</v>
      </c>
      <c r="L241" s="12">
        <f ca="1">IFERROR(__xludf.DUMMYFUNCTION("""COMPUTED_VALUE"""),17243)</f>
        <v>17243</v>
      </c>
      <c r="M241" s="12">
        <f ca="1">IFERROR(__xludf.DUMMYFUNCTION("""COMPUTED_VALUE"""),39051)</f>
        <v>39051</v>
      </c>
      <c r="N241" s="12">
        <f ca="1">IFERROR(__xludf.DUMMYFUNCTION("""COMPUTED_VALUE"""),64715)</f>
        <v>64715</v>
      </c>
      <c r="O241" s="12">
        <f ca="1">IFERROR(__xludf.DUMMYFUNCTION("""COMPUTED_VALUE"""),47389)</f>
        <v>47389</v>
      </c>
      <c r="P241" s="12">
        <f ca="1">IFERROR(__xludf.DUMMYFUNCTION("""COMPUTED_VALUE"""),31538)</f>
        <v>31538</v>
      </c>
      <c r="Q241" s="12">
        <f ca="1">IFERROR(__xludf.DUMMYFUNCTION("""COMPUTED_VALUE"""),23420)</f>
        <v>23420</v>
      </c>
      <c r="R241" s="12">
        <f ca="1">IFERROR(__xludf.DUMMYFUNCTION("""COMPUTED_VALUE"""),27794)</f>
        <v>27794</v>
      </c>
      <c r="S241" s="12">
        <f ca="1">IFERROR(__xludf.DUMMYFUNCTION("""COMPUTED_VALUE"""),10060)</f>
        <v>10060</v>
      </c>
      <c r="T241" s="12">
        <f ca="1">IFERROR(__xludf.DUMMYFUNCTION("""COMPUTED_VALUE"""),73034)</f>
        <v>73034</v>
      </c>
      <c r="U241" s="12">
        <f ca="1">IFERROR(__xludf.DUMMYFUNCTION("""COMPUTED_VALUE"""),50705)</f>
        <v>50705</v>
      </c>
      <c r="V241" s="12">
        <f ca="1">IFERROR(__xludf.DUMMYFUNCTION("""COMPUTED_VALUE"""),64387)</f>
        <v>64387</v>
      </c>
      <c r="W241" s="12">
        <f ca="1">IFERROR(__xludf.DUMMYFUNCTION("""COMPUTED_VALUE"""),67991)</f>
        <v>67991</v>
      </c>
      <c r="X241" s="12">
        <f ca="1">IFERROR(__xludf.DUMMYFUNCTION("""COMPUTED_VALUE"""),72844)</f>
        <v>72844</v>
      </c>
      <c r="Y241" s="12">
        <f ca="1">IFERROR(__xludf.DUMMYFUNCTION("""COMPUTED_VALUE"""),37703)</f>
        <v>37703</v>
      </c>
      <c r="Z241" s="12">
        <f ca="1">IFERROR(__xludf.DUMMYFUNCTION("""COMPUTED_VALUE"""),83288)</f>
        <v>83288</v>
      </c>
      <c r="AA241" s="12">
        <f ca="1">IFERROR(__xludf.DUMMYFUNCTION("""COMPUTED_VALUE"""),59452)</f>
        <v>59452</v>
      </c>
      <c r="AB241" s="12">
        <f ca="1">IFERROR(__xludf.DUMMYFUNCTION("""COMPUTED_VALUE"""),52691)</f>
        <v>52691</v>
      </c>
      <c r="AC241" s="12">
        <f ca="1">IFERROR(__xludf.DUMMYFUNCTION("""COMPUTED_VALUE"""),32648)</f>
        <v>32648</v>
      </c>
      <c r="AD241" s="12">
        <f ca="1">IFERROR(__xludf.DUMMYFUNCTION("""COMPUTED_VALUE"""),49095)</f>
        <v>49095</v>
      </c>
      <c r="AE241" s="12">
        <f ca="1">IFERROR(__xludf.DUMMYFUNCTION("""COMPUTED_VALUE"""),64792)</f>
        <v>64792</v>
      </c>
      <c r="AF241" s="8">
        <f ca="1">IFERROR(__xludf.DUMMYFUNCTION("""COMPUTED_VALUE"""),163245)</f>
        <v>163245</v>
      </c>
      <c r="AG241" s="8">
        <f ca="1">IFERROR(__xludf.DUMMYFUNCTION("""COMPUTED_VALUE"""),33380)</f>
        <v>33380</v>
      </c>
      <c r="AH241" s="8">
        <f ca="1">IFERROR(__xludf.DUMMYFUNCTION("""COMPUTED_VALUE"""),38443)</f>
        <v>38443</v>
      </c>
      <c r="AI241" s="8">
        <f ca="1">IFERROR(__xludf.DUMMYFUNCTION("""COMPUTED_VALUE"""),20280)</f>
        <v>20280</v>
      </c>
      <c r="AJ241" s="8">
        <f ca="1">IFERROR(__xludf.DUMMYFUNCTION("""COMPUTED_VALUE"""),34101)</f>
        <v>34101</v>
      </c>
      <c r="AK241" s="8">
        <f ca="1">IFERROR(__xludf.DUMMYFUNCTION("""COMPUTED_VALUE"""),24570)</f>
        <v>24570</v>
      </c>
      <c r="AL241" s="8">
        <f ca="1">IFERROR(__xludf.DUMMYFUNCTION("""COMPUTED_VALUE"""),15120)</f>
        <v>15120</v>
      </c>
      <c r="AM241" s="8">
        <f ca="1">IFERROR(__xludf.DUMMYFUNCTION("""COMPUTED_VALUE"""),40961)</f>
        <v>40961</v>
      </c>
      <c r="AN241" s="8">
        <f ca="1">IFERROR(__xludf.DUMMYFUNCTION("""COMPUTED_VALUE"""),29253)</f>
        <v>29253</v>
      </c>
      <c r="AO241" s="8">
        <f ca="1">IFERROR(__xludf.DUMMYFUNCTION("""COMPUTED_VALUE"""),25377)</f>
        <v>25377</v>
      </c>
      <c r="AP241" s="8"/>
      <c r="AQ241" s="8"/>
      <c r="AR241" s="8"/>
      <c r="AS241" s="8"/>
      <c r="AT241" s="8"/>
      <c r="AU241" s="8"/>
      <c r="AV241" s="8"/>
      <c r="AW241" s="8"/>
      <c r="AX241" s="8"/>
      <c r="AY241" s="8"/>
    </row>
    <row r="242" spans="1:51" ht="13.2" x14ac:dyDescent="0.25">
      <c r="A242" s="12" t="str">
        <f ca="1">IFERROR(__xludf.DUMMYFUNCTION("""COMPUTED_VALUE"""),"                     right Ammon's horn")</f>
        <v xml:space="preserve">                     right Ammon's horn</v>
      </c>
      <c r="B242" s="12">
        <f ca="1">IFERROR(__xludf.DUMMYFUNCTION("""COMPUTED_VALUE"""),18469)</f>
        <v>18469</v>
      </c>
      <c r="C242" s="12">
        <f ca="1">IFERROR(__xludf.DUMMYFUNCTION("""COMPUTED_VALUE"""),48899)</f>
        <v>48899</v>
      </c>
      <c r="D242" s="12">
        <f ca="1">IFERROR(__xludf.DUMMYFUNCTION("""COMPUTED_VALUE"""),18406)</f>
        <v>18406</v>
      </c>
      <c r="E242" s="12">
        <f ca="1">IFERROR(__xludf.DUMMYFUNCTION("""COMPUTED_VALUE"""),14889)</f>
        <v>14889</v>
      </c>
      <c r="F242" s="12">
        <f ca="1">IFERROR(__xludf.DUMMYFUNCTION("""COMPUTED_VALUE"""),49753)</f>
        <v>49753</v>
      </c>
      <c r="G242" s="12">
        <f ca="1">IFERROR(__xludf.DUMMYFUNCTION("""COMPUTED_VALUE"""),21879)</f>
        <v>21879</v>
      </c>
      <c r="H242" s="12">
        <f ca="1">IFERROR(__xludf.DUMMYFUNCTION("""COMPUTED_VALUE"""),28289)</f>
        <v>28289</v>
      </c>
      <c r="I242" s="12">
        <f ca="1">IFERROR(__xludf.DUMMYFUNCTION("""COMPUTED_VALUE"""),20301)</f>
        <v>20301</v>
      </c>
      <c r="J242" s="12">
        <f ca="1">IFERROR(__xludf.DUMMYFUNCTION("""COMPUTED_VALUE"""),26601)</f>
        <v>26601</v>
      </c>
      <c r="K242" s="12">
        <f ca="1">IFERROR(__xludf.DUMMYFUNCTION("""COMPUTED_VALUE"""),42060)</f>
        <v>42060</v>
      </c>
      <c r="L242" s="12">
        <f ca="1">IFERROR(__xludf.DUMMYFUNCTION("""COMPUTED_VALUE"""),14353)</f>
        <v>14353</v>
      </c>
      <c r="M242" s="12">
        <f ca="1">IFERROR(__xludf.DUMMYFUNCTION("""COMPUTED_VALUE"""),33779)</f>
        <v>33779</v>
      </c>
      <c r="N242" s="12">
        <f ca="1">IFERROR(__xludf.DUMMYFUNCTION("""COMPUTED_VALUE"""),41525)</f>
        <v>41525</v>
      </c>
      <c r="O242" s="12">
        <f ca="1">IFERROR(__xludf.DUMMYFUNCTION("""COMPUTED_VALUE"""),41269)</f>
        <v>41269</v>
      </c>
      <c r="P242" s="12">
        <f ca="1">IFERROR(__xludf.DUMMYFUNCTION("""COMPUTED_VALUE"""),26781)</f>
        <v>26781</v>
      </c>
      <c r="Q242" s="12">
        <f ca="1">IFERROR(__xludf.DUMMYFUNCTION("""COMPUTED_VALUE"""),19743)</f>
        <v>19743</v>
      </c>
      <c r="R242" s="12">
        <f ca="1">IFERROR(__xludf.DUMMYFUNCTION("""COMPUTED_VALUE"""),25237)</f>
        <v>25237</v>
      </c>
      <c r="S242" s="12">
        <f ca="1">IFERROR(__xludf.DUMMYFUNCTION("""COMPUTED_VALUE"""),8061)</f>
        <v>8061</v>
      </c>
      <c r="T242" s="12">
        <f ca="1">IFERROR(__xludf.DUMMYFUNCTION("""COMPUTED_VALUE"""),53805)</f>
        <v>53805</v>
      </c>
      <c r="U242" s="12">
        <f ca="1">IFERROR(__xludf.DUMMYFUNCTION("""COMPUTED_VALUE"""),38686)</f>
        <v>38686</v>
      </c>
      <c r="V242" s="12">
        <f ca="1">IFERROR(__xludf.DUMMYFUNCTION("""COMPUTED_VALUE"""),55527)</f>
        <v>55527</v>
      </c>
      <c r="W242" s="12">
        <f ca="1">IFERROR(__xludf.DUMMYFUNCTION("""COMPUTED_VALUE"""),53710)</f>
        <v>53710</v>
      </c>
      <c r="X242" s="12">
        <f ca="1">IFERROR(__xludf.DUMMYFUNCTION("""COMPUTED_VALUE"""),63421)</f>
        <v>63421</v>
      </c>
      <c r="Y242" s="12">
        <f ca="1">IFERROR(__xludf.DUMMYFUNCTION("""COMPUTED_VALUE"""),30557)</f>
        <v>30557</v>
      </c>
      <c r="Z242" s="12">
        <f ca="1">IFERROR(__xludf.DUMMYFUNCTION("""COMPUTED_VALUE"""),74044)</f>
        <v>74044</v>
      </c>
      <c r="AA242" s="12">
        <f ca="1">IFERROR(__xludf.DUMMYFUNCTION("""COMPUTED_VALUE"""),51581)</f>
        <v>51581</v>
      </c>
      <c r="AB242" s="12">
        <f ca="1">IFERROR(__xludf.DUMMYFUNCTION("""COMPUTED_VALUE"""),44201)</f>
        <v>44201</v>
      </c>
      <c r="AC242" s="12">
        <f ca="1">IFERROR(__xludf.DUMMYFUNCTION("""COMPUTED_VALUE"""),26523)</f>
        <v>26523</v>
      </c>
      <c r="AD242" s="12">
        <f ca="1">IFERROR(__xludf.DUMMYFUNCTION("""COMPUTED_VALUE"""),44307)</f>
        <v>44307</v>
      </c>
      <c r="AE242" s="12">
        <f ca="1">IFERROR(__xludf.DUMMYFUNCTION("""COMPUTED_VALUE"""),55591)</f>
        <v>55591</v>
      </c>
      <c r="AF242" s="8">
        <f ca="1">IFERROR(__xludf.DUMMYFUNCTION("""COMPUTED_VALUE"""),135283)</f>
        <v>135283</v>
      </c>
      <c r="AG242" s="8">
        <f ca="1">IFERROR(__xludf.DUMMYFUNCTION("""COMPUTED_VALUE"""),27901)</f>
        <v>27901</v>
      </c>
      <c r="AH242" s="8">
        <f ca="1">IFERROR(__xludf.DUMMYFUNCTION("""COMPUTED_VALUE"""),32802)</f>
        <v>32802</v>
      </c>
      <c r="AI242" s="8">
        <f ca="1">IFERROR(__xludf.DUMMYFUNCTION("""COMPUTED_VALUE"""),15653)</f>
        <v>15653</v>
      </c>
      <c r="AJ242" s="8">
        <f ca="1">IFERROR(__xludf.DUMMYFUNCTION("""COMPUTED_VALUE"""),27912)</f>
        <v>27912</v>
      </c>
      <c r="AK242" s="8">
        <f ca="1">IFERROR(__xludf.DUMMYFUNCTION("""COMPUTED_VALUE"""),18810)</f>
        <v>18810</v>
      </c>
      <c r="AL242" s="8">
        <f ca="1">IFERROR(__xludf.DUMMYFUNCTION("""COMPUTED_VALUE"""),12199)</f>
        <v>12199</v>
      </c>
      <c r="AM242" s="8">
        <f ca="1">IFERROR(__xludf.DUMMYFUNCTION("""COMPUTED_VALUE"""),35543)</f>
        <v>35543</v>
      </c>
      <c r="AN242" s="8">
        <f ca="1">IFERROR(__xludf.DUMMYFUNCTION("""COMPUTED_VALUE"""),25387)</f>
        <v>25387</v>
      </c>
      <c r="AO242" s="8">
        <f ca="1">IFERROR(__xludf.DUMMYFUNCTION("""COMPUTED_VALUE"""),18578)</f>
        <v>18578</v>
      </c>
      <c r="AP242" s="8"/>
      <c r="AQ242" s="8"/>
      <c r="AR242" s="8"/>
      <c r="AS242" s="8"/>
      <c r="AT242" s="8"/>
      <c r="AU242" s="8"/>
      <c r="AV242" s="8"/>
      <c r="AW242" s="8"/>
      <c r="AX242" s="8"/>
      <c r="AY242" s="8"/>
    </row>
    <row r="243" spans="1:51" ht="13.2" x14ac:dyDescent="0.25">
      <c r="A243" s="12" t="str">
        <f ca="1">IFERROR(__xludf.DUMMYFUNCTION("""COMPUTED_VALUE"""),"                        right Field CA1")</f>
        <v xml:space="preserve">                        right Field CA1</v>
      </c>
      <c r="B243" s="12">
        <f ca="1">IFERROR(__xludf.DUMMYFUNCTION("""COMPUTED_VALUE"""),12367)</f>
        <v>12367</v>
      </c>
      <c r="C243" s="12">
        <f ca="1">IFERROR(__xludf.DUMMYFUNCTION("""COMPUTED_VALUE"""),33203)</f>
        <v>33203</v>
      </c>
      <c r="D243" s="12">
        <f ca="1">IFERROR(__xludf.DUMMYFUNCTION("""COMPUTED_VALUE"""),8972)</f>
        <v>8972</v>
      </c>
      <c r="E243" s="12">
        <f ca="1">IFERROR(__xludf.DUMMYFUNCTION("""COMPUTED_VALUE"""),9151)</f>
        <v>9151</v>
      </c>
      <c r="F243" s="12">
        <f ca="1">IFERROR(__xludf.DUMMYFUNCTION("""COMPUTED_VALUE"""),33043)</f>
        <v>33043</v>
      </c>
      <c r="G243" s="12">
        <f ca="1">IFERROR(__xludf.DUMMYFUNCTION("""COMPUTED_VALUE"""),15937)</f>
        <v>15937</v>
      </c>
      <c r="H243" s="12">
        <f ca="1">IFERROR(__xludf.DUMMYFUNCTION("""COMPUTED_VALUE"""),19070)</f>
        <v>19070</v>
      </c>
      <c r="I243" s="12">
        <f ca="1">IFERROR(__xludf.DUMMYFUNCTION("""COMPUTED_VALUE"""),14296)</f>
        <v>14296</v>
      </c>
      <c r="J243" s="12">
        <f ca="1">IFERROR(__xludf.DUMMYFUNCTION("""COMPUTED_VALUE"""),18289)</f>
        <v>18289</v>
      </c>
      <c r="K243" s="12">
        <f ca="1">IFERROR(__xludf.DUMMYFUNCTION("""COMPUTED_VALUE"""),30395)</f>
        <v>30395</v>
      </c>
      <c r="L243" s="12">
        <f ca="1">IFERROR(__xludf.DUMMYFUNCTION("""COMPUTED_VALUE"""),9176)</f>
        <v>9176</v>
      </c>
      <c r="M243" s="12">
        <f ca="1">IFERROR(__xludf.DUMMYFUNCTION("""COMPUTED_VALUE"""),24149)</f>
        <v>24149</v>
      </c>
      <c r="N243" s="12">
        <f ca="1">IFERROR(__xludf.DUMMYFUNCTION("""COMPUTED_VALUE"""),21747)</f>
        <v>21747</v>
      </c>
      <c r="O243" s="12">
        <f ca="1">IFERROR(__xludf.DUMMYFUNCTION("""COMPUTED_VALUE"""),29814)</f>
        <v>29814</v>
      </c>
      <c r="P243" s="12">
        <f ca="1">IFERROR(__xludf.DUMMYFUNCTION("""COMPUTED_VALUE"""),18073)</f>
        <v>18073</v>
      </c>
      <c r="Q243" s="12">
        <f ca="1">IFERROR(__xludf.DUMMYFUNCTION("""COMPUTED_VALUE"""),13403)</f>
        <v>13403</v>
      </c>
      <c r="R243" s="12">
        <f ca="1">IFERROR(__xludf.DUMMYFUNCTION("""COMPUTED_VALUE"""),17078)</f>
        <v>17078</v>
      </c>
      <c r="S243" s="12">
        <f ca="1">IFERROR(__xludf.DUMMYFUNCTION("""COMPUTED_VALUE"""),5689)</f>
        <v>5689</v>
      </c>
      <c r="T243" s="12">
        <f ca="1">IFERROR(__xludf.DUMMYFUNCTION("""COMPUTED_VALUE"""),34547)</f>
        <v>34547</v>
      </c>
      <c r="U243" s="12">
        <f ca="1">IFERROR(__xludf.DUMMYFUNCTION("""COMPUTED_VALUE"""),24802)</f>
        <v>24802</v>
      </c>
      <c r="V243" s="12">
        <f ca="1">IFERROR(__xludf.DUMMYFUNCTION("""COMPUTED_VALUE"""),40909)</f>
        <v>40909</v>
      </c>
      <c r="W243" s="12">
        <f ca="1">IFERROR(__xludf.DUMMYFUNCTION("""COMPUTED_VALUE"""),42604)</f>
        <v>42604</v>
      </c>
      <c r="X243" s="12">
        <f ca="1">IFERROR(__xludf.DUMMYFUNCTION("""COMPUTED_VALUE"""),44151)</f>
        <v>44151</v>
      </c>
      <c r="Y243" s="12">
        <f ca="1">IFERROR(__xludf.DUMMYFUNCTION("""COMPUTED_VALUE"""),21221)</f>
        <v>21221</v>
      </c>
      <c r="Z243" s="12">
        <f ca="1">IFERROR(__xludf.DUMMYFUNCTION("""COMPUTED_VALUE"""),53873)</f>
        <v>53873</v>
      </c>
      <c r="AA243" s="12">
        <f ca="1">IFERROR(__xludf.DUMMYFUNCTION("""COMPUTED_VALUE"""),38786)</f>
        <v>38786</v>
      </c>
      <c r="AB243" s="12">
        <f ca="1">IFERROR(__xludf.DUMMYFUNCTION("""COMPUTED_VALUE"""),34804)</f>
        <v>34804</v>
      </c>
      <c r="AC243" s="12">
        <f ca="1">IFERROR(__xludf.DUMMYFUNCTION("""COMPUTED_VALUE"""),17604)</f>
        <v>17604</v>
      </c>
      <c r="AD243" s="12">
        <f ca="1">IFERROR(__xludf.DUMMYFUNCTION("""COMPUTED_VALUE"""),33275)</f>
        <v>33275</v>
      </c>
      <c r="AE243" s="12">
        <f ca="1">IFERROR(__xludf.DUMMYFUNCTION("""COMPUTED_VALUE"""),41252)</f>
        <v>41252</v>
      </c>
      <c r="AF243" s="8">
        <f ca="1">IFERROR(__xludf.DUMMYFUNCTION("""COMPUTED_VALUE"""),84349)</f>
        <v>84349</v>
      </c>
      <c r="AG243" s="8">
        <f ca="1">IFERROR(__xludf.DUMMYFUNCTION("""COMPUTED_VALUE"""),21029)</f>
        <v>21029</v>
      </c>
      <c r="AH243" s="8">
        <f ca="1">IFERROR(__xludf.DUMMYFUNCTION("""COMPUTED_VALUE"""),24322)</f>
        <v>24322</v>
      </c>
      <c r="AI243" s="8">
        <f ca="1">IFERROR(__xludf.DUMMYFUNCTION("""COMPUTED_VALUE"""),11275)</f>
        <v>11275</v>
      </c>
      <c r="AJ243" s="8">
        <f ca="1">IFERROR(__xludf.DUMMYFUNCTION("""COMPUTED_VALUE"""),17884)</f>
        <v>17884</v>
      </c>
      <c r="AK243" s="8">
        <f ca="1">IFERROR(__xludf.DUMMYFUNCTION("""COMPUTED_VALUE"""),13672)</f>
        <v>13672</v>
      </c>
      <c r="AL243" s="8">
        <f ca="1">IFERROR(__xludf.DUMMYFUNCTION("""COMPUTED_VALUE"""),9193)</f>
        <v>9193</v>
      </c>
      <c r="AM243" s="8">
        <f ca="1">IFERROR(__xludf.DUMMYFUNCTION("""COMPUTED_VALUE"""),26445)</f>
        <v>26445</v>
      </c>
      <c r="AN243" s="8">
        <f ca="1">IFERROR(__xludf.DUMMYFUNCTION("""COMPUTED_VALUE"""),19203)</f>
        <v>19203</v>
      </c>
      <c r="AO243" s="8">
        <f ca="1">IFERROR(__xludf.DUMMYFUNCTION("""COMPUTED_VALUE"""),11740)</f>
        <v>11740</v>
      </c>
      <c r="AP243" s="8"/>
      <c r="AQ243" s="8"/>
      <c r="AR243" s="8"/>
      <c r="AS243" s="8"/>
      <c r="AT243" s="8"/>
      <c r="AU243" s="8"/>
      <c r="AV243" s="8"/>
      <c r="AW243" s="8"/>
      <c r="AX243" s="8"/>
      <c r="AY243" s="8"/>
    </row>
    <row r="244" spans="1:51" ht="13.2" x14ac:dyDescent="0.25">
      <c r="A244" s="12" t="str">
        <f ca="1">IFERROR(__xludf.DUMMYFUNCTION("""COMPUTED_VALUE"""),"                        right Field CA2")</f>
        <v xml:space="preserve">                        right Field CA2</v>
      </c>
      <c r="B244" s="12">
        <f ca="1">IFERROR(__xludf.DUMMYFUNCTION("""COMPUTED_VALUE"""),379)</f>
        <v>379</v>
      </c>
      <c r="C244" s="12">
        <f ca="1">IFERROR(__xludf.DUMMYFUNCTION("""COMPUTED_VALUE"""),874)</f>
        <v>874</v>
      </c>
      <c r="D244" s="12">
        <f ca="1">IFERROR(__xludf.DUMMYFUNCTION("""COMPUTED_VALUE"""),495)</f>
        <v>495</v>
      </c>
      <c r="E244" s="12">
        <f ca="1">IFERROR(__xludf.DUMMYFUNCTION("""COMPUTED_VALUE"""),239)</f>
        <v>239</v>
      </c>
      <c r="F244" s="12">
        <f ca="1">IFERROR(__xludf.DUMMYFUNCTION("""COMPUTED_VALUE"""),1267)</f>
        <v>1267</v>
      </c>
      <c r="G244" s="12">
        <f ca="1">IFERROR(__xludf.DUMMYFUNCTION("""COMPUTED_VALUE"""),285)</f>
        <v>285</v>
      </c>
      <c r="H244" s="12">
        <f ca="1">IFERROR(__xludf.DUMMYFUNCTION("""COMPUTED_VALUE"""),624)</f>
        <v>624</v>
      </c>
      <c r="I244" s="12">
        <f ca="1">IFERROR(__xludf.DUMMYFUNCTION("""COMPUTED_VALUE"""),472)</f>
        <v>472</v>
      </c>
      <c r="J244" s="12">
        <f ca="1">IFERROR(__xludf.DUMMYFUNCTION("""COMPUTED_VALUE"""),586)</f>
        <v>586</v>
      </c>
      <c r="K244" s="12">
        <f ca="1">IFERROR(__xludf.DUMMYFUNCTION("""COMPUTED_VALUE"""),784)</f>
        <v>784</v>
      </c>
      <c r="L244" s="12">
        <f ca="1">IFERROR(__xludf.DUMMYFUNCTION("""COMPUTED_VALUE"""),200)</f>
        <v>200</v>
      </c>
      <c r="M244" s="12">
        <f ca="1">IFERROR(__xludf.DUMMYFUNCTION("""COMPUTED_VALUE"""),606)</f>
        <v>606</v>
      </c>
      <c r="N244" s="12">
        <f ca="1">IFERROR(__xludf.DUMMYFUNCTION("""COMPUTED_VALUE"""),1108)</f>
        <v>1108</v>
      </c>
      <c r="O244" s="12">
        <f ca="1">IFERROR(__xludf.DUMMYFUNCTION("""COMPUTED_VALUE"""),710)</f>
        <v>710</v>
      </c>
      <c r="P244" s="12">
        <f ca="1">IFERROR(__xludf.DUMMYFUNCTION("""COMPUTED_VALUE"""),482)</f>
        <v>482</v>
      </c>
      <c r="Q244" s="12">
        <f ca="1">IFERROR(__xludf.DUMMYFUNCTION("""COMPUTED_VALUE"""),286)</f>
        <v>286</v>
      </c>
      <c r="R244" s="12">
        <f ca="1">IFERROR(__xludf.DUMMYFUNCTION("""COMPUTED_VALUE"""),473)</f>
        <v>473</v>
      </c>
      <c r="S244" s="12">
        <f ca="1">IFERROR(__xludf.DUMMYFUNCTION("""COMPUTED_VALUE"""),85)</f>
        <v>85</v>
      </c>
      <c r="T244" s="12">
        <f ca="1">IFERROR(__xludf.DUMMYFUNCTION("""COMPUTED_VALUE"""),1572)</f>
        <v>1572</v>
      </c>
      <c r="U244" s="12">
        <f ca="1">IFERROR(__xludf.DUMMYFUNCTION("""COMPUTED_VALUE"""),1104)</f>
        <v>1104</v>
      </c>
      <c r="V244" s="12">
        <f ca="1">IFERROR(__xludf.DUMMYFUNCTION("""COMPUTED_VALUE"""),843)</f>
        <v>843</v>
      </c>
      <c r="W244" s="12">
        <f ca="1">IFERROR(__xludf.DUMMYFUNCTION("""COMPUTED_VALUE"""),799)</f>
        <v>799</v>
      </c>
      <c r="X244" s="12">
        <f ca="1">IFERROR(__xludf.DUMMYFUNCTION("""COMPUTED_VALUE"""),1383)</f>
        <v>1383</v>
      </c>
      <c r="Y244" s="12">
        <f ca="1">IFERROR(__xludf.DUMMYFUNCTION("""COMPUTED_VALUE"""),659)</f>
        <v>659</v>
      </c>
      <c r="Z244" s="12">
        <f ca="1">IFERROR(__xludf.DUMMYFUNCTION("""COMPUTED_VALUE"""),1946)</f>
        <v>1946</v>
      </c>
      <c r="AA244" s="12">
        <f ca="1">IFERROR(__xludf.DUMMYFUNCTION("""COMPUTED_VALUE"""),791)</f>
        <v>791</v>
      </c>
      <c r="AB244" s="12">
        <f ca="1">IFERROR(__xludf.DUMMYFUNCTION("""COMPUTED_VALUE"""),735)</f>
        <v>735</v>
      </c>
      <c r="AC244" s="12">
        <f ca="1">IFERROR(__xludf.DUMMYFUNCTION("""COMPUTED_VALUE"""),591)</f>
        <v>591</v>
      </c>
      <c r="AD244" s="12">
        <f ca="1">IFERROR(__xludf.DUMMYFUNCTION("""COMPUTED_VALUE"""),907)</f>
        <v>907</v>
      </c>
      <c r="AE244" s="12">
        <f ca="1">IFERROR(__xludf.DUMMYFUNCTION("""COMPUTED_VALUE"""),1170)</f>
        <v>1170</v>
      </c>
      <c r="AF244" s="8">
        <f ca="1">IFERROR(__xludf.DUMMYFUNCTION("""COMPUTED_VALUE"""),4655)</f>
        <v>4655</v>
      </c>
      <c r="AG244" s="8">
        <f ca="1">IFERROR(__xludf.DUMMYFUNCTION("""COMPUTED_VALUE"""),507)</f>
        <v>507</v>
      </c>
      <c r="AH244" s="8">
        <f ca="1">IFERROR(__xludf.DUMMYFUNCTION("""COMPUTED_VALUE"""),779)</f>
        <v>779</v>
      </c>
      <c r="AI244" s="8">
        <f ca="1">IFERROR(__xludf.DUMMYFUNCTION("""COMPUTED_VALUE"""),285)</f>
        <v>285</v>
      </c>
      <c r="AJ244" s="8">
        <f ca="1">IFERROR(__xludf.DUMMYFUNCTION("""COMPUTED_VALUE"""),988)</f>
        <v>988</v>
      </c>
      <c r="AK244" s="8">
        <f ca="1">IFERROR(__xludf.DUMMYFUNCTION("""COMPUTED_VALUE"""),362)</f>
        <v>362</v>
      </c>
      <c r="AL244" s="8">
        <f ca="1">IFERROR(__xludf.DUMMYFUNCTION("""COMPUTED_VALUE"""),200)</f>
        <v>200</v>
      </c>
      <c r="AM244" s="8">
        <f ca="1">IFERROR(__xludf.DUMMYFUNCTION("""COMPUTED_VALUE"""),702)</f>
        <v>702</v>
      </c>
      <c r="AN244" s="8">
        <f ca="1">IFERROR(__xludf.DUMMYFUNCTION("""COMPUTED_VALUE"""),371)</f>
        <v>371</v>
      </c>
      <c r="AO244" s="8">
        <f ca="1">IFERROR(__xludf.DUMMYFUNCTION("""COMPUTED_VALUE"""),585)</f>
        <v>585</v>
      </c>
      <c r="AP244" s="8"/>
      <c r="AQ244" s="8"/>
      <c r="AR244" s="8"/>
      <c r="AS244" s="8"/>
      <c r="AT244" s="8"/>
      <c r="AU244" s="8"/>
      <c r="AV244" s="8"/>
      <c r="AW244" s="8"/>
      <c r="AX244" s="8"/>
      <c r="AY244" s="8"/>
    </row>
    <row r="245" spans="1:51" ht="13.2" x14ac:dyDescent="0.25">
      <c r="A245" s="12" t="str">
        <f ca="1">IFERROR(__xludf.DUMMYFUNCTION("""COMPUTED_VALUE"""),"                        right Field CA3")</f>
        <v xml:space="preserve">                        right Field CA3</v>
      </c>
      <c r="B245" s="12">
        <f ca="1">IFERROR(__xludf.DUMMYFUNCTION("""COMPUTED_VALUE"""),5723)</f>
        <v>5723</v>
      </c>
      <c r="C245" s="12">
        <f ca="1">IFERROR(__xludf.DUMMYFUNCTION("""COMPUTED_VALUE"""),14822)</f>
        <v>14822</v>
      </c>
      <c r="D245" s="12">
        <f ca="1">IFERROR(__xludf.DUMMYFUNCTION("""COMPUTED_VALUE"""),8939)</f>
        <v>8939</v>
      </c>
      <c r="E245" s="12">
        <f ca="1">IFERROR(__xludf.DUMMYFUNCTION("""COMPUTED_VALUE"""),5499)</f>
        <v>5499</v>
      </c>
      <c r="F245" s="12">
        <f ca="1">IFERROR(__xludf.DUMMYFUNCTION("""COMPUTED_VALUE"""),15443)</f>
        <v>15443</v>
      </c>
      <c r="G245" s="12">
        <f ca="1">IFERROR(__xludf.DUMMYFUNCTION("""COMPUTED_VALUE"""),5657)</f>
        <v>5657</v>
      </c>
      <c r="H245" s="12">
        <f ca="1">IFERROR(__xludf.DUMMYFUNCTION("""COMPUTED_VALUE"""),8595)</f>
        <v>8595</v>
      </c>
      <c r="I245" s="12">
        <f ca="1">IFERROR(__xludf.DUMMYFUNCTION("""COMPUTED_VALUE"""),5533)</f>
        <v>5533</v>
      </c>
      <c r="J245" s="12">
        <f ca="1">IFERROR(__xludf.DUMMYFUNCTION("""COMPUTED_VALUE"""),7726)</f>
        <v>7726</v>
      </c>
      <c r="K245" s="12">
        <f ca="1">IFERROR(__xludf.DUMMYFUNCTION("""COMPUTED_VALUE"""),10881)</f>
        <v>10881</v>
      </c>
      <c r="L245" s="12">
        <f ca="1">IFERROR(__xludf.DUMMYFUNCTION("""COMPUTED_VALUE"""),4977)</f>
        <v>4977</v>
      </c>
      <c r="M245" s="12">
        <f ca="1">IFERROR(__xludf.DUMMYFUNCTION("""COMPUTED_VALUE"""),9024)</f>
        <v>9024</v>
      </c>
      <c r="N245" s="12">
        <f ca="1">IFERROR(__xludf.DUMMYFUNCTION("""COMPUTED_VALUE"""),18670)</f>
        <v>18670</v>
      </c>
      <c r="O245" s="12">
        <f ca="1">IFERROR(__xludf.DUMMYFUNCTION("""COMPUTED_VALUE"""),10745)</f>
        <v>10745</v>
      </c>
      <c r="P245" s="12">
        <f ca="1">IFERROR(__xludf.DUMMYFUNCTION("""COMPUTED_VALUE"""),8226)</f>
        <v>8226</v>
      </c>
      <c r="Q245" s="12">
        <f ca="1">IFERROR(__xludf.DUMMYFUNCTION("""COMPUTED_VALUE"""),6054)</f>
        <v>6054</v>
      </c>
      <c r="R245" s="12">
        <f ca="1">IFERROR(__xludf.DUMMYFUNCTION("""COMPUTED_VALUE"""),7686)</f>
        <v>7686</v>
      </c>
      <c r="S245" s="12">
        <f ca="1">IFERROR(__xludf.DUMMYFUNCTION("""COMPUTED_VALUE"""),2287)</f>
        <v>2287</v>
      </c>
      <c r="T245" s="12">
        <f ca="1">IFERROR(__xludf.DUMMYFUNCTION("""COMPUTED_VALUE"""),17686)</f>
        <v>17686</v>
      </c>
      <c r="U245" s="12">
        <f ca="1">IFERROR(__xludf.DUMMYFUNCTION("""COMPUTED_VALUE"""),12780)</f>
        <v>12780</v>
      </c>
      <c r="V245" s="12">
        <f ca="1">IFERROR(__xludf.DUMMYFUNCTION("""COMPUTED_VALUE"""),13775)</f>
        <v>13775</v>
      </c>
      <c r="W245" s="12">
        <f ca="1">IFERROR(__xludf.DUMMYFUNCTION("""COMPUTED_VALUE"""),10307)</f>
        <v>10307</v>
      </c>
      <c r="X245" s="12">
        <f ca="1">IFERROR(__xludf.DUMMYFUNCTION("""COMPUTED_VALUE"""),17887)</f>
        <v>17887</v>
      </c>
      <c r="Y245" s="12">
        <f ca="1">IFERROR(__xludf.DUMMYFUNCTION("""COMPUTED_VALUE"""),8677)</f>
        <v>8677</v>
      </c>
      <c r="Z245" s="12">
        <f ca="1">IFERROR(__xludf.DUMMYFUNCTION("""COMPUTED_VALUE"""),18225)</f>
        <v>18225</v>
      </c>
      <c r="AA245" s="12">
        <f ca="1">IFERROR(__xludf.DUMMYFUNCTION("""COMPUTED_VALUE"""),12004)</f>
        <v>12004</v>
      </c>
      <c r="AB245" s="12">
        <f ca="1">IFERROR(__xludf.DUMMYFUNCTION("""COMPUTED_VALUE"""),8662)</f>
        <v>8662</v>
      </c>
      <c r="AC245" s="12">
        <f ca="1">IFERROR(__xludf.DUMMYFUNCTION("""COMPUTED_VALUE"""),8328)</f>
        <v>8328</v>
      </c>
      <c r="AD245" s="12">
        <f ca="1">IFERROR(__xludf.DUMMYFUNCTION("""COMPUTED_VALUE"""),10125)</f>
        <v>10125</v>
      </c>
      <c r="AE245" s="12">
        <f ca="1">IFERROR(__xludf.DUMMYFUNCTION("""COMPUTED_VALUE"""),13169)</f>
        <v>13169</v>
      </c>
      <c r="AF245" s="8">
        <f ca="1">IFERROR(__xludf.DUMMYFUNCTION("""COMPUTED_VALUE"""),46279)</f>
        <v>46279</v>
      </c>
      <c r="AG245" s="8">
        <f ca="1">IFERROR(__xludf.DUMMYFUNCTION("""COMPUTED_VALUE"""),6365)</f>
        <v>6365</v>
      </c>
      <c r="AH245" s="8">
        <f ca="1">IFERROR(__xludf.DUMMYFUNCTION("""COMPUTED_VALUE"""),7701)</f>
        <v>7701</v>
      </c>
      <c r="AI245" s="8">
        <f ca="1">IFERROR(__xludf.DUMMYFUNCTION("""COMPUTED_VALUE"""),4093)</f>
        <v>4093</v>
      </c>
      <c r="AJ245" s="8">
        <f ca="1">IFERROR(__xludf.DUMMYFUNCTION("""COMPUTED_VALUE"""),9040)</f>
        <v>9040</v>
      </c>
      <c r="AK245" s="8">
        <f ca="1">IFERROR(__xludf.DUMMYFUNCTION("""COMPUTED_VALUE"""),4776)</f>
        <v>4776</v>
      </c>
      <c r="AL245" s="8">
        <f ca="1">IFERROR(__xludf.DUMMYFUNCTION("""COMPUTED_VALUE"""),2806)</f>
        <v>2806</v>
      </c>
      <c r="AM245" s="8">
        <f ca="1">IFERROR(__xludf.DUMMYFUNCTION("""COMPUTED_VALUE"""),8396)</f>
        <v>8396</v>
      </c>
      <c r="AN245" s="8">
        <f ca="1">IFERROR(__xludf.DUMMYFUNCTION("""COMPUTED_VALUE"""),5813)</f>
        <v>5813</v>
      </c>
      <c r="AO245" s="8">
        <f ca="1">IFERROR(__xludf.DUMMYFUNCTION("""COMPUTED_VALUE"""),6253)</f>
        <v>6253</v>
      </c>
      <c r="AP245" s="8"/>
      <c r="AQ245" s="8"/>
      <c r="AR245" s="8"/>
      <c r="AS245" s="8"/>
      <c r="AT245" s="8"/>
      <c r="AU245" s="8"/>
      <c r="AV245" s="8"/>
      <c r="AW245" s="8"/>
      <c r="AX245" s="8"/>
      <c r="AY245" s="8"/>
    </row>
    <row r="246" spans="1:51" ht="13.2" x14ac:dyDescent="0.25">
      <c r="A246" s="12" t="str">
        <f ca="1">IFERROR(__xludf.DUMMYFUNCTION("""COMPUTED_VALUE"""),"                     right Dentate gyrus")</f>
        <v xml:space="preserve">                     right Dentate gyrus</v>
      </c>
      <c r="B246" s="12">
        <f ca="1">IFERROR(__xludf.DUMMYFUNCTION("""COMPUTED_VALUE"""),3025)</f>
        <v>3025</v>
      </c>
      <c r="C246" s="12">
        <f ca="1">IFERROR(__xludf.DUMMYFUNCTION("""COMPUTED_VALUE"""),8119)</f>
        <v>8119</v>
      </c>
      <c r="D246" s="12">
        <f ca="1">IFERROR(__xludf.DUMMYFUNCTION("""COMPUTED_VALUE"""),3763)</f>
        <v>3763</v>
      </c>
      <c r="E246" s="12">
        <f ca="1">IFERROR(__xludf.DUMMYFUNCTION("""COMPUTED_VALUE"""),3454)</f>
        <v>3454</v>
      </c>
      <c r="F246" s="12">
        <f ca="1">IFERROR(__xludf.DUMMYFUNCTION("""COMPUTED_VALUE"""),9193)</f>
        <v>9193</v>
      </c>
      <c r="G246" s="12">
        <f ca="1">IFERROR(__xludf.DUMMYFUNCTION("""COMPUTED_VALUE"""),5303)</f>
        <v>5303</v>
      </c>
      <c r="H246" s="12">
        <f ca="1">IFERROR(__xludf.DUMMYFUNCTION("""COMPUTED_VALUE"""),4669)</f>
        <v>4669</v>
      </c>
      <c r="I246" s="12">
        <f ca="1">IFERROR(__xludf.DUMMYFUNCTION("""COMPUTED_VALUE"""),2756)</f>
        <v>2756</v>
      </c>
      <c r="J246" s="12">
        <f ca="1">IFERROR(__xludf.DUMMYFUNCTION("""COMPUTED_VALUE"""),3987)</f>
        <v>3987</v>
      </c>
      <c r="K246" s="12">
        <f ca="1">IFERROR(__xludf.DUMMYFUNCTION("""COMPUTED_VALUE"""),5902)</f>
        <v>5902</v>
      </c>
      <c r="L246" s="12">
        <f ca="1">IFERROR(__xludf.DUMMYFUNCTION("""COMPUTED_VALUE"""),2732)</f>
        <v>2732</v>
      </c>
      <c r="M246" s="12">
        <f ca="1">IFERROR(__xludf.DUMMYFUNCTION("""COMPUTED_VALUE"""),5117)</f>
        <v>5117</v>
      </c>
      <c r="N246" s="12">
        <f ca="1">IFERROR(__xludf.DUMMYFUNCTION("""COMPUTED_VALUE"""),22431)</f>
        <v>22431</v>
      </c>
      <c r="O246" s="12">
        <f ca="1">IFERROR(__xludf.DUMMYFUNCTION("""COMPUTED_VALUE"""),5846)</f>
        <v>5846</v>
      </c>
      <c r="P246" s="12">
        <f ca="1">IFERROR(__xludf.DUMMYFUNCTION("""COMPUTED_VALUE"""),4707)</f>
        <v>4707</v>
      </c>
      <c r="Q246" s="12">
        <f ca="1">IFERROR(__xludf.DUMMYFUNCTION("""COMPUTED_VALUE"""),3638)</f>
        <v>3638</v>
      </c>
      <c r="R246" s="12">
        <f ca="1">IFERROR(__xludf.DUMMYFUNCTION("""COMPUTED_VALUE"""),2535)</f>
        <v>2535</v>
      </c>
      <c r="S246" s="12">
        <f ca="1">IFERROR(__xludf.DUMMYFUNCTION("""COMPUTED_VALUE"""),1980)</f>
        <v>1980</v>
      </c>
      <c r="T246" s="12">
        <f ca="1">IFERROR(__xludf.DUMMYFUNCTION("""COMPUTED_VALUE"""),19148)</f>
        <v>19148</v>
      </c>
      <c r="U246" s="12">
        <f ca="1">IFERROR(__xludf.DUMMYFUNCTION("""COMPUTED_VALUE"""),11967)</f>
        <v>11967</v>
      </c>
      <c r="V246" s="12">
        <f ca="1">IFERROR(__xludf.DUMMYFUNCTION("""COMPUTED_VALUE"""),8758)</f>
        <v>8758</v>
      </c>
      <c r="W246" s="12">
        <f ca="1">IFERROR(__xludf.DUMMYFUNCTION("""COMPUTED_VALUE"""),14255)</f>
        <v>14255</v>
      </c>
      <c r="X246" s="12">
        <f ca="1">IFERROR(__xludf.DUMMYFUNCTION("""COMPUTED_VALUE"""),8786)</f>
        <v>8786</v>
      </c>
      <c r="Y246" s="12">
        <f ca="1">IFERROR(__xludf.DUMMYFUNCTION("""COMPUTED_VALUE"""),6657)</f>
        <v>6657</v>
      </c>
      <c r="Z246" s="12">
        <f ca="1">IFERROR(__xludf.DUMMYFUNCTION("""COMPUTED_VALUE"""),8499)</f>
        <v>8499</v>
      </c>
      <c r="AA246" s="12">
        <f ca="1">IFERROR(__xludf.DUMMYFUNCTION("""COMPUTED_VALUE"""),6712)</f>
        <v>6712</v>
      </c>
      <c r="AB246" s="12">
        <f ca="1">IFERROR(__xludf.DUMMYFUNCTION("""COMPUTED_VALUE"""),8374)</f>
        <v>8374</v>
      </c>
      <c r="AC246" s="12">
        <f ca="1">IFERROR(__xludf.DUMMYFUNCTION("""COMPUTED_VALUE"""),6104)</f>
        <v>6104</v>
      </c>
      <c r="AD246" s="12">
        <f ca="1">IFERROR(__xludf.DUMMYFUNCTION("""COMPUTED_VALUE"""),4657)</f>
        <v>4657</v>
      </c>
      <c r="AE246" s="12">
        <f ca="1">IFERROR(__xludf.DUMMYFUNCTION("""COMPUTED_VALUE"""),8993)</f>
        <v>8993</v>
      </c>
      <c r="AF246" s="8">
        <f ca="1">IFERROR(__xludf.DUMMYFUNCTION("""COMPUTED_VALUE"""),27742)</f>
        <v>27742</v>
      </c>
      <c r="AG246" s="8">
        <f ca="1">IFERROR(__xludf.DUMMYFUNCTION("""COMPUTED_VALUE"""),5451)</f>
        <v>5451</v>
      </c>
      <c r="AH246" s="8">
        <f ca="1">IFERROR(__xludf.DUMMYFUNCTION("""COMPUTED_VALUE"""),5567)</f>
        <v>5567</v>
      </c>
      <c r="AI246" s="8">
        <f ca="1">IFERROR(__xludf.DUMMYFUNCTION("""COMPUTED_VALUE"""),4531)</f>
        <v>4531</v>
      </c>
      <c r="AJ246" s="8">
        <f ca="1">IFERROR(__xludf.DUMMYFUNCTION("""COMPUTED_VALUE"""),5256)</f>
        <v>5256</v>
      </c>
      <c r="AK246" s="8">
        <f ca="1">IFERROR(__xludf.DUMMYFUNCTION("""COMPUTED_VALUE"""),5689)</f>
        <v>5689</v>
      </c>
      <c r="AL246" s="8">
        <f ca="1">IFERROR(__xludf.DUMMYFUNCTION("""COMPUTED_VALUE"""),2888)</f>
        <v>2888</v>
      </c>
      <c r="AM246" s="8">
        <f ca="1">IFERROR(__xludf.DUMMYFUNCTION("""COMPUTED_VALUE"""),5276)</f>
        <v>5276</v>
      </c>
      <c r="AN246" s="8">
        <f ca="1">IFERROR(__xludf.DUMMYFUNCTION("""COMPUTED_VALUE"""),3732)</f>
        <v>3732</v>
      </c>
      <c r="AO246" s="8">
        <f ca="1">IFERROR(__xludf.DUMMYFUNCTION("""COMPUTED_VALUE"""),6771)</f>
        <v>6771</v>
      </c>
      <c r="AP246" s="8"/>
      <c r="AQ246" s="8"/>
      <c r="AR246" s="8"/>
      <c r="AS246" s="8"/>
      <c r="AT246" s="8"/>
      <c r="AU246" s="8"/>
      <c r="AV246" s="8"/>
      <c r="AW246" s="8"/>
      <c r="AX246" s="8"/>
      <c r="AY246" s="8"/>
    </row>
    <row r="247" spans="1:51" ht="13.2" x14ac:dyDescent="0.25">
      <c r="A247" s="12" t="str">
        <f ca="1">IFERROR(__xludf.DUMMYFUNCTION("""COMPUTED_VALUE"""),"                        right Dentate gyrus, molecular layer")</f>
        <v xml:space="preserve">                        right Dentate gyrus, molecular layer</v>
      </c>
      <c r="B247" s="12">
        <f ca="1">IFERROR(__xludf.DUMMYFUNCTION("""COMPUTED_VALUE"""),680)</f>
        <v>680</v>
      </c>
      <c r="C247" s="12">
        <f ca="1">IFERROR(__xludf.DUMMYFUNCTION("""COMPUTED_VALUE"""),2691)</f>
        <v>2691</v>
      </c>
      <c r="D247" s="12">
        <f ca="1">IFERROR(__xludf.DUMMYFUNCTION("""COMPUTED_VALUE"""),1814)</f>
        <v>1814</v>
      </c>
      <c r="E247" s="12">
        <f ca="1">IFERROR(__xludf.DUMMYFUNCTION("""COMPUTED_VALUE"""),1128)</f>
        <v>1128</v>
      </c>
      <c r="F247" s="12">
        <f ca="1">IFERROR(__xludf.DUMMYFUNCTION("""COMPUTED_VALUE"""),4081)</f>
        <v>4081</v>
      </c>
      <c r="G247" s="12">
        <f ca="1">IFERROR(__xludf.DUMMYFUNCTION("""COMPUTED_VALUE"""),1481)</f>
        <v>1481</v>
      </c>
      <c r="H247" s="12">
        <f ca="1">IFERROR(__xludf.DUMMYFUNCTION("""COMPUTED_VALUE"""),1434)</f>
        <v>1434</v>
      </c>
      <c r="I247" s="12">
        <f ca="1">IFERROR(__xludf.DUMMYFUNCTION("""COMPUTED_VALUE"""),1165)</f>
        <v>1165</v>
      </c>
      <c r="J247" s="12">
        <f ca="1">IFERROR(__xludf.DUMMYFUNCTION("""COMPUTED_VALUE"""),1570)</f>
        <v>1570</v>
      </c>
      <c r="K247" s="12">
        <f ca="1">IFERROR(__xludf.DUMMYFUNCTION("""COMPUTED_VALUE"""),1844)</f>
        <v>1844</v>
      </c>
      <c r="L247" s="12">
        <f ca="1">IFERROR(__xludf.DUMMYFUNCTION("""COMPUTED_VALUE"""),894)</f>
        <v>894</v>
      </c>
      <c r="M247" s="12">
        <f ca="1">IFERROR(__xludf.DUMMYFUNCTION("""COMPUTED_VALUE"""),1361)</f>
        <v>1361</v>
      </c>
      <c r="N247" s="12">
        <f ca="1">IFERROR(__xludf.DUMMYFUNCTION("""COMPUTED_VALUE"""),14731)</f>
        <v>14731</v>
      </c>
      <c r="O247" s="12">
        <f ca="1">IFERROR(__xludf.DUMMYFUNCTION("""COMPUTED_VALUE"""),1597)</f>
        <v>1597</v>
      </c>
      <c r="P247" s="12">
        <f ca="1">IFERROR(__xludf.DUMMYFUNCTION("""COMPUTED_VALUE"""),1243)</f>
        <v>1243</v>
      </c>
      <c r="Q247" s="12">
        <f ca="1">IFERROR(__xludf.DUMMYFUNCTION("""COMPUTED_VALUE"""),870)</f>
        <v>870</v>
      </c>
      <c r="R247" s="12">
        <f ca="1">IFERROR(__xludf.DUMMYFUNCTION("""COMPUTED_VALUE"""),563)</f>
        <v>563</v>
      </c>
      <c r="S247" s="12">
        <f ca="1">IFERROR(__xludf.DUMMYFUNCTION("""COMPUTED_VALUE"""),530)</f>
        <v>530</v>
      </c>
      <c r="T247" s="12">
        <f ca="1">IFERROR(__xludf.DUMMYFUNCTION("""COMPUTED_VALUE"""),11864)</f>
        <v>11864</v>
      </c>
      <c r="U247" s="12">
        <f ca="1">IFERROR(__xludf.DUMMYFUNCTION("""COMPUTED_VALUE"""),7351)</f>
        <v>7351</v>
      </c>
      <c r="V247" s="12">
        <f ca="1">IFERROR(__xludf.DUMMYFUNCTION("""COMPUTED_VALUE"""),4537)</f>
        <v>4537</v>
      </c>
      <c r="W247" s="12">
        <f ca="1">IFERROR(__xludf.DUMMYFUNCTION("""COMPUTED_VALUE"""),10182)</f>
        <v>10182</v>
      </c>
      <c r="X247" s="12">
        <f ca="1">IFERROR(__xludf.DUMMYFUNCTION("""COMPUTED_VALUE"""),4654)</f>
        <v>4654</v>
      </c>
      <c r="Y247" s="12">
        <f ca="1">IFERROR(__xludf.DUMMYFUNCTION("""COMPUTED_VALUE"""),3226)</f>
        <v>3226</v>
      </c>
      <c r="Z247" s="12">
        <f ca="1">IFERROR(__xludf.DUMMYFUNCTION("""COMPUTED_VALUE"""),5678)</f>
        <v>5678</v>
      </c>
      <c r="AA247" s="12">
        <f ca="1">IFERROR(__xludf.DUMMYFUNCTION("""COMPUTED_VALUE"""),4366)</f>
        <v>4366</v>
      </c>
      <c r="AB247" s="12">
        <f ca="1">IFERROR(__xludf.DUMMYFUNCTION("""COMPUTED_VALUE"""),5915)</f>
        <v>5915</v>
      </c>
      <c r="AC247" s="12">
        <f ca="1">IFERROR(__xludf.DUMMYFUNCTION("""COMPUTED_VALUE"""),2663)</f>
        <v>2663</v>
      </c>
      <c r="AD247" s="12">
        <f ca="1">IFERROR(__xludf.DUMMYFUNCTION("""COMPUTED_VALUE"""),2770)</f>
        <v>2770</v>
      </c>
      <c r="AE247" s="12">
        <f ca="1">IFERROR(__xludf.DUMMYFUNCTION("""COMPUTED_VALUE"""),6161)</f>
        <v>6161</v>
      </c>
      <c r="AF247" s="8">
        <f ca="1">IFERROR(__xludf.DUMMYFUNCTION("""COMPUTED_VALUE"""),17186)</f>
        <v>17186</v>
      </c>
      <c r="AG247" s="8">
        <f ca="1">IFERROR(__xludf.DUMMYFUNCTION("""COMPUTED_VALUE"""),3084)</f>
        <v>3084</v>
      </c>
      <c r="AH247" s="8">
        <f ca="1">IFERROR(__xludf.DUMMYFUNCTION("""COMPUTED_VALUE"""),2882)</f>
        <v>2882</v>
      </c>
      <c r="AI247" s="8">
        <f ca="1">IFERROR(__xludf.DUMMYFUNCTION("""COMPUTED_VALUE"""),2477)</f>
        <v>2477</v>
      </c>
      <c r="AJ247" s="8">
        <f ca="1">IFERROR(__xludf.DUMMYFUNCTION("""COMPUTED_VALUE"""),3311)</f>
        <v>3311</v>
      </c>
      <c r="AK247" s="8">
        <f ca="1">IFERROR(__xludf.DUMMYFUNCTION("""COMPUTED_VALUE"""),2820)</f>
        <v>2820</v>
      </c>
      <c r="AL247" s="8">
        <f ca="1">IFERROR(__xludf.DUMMYFUNCTION("""COMPUTED_VALUE"""),1399)</f>
        <v>1399</v>
      </c>
      <c r="AM247" s="8">
        <f ca="1">IFERROR(__xludf.DUMMYFUNCTION("""COMPUTED_VALUE"""),2813)</f>
        <v>2813</v>
      </c>
      <c r="AN247" s="8">
        <f ca="1">IFERROR(__xludf.DUMMYFUNCTION("""COMPUTED_VALUE"""),2048)</f>
        <v>2048</v>
      </c>
      <c r="AO247" s="8">
        <f ca="1">IFERROR(__xludf.DUMMYFUNCTION("""COMPUTED_VALUE"""),4150)</f>
        <v>4150</v>
      </c>
      <c r="AP247" s="8"/>
      <c r="AQ247" s="8"/>
      <c r="AR247" s="8"/>
      <c r="AS247" s="8"/>
      <c r="AT247" s="8"/>
      <c r="AU247" s="8"/>
      <c r="AV247" s="8"/>
      <c r="AW247" s="8"/>
      <c r="AX247" s="8"/>
      <c r="AY247" s="8"/>
    </row>
    <row r="248" spans="1:51" ht="13.2" x14ac:dyDescent="0.25">
      <c r="A248" s="12" t="str">
        <f ca="1">IFERROR(__xludf.DUMMYFUNCTION("""COMPUTED_VALUE"""),"                        right Dentate gyrus, polymorph layer")</f>
        <v xml:space="preserve">                        right Dentate gyrus, polymorph layer</v>
      </c>
      <c r="B248" s="12">
        <f ca="1">IFERROR(__xludf.DUMMYFUNCTION("""COMPUTED_VALUE"""),897)</f>
        <v>897</v>
      </c>
      <c r="C248" s="12">
        <f ca="1">IFERROR(__xludf.DUMMYFUNCTION("""COMPUTED_VALUE"""),2377)</f>
        <v>2377</v>
      </c>
      <c r="D248" s="12">
        <f ca="1">IFERROR(__xludf.DUMMYFUNCTION("""COMPUTED_VALUE"""),691)</f>
        <v>691</v>
      </c>
      <c r="E248" s="12">
        <f ca="1">IFERROR(__xludf.DUMMYFUNCTION("""COMPUTED_VALUE"""),722)</f>
        <v>722</v>
      </c>
      <c r="F248" s="12">
        <f ca="1">IFERROR(__xludf.DUMMYFUNCTION("""COMPUTED_VALUE"""),2234)</f>
        <v>2234</v>
      </c>
      <c r="G248" s="12">
        <f ca="1">IFERROR(__xludf.DUMMYFUNCTION("""COMPUTED_VALUE"""),1160)</f>
        <v>1160</v>
      </c>
      <c r="H248" s="12">
        <f ca="1">IFERROR(__xludf.DUMMYFUNCTION("""COMPUTED_VALUE"""),1186)</f>
        <v>1186</v>
      </c>
      <c r="I248" s="12">
        <f ca="1">IFERROR(__xludf.DUMMYFUNCTION("""COMPUTED_VALUE"""),684)</f>
        <v>684</v>
      </c>
      <c r="J248" s="12">
        <f ca="1">IFERROR(__xludf.DUMMYFUNCTION("""COMPUTED_VALUE"""),1345)</f>
        <v>1345</v>
      </c>
      <c r="K248" s="12">
        <f ca="1">IFERROR(__xludf.DUMMYFUNCTION("""COMPUTED_VALUE"""),1805)</f>
        <v>1805</v>
      </c>
      <c r="L248" s="12">
        <f ca="1">IFERROR(__xludf.DUMMYFUNCTION("""COMPUTED_VALUE"""),678)</f>
        <v>678</v>
      </c>
      <c r="M248" s="12">
        <f ca="1">IFERROR(__xludf.DUMMYFUNCTION("""COMPUTED_VALUE"""),1107)</f>
        <v>1107</v>
      </c>
      <c r="N248" s="12">
        <f ca="1">IFERROR(__xludf.DUMMYFUNCTION("""COMPUTED_VALUE"""),2098)</f>
        <v>2098</v>
      </c>
      <c r="O248" s="12">
        <f ca="1">IFERROR(__xludf.DUMMYFUNCTION("""COMPUTED_VALUE"""),1593)</f>
        <v>1593</v>
      </c>
      <c r="P248" s="12">
        <f ca="1">IFERROR(__xludf.DUMMYFUNCTION("""COMPUTED_VALUE"""),969)</f>
        <v>969</v>
      </c>
      <c r="Q248" s="12">
        <f ca="1">IFERROR(__xludf.DUMMYFUNCTION("""COMPUTED_VALUE"""),1013)</f>
        <v>1013</v>
      </c>
      <c r="R248" s="12">
        <f ca="1">IFERROR(__xludf.DUMMYFUNCTION("""COMPUTED_VALUE"""),970)</f>
        <v>970</v>
      </c>
      <c r="S248" s="12">
        <f ca="1">IFERROR(__xludf.DUMMYFUNCTION("""COMPUTED_VALUE"""),375)</f>
        <v>375</v>
      </c>
      <c r="T248" s="12">
        <f ca="1">IFERROR(__xludf.DUMMYFUNCTION("""COMPUTED_VALUE"""),2012)</f>
        <v>2012</v>
      </c>
      <c r="U248" s="12">
        <f ca="1">IFERROR(__xludf.DUMMYFUNCTION("""COMPUTED_VALUE"""),1600)</f>
        <v>1600</v>
      </c>
      <c r="V248" s="12">
        <f ca="1">IFERROR(__xludf.DUMMYFUNCTION("""COMPUTED_VALUE"""),1479)</f>
        <v>1479</v>
      </c>
      <c r="W248" s="12">
        <f ca="1">IFERROR(__xludf.DUMMYFUNCTION("""COMPUTED_VALUE"""),677)</f>
        <v>677</v>
      </c>
      <c r="X248" s="12">
        <f ca="1">IFERROR(__xludf.DUMMYFUNCTION("""COMPUTED_VALUE"""),1243)</f>
        <v>1243</v>
      </c>
      <c r="Y248" s="12">
        <f ca="1">IFERROR(__xludf.DUMMYFUNCTION("""COMPUTED_VALUE"""),1544)</f>
        <v>1544</v>
      </c>
      <c r="Z248" s="12">
        <f ca="1">IFERROR(__xludf.DUMMYFUNCTION("""COMPUTED_VALUE"""),765)</f>
        <v>765</v>
      </c>
      <c r="AA248" s="12">
        <f ca="1">IFERROR(__xludf.DUMMYFUNCTION("""COMPUTED_VALUE"""),598)</f>
        <v>598</v>
      </c>
      <c r="AB248" s="12">
        <f ca="1">IFERROR(__xludf.DUMMYFUNCTION("""COMPUTED_VALUE"""),688)</f>
        <v>688</v>
      </c>
      <c r="AC248" s="12">
        <f ca="1">IFERROR(__xludf.DUMMYFUNCTION("""COMPUTED_VALUE"""),1332)</f>
        <v>1332</v>
      </c>
      <c r="AD248" s="12">
        <f ca="1">IFERROR(__xludf.DUMMYFUNCTION("""COMPUTED_VALUE"""),348)</f>
        <v>348</v>
      </c>
      <c r="AE248" s="12">
        <f ca="1">IFERROR(__xludf.DUMMYFUNCTION("""COMPUTED_VALUE"""),732)</f>
        <v>732</v>
      </c>
      <c r="AF248" s="8">
        <f ca="1">IFERROR(__xludf.DUMMYFUNCTION("""COMPUTED_VALUE"""),3059)</f>
        <v>3059</v>
      </c>
      <c r="AG248" s="8">
        <f ca="1">IFERROR(__xludf.DUMMYFUNCTION("""COMPUTED_VALUE"""),1130)</f>
        <v>1130</v>
      </c>
      <c r="AH248" s="8">
        <f ca="1">IFERROR(__xludf.DUMMYFUNCTION("""COMPUTED_VALUE"""),1177)</f>
        <v>1177</v>
      </c>
      <c r="AI248" s="8">
        <f ca="1">IFERROR(__xludf.DUMMYFUNCTION("""COMPUTED_VALUE"""),798)</f>
        <v>798</v>
      </c>
      <c r="AJ248" s="8">
        <f ca="1">IFERROR(__xludf.DUMMYFUNCTION("""COMPUTED_VALUE"""),517)</f>
        <v>517</v>
      </c>
      <c r="AK248" s="8">
        <f ca="1">IFERROR(__xludf.DUMMYFUNCTION("""COMPUTED_VALUE"""),914)</f>
        <v>914</v>
      </c>
      <c r="AL248" s="8">
        <f ca="1">IFERROR(__xludf.DUMMYFUNCTION("""COMPUTED_VALUE"""),460)</f>
        <v>460</v>
      </c>
      <c r="AM248" s="8">
        <f ca="1">IFERROR(__xludf.DUMMYFUNCTION("""COMPUTED_VALUE"""),947)</f>
        <v>947</v>
      </c>
      <c r="AN248" s="8">
        <f ca="1">IFERROR(__xludf.DUMMYFUNCTION("""COMPUTED_VALUE"""),608)</f>
        <v>608</v>
      </c>
      <c r="AO248" s="8">
        <f ca="1">IFERROR(__xludf.DUMMYFUNCTION("""COMPUTED_VALUE"""),778)</f>
        <v>778</v>
      </c>
      <c r="AP248" s="8"/>
      <c r="AQ248" s="8"/>
      <c r="AR248" s="8"/>
      <c r="AS248" s="8"/>
      <c r="AT248" s="8"/>
      <c r="AU248" s="8"/>
      <c r="AV248" s="8"/>
      <c r="AW248" s="8"/>
      <c r="AX248" s="8"/>
      <c r="AY248" s="8"/>
    </row>
    <row r="249" spans="1:51" ht="13.2" x14ac:dyDescent="0.25">
      <c r="A249" s="12" t="str">
        <f ca="1">IFERROR(__xludf.DUMMYFUNCTION("""COMPUTED_VALUE"""),"                        right Dentate gyrus, granule cell layer")</f>
        <v xml:space="preserve">                        right Dentate gyrus, granule cell layer</v>
      </c>
      <c r="B249" s="12">
        <f ca="1">IFERROR(__xludf.DUMMYFUNCTION("""COMPUTED_VALUE"""),1448)</f>
        <v>1448</v>
      </c>
      <c r="C249" s="12">
        <f ca="1">IFERROR(__xludf.DUMMYFUNCTION("""COMPUTED_VALUE"""),3051)</f>
        <v>3051</v>
      </c>
      <c r="D249" s="12">
        <f ca="1">IFERROR(__xludf.DUMMYFUNCTION("""COMPUTED_VALUE"""),1258)</f>
        <v>1258</v>
      </c>
      <c r="E249" s="12">
        <f ca="1">IFERROR(__xludf.DUMMYFUNCTION("""COMPUTED_VALUE"""),1604)</f>
        <v>1604</v>
      </c>
      <c r="F249" s="12">
        <f ca="1">IFERROR(__xludf.DUMMYFUNCTION("""COMPUTED_VALUE"""),2878)</f>
        <v>2878</v>
      </c>
      <c r="G249" s="12">
        <f ca="1">IFERROR(__xludf.DUMMYFUNCTION("""COMPUTED_VALUE"""),2662)</f>
        <v>2662</v>
      </c>
      <c r="H249" s="12">
        <f ca="1">IFERROR(__xludf.DUMMYFUNCTION("""COMPUTED_VALUE"""),2049)</f>
        <v>2049</v>
      </c>
      <c r="I249" s="12">
        <f ca="1">IFERROR(__xludf.DUMMYFUNCTION("""COMPUTED_VALUE"""),907)</f>
        <v>907</v>
      </c>
      <c r="J249" s="12">
        <f ca="1">IFERROR(__xludf.DUMMYFUNCTION("""COMPUTED_VALUE"""),1072)</f>
        <v>1072</v>
      </c>
      <c r="K249" s="12">
        <f ca="1">IFERROR(__xludf.DUMMYFUNCTION("""COMPUTED_VALUE"""),2253)</f>
        <v>2253</v>
      </c>
      <c r="L249" s="12">
        <f ca="1">IFERROR(__xludf.DUMMYFUNCTION("""COMPUTED_VALUE"""),1160)</f>
        <v>1160</v>
      </c>
      <c r="M249" s="12">
        <f ca="1">IFERROR(__xludf.DUMMYFUNCTION("""COMPUTED_VALUE"""),2649)</f>
        <v>2649</v>
      </c>
      <c r="N249" s="12">
        <f ca="1">IFERROR(__xludf.DUMMYFUNCTION("""COMPUTED_VALUE"""),5602)</f>
        <v>5602</v>
      </c>
      <c r="O249" s="12">
        <f ca="1">IFERROR(__xludf.DUMMYFUNCTION("""COMPUTED_VALUE"""),2656)</f>
        <v>2656</v>
      </c>
      <c r="P249" s="12">
        <f ca="1">IFERROR(__xludf.DUMMYFUNCTION("""COMPUTED_VALUE"""),2495)</f>
        <v>2495</v>
      </c>
      <c r="Q249" s="12">
        <f ca="1">IFERROR(__xludf.DUMMYFUNCTION("""COMPUTED_VALUE"""),1755)</f>
        <v>1755</v>
      </c>
      <c r="R249" s="12">
        <f ca="1">IFERROR(__xludf.DUMMYFUNCTION("""COMPUTED_VALUE"""),1002)</f>
        <v>1002</v>
      </c>
      <c r="S249" s="12">
        <f ca="1">IFERROR(__xludf.DUMMYFUNCTION("""COMPUTED_VALUE"""),1075)</f>
        <v>1075</v>
      </c>
      <c r="T249" s="12">
        <f ca="1">IFERROR(__xludf.DUMMYFUNCTION("""COMPUTED_VALUE"""),5272)</f>
        <v>5272</v>
      </c>
      <c r="U249" s="12">
        <f ca="1">IFERROR(__xludf.DUMMYFUNCTION("""COMPUTED_VALUE"""),3016)</f>
        <v>3016</v>
      </c>
      <c r="V249" s="12">
        <f ca="1">IFERROR(__xludf.DUMMYFUNCTION("""COMPUTED_VALUE"""),2742)</f>
        <v>2742</v>
      </c>
      <c r="W249" s="12">
        <f ca="1">IFERROR(__xludf.DUMMYFUNCTION("""COMPUTED_VALUE"""),3396)</f>
        <v>3396</v>
      </c>
      <c r="X249" s="12">
        <f ca="1">IFERROR(__xludf.DUMMYFUNCTION("""COMPUTED_VALUE"""),2889)</f>
        <v>2889</v>
      </c>
      <c r="Y249" s="12">
        <f ca="1">IFERROR(__xludf.DUMMYFUNCTION("""COMPUTED_VALUE"""),1887)</f>
        <v>1887</v>
      </c>
      <c r="Z249" s="12">
        <f ca="1">IFERROR(__xludf.DUMMYFUNCTION("""COMPUTED_VALUE"""),2056)</f>
        <v>2056</v>
      </c>
      <c r="AA249" s="12">
        <f ca="1">IFERROR(__xludf.DUMMYFUNCTION("""COMPUTED_VALUE"""),1748)</f>
        <v>1748</v>
      </c>
      <c r="AB249" s="12">
        <f ca="1">IFERROR(__xludf.DUMMYFUNCTION("""COMPUTED_VALUE"""),1771)</f>
        <v>1771</v>
      </c>
      <c r="AC249" s="12">
        <f ca="1">IFERROR(__xludf.DUMMYFUNCTION("""COMPUTED_VALUE"""),2109)</f>
        <v>2109</v>
      </c>
      <c r="AD249" s="12">
        <f ca="1">IFERROR(__xludf.DUMMYFUNCTION("""COMPUTED_VALUE"""),1539)</f>
        <v>1539</v>
      </c>
      <c r="AE249" s="12">
        <f ca="1">IFERROR(__xludf.DUMMYFUNCTION("""COMPUTED_VALUE"""),2100)</f>
        <v>2100</v>
      </c>
      <c r="AF249" s="8">
        <f ca="1">IFERROR(__xludf.DUMMYFUNCTION("""COMPUTED_VALUE"""),7497)</f>
        <v>7497</v>
      </c>
      <c r="AG249" s="8">
        <f ca="1">IFERROR(__xludf.DUMMYFUNCTION("""COMPUTED_VALUE"""),1237)</f>
        <v>1237</v>
      </c>
      <c r="AH249" s="8">
        <f ca="1">IFERROR(__xludf.DUMMYFUNCTION("""COMPUTED_VALUE"""),1508)</f>
        <v>1508</v>
      </c>
      <c r="AI249" s="8">
        <f ca="1">IFERROR(__xludf.DUMMYFUNCTION("""COMPUTED_VALUE"""),1256)</f>
        <v>1256</v>
      </c>
      <c r="AJ249" s="8">
        <f ca="1">IFERROR(__xludf.DUMMYFUNCTION("""COMPUTED_VALUE"""),1428)</f>
        <v>1428</v>
      </c>
      <c r="AK249" s="8">
        <f ca="1">IFERROR(__xludf.DUMMYFUNCTION("""COMPUTED_VALUE"""),1955)</f>
        <v>1955</v>
      </c>
      <c r="AL249" s="8">
        <f ca="1">IFERROR(__xludf.DUMMYFUNCTION("""COMPUTED_VALUE"""),1029)</f>
        <v>1029</v>
      </c>
      <c r="AM249" s="8">
        <f ca="1">IFERROR(__xludf.DUMMYFUNCTION("""COMPUTED_VALUE"""),1516)</f>
        <v>1516</v>
      </c>
      <c r="AN249" s="8">
        <f ca="1">IFERROR(__xludf.DUMMYFUNCTION("""COMPUTED_VALUE"""),1076)</f>
        <v>1076</v>
      </c>
      <c r="AO249" s="8">
        <f ca="1">IFERROR(__xludf.DUMMYFUNCTION("""COMPUTED_VALUE"""),1843)</f>
        <v>1843</v>
      </c>
      <c r="AP249" s="8"/>
      <c r="AQ249" s="8"/>
      <c r="AR249" s="8"/>
      <c r="AS249" s="8"/>
      <c r="AT249" s="8"/>
      <c r="AU249" s="8"/>
      <c r="AV249" s="8"/>
      <c r="AW249" s="8"/>
      <c r="AX249" s="8"/>
      <c r="AY249" s="8"/>
    </row>
    <row r="250" spans="1:51" ht="13.2" x14ac:dyDescent="0.25">
      <c r="A250" s="12" t="str">
        <f ca="1">IFERROR(__xludf.DUMMYFUNCTION("""COMPUTED_VALUE"""),"                  right Retrohippocampal region")</f>
        <v xml:space="preserve">                  right Retrohippocampal region</v>
      </c>
      <c r="B250" s="12">
        <f ca="1">IFERROR(__xludf.DUMMYFUNCTION("""COMPUTED_VALUE"""),37437)</f>
        <v>37437</v>
      </c>
      <c r="C250" s="12">
        <f ca="1">IFERROR(__xludf.DUMMYFUNCTION("""COMPUTED_VALUE"""),71306)</f>
        <v>71306</v>
      </c>
      <c r="D250" s="12">
        <f ca="1">IFERROR(__xludf.DUMMYFUNCTION("""COMPUTED_VALUE"""),33159)</f>
        <v>33159</v>
      </c>
      <c r="E250" s="12">
        <f ca="1">IFERROR(__xludf.DUMMYFUNCTION("""COMPUTED_VALUE"""),28405)</f>
        <v>28405</v>
      </c>
      <c r="F250" s="12">
        <f ca="1">IFERROR(__xludf.DUMMYFUNCTION("""COMPUTED_VALUE"""),51128)</f>
        <v>51128</v>
      </c>
      <c r="G250" s="12">
        <f ca="1">IFERROR(__xludf.DUMMYFUNCTION("""COMPUTED_VALUE"""),36577)</f>
        <v>36577</v>
      </c>
      <c r="H250" s="12">
        <f ca="1">IFERROR(__xludf.DUMMYFUNCTION("""COMPUTED_VALUE"""),36021)</f>
        <v>36021</v>
      </c>
      <c r="I250" s="12">
        <f ca="1">IFERROR(__xludf.DUMMYFUNCTION("""COMPUTED_VALUE"""),30476)</f>
        <v>30476</v>
      </c>
      <c r="J250" s="12">
        <f ca="1">IFERROR(__xludf.DUMMYFUNCTION("""COMPUTED_VALUE"""),42781)</f>
        <v>42781</v>
      </c>
      <c r="K250" s="12">
        <f ca="1">IFERROR(__xludf.DUMMYFUNCTION("""COMPUTED_VALUE"""),60400)</f>
        <v>60400</v>
      </c>
      <c r="L250" s="12">
        <f ca="1">IFERROR(__xludf.DUMMYFUNCTION("""COMPUTED_VALUE"""),30093)</f>
        <v>30093</v>
      </c>
      <c r="M250" s="12">
        <f ca="1">IFERROR(__xludf.DUMMYFUNCTION("""COMPUTED_VALUE"""),49464)</f>
        <v>49464</v>
      </c>
      <c r="N250" s="12">
        <f ca="1">IFERROR(__xludf.DUMMYFUNCTION("""COMPUTED_VALUE"""),35217)</f>
        <v>35217</v>
      </c>
      <c r="O250" s="12">
        <f ca="1">IFERROR(__xludf.DUMMYFUNCTION("""COMPUTED_VALUE"""),68878)</f>
        <v>68878</v>
      </c>
      <c r="P250" s="12">
        <f ca="1">IFERROR(__xludf.DUMMYFUNCTION("""COMPUTED_VALUE"""),39432)</f>
        <v>39432</v>
      </c>
      <c r="Q250" s="12">
        <f ca="1">IFERROR(__xludf.DUMMYFUNCTION("""COMPUTED_VALUE"""),45508)</f>
        <v>45508</v>
      </c>
      <c r="R250" s="12">
        <f ca="1">IFERROR(__xludf.DUMMYFUNCTION("""COMPUTED_VALUE"""),44089)</f>
        <v>44089</v>
      </c>
      <c r="S250" s="12">
        <f ca="1">IFERROR(__xludf.DUMMYFUNCTION("""COMPUTED_VALUE"""),21441)</f>
        <v>21441</v>
      </c>
      <c r="T250" s="12">
        <f ca="1">IFERROR(__xludf.DUMMYFUNCTION("""COMPUTED_VALUE"""),28777)</f>
        <v>28777</v>
      </c>
      <c r="U250" s="12">
        <f ca="1">IFERROR(__xludf.DUMMYFUNCTION("""COMPUTED_VALUE"""),43251)</f>
        <v>43251</v>
      </c>
      <c r="V250" s="12">
        <f ca="1">IFERROR(__xludf.DUMMYFUNCTION("""COMPUTED_VALUE"""),87377)</f>
        <v>87377</v>
      </c>
      <c r="W250" s="12">
        <f ca="1">IFERROR(__xludf.DUMMYFUNCTION("""COMPUTED_VALUE"""),135478)</f>
        <v>135478</v>
      </c>
      <c r="X250" s="12">
        <f ca="1">IFERROR(__xludf.DUMMYFUNCTION("""COMPUTED_VALUE"""),100644)</f>
        <v>100644</v>
      </c>
      <c r="Y250" s="12">
        <f ca="1">IFERROR(__xludf.DUMMYFUNCTION("""COMPUTED_VALUE"""),56835)</f>
        <v>56835</v>
      </c>
      <c r="Z250" s="12">
        <f ca="1">IFERROR(__xludf.DUMMYFUNCTION("""COMPUTED_VALUE"""),37114)</f>
        <v>37114</v>
      </c>
      <c r="AA250" s="12">
        <f ca="1">IFERROR(__xludf.DUMMYFUNCTION("""COMPUTED_VALUE"""),113327)</f>
        <v>113327</v>
      </c>
      <c r="AB250" s="12">
        <f ca="1">IFERROR(__xludf.DUMMYFUNCTION("""COMPUTED_VALUE"""),43852)</f>
        <v>43852</v>
      </c>
      <c r="AC250" s="12">
        <f ca="1">IFERROR(__xludf.DUMMYFUNCTION("""COMPUTED_VALUE"""),52247)</f>
        <v>52247</v>
      </c>
      <c r="AD250" s="12">
        <f ca="1">IFERROR(__xludf.DUMMYFUNCTION("""COMPUTED_VALUE"""),42678)</f>
        <v>42678</v>
      </c>
      <c r="AE250" s="12">
        <f ca="1">IFERROR(__xludf.DUMMYFUNCTION("""COMPUTED_VALUE"""),92196)</f>
        <v>92196</v>
      </c>
      <c r="AF250" s="8">
        <f ca="1">IFERROR(__xludf.DUMMYFUNCTION("""COMPUTED_VALUE"""),74913)</f>
        <v>74913</v>
      </c>
      <c r="AG250" s="8">
        <f ca="1">IFERROR(__xludf.DUMMYFUNCTION("""COMPUTED_VALUE"""),60493)</f>
        <v>60493</v>
      </c>
      <c r="AH250" s="8">
        <f ca="1">IFERROR(__xludf.DUMMYFUNCTION("""COMPUTED_VALUE"""),59425)</f>
        <v>59425</v>
      </c>
      <c r="AI250" s="8">
        <f ca="1">IFERROR(__xludf.DUMMYFUNCTION("""COMPUTED_VALUE"""),21526)</f>
        <v>21526</v>
      </c>
      <c r="AJ250" s="8">
        <f ca="1">IFERROR(__xludf.DUMMYFUNCTION("""COMPUTED_VALUE"""),59312)</f>
        <v>59312</v>
      </c>
      <c r="AK250" s="8">
        <f ca="1">IFERROR(__xludf.DUMMYFUNCTION("""COMPUTED_VALUE"""),25614)</f>
        <v>25614</v>
      </c>
      <c r="AL250" s="8">
        <f ca="1">IFERROR(__xludf.DUMMYFUNCTION("""COMPUTED_VALUE"""),35221)</f>
        <v>35221</v>
      </c>
      <c r="AM250" s="8">
        <f ca="1">IFERROR(__xludf.DUMMYFUNCTION("""COMPUTED_VALUE"""),78533)</f>
        <v>78533</v>
      </c>
      <c r="AN250" s="8">
        <f ca="1">IFERROR(__xludf.DUMMYFUNCTION("""COMPUTED_VALUE"""),49728)</f>
        <v>49728</v>
      </c>
      <c r="AO250" s="8">
        <f ca="1">IFERROR(__xludf.DUMMYFUNCTION("""COMPUTED_VALUE"""),60303)</f>
        <v>60303</v>
      </c>
      <c r="AP250" s="8"/>
      <c r="AQ250" s="8"/>
      <c r="AR250" s="8"/>
      <c r="AS250" s="8"/>
      <c r="AT250" s="8"/>
      <c r="AU250" s="8"/>
      <c r="AV250" s="8"/>
      <c r="AW250" s="8"/>
      <c r="AX250" s="8"/>
      <c r="AY250" s="8"/>
    </row>
    <row r="251" spans="1:51" ht="13.2" x14ac:dyDescent="0.25">
      <c r="A251" s="12" t="str">
        <f ca="1">IFERROR(__xludf.DUMMYFUNCTION("""COMPUTED_VALUE"""),"                     right Entorhinal area")</f>
        <v xml:space="preserve">                     right Entorhinal area</v>
      </c>
      <c r="B251" s="12">
        <f ca="1">IFERROR(__xludf.DUMMYFUNCTION("""COMPUTED_VALUE"""),24336)</f>
        <v>24336</v>
      </c>
      <c r="C251" s="12">
        <f ca="1">IFERROR(__xludf.DUMMYFUNCTION("""COMPUTED_VALUE"""),40440)</f>
        <v>40440</v>
      </c>
      <c r="D251" s="12">
        <f ca="1">IFERROR(__xludf.DUMMYFUNCTION("""COMPUTED_VALUE"""),24555)</f>
        <v>24555</v>
      </c>
      <c r="E251" s="12">
        <f ca="1">IFERROR(__xludf.DUMMYFUNCTION("""COMPUTED_VALUE"""),17660)</f>
        <v>17660</v>
      </c>
      <c r="F251" s="12">
        <f ca="1">IFERROR(__xludf.DUMMYFUNCTION("""COMPUTED_VALUE"""),25467)</f>
        <v>25467</v>
      </c>
      <c r="G251" s="12">
        <f ca="1">IFERROR(__xludf.DUMMYFUNCTION("""COMPUTED_VALUE"""),17988)</f>
        <v>17988</v>
      </c>
      <c r="H251" s="12">
        <f ca="1">IFERROR(__xludf.DUMMYFUNCTION("""COMPUTED_VALUE"""),20563)</f>
        <v>20563</v>
      </c>
      <c r="I251" s="12">
        <f ca="1">IFERROR(__xludf.DUMMYFUNCTION("""COMPUTED_VALUE"""),15291)</f>
        <v>15291</v>
      </c>
      <c r="J251" s="12">
        <f ca="1">IFERROR(__xludf.DUMMYFUNCTION("""COMPUTED_VALUE"""),21800)</f>
        <v>21800</v>
      </c>
      <c r="K251" s="12">
        <f ca="1">IFERROR(__xludf.DUMMYFUNCTION("""COMPUTED_VALUE"""),37504)</f>
        <v>37504</v>
      </c>
      <c r="L251" s="12">
        <f ca="1">IFERROR(__xludf.DUMMYFUNCTION("""COMPUTED_VALUE"""),22540)</f>
        <v>22540</v>
      </c>
      <c r="M251" s="12">
        <f ca="1">IFERROR(__xludf.DUMMYFUNCTION("""COMPUTED_VALUE"""),27559)</f>
        <v>27559</v>
      </c>
      <c r="N251" s="12">
        <f ca="1">IFERROR(__xludf.DUMMYFUNCTION("""COMPUTED_VALUE"""),19527)</f>
        <v>19527</v>
      </c>
      <c r="O251" s="12">
        <f ca="1">IFERROR(__xludf.DUMMYFUNCTION("""COMPUTED_VALUE"""),38313)</f>
        <v>38313</v>
      </c>
      <c r="P251" s="12">
        <f ca="1">IFERROR(__xludf.DUMMYFUNCTION("""COMPUTED_VALUE"""),23885)</f>
        <v>23885</v>
      </c>
      <c r="Q251" s="12">
        <f ca="1">IFERROR(__xludf.DUMMYFUNCTION("""COMPUTED_VALUE"""),16011)</f>
        <v>16011</v>
      </c>
      <c r="R251" s="12">
        <f ca="1">IFERROR(__xludf.DUMMYFUNCTION("""COMPUTED_VALUE"""),31595)</f>
        <v>31595</v>
      </c>
      <c r="S251" s="12">
        <f ca="1">IFERROR(__xludf.DUMMYFUNCTION("""COMPUTED_VALUE"""),16059)</f>
        <v>16059</v>
      </c>
      <c r="T251" s="12">
        <f ca="1">IFERROR(__xludf.DUMMYFUNCTION("""COMPUTED_VALUE"""),9259)</f>
        <v>9259</v>
      </c>
      <c r="U251" s="12">
        <f ca="1">IFERROR(__xludf.DUMMYFUNCTION("""COMPUTED_VALUE"""),19684)</f>
        <v>19684</v>
      </c>
      <c r="V251" s="12">
        <f ca="1">IFERROR(__xludf.DUMMYFUNCTION("""COMPUTED_VALUE"""),56633)</f>
        <v>56633</v>
      </c>
      <c r="W251" s="12">
        <f ca="1">IFERROR(__xludf.DUMMYFUNCTION("""COMPUTED_VALUE"""),74600)</f>
        <v>74600</v>
      </c>
      <c r="X251" s="12">
        <f ca="1">IFERROR(__xludf.DUMMYFUNCTION("""COMPUTED_VALUE"""),59575)</f>
        <v>59575</v>
      </c>
      <c r="Y251" s="12">
        <f ca="1">IFERROR(__xludf.DUMMYFUNCTION("""COMPUTED_VALUE"""),37702)</f>
        <v>37702</v>
      </c>
      <c r="Z251" s="12">
        <f ca="1">IFERROR(__xludf.DUMMYFUNCTION("""COMPUTED_VALUE"""),20384)</f>
        <v>20384</v>
      </c>
      <c r="AA251" s="12">
        <f ca="1">IFERROR(__xludf.DUMMYFUNCTION("""COMPUTED_VALUE"""),69963)</f>
        <v>69963</v>
      </c>
      <c r="AB251" s="12">
        <f ca="1">IFERROR(__xludf.DUMMYFUNCTION("""COMPUTED_VALUE"""),22009)</f>
        <v>22009</v>
      </c>
      <c r="AC251" s="12">
        <f ca="1">IFERROR(__xludf.DUMMYFUNCTION("""COMPUTED_VALUE"""),29611)</f>
        <v>29611</v>
      </c>
      <c r="AD251" s="12">
        <f ca="1">IFERROR(__xludf.DUMMYFUNCTION("""COMPUTED_VALUE"""),31973)</f>
        <v>31973</v>
      </c>
      <c r="AE251" s="12">
        <f ca="1">IFERROR(__xludf.DUMMYFUNCTION("""COMPUTED_VALUE"""),54473)</f>
        <v>54473</v>
      </c>
      <c r="AF251" s="8">
        <f ca="1">IFERROR(__xludf.DUMMYFUNCTION("""COMPUTED_VALUE"""),28451)</f>
        <v>28451</v>
      </c>
      <c r="AG251" s="8">
        <f ca="1">IFERROR(__xludf.DUMMYFUNCTION("""COMPUTED_VALUE"""),37749)</f>
        <v>37749</v>
      </c>
      <c r="AH251" s="8">
        <f ca="1">IFERROR(__xludf.DUMMYFUNCTION("""COMPUTED_VALUE"""),38947)</f>
        <v>38947</v>
      </c>
      <c r="AI251" s="8">
        <f ca="1">IFERROR(__xludf.DUMMYFUNCTION("""COMPUTED_VALUE"""),12809)</f>
        <v>12809</v>
      </c>
      <c r="AJ251" s="8">
        <f ca="1">IFERROR(__xludf.DUMMYFUNCTION("""COMPUTED_VALUE"""),42183)</f>
        <v>42183</v>
      </c>
      <c r="AK251" s="8">
        <f ca="1">IFERROR(__xludf.DUMMYFUNCTION("""COMPUTED_VALUE"""),13477)</f>
        <v>13477</v>
      </c>
      <c r="AL251" s="8">
        <f ca="1">IFERROR(__xludf.DUMMYFUNCTION("""COMPUTED_VALUE"""),28033)</f>
        <v>28033</v>
      </c>
      <c r="AM251" s="8">
        <f ca="1">IFERROR(__xludf.DUMMYFUNCTION("""COMPUTED_VALUE"""),45101)</f>
        <v>45101</v>
      </c>
      <c r="AN251" s="8">
        <f ca="1">IFERROR(__xludf.DUMMYFUNCTION("""COMPUTED_VALUE"""),31240)</f>
        <v>31240</v>
      </c>
      <c r="AO251" s="8">
        <f ca="1">IFERROR(__xludf.DUMMYFUNCTION("""COMPUTED_VALUE"""),42615)</f>
        <v>42615</v>
      </c>
      <c r="AP251" s="8"/>
      <c r="AQ251" s="8"/>
      <c r="AR251" s="8"/>
      <c r="AS251" s="8"/>
      <c r="AT251" s="8"/>
      <c r="AU251" s="8"/>
      <c r="AV251" s="8"/>
      <c r="AW251" s="8"/>
      <c r="AX251" s="8"/>
      <c r="AY251" s="8"/>
    </row>
    <row r="252" spans="1:51" ht="13.2" x14ac:dyDescent="0.25">
      <c r="A252" s="12" t="str">
        <f ca="1">IFERROR(__xludf.DUMMYFUNCTION("""COMPUTED_VALUE"""),"                        right Entorhinal area, lateral part")</f>
        <v xml:space="preserve">                        right Entorhinal area, lateral part</v>
      </c>
      <c r="B252" s="12">
        <f ca="1">IFERROR(__xludf.DUMMYFUNCTION("""COMPUTED_VALUE"""),12904)</f>
        <v>12904</v>
      </c>
      <c r="C252" s="12">
        <f ca="1">IFERROR(__xludf.DUMMYFUNCTION("""COMPUTED_VALUE"""),18761)</f>
        <v>18761</v>
      </c>
      <c r="D252" s="12">
        <f ca="1">IFERROR(__xludf.DUMMYFUNCTION("""COMPUTED_VALUE"""),16679)</f>
        <v>16679</v>
      </c>
      <c r="E252" s="12">
        <f ca="1">IFERROR(__xludf.DUMMYFUNCTION("""COMPUTED_VALUE"""),10598)</f>
        <v>10598</v>
      </c>
      <c r="F252" s="12">
        <f ca="1">IFERROR(__xludf.DUMMYFUNCTION("""COMPUTED_VALUE"""),14867)</f>
        <v>14867</v>
      </c>
      <c r="G252" s="12">
        <f ca="1">IFERROR(__xludf.DUMMYFUNCTION("""COMPUTED_VALUE"""),10529)</f>
        <v>10529</v>
      </c>
      <c r="H252" s="12">
        <f ca="1">IFERROR(__xludf.DUMMYFUNCTION("""COMPUTED_VALUE"""),11105)</f>
        <v>11105</v>
      </c>
      <c r="I252" s="12">
        <f ca="1">IFERROR(__xludf.DUMMYFUNCTION("""COMPUTED_VALUE"""),9445)</f>
        <v>9445</v>
      </c>
      <c r="J252" s="12">
        <f ca="1">IFERROR(__xludf.DUMMYFUNCTION("""COMPUTED_VALUE"""),11969)</f>
        <v>11969</v>
      </c>
      <c r="K252" s="12">
        <f ca="1">IFERROR(__xludf.DUMMYFUNCTION("""COMPUTED_VALUE"""),21280)</f>
        <v>21280</v>
      </c>
      <c r="L252" s="12">
        <f ca="1">IFERROR(__xludf.DUMMYFUNCTION("""COMPUTED_VALUE"""),15830)</f>
        <v>15830</v>
      </c>
      <c r="M252" s="12">
        <f ca="1">IFERROR(__xludf.DUMMYFUNCTION("""COMPUTED_VALUE"""),19221)</f>
        <v>19221</v>
      </c>
      <c r="N252" s="12">
        <f ca="1">IFERROR(__xludf.DUMMYFUNCTION("""COMPUTED_VALUE"""),12294)</f>
        <v>12294</v>
      </c>
      <c r="O252" s="12">
        <f ca="1">IFERROR(__xludf.DUMMYFUNCTION("""COMPUTED_VALUE"""),22319)</f>
        <v>22319</v>
      </c>
      <c r="P252" s="12">
        <f ca="1">IFERROR(__xludf.DUMMYFUNCTION("""COMPUTED_VALUE"""),13902)</f>
        <v>13902</v>
      </c>
      <c r="Q252" s="12">
        <f ca="1">IFERROR(__xludf.DUMMYFUNCTION("""COMPUTED_VALUE"""),10730)</f>
        <v>10730</v>
      </c>
      <c r="R252" s="12">
        <f ca="1">IFERROR(__xludf.DUMMYFUNCTION("""COMPUTED_VALUE"""),18958)</f>
        <v>18958</v>
      </c>
      <c r="S252" s="12">
        <f ca="1">IFERROR(__xludf.DUMMYFUNCTION("""COMPUTED_VALUE"""),7704)</f>
        <v>7704</v>
      </c>
      <c r="T252" s="12">
        <f ca="1">IFERROR(__xludf.DUMMYFUNCTION("""COMPUTED_VALUE"""),8072)</f>
        <v>8072</v>
      </c>
      <c r="U252" s="12">
        <f ca="1">IFERROR(__xludf.DUMMYFUNCTION("""COMPUTED_VALUE"""),15803)</f>
        <v>15803</v>
      </c>
      <c r="V252" s="12">
        <f ca="1">IFERROR(__xludf.DUMMYFUNCTION("""COMPUTED_VALUE"""),48634)</f>
        <v>48634</v>
      </c>
      <c r="W252" s="12">
        <f ca="1">IFERROR(__xludf.DUMMYFUNCTION("""COMPUTED_VALUE"""),55174)</f>
        <v>55174</v>
      </c>
      <c r="X252" s="12">
        <f ca="1">IFERROR(__xludf.DUMMYFUNCTION("""COMPUTED_VALUE"""),41772)</f>
        <v>41772</v>
      </c>
      <c r="Y252" s="12">
        <f ca="1">IFERROR(__xludf.DUMMYFUNCTION("""COMPUTED_VALUE"""),29661)</f>
        <v>29661</v>
      </c>
      <c r="Z252" s="12">
        <f ca="1">IFERROR(__xludf.DUMMYFUNCTION("""COMPUTED_VALUE"""),13239)</f>
        <v>13239</v>
      </c>
      <c r="AA252" s="12">
        <f ca="1">IFERROR(__xludf.DUMMYFUNCTION("""COMPUTED_VALUE"""),38974)</f>
        <v>38974</v>
      </c>
      <c r="AB252" s="12">
        <f ca="1">IFERROR(__xludf.DUMMYFUNCTION("""COMPUTED_VALUE"""),14417)</f>
        <v>14417</v>
      </c>
      <c r="AC252" s="12">
        <f ca="1">IFERROR(__xludf.DUMMYFUNCTION("""COMPUTED_VALUE"""),23230)</f>
        <v>23230</v>
      </c>
      <c r="AD252" s="12">
        <f ca="1">IFERROR(__xludf.DUMMYFUNCTION("""COMPUTED_VALUE"""),28340)</f>
        <v>28340</v>
      </c>
      <c r="AE252" s="12">
        <f ca="1">IFERROR(__xludf.DUMMYFUNCTION("""COMPUTED_VALUE"""),40934)</f>
        <v>40934</v>
      </c>
      <c r="AF252" s="8">
        <f ca="1">IFERROR(__xludf.DUMMYFUNCTION("""COMPUTED_VALUE"""),22029)</f>
        <v>22029</v>
      </c>
      <c r="AG252" s="8">
        <f ca="1">IFERROR(__xludf.DUMMYFUNCTION("""COMPUTED_VALUE"""),26310)</f>
        <v>26310</v>
      </c>
      <c r="AH252" s="8">
        <f ca="1">IFERROR(__xludf.DUMMYFUNCTION("""COMPUTED_VALUE"""),28635)</f>
        <v>28635</v>
      </c>
      <c r="AI252" s="8">
        <f ca="1">IFERROR(__xludf.DUMMYFUNCTION("""COMPUTED_VALUE"""),10020)</f>
        <v>10020</v>
      </c>
      <c r="AJ252" s="8">
        <f ca="1">IFERROR(__xludf.DUMMYFUNCTION("""COMPUTED_VALUE"""),33334)</f>
        <v>33334</v>
      </c>
      <c r="AK252" s="8">
        <f ca="1">IFERROR(__xludf.DUMMYFUNCTION("""COMPUTED_VALUE"""),8703)</f>
        <v>8703</v>
      </c>
      <c r="AL252" s="8">
        <f ca="1">IFERROR(__xludf.DUMMYFUNCTION("""COMPUTED_VALUE"""),21149)</f>
        <v>21149</v>
      </c>
      <c r="AM252" s="8">
        <f ca="1">IFERROR(__xludf.DUMMYFUNCTION("""COMPUTED_VALUE"""),28559)</f>
        <v>28559</v>
      </c>
      <c r="AN252" s="8">
        <f ca="1">IFERROR(__xludf.DUMMYFUNCTION("""COMPUTED_VALUE"""),20720)</f>
        <v>20720</v>
      </c>
      <c r="AO252" s="8">
        <f ca="1">IFERROR(__xludf.DUMMYFUNCTION("""COMPUTED_VALUE"""),36440)</f>
        <v>36440</v>
      </c>
      <c r="AP252" s="8"/>
      <c r="AQ252" s="8"/>
      <c r="AR252" s="8"/>
      <c r="AS252" s="8"/>
      <c r="AT252" s="8"/>
      <c r="AU252" s="8"/>
      <c r="AV252" s="8"/>
      <c r="AW252" s="8"/>
      <c r="AX252" s="8"/>
      <c r="AY252" s="8"/>
    </row>
    <row r="253" spans="1:51" ht="13.2" x14ac:dyDescent="0.25">
      <c r="A253" s="12" t="str">
        <f ca="1">IFERROR(__xludf.DUMMYFUNCTION("""COMPUTED_VALUE"""),"                        right Entorhinal area, medial part, dorsal zone")</f>
        <v xml:space="preserve">                        right Entorhinal area, medial part, dorsal zone</v>
      </c>
      <c r="B253" s="12">
        <f ca="1">IFERROR(__xludf.DUMMYFUNCTION("""COMPUTED_VALUE"""),11432)</f>
        <v>11432</v>
      </c>
      <c r="C253" s="12">
        <f ca="1">IFERROR(__xludf.DUMMYFUNCTION("""COMPUTED_VALUE"""),21679)</f>
        <v>21679</v>
      </c>
      <c r="D253" s="12">
        <f ca="1">IFERROR(__xludf.DUMMYFUNCTION("""COMPUTED_VALUE"""),7876)</f>
        <v>7876</v>
      </c>
      <c r="E253" s="12">
        <f ca="1">IFERROR(__xludf.DUMMYFUNCTION("""COMPUTED_VALUE"""),7062)</f>
        <v>7062</v>
      </c>
      <c r="F253" s="12">
        <f ca="1">IFERROR(__xludf.DUMMYFUNCTION("""COMPUTED_VALUE"""),10600)</f>
        <v>10600</v>
      </c>
      <c r="G253" s="12">
        <f ca="1">IFERROR(__xludf.DUMMYFUNCTION("""COMPUTED_VALUE"""),7459)</f>
        <v>7459</v>
      </c>
      <c r="H253" s="12">
        <f ca="1">IFERROR(__xludf.DUMMYFUNCTION("""COMPUTED_VALUE"""),9458)</f>
        <v>9458</v>
      </c>
      <c r="I253" s="12">
        <f ca="1">IFERROR(__xludf.DUMMYFUNCTION("""COMPUTED_VALUE"""),5846)</f>
        <v>5846</v>
      </c>
      <c r="J253" s="12">
        <f ca="1">IFERROR(__xludf.DUMMYFUNCTION("""COMPUTED_VALUE"""),9831)</f>
        <v>9831</v>
      </c>
      <c r="K253" s="12">
        <f ca="1">IFERROR(__xludf.DUMMYFUNCTION("""COMPUTED_VALUE"""),16224)</f>
        <v>16224</v>
      </c>
      <c r="L253" s="12">
        <f ca="1">IFERROR(__xludf.DUMMYFUNCTION("""COMPUTED_VALUE"""),6710)</f>
        <v>6710</v>
      </c>
      <c r="M253" s="12">
        <f ca="1">IFERROR(__xludf.DUMMYFUNCTION("""COMPUTED_VALUE"""),8338)</f>
        <v>8338</v>
      </c>
      <c r="N253" s="12">
        <f ca="1">IFERROR(__xludf.DUMMYFUNCTION("""COMPUTED_VALUE"""),7233)</f>
        <v>7233</v>
      </c>
      <c r="O253" s="12">
        <f ca="1">IFERROR(__xludf.DUMMYFUNCTION("""COMPUTED_VALUE"""),15994)</f>
        <v>15994</v>
      </c>
      <c r="P253" s="12">
        <f ca="1">IFERROR(__xludf.DUMMYFUNCTION("""COMPUTED_VALUE"""),9983)</f>
        <v>9983</v>
      </c>
      <c r="Q253" s="12">
        <f ca="1">IFERROR(__xludf.DUMMYFUNCTION("""COMPUTED_VALUE"""),5281)</f>
        <v>5281</v>
      </c>
      <c r="R253" s="12">
        <f ca="1">IFERROR(__xludf.DUMMYFUNCTION("""COMPUTED_VALUE"""),12637)</f>
        <v>12637</v>
      </c>
      <c r="S253" s="12">
        <f ca="1">IFERROR(__xludf.DUMMYFUNCTION("""COMPUTED_VALUE"""),8355)</f>
        <v>8355</v>
      </c>
      <c r="T253" s="12">
        <f ca="1">IFERROR(__xludf.DUMMYFUNCTION("""COMPUTED_VALUE"""),1187)</f>
        <v>1187</v>
      </c>
      <c r="U253" s="12">
        <f ca="1">IFERROR(__xludf.DUMMYFUNCTION("""COMPUTED_VALUE"""),3881)</f>
        <v>3881</v>
      </c>
      <c r="V253" s="12">
        <f ca="1">IFERROR(__xludf.DUMMYFUNCTION("""COMPUTED_VALUE"""),7999)</f>
        <v>7999</v>
      </c>
      <c r="W253" s="12">
        <f ca="1">IFERROR(__xludf.DUMMYFUNCTION("""COMPUTED_VALUE"""),19426)</f>
        <v>19426</v>
      </c>
      <c r="X253" s="12">
        <f ca="1">IFERROR(__xludf.DUMMYFUNCTION("""COMPUTED_VALUE"""),17803)</f>
        <v>17803</v>
      </c>
      <c r="Y253" s="12">
        <f ca="1">IFERROR(__xludf.DUMMYFUNCTION("""COMPUTED_VALUE"""),8041)</f>
        <v>8041</v>
      </c>
      <c r="Z253" s="12">
        <f ca="1">IFERROR(__xludf.DUMMYFUNCTION("""COMPUTED_VALUE"""),7145)</f>
        <v>7145</v>
      </c>
      <c r="AA253" s="12">
        <f ca="1">IFERROR(__xludf.DUMMYFUNCTION("""COMPUTED_VALUE"""),30989)</f>
        <v>30989</v>
      </c>
      <c r="AB253" s="12">
        <f ca="1">IFERROR(__xludf.DUMMYFUNCTION("""COMPUTED_VALUE"""),7592)</f>
        <v>7592</v>
      </c>
      <c r="AC253" s="12">
        <f ca="1">IFERROR(__xludf.DUMMYFUNCTION("""COMPUTED_VALUE"""),6381)</f>
        <v>6381</v>
      </c>
      <c r="AD253" s="12">
        <f ca="1">IFERROR(__xludf.DUMMYFUNCTION("""COMPUTED_VALUE"""),3633)</f>
        <v>3633</v>
      </c>
      <c r="AE253" s="12">
        <f ca="1">IFERROR(__xludf.DUMMYFUNCTION("""COMPUTED_VALUE"""),13539)</f>
        <v>13539</v>
      </c>
      <c r="AF253" s="8">
        <f ca="1">IFERROR(__xludf.DUMMYFUNCTION("""COMPUTED_VALUE"""),6422)</f>
        <v>6422</v>
      </c>
      <c r="AG253" s="8">
        <f ca="1">IFERROR(__xludf.DUMMYFUNCTION("""COMPUTED_VALUE"""),11439)</f>
        <v>11439</v>
      </c>
      <c r="AH253" s="8">
        <f ca="1">IFERROR(__xludf.DUMMYFUNCTION("""COMPUTED_VALUE"""),10312)</f>
        <v>10312</v>
      </c>
      <c r="AI253" s="8">
        <f ca="1">IFERROR(__xludf.DUMMYFUNCTION("""COMPUTED_VALUE"""),2789)</f>
        <v>2789</v>
      </c>
      <c r="AJ253" s="8">
        <f ca="1">IFERROR(__xludf.DUMMYFUNCTION("""COMPUTED_VALUE"""),8849)</f>
        <v>8849</v>
      </c>
      <c r="AK253" s="8">
        <f ca="1">IFERROR(__xludf.DUMMYFUNCTION("""COMPUTED_VALUE"""),4774)</f>
        <v>4774</v>
      </c>
      <c r="AL253" s="8">
        <f ca="1">IFERROR(__xludf.DUMMYFUNCTION("""COMPUTED_VALUE"""),6884)</f>
        <v>6884</v>
      </c>
      <c r="AM253" s="8">
        <f ca="1">IFERROR(__xludf.DUMMYFUNCTION("""COMPUTED_VALUE"""),16542)</f>
        <v>16542</v>
      </c>
      <c r="AN253" s="8">
        <f ca="1">IFERROR(__xludf.DUMMYFUNCTION("""COMPUTED_VALUE"""),10520)</f>
        <v>10520</v>
      </c>
      <c r="AO253" s="8">
        <f ca="1">IFERROR(__xludf.DUMMYFUNCTION("""COMPUTED_VALUE"""),6175)</f>
        <v>6175</v>
      </c>
      <c r="AP253" s="8"/>
      <c r="AQ253" s="8"/>
      <c r="AR253" s="8"/>
      <c r="AS253" s="8"/>
      <c r="AT253" s="8"/>
      <c r="AU253" s="8"/>
      <c r="AV253" s="8"/>
      <c r="AW253" s="8"/>
      <c r="AX253" s="8"/>
      <c r="AY253" s="8"/>
    </row>
    <row r="254" spans="1:51" ht="13.2" x14ac:dyDescent="0.25">
      <c r="A254" s="12" t="str">
        <f ca="1">IFERROR(__xludf.DUMMYFUNCTION("""COMPUTED_VALUE"""),"                     right Parasubiculum")</f>
        <v xml:space="preserve">                     right Parasubiculum</v>
      </c>
      <c r="B254" s="12">
        <f ca="1">IFERROR(__xludf.DUMMYFUNCTION("""COMPUTED_VALUE"""),1289)</f>
        <v>1289</v>
      </c>
      <c r="C254" s="12">
        <f ca="1">IFERROR(__xludf.DUMMYFUNCTION("""COMPUTED_VALUE"""),3629)</f>
        <v>3629</v>
      </c>
      <c r="D254" s="12">
        <f ca="1">IFERROR(__xludf.DUMMYFUNCTION("""COMPUTED_VALUE"""),724)</f>
        <v>724</v>
      </c>
      <c r="E254" s="12">
        <f ca="1">IFERROR(__xludf.DUMMYFUNCTION("""COMPUTED_VALUE"""),636)</f>
        <v>636</v>
      </c>
      <c r="F254" s="12">
        <f ca="1">IFERROR(__xludf.DUMMYFUNCTION("""COMPUTED_VALUE"""),2463)</f>
        <v>2463</v>
      </c>
      <c r="G254" s="12">
        <f ca="1">IFERROR(__xludf.DUMMYFUNCTION("""COMPUTED_VALUE"""),1807)</f>
        <v>1807</v>
      </c>
      <c r="H254" s="12">
        <f ca="1">IFERROR(__xludf.DUMMYFUNCTION("""COMPUTED_VALUE"""),1087)</f>
        <v>1087</v>
      </c>
      <c r="I254" s="12">
        <f ca="1">IFERROR(__xludf.DUMMYFUNCTION("""COMPUTED_VALUE"""),1611)</f>
        <v>1611</v>
      </c>
      <c r="J254" s="12">
        <f ca="1">IFERROR(__xludf.DUMMYFUNCTION("""COMPUTED_VALUE"""),2790)</f>
        <v>2790</v>
      </c>
      <c r="K254" s="12">
        <f ca="1">IFERROR(__xludf.DUMMYFUNCTION("""COMPUTED_VALUE"""),2240)</f>
        <v>2240</v>
      </c>
      <c r="L254" s="12">
        <f ca="1">IFERROR(__xludf.DUMMYFUNCTION("""COMPUTED_VALUE"""),286)</f>
        <v>286</v>
      </c>
      <c r="M254" s="12">
        <f ca="1">IFERROR(__xludf.DUMMYFUNCTION("""COMPUTED_VALUE"""),1142)</f>
        <v>1142</v>
      </c>
      <c r="N254" s="12">
        <f ca="1">IFERROR(__xludf.DUMMYFUNCTION("""COMPUTED_VALUE"""),2049)</f>
        <v>2049</v>
      </c>
      <c r="O254" s="12">
        <f ca="1">IFERROR(__xludf.DUMMYFUNCTION("""COMPUTED_VALUE"""),1855)</f>
        <v>1855</v>
      </c>
      <c r="P254" s="12">
        <f ca="1">IFERROR(__xludf.DUMMYFUNCTION("""COMPUTED_VALUE"""),932)</f>
        <v>932</v>
      </c>
      <c r="Q254" s="12">
        <f ca="1">IFERROR(__xludf.DUMMYFUNCTION("""COMPUTED_VALUE"""),2573)</f>
        <v>2573</v>
      </c>
      <c r="R254" s="12">
        <f ca="1">IFERROR(__xludf.DUMMYFUNCTION("""COMPUTED_VALUE"""),1203)</f>
        <v>1203</v>
      </c>
      <c r="S254" s="12">
        <f ca="1">IFERROR(__xludf.DUMMYFUNCTION("""COMPUTED_VALUE"""),473)</f>
        <v>473</v>
      </c>
      <c r="T254" s="12">
        <f ca="1">IFERROR(__xludf.DUMMYFUNCTION("""COMPUTED_VALUE"""),310)</f>
        <v>310</v>
      </c>
      <c r="U254" s="12">
        <f ca="1">IFERROR(__xludf.DUMMYFUNCTION("""COMPUTED_VALUE"""),1719)</f>
        <v>1719</v>
      </c>
      <c r="V254" s="12">
        <f ca="1">IFERROR(__xludf.DUMMYFUNCTION("""COMPUTED_VALUE"""),1171)</f>
        <v>1171</v>
      </c>
      <c r="W254" s="12">
        <f ca="1">IFERROR(__xludf.DUMMYFUNCTION("""COMPUTED_VALUE"""),3137)</f>
        <v>3137</v>
      </c>
      <c r="X254" s="12">
        <f ca="1">IFERROR(__xludf.DUMMYFUNCTION("""COMPUTED_VALUE"""),1055)</f>
        <v>1055</v>
      </c>
      <c r="Y254" s="12">
        <f ca="1">IFERROR(__xludf.DUMMYFUNCTION("""COMPUTED_VALUE"""),201)</f>
        <v>201</v>
      </c>
      <c r="Z254" s="12">
        <f ca="1">IFERROR(__xludf.DUMMYFUNCTION("""COMPUTED_VALUE"""),1316)</f>
        <v>1316</v>
      </c>
      <c r="AA254" s="12">
        <f ca="1">IFERROR(__xludf.DUMMYFUNCTION("""COMPUTED_VALUE"""),5465)</f>
        <v>5465</v>
      </c>
      <c r="AB254" s="12">
        <f ca="1">IFERROR(__xludf.DUMMYFUNCTION("""COMPUTED_VALUE"""),324)</f>
        <v>324</v>
      </c>
      <c r="AC254" s="12">
        <f ca="1">IFERROR(__xludf.DUMMYFUNCTION("""COMPUTED_VALUE"""),751)</f>
        <v>751</v>
      </c>
      <c r="AD254" s="12">
        <f ca="1">IFERROR(__xludf.DUMMYFUNCTION("""COMPUTED_VALUE"""),34)</f>
        <v>34</v>
      </c>
      <c r="AE254" s="12">
        <f ca="1">IFERROR(__xludf.DUMMYFUNCTION("""COMPUTED_VALUE"""),338)</f>
        <v>338</v>
      </c>
      <c r="AF254" s="8">
        <f ca="1">IFERROR(__xludf.DUMMYFUNCTION("""COMPUTED_VALUE"""),333)</f>
        <v>333</v>
      </c>
      <c r="AG254" s="8">
        <f ca="1">IFERROR(__xludf.DUMMYFUNCTION("""COMPUTED_VALUE"""),970)</f>
        <v>970</v>
      </c>
      <c r="AH254" s="8">
        <f ca="1">IFERROR(__xludf.DUMMYFUNCTION("""COMPUTED_VALUE"""),432)</f>
        <v>432</v>
      </c>
      <c r="AI254" s="8">
        <f ca="1">IFERROR(__xludf.DUMMYFUNCTION("""COMPUTED_VALUE"""),258)</f>
        <v>258</v>
      </c>
      <c r="AJ254" s="8">
        <f ca="1">IFERROR(__xludf.DUMMYFUNCTION("""COMPUTED_VALUE"""),138)</f>
        <v>138</v>
      </c>
      <c r="AK254" s="8">
        <f ca="1">IFERROR(__xludf.DUMMYFUNCTION("""COMPUTED_VALUE"""),598)</f>
        <v>598</v>
      </c>
      <c r="AL254" s="8">
        <f ca="1">IFERROR(__xludf.DUMMYFUNCTION("""COMPUTED_VALUE"""),385)</f>
        <v>385</v>
      </c>
      <c r="AM254" s="8">
        <f ca="1">IFERROR(__xludf.DUMMYFUNCTION("""COMPUTED_VALUE"""),1464)</f>
        <v>1464</v>
      </c>
      <c r="AN254" s="8">
        <f ca="1">IFERROR(__xludf.DUMMYFUNCTION("""COMPUTED_VALUE"""),1045)</f>
        <v>1045</v>
      </c>
      <c r="AO254" s="8">
        <f ca="1">IFERROR(__xludf.DUMMYFUNCTION("""COMPUTED_VALUE"""),95)</f>
        <v>95</v>
      </c>
      <c r="AP254" s="8"/>
      <c r="AQ254" s="8"/>
      <c r="AR254" s="8"/>
      <c r="AS254" s="8"/>
      <c r="AT254" s="8"/>
      <c r="AU254" s="8"/>
      <c r="AV254" s="8"/>
      <c r="AW254" s="8"/>
      <c r="AX254" s="8"/>
      <c r="AY254" s="8"/>
    </row>
    <row r="255" spans="1:51" ht="13.2" x14ac:dyDescent="0.25">
      <c r="A255" s="12" t="str">
        <f ca="1">IFERROR(__xludf.DUMMYFUNCTION("""COMPUTED_VALUE"""),"                     right Postsubiculum")</f>
        <v xml:space="preserve">                     right Postsubiculum</v>
      </c>
      <c r="B255" s="12">
        <f ca="1">IFERROR(__xludf.DUMMYFUNCTION("""COMPUTED_VALUE"""),2271)</f>
        <v>2271</v>
      </c>
      <c r="C255" s="12">
        <f ca="1">IFERROR(__xludf.DUMMYFUNCTION("""COMPUTED_VALUE"""),4819)</f>
        <v>4819</v>
      </c>
      <c r="D255" s="12">
        <f ca="1">IFERROR(__xludf.DUMMYFUNCTION("""COMPUTED_VALUE"""),424)</f>
        <v>424</v>
      </c>
      <c r="E255" s="12">
        <f ca="1">IFERROR(__xludf.DUMMYFUNCTION("""COMPUTED_VALUE"""),2399)</f>
        <v>2399</v>
      </c>
      <c r="F255" s="12">
        <f ca="1">IFERROR(__xludf.DUMMYFUNCTION("""COMPUTED_VALUE"""),3492)</f>
        <v>3492</v>
      </c>
      <c r="G255" s="12">
        <f ca="1">IFERROR(__xludf.DUMMYFUNCTION("""COMPUTED_VALUE"""),4100)</f>
        <v>4100</v>
      </c>
      <c r="H255" s="12">
        <f ca="1">IFERROR(__xludf.DUMMYFUNCTION("""COMPUTED_VALUE"""),2903)</f>
        <v>2903</v>
      </c>
      <c r="I255" s="12">
        <f ca="1">IFERROR(__xludf.DUMMYFUNCTION("""COMPUTED_VALUE"""),3933)</f>
        <v>3933</v>
      </c>
      <c r="J255" s="12">
        <f ca="1">IFERROR(__xludf.DUMMYFUNCTION("""COMPUTED_VALUE"""),4962)</f>
        <v>4962</v>
      </c>
      <c r="K255" s="12">
        <f ca="1">IFERROR(__xludf.DUMMYFUNCTION("""COMPUTED_VALUE"""),3133)</f>
        <v>3133</v>
      </c>
      <c r="L255" s="12">
        <f ca="1">IFERROR(__xludf.DUMMYFUNCTION("""COMPUTED_VALUE"""),695)</f>
        <v>695</v>
      </c>
      <c r="M255" s="12">
        <f ca="1">IFERROR(__xludf.DUMMYFUNCTION("""COMPUTED_VALUE"""),4365)</f>
        <v>4365</v>
      </c>
      <c r="N255" s="12">
        <f ca="1">IFERROR(__xludf.DUMMYFUNCTION("""COMPUTED_VALUE"""),2353)</f>
        <v>2353</v>
      </c>
      <c r="O255" s="12">
        <f ca="1">IFERROR(__xludf.DUMMYFUNCTION("""COMPUTED_VALUE"""),6672)</f>
        <v>6672</v>
      </c>
      <c r="P255" s="12">
        <f ca="1">IFERROR(__xludf.DUMMYFUNCTION("""COMPUTED_VALUE"""),4239)</f>
        <v>4239</v>
      </c>
      <c r="Q255" s="12">
        <f ca="1">IFERROR(__xludf.DUMMYFUNCTION("""COMPUTED_VALUE"""),8869)</f>
        <v>8869</v>
      </c>
      <c r="R255" s="12">
        <f ca="1">IFERROR(__xludf.DUMMYFUNCTION("""COMPUTED_VALUE"""),2042)</f>
        <v>2042</v>
      </c>
      <c r="S255" s="12">
        <f ca="1">IFERROR(__xludf.DUMMYFUNCTION("""COMPUTED_VALUE"""),540)</f>
        <v>540</v>
      </c>
      <c r="T255" s="12">
        <f ca="1">IFERROR(__xludf.DUMMYFUNCTION("""COMPUTED_VALUE"""),7844)</f>
        <v>7844</v>
      </c>
      <c r="U255" s="12">
        <f ca="1">IFERROR(__xludf.DUMMYFUNCTION("""COMPUTED_VALUE"""),4811)</f>
        <v>4811</v>
      </c>
      <c r="V255" s="12">
        <f ca="1">IFERROR(__xludf.DUMMYFUNCTION("""COMPUTED_VALUE"""),4840)</f>
        <v>4840</v>
      </c>
      <c r="W255" s="12">
        <f ca="1">IFERROR(__xludf.DUMMYFUNCTION("""COMPUTED_VALUE"""),16566)</f>
        <v>16566</v>
      </c>
      <c r="X255" s="12">
        <f ca="1">IFERROR(__xludf.DUMMYFUNCTION("""COMPUTED_VALUE"""),6360)</f>
        <v>6360</v>
      </c>
      <c r="Y255" s="12">
        <f ca="1">IFERROR(__xludf.DUMMYFUNCTION("""COMPUTED_VALUE"""),3996)</f>
        <v>3996</v>
      </c>
      <c r="Z255" s="12">
        <f ca="1">IFERROR(__xludf.DUMMYFUNCTION("""COMPUTED_VALUE"""),3749)</f>
        <v>3749</v>
      </c>
      <c r="AA255" s="12">
        <f ca="1">IFERROR(__xludf.DUMMYFUNCTION("""COMPUTED_VALUE"""),5543)</f>
        <v>5543</v>
      </c>
      <c r="AB255" s="12">
        <f ca="1">IFERROR(__xludf.DUMMYFUNCTION("""COMPUTED_VALUE"""),7721)</f>
        <v>7721</v>
      </c>
      <c r="AC255" s="12">
        <f ca="1">IFERROR(__xludf.DUMMYFUNCTION("""COMPUTED_VALUE"""),3860)</f>
        <v>3860</v>
      </c>
      <c r="AD255" s="12">
        <f ca="1">IFERROR(__xludf.DUMMYFUNCTION("""COMPUTED_VALUE"""),2638)</f>
        <v>2638</v>
      </c>
      <c r="AE255" s="12">
        <f ca="1">IFERROR(__xludf.DUMMYFUNCTION("""COMPUTED_VALUE"""),9825)</f>
        <v>9825</v>
      </c>
      <c r="AF255" s="8">
        <f ca="1">IFERROR(__xludf.DUMMYFUNCTION("""COMPUTED_VALUE"""),18207)</f>
        <v>18207</v>
      </c>
      <c r="AG255" s="8">
        <f ca="1">IFERROR(__xludf.DUMMYFUNCTION("""COMPUTED_VALUE"""),2948)</f>
        <v>2948</v>
      </c>
      <c r="AH255" s="8">
        <f ca="1">IFERROR(__xludf.DUMMYFUNCTION("""COMPUTED_VALUE"""),1770)</f>
        <v>1770</v>
      </c>
      <c r="AI255" s="8">
        <f ca="1">IFERROR(__xludf.DUMMYFUNCTION("""COMPUTED_VALUE"""),729)</f>
        <v>729</v>
      </c>
      <c r="AJ255" s="8">
        <f ca="1">IFERROR(__xludf.DUMMYFUNCTION("""COMPUTED_VALUE"""),1492)</f>
        <v>1492</v>
      </c>
      <c r="AK255" s="8">
        <f ca="1">IFERROR(__xludf.DUMMYFUNCTION("""COMPUTED_VALUE"""),1467)</f>
        <v>1467</v>
      </c>
      <c r="AL255" s="8">
        <f ca="1">IFERROR(__xludf.DUMMYFUNCTION("""COMPUTED_VALUE"""),532)</f>
        <v>532</v>
      </c>
      <c r="AM255" s="8">
        <f ca="1">IFERROR(__xludf.DUMMYFUNCTION("""COMPUTED_VALUE"""),7005)</f>
        <v>7005</v>
      </c>
      <c r="AN255" s="8">
        <f ca="1">IFERROR(__xludf.DUMMYFUNCTION("""COMPUTED_VALUE"""),2557)</f>
        <v>2557</v>
      </c>
      <c r="AO255" s="8">
        <f ca="1">IFERROR(__xludf.DUMMYFUNCTION("""COMPUTED_VALUE"""),2237)</f>
        <v>2237</v>
      </c>
      <c r="AP255" s="8"/>
      <c r="AQ255" s="8"/>
      <c r="AR255" s="8"/>
      <c r="AS255" s="8"/>
      <c r="AT255" s="8"/>
      <c r="AU255" s="8"/>
      <c r="AV255" s="8"/>
      <c r="AW255" s="8"/>
      <c r="AX255" s="8"/>
      <c r="AY255" s="8"/>
    </row>
    <row r="256" spans="1:51" ht="13.2" x14ac:dyDescent="0.25">
      <c r="A256" s="12" t="str">
        <f ca="1">IFERROR(__xludf.DUMMYFUNCTION("""COMPUTED_VALUE"""),"                     right Presubiculum")</f>
        <v xml:space="preserve">                     right Presubiculum</v>
      </c>
      <c r="B256" s="12">
        <f ca="1">IFERROR(__xludf.DUMMYFUNCTION("""COMPUTED_VALUE"""),2026)</f>
        <v>2026</v>
      </c>
      <c r="C256" s="12">
        <f ca="1">IFERROR(__xludf.DUMMYFUNCTION("""COMPUTED_VALUE"""),4817)</f>
        <v>4817</v>
      </c>
      <c r="D256" s="12">
        <f ca="1">IFERROR(__xludf.DUMMYFUNCTION("""COMPUTED_VALUE"""),838)</f>
        <v>838</v>
      </c>
      <c r="E256" s="12">
        <f ca="1">IFERROR(__xludf.DUMMYFUNCTION("""COMPUTED_VALUE"""),1364)</f>
        <v>1364</v>
      </c>
      <c r="F256" s="12">
        <f ca="1">IFERROR(__xludf.DUMMYFUNCTION("""COMPUTED_VALUE"""),3393)</f>
        <v>3393</v>
      </c>
      <c r="G256" s="12">
        <f ca="1">IFERROR(__xludf.DUMMYFUNCTION("""COMPUTED_VALUE"""),3533)</f>
        <v>3533</v>
      </c>
      <c r="H256" s="12">
        <f ca="1">IFERROR(__xludf.DUMMYFUNCTION("""COMPUTED_VALUE"""),2004)</f>
        <v>2004</v>
      </c>
      <c r="I256" s="12">
        <f ca="1">IFERROR(__xludf.DUMMYFUNCTION("""COMPUTED_VALUE"""),2370)</f>
        <v>2370</v>
      </c>
      <c r="J256" s="12">
        <f ca="1">IFERROR(__xludf.DUMMYFUNCTION("""COMPUTED_VALUE"""),3150)</f>
        <v>3150</v>
      </c>
      <c r="K256" s="12">
        <f ca="1">IFERROR(__xludf.DUMMYFUNCTION("""COMPUTED_VALUE"""),2921)</f>
        <v>2921</v>
      </c>
      <c r="L256" s="12">
        <f ca="1">IFERROR(__xludf.DUMMYFUNCTION("""COMPUTED_VALUE"""),345)</f>
        <v>345</v>
      </c>
      <c r="M256" s="12">
        <f ca="1">IFERROR(__xludf.DUMMYFUNCTION("""COMPUTED_VALUE"""),2598)</f>
        <v>2598</v>
      </c>
      <c r="N256" s="12">
        <f ca="1">IFERROR(__xludf.DUMMYFUNCTION("""COMPUTED_VALUE"""),2584)</f>
        <v>2584</v>
      </c>
      <c r="O256" s="12">
        <f ca="1">IFERROR(__xludf.DUMMYFUNCTION("""COMPUTED_VALUE"""),4951)</f>
        <v>4951</v>
      </c>
      <c r="P256" s="12">
        <f ca="1">IFERROR(__xludf.DUMMYFUNCTION("""COMPUTED_VALUE"""),2240)</f>
        <v>2240</v>
      </c>
      <c r="Q256" s="12">
        <f ca="1">IFERROR(__xludf.DUMMYFUNCTION("""COMPUTED_VALUE"""),5315)</f>
        <v>5315</v>
      </c>
      <c r="R256" s="12">
        <f ca="1">IFERROR(__xludf.DUMMYFUNCTION("""COMPUTED_VALUE"""),1725)</f>
        <v>1725</v>
      </c>
      <c r="S256" s="12">
        <f ca="1">IFERROR(__xludf.DUMMYFUNCTION("""COMPUTED_VALUE"""),786)</f>
        <v>786</v>
      </c>
      <c r="T256" s="12">
        <f ca="1">IFERROR(__xludf.DUMMYFUNCTION("""COMPUTED_VALUE"""),867)</f>
        <v>867</v>
      </c>
      <c r="U256" s="12">
        <f ca="1">IFERROR(__xludf.DUMMYFUNCTION("""COMPUTED_VALUE"""),5349)</f>
        <v>5349</v>
      </c>
      <c r="V256" s="12">
        <f ca="1">IFERROR(__xludf.DUMMYFUNCTION("""COMPUTED_VALUE"""),2679)</f>
        <v>2679</v>
      </c>
      <c r="W256" s="12">
        <f ca="1">IFERROR(__xludf.DUMMYFUNCTION("""COMPUTED_VALUE"""),6153)</f>
        <v>6153</v>
      </c>
      <c r="X256" s="12">
        <f ca="1">IFERROR(__xludf.DUMMYFUNCTION("""COMPUTED_VALUE"""),2872)</f>
        <v>2872</v>
      </c>
      <c r="Y256" s="12">
        <f ca="1">IFERROR(__xludf.DUMMYFUNCTION("""COMPUTED_VALUE"""),897)</f>
        <v>897</v>
      </c>
      <c r="Z256" s="12">
        <f ca="1">IFERROR(__xludf.DUMMYFUNCTION("""COMPUTED_VALUE"""),1163)</f>
        <v>1163</v>
      </c>
      <c r="AA256" s="12">
        <f ca="1">IFERROR(__xludf.DUMMYFUNCTION("""COMPUTED_VALUE"""),4678)</f>
        <v>4678</v>
      </c>
      <c r="AB256" s="12">
        <f ca="1">IFERROR(__xludf.DUMMYFUNCTION("""COMPUTED_VALUE"""),1882)</f>
        <v>1882</v>
      </c>
      <c r="AC256" s="12">
        <f ca="1">IFERROR(__xludf.DUMMYFUNCTION("""COMPUTED_VALUE"""),2414)</f>
        <v>2414</v>
      </c>
      <c r="AD256" s="12">
        <f ca="1">IFERROR(__xludf.DUMMYFUNCTION("""COMPUTED_VALUE"""),248)</f>
        <v>248</v>
      </c>
      <c r="AE256" s="12">
        <f ca="1">IFERROR(__xludf.DUMMYFUNCTION("""COMPUTED_VALUE"""),3035)</f>
        <v>3035</v>
      </c>
      <c r="AF256" s="8">
        <f ca="1">IFERROR(__xludf.DUMMYFUNCTION("""COMPUTED_VALUE"""),774)</f>
        <v>774</v>
      </c>
      <c r="AG256" s="8">
        <f ca="1">IFERROR(__xludf.DUMMYFUNCTION("""COMPUTED_VALUE"""),3670)</f>
        <v>3670</v>
      </c>
      <c r="AH256" s="8">
        <f ca="1">IFERROR(__xludf.DUMMYFUNCTION("""COMPUTED_VALUE"""),794)</f>
        <v>794</v>
      </c>
      <c r="AI256" s="8">
        <f ca="1">IFERROR(__xludf.DUMMYFUNCTION("""COMPUTED_VALUE"""),752)</f>
        <v>752</v>
      </c>
      <c r="AJ256" s="8">
        <f ca="1">IFERROR(__xludf.DUMMYFUNCTION("""COMPUTED_VALUE"""),468)</f>
        <v>468</v>
      </c>
      <c r="AK256" s="8">
        <f ca="1">IFERROR(__xludf.DUMMYFUNCTION("""COMPUTED_VALUE"""),846)</f>
        <v>846</v>
      </c>
      <c r="AL256" s="8">
        <f ca="1">IFERROR(__xludf.DUMMYFUNCTION("""COMPUTED_VALUE"""),660)</f>
        <v>660</v>
      </c>
      <c r="AM256" s="8">
        <f ca="1">IFERROR(__xludf.DUMMYFUNCTION("""COMPUTED_VALUE"""),3317)</f>
        <v>3317</v>
      </c>
      <c r="AN256" s="8">
        <f ca="1">IFERROR(__xludf.DUMMYFUNCTION("""COMPUTED_VALUE"""),1419)</f>
        <v>1419</v>
      </c>
      <c r="AO256" s="8">
        <f ca="1">IFERROR(__xludf.DUMMYFUNCTION("""COMPUTED_VALUE"""),1163)</f>
        <v>1163</v>
      </c>
      <c r="AP256" s="8"/>
      <c r="AQ256" s="8"/>
      <c r="AR256" s="8"/>
      <c r="AS256" s="8"/>
      <c r="AT256" s="8"/>
      <c r="AU256" s="8"/>
      <c r="AV256" s="8"/>
      <c r="AW256" s="8"/>
      <c r="AX256" s="8"/>
      <c r="AY256" s="8"/>
    </row>
    <row r="257" spans="1:51" ht="13.2" x14ac:dyDescent="0.25">
      <c r="A257" s="12" t="str">
        <f ca="1">IFERROR(__xludf.DUMMYFUNCTION("""COMPUTED_VALUE"""),"                     right Subiculum")</f>
        <v xml:space="preserve">                     right Subiculum</v>
      </c>
      <c r="B257" s="12">
        <f ca="1">IFERROR(__xludf.DUMMYFUNCTION("""COMPUTED_VALUE"""),3523)</f>
        <v>3523</v>
      </c>
      <c r="C257" s="12">
        <f ca="1">IFERROR(__xludf.DUMMYFUNCTION("""COMPUTED_VALUE"""),8430)</f>
        <v>8430</v>
      </c>
      <c r="D257" s="12">
        <f ca="1">IFERROR(__xludf.DUMMYFUNCTION("""COMPUTED_VALUE"""),2917)</f>
        <v>2917</v>
      </c>
      <c r="E257" s="12">
        <f ca="1">IFERROR(__xludf.DUMMYFUNCTION("""COMPUTED_VALUE"""),3974)</f>
        <v>3974</v>
      </c>
      <c r="F257" s="12">
        <f ca="1">IFERROR(__xludf.DUMMYFUNCTION("""COMPUTED_VALUE"""),8116)</f>
        <v>8116</v>
      </c>
      <c r="G257" s="12">
        <f ca="1">IFERROR(__xludf.DUMMYFUNCTION("""COMPUTED_VALUE"""),4119)</f>
        <v>4119</v>
      </c>
      <c r="H257" s="12">
        <f ca="1">IFERROR(__xludf.DUMMYFUNCTION("""COMPUTED_VALUE"""),5055)</f>
        <v>5055</v>
      </c>
      <c r="I257" s="12">
        <f ca="1">IFERROR(__xludf.DUMMYFUNCTION("""COMPUTED_VALUE"""),3558)</f>
        <v>3558</v>
      </c>
      <c r="J257" s="12">
        <f ca="1">IFERROR(__xludf.DUMMYFUNCTION("""COMPUTED_VALUE"""),5346)</f>
        <v>5346</v>
      </c>
      <c r="K257" s="12">
        <f ca="1">IFERROR(__xludf.DUMMYFUNCTION("""COMPUTED_VALUE"""),7246)</f>
        <v>7246</v>
      </c>
      <c r="L257" s="12">
        <f ca="1">IFERROR(__xludf.DUMMYFUNCTION("""COMPUTED_VALUE"""),1953)</f>
        <v>1953</v>
      </c>
      <c r="M257" s="12">
        <f ca="1">IFERROR(__xludf.DUMMYFUNCTION("""COMPUTED_VALUE"""),6278)</f>
        <v>6278</v>
      </c>
      <c r="N257" s="12">
        <f ca="1">IFERROR(__xludf.DUMMYFUNCTION("""COMPUTED_VALUE"""),4845)</f>
        <v>4845</v>
      </c>
      <c r="O257" s="12">
        <f ca="1">IFERROR(__xludf.DUMMYFUNCTION("""COMPUTED_VALUE"""),8289)</f>
        <v>8289</v>
      </c>
      <c r="P257" s="12">
        <f ca="1">IFERROR(__xludf.DUMMYFUNCTION("""COMPUTED_VALUE"""),4441)</f>
        <v>4441</v>
      </c>
      <c r="Q257" s="12">
        <f ca="1">IFERROR(__xludf.DUMMYFUNCTION("""COMPUTED_VALUE"""),5492)</f>
        <v>5492</v>
      </c>
      <c r="R257" s="12">
        <f ca="1">IFERROR(__xludf.DUMMYFUNCTION("""COMPUTED_VALUE"""),3916)</f>
        <v>3916</v>
      </c>
      <c r="S257" s="12">
        <f ca="1">IFERROR(__xludf.DUMMYFUNCTION("""COMPUTED_VALUE"""),2046)</f>
        <v>2046</v>
      </c>
      <c r="T257" s="12">
        <f ca="1">IFERROR(__xludf.DUMMYFUNCTION("""COMPUTED_VALUE"""),5032)</f>
        <v>5032</v>
      </c>
      <c r="U257" s="12">
        <f ca="1">IFERROR(__xludf.DUMMYFUNCTION("""COMPUTED_VALUE"""),4928)</f>
        <v>4928</v>
      </c>
      <c r="V257" s="12">
        <f ca="1">IFERROR(__xludf.DUMMYFUNCTION("""COMPUTED_VALUE"""),8701)</f>
        <v>8701</v>
      </c>
      <c r="W257" s="12">
        <f ca="1">IFERROR(__xludf.DUMMYFUNCTION("""COMPUTED_VALUE"""),11661)</f>
        <v>11661</v>
      </c>
      <c r="X257" s="12">
        <f ca="1">IFERROR(__xludf.DUMMYFUNCTION("""COMPUTED_VALUE"""),11313)</f>
        <v>11313</v>
      </c>
      <c r="Y257" s="12">
        <f ca="1">IFERROR(__xludf.DUMMYFUNCTION("""COMPUTED_VALUE"""),5561)</f>
        <v>5561</v>
      </c>
      <c r="Z257" s="12">
        <f ca="1">IFERROR(__xludf.DUMMYFUNCTION("""COMPUTED_VALUE"""),3841)</f>
        <v>3841</v>
      </c>
      <c r="AA257" s="12">
        <f ca="1">IFERROR(__xludf.DUMMYFUNCTION("""COMPUTED_VALUE"""),14112)</f>
        <v>14112</v>
      </c>
      <c r="AB257" s="12">
        <f ca="1">IFERROR(__xludf.DUMMYFUNCTION("""COMPUTED_VALUE"""),5117)</f>
        <v>5117</v>
      </c>
      <c r="AC257" s="12">
        <f ca="1">IFERROR(__xludf.DUMMYFUNCTION("""COMPUTED_VALUE"""),7072)</f>
        <v>7072</v>
      </c>
      <c r="AD257" s="12">
        <f ca="1">IFERROR(__xludf.DUMMYFUNCTION("""COMPUTED_VALUE"""),3089)</f>
        <v>3089</v>
      </c>
      <c r="AE257" s="12">
        <f ca="1">IFERROR(__xludf.DUMMYFUNCTION("""COMPUTED_VALUE"""),10073)</f>
        <v>10073</v>
      </c>
      <c r="AF257" s="8">
        <f ca="1">IFERROR(__xludf.DUMMYFUNCTION("""COMPUTED_VALUE"""),13037)</f>
        <v>13037</v>
      </c>
      <c r="AG257" s="8">
        <f ca="1">IFERROR(__xludf.DUMMYFUNCTION("""COMPUTED_VALUE"""),6537)</f>
        <v>6537</v>
      </c>
      <c r="AH257" s="8">
        <f ca="1">IFERROR(__xludf.DUMMYFUNCTION("""COMPUTED_VALUE"""),6428)</f>
        <v>6428</v>
      </c>
      <c r="AI257" s="8">
        <f ca="1">IFERROR(__xludf.DUMMYFUNCTION("""COMPUTED_VALUE"""),3064)</f>
        <v>3064</v>
      </c>
      <c r="AJ257" s="8">
        <f ca="1">IFERROR(__xludf.DUMMYFUNCTION("""COMPUTED_VALUE"""),6850)</f>
        <v>6850</v>
      </c>
      <c r="AK257" s="8">
        <f ca="1">IFERROR(__xludf.DUMMYFUNCTION("""COMPUTED_VALUE"""),4464)</f>
        <v>4464</v>
      </c>
      <c r="AL257" s="8">
        <f ca="1">IFERROR(__xludf.DUMMYFUNCTION("""COMPUTED_VALUE"""),2778)</f>
        <v>2778</v>
      </c>
      <c r="AM257" s="8">
        <f ca="1">IFERROR(__xludf.DUMMYFUNCTION("""COMPUTED_VALUE"""),11669)</f>
        <v>11669</v>
      </c>
      <c r="AN257" s="8">
        <f ca="1">IFERROR(__xludf.DUMMYFUNCTION("""COMPUTED_VALUE"""),6453)</f>
        <v>6453</v>
      </c>
      <c r="AO257" s="8">
        <f ca="1">IFERROR(__xludf.DUMMYFUNCTION("""COMPUTED_VALUE"""),7065)</f>
        <v>7065</v>
      </c>
      <c r="AP257" s="8"/>
      <c r="AQ257" s="8"/>
      <c r="AR257" s="8"/>
      <c r="AS257" s="8"/>
      <c r="AT257" s="8"/>
      <c r="AU257" s="8"/>
      <c r="AV257" s="8"/>
      <c r="AW257" s="8"/>
      <c r="AX257" s="8"/>
      <c r="AY257" s="8"/>
    </row>
    <row r="258" spans="1:51" ht="13.2" x14ac:dyDescent="0.25">
      <c r="A258" s="12" t="str">
        <f ca="1">IFERROR(__xludf.DUMMYFUNCTION("""COMPUTED_VALUE"""),"                     right Prosubiculum")</f>
        <v xml:space="preserve">                     right Prosubiculum</v>
      </c>
      <c r="B258" s="12">
        <f ca="1">IFERROR(__xludf.DUMMYFUNCTION("""COMPUTED_VALUE"""),2229)</f>
        <v>2229</v>
      </c>
      <c r="C258" s="12">
        <f ca="1">IFERROR(__xludf.DUMMYFUNCTION("""COMPUTED_VALUE"""),5188)</f>
        <v>5188</v>
      </c>
      <c r="D258" s="12">
        <f ca="1">IFERROR(__xludf.DUMMYFUNCTION("""COMPUTED_VALUE"""),1885)</f>
        <v>1885</v>
      </c>
      <c r="E258" s="12">
        <f ca="1">IFERROR(__xludf.DUMMYFUNCTION("""COMPUTED_VALUE"""),1808)</f>
        <v>1808</v>
      </c>
      <c r="F258" s="12">
        <f ca="1">IFERROR(__xludf.DUMMYFUNCTION("""COMPUTED_VALUE"""),5765)</f>
        <v>5765</v>
      </c>
      <c r="G258" s="12">
        <f ca="1">IFERROR(__xludf.DUMMYFUNCTION("""COMPUTED_VALUE"""),3512)</f>
        <v>3512</v>
      </c>
      <c r="H258" s="12">
        <f ca="1">IFERROR(__xludf.DUMMYFUNCTION("""COMPUTED_VALUE"""),3295)</f>
        <v>3295</v>
      </c>
      <c r="I258" s="12">
        <f ca="1">IFERROR(__xludf.DUMMYFUNCTION("""COMPUTED_VALUE"""),2542)</f>
        <v>2542</v>
      </c>
      <c r="J258" s="12">
        <f ca="1">IFERROR(__xludf.DUMMYFUNCTION("""COMPUTED_VALUE"""),2685)</f>
        <v>2685</v>
      </c>
      <c r="K258" s="12">
        <f ca="1">IFERROR(__xludf.DUMMYFUNCTION("""COMPUTED_VALUE"""),5831)</f>
        <v>5831</v>
      </c>
      <c r="L258" s="12">
        <f ca="1">IFERROR(__xludf.DUMMYFUNCTION("""COMPUTED_VALUE"""),2094)</f>
        <v>2094</v>
      </c>
      <c r="M258" s="12">
        <f ca="1">IFERROR(__xludf.DUMMYFUNCTION("""COMPUTED_VALUE"""),5162)</f>
        <v>5162</v>
      </c>
      <c r="N258" s="12">
        <f ca="1">IFERROR(__xludf.DUMMYFUNCTION("""COMPUTED_VALUE"""),2601)</f>
        <v>2601</v>
      </c>
      <c r="O258" s="12">
        <f ca="1">IFERROR(__xludf.DUMMYFUNCTION("""COMPUTED_VALUE"""),5732)</f>
        <v>5732</v>
      </c>
      <c r="P258" s="12">
        <f ca="1">IFERROR(__xludf.DUMMYFUNCTION("""COMPUTED_VALUE"""),2601)</f>
        <v>2601</v>
      </c>
      <c r="Q258" s="12">
        <f ca="1">IFERROR(__xludf.DUMMYFUNCTION("""COMPUTED_VALUE"""),3374)</f>
        <v>3374</v>
      </c>
      <c r="R258" s="12">
        <f ca="1">IFERROR(__xludf.DUMMYFUNCTION("""COMPUTED_VALUE"""),2277)</f>
        <v>2277</v>
      </c>
      <c r="S258" s="12">
        <f ca="1">IFERROR(__xludf.DUMMYFUNCTION("""COMPUTED_VALUE"""),885)</f>
        <v>885</v>
      </c>
      <c r="T258" s="12">
        <f ca="1">IFERROR(__xludf.DUMMYFUNCTION("""COMPUTED_VALUE"""),3514)</f>
        <v>3514</v>
      </c>
      <c r="U258" s="12">
        <f ca="1">IFERROR(__xludf.DUMMYFUNCTION("""COMPUTED_VALUE"""),3945)</f>
        <v>3945</v>
      </c>
      <c r="V258" s="12">
        <f ca="1">IFERROR(__xludf.DUMMYFUNCTION("""COMPUTED_VALUE"""),11570)</f>
        <v>11570</v>
      </c>
      <c r="W258" s="12">
        <f ca="1">IFERROR(__xludf.DUMMYFUNCTION("""COMPUTED_VALUE"""),15810)</f>
        <v>15810</v>
      </c>
      <c r="X258" s="12">
        <f ca="1">IFERROR(__xludf.DUMMYFUNCTION("""COMPUTED_VALUE"""),13993)</f>
        <v>13993</v>
      </c>
      <c r="Y258" s="12">
        <f ca="1">IFERROR(__xludf.DUMMYFUNCTION("""COMPUTED_VALUE"""),5640)</f>
        <v>5640</v>
      </c>
      <c r="Z258" s="12">
        <f ca="1">IFERROR(__xludf.DUMMYFUNCTION("""COMPUTED_VALUE"""),4591)</f>
        <v>4591</v>
      </c>
      <c r="AA258" s="12">
        <f ca="1">IFERROR(__xludf.DUMMYFUNCTION("""COMPUTED_VALUE"""),9469)</f>
        <v>9469</v>
      </c>
      <c r="AB258" s="12">
        <f ca="1">IFERROR(__xludf.DUMMYFUNCTION("""COMPUTED_VALUE"""),3843)</f>
        <v>3843</v>
      </c>
      <c r="AC258" s="12">
        <f ca="1">IFERROR(__xludf.DUMMYFUNCTION("""COMPUTED_VALUE"""),6478)</f>
        <v>6478</v>
      </c>
      <c r="AD258" s="12">
        <f ca="1">IFERROR(__xludf.DUMMYFUNCTION("""COMPUTED_VALUE"""),3748)</f>
        <v>3748</v>
      </c>
      <c r="AE258" s="12">
        <f ca="1">IFERROR(__xludf.DUMMYFUNCTION("""COMPUTED_VALUE"""),11177)</f>
        <v>11177</v>
      </c>
      <c r="AF258" s="8">
        <f ca="1">IFERROR(__xludf.DUMMYFUNCTION("""COMPUTED_VALUE"""),8339)</f>
        <v>8339</v>
      </c>
      <c r="AG258" s="8">
        <f ca="1">IFERROR(__xludf.DUMMYFUNCTION("""COMPUTED_VALUE"""),6005)</f>
        <v>6005</v>
      </c>
      <c r="AH258" s="8">
        <f ca="1">IFERROR(__xludf.DUMMYFUNCTION("""COMPUTED_VALUE"""),8481)</f>
        <v>8481</v>
      </c>
      <c r="AI258" s="8">
        <f ca="1">IFERROR(__xludf.DUMMYFUNCTION("""COMPUTED_VALUE"""),3584)</f>
        <v>3584</v>
      </c>
      <c r="AJ258" s="8">
        <f ca="1">IFERROR(__xludf.DUMMYFUNCTION("""COMPUTED_VALUE"""),6769)</f>
        <v>6769</v>
      </c>
      <c r="AK258" s="8">
        <f ca="1">IFERROR(__xludf.DUMMYFUNCTION("""COMPUTED_VALUE"""),3613)</f>
        <v>3613</v>
      </c>
      <c r="AL258" s="8">
        <f ca="1">IFERROR(__xludf.DUMMYFUNCTION("""COMPUTED_VALUE"""),2048)</f>
        <v>2048</v>
      </c>
      <c r="AM258" s="8">
        <f ca="1">IFERROR(__xludf.DUMMYFUNCTION("""COMPUTED_VALUE"""),7273)</f>
        <v>7273</v>
      </c>
      <c r="AN258" s="8">
        <f ca="1">IFERROR(__xludf.DUMMYFUNCTION("""COMPUTED_VALUE"""),5283)</f>
        <v>5283</v>
      </c>
      <c r="AO258" s="8">
        <f ca="1">IFERROR(__xludf.DUMMYFUNCTION("""COMPUTED_VALUE"""),5819)</f>
        <v>5819</v>
      </c>
      <c r="AP258" s="8"/>
      <c r="AQ258" s="8"/>
      <c r="AR258" s="8"/>
      <c r="AS258" s="8"/>
      <c r="AT258" s="8"/>
      <c r="AU258" s="8"/>
      <c r="AV258" s="8"/>
      <c r="AW258" s="8"/>
      <c r="AX258" s="8"/>
      <c r="AY258" s="8"/>
    </row>
    <row r="259" spans="1:51" ht="13.2" x14ac:dyDescent="0.25">
      <c r="A259" s="12" t="str">
        <f ca="1">IFERROR(__xludf.DUMMYFUNCTION("""COMPUTED_VALUE"""),"                     right Hippocampo-amygdalar transition area")</f>
        <v xml:space="preserve">                     right Hippocampo-amygdalar transition area</v>
      </c>
      <c r="B259" s="12">
        <f ca="1">IFERROR(__xludf.DUMMYFUNCTION("""COMPUTED_VALUE"""),1249)</f>
        <v>1249</v>
      </c>
      <c r="C259" s="12">
        <f ca="1">IFERROR(__xludf.DUMMYFUNCTION("""COMPUTED_VALUE"""),2459)</f>
        <v>2459</v>
      </c>
      <c r="D259" s="12">
        <f ca="1">IFERROR(__xludf.DUMMYFUNCTION("""COMPUTED_VALUE"""),1395)</f>
        <v>1395</v>
      </c>
      <c r="E259" s="12">
        <f ca="1">IFERROR(__xludf.DUMMYFUNCTION("""COMPUTED_VALUE"""),136)</f>
        <v>136</v>
      </c>
      <c r="F259" s="12">
        <f ca="1">IFERROR(__xludf.DUMMYFUNCTION("""COMPUTED_VALUE"""),836)</f>
        <v>836</v>
      </c>
      <c r="G259" s="12">
        <f ca="1">IFERROR(__xludf.DUMMYFUNCTION("""COMPUTED_VALUE"""),725)</f>
        <v>725</v>
      </c>
      <c r="H259" s="12">
        <f ca="1">IFERROR(__xludf.DUMMYFUNCTION("""COMPUTED_VALUE"""),391)</f>
        <v>391</v>
      </c>
      <c r="I259" s="12">
        <f ca="1">IFERROR(__xludf.DUMMYFUNCTION("""COMPUTED_VALUE"""),310)</f>
        <v>310</v>
      </c>
      <c r="J259" s="12">
        <f ca="1">IFERROR(__xludf.DUMMYFUNCTION("""COMPUTED_VALUE"""),769)</f>
        <v>769</v>
      </c>
      <c r="K259" s="12">
        <f ca="1">IFERROR(__xludf.DUMMYFUNCTION("""COMPUTED_VALUE"""),713)</f>
        <v>713</v>
      </c>
      <c r="L259" s="12">
        <f ca="1">IFERROR(__xludf.DUMMYFUNCTION("""COMPUTED_VALUE"""),1840)</f>
        <v>1840</v>
      </c>
      <c r="M259" s="12">
        <f ca="1">IFERROR(__xludf.DUMMYFUNCTION("""COMPUTED_VALUE"""),1471)</f>
        <v>1471</v>
      </c>
      <c r="N259" s="12">
        <f ca="1">IFERROR(__xludf.DUMMYFUNCTION("""COMPUTED_VALUE"""),796)</f>
        <v>796</v>
      </c>
      <c r="O259" s="12">
        <f ca="1">IFERROR(__xludf.DUMMYFUNCTION("""COMPUTED_VALUE"""),1739)</f>
        <v>1739</v>
      </c>
      <c r="P259" s="12">
        <f ca="1">IFERROR(__xludf.DUMMYFUNCTION("""COMPUTED_VALUE"""),456)</f>
        <v>456</v>
      </c>
      <c r="Q259" s="12">
        <f ca="1">IFERROR(__xludf.DUMMYFUNCTION("""COMPUTED_VALUE"""),1399)</f>
        <v>1399</v>
      </c>
      <c r="R259" s="12">
        <f ca="1">IFERROR(__xludf.DUMMYFUNCTION("""COMPUTED_VALUE"""),694)</f>
        <v>694</v>
      </c>
      <c r="S259" s="12">
        <f ca="1">IFERROR(__xludf.DUMMYFUNCTION("""COMPUTED_VALUE"""),469)</f>
        <v>469</v>
      </c>
      <c r="T259" s="12">
        <f ca="1">IFERROR(__xludf.DUMMYFUNCTION("""COMPUTED_VALUE"""),612)</f>
        <v>612</v>
      </c>
      <c r="U259" s="12">
        <f ca="1">IFERROR(__xludf.DUMMYFUNCTION("""COMPUTED_VALUE"""),1093)</f>
        <v>1093</v>
      </c>
      <c r="V259" s="12">
        <f ca="1">IFERROR(__xludf.DUMMYFUNCTION("""COMPUTED_VALUE"""),953)</f>
        <v>953</v>
      </c>
      <c r="W259" s="12">
        <f ca="1">IFERROR(__xludf.DUMMYFUNCTION("""COMPUTED_VALUE"""),2930)</f>
        <v>2930</v>
      </c>
      <c r="X259" s="12">
        <f ca="1">IFERROR(__xludf.DUMMYFUNCTION("""COMPUTED_VALUE"""),3870)</f>
        <v>3870</v>
      </c>
      <c r="Y259" s="12">
        <f ca="1">IFERROR(__xludf.DUMMYFUNCTION("""COMPUTED_VALUE"""),2184)</f>
        <v>2184</v>
      </c>
      <c r="Z259" s="12">
        <f ca="1">IFERROR(__xludf.DUMMYFUNCTION("""COMPUTED_VALUE"""),1289)</f>
        <v>1289</v>
      </c>
      <c r="AA259" s="12">
        <f ca="1">IFERROR(__xludf.DUMMYFUNCTION("""COMPUTED_VALUE"""),2752)</f>
        <v>2752</v>
      </c>
      <c r="AB259" s="12">
        <f ca="1">IFERROR(__xludf.DUMMYFUNCTION("""COMPUTED_VALUE"""),1332)</f>
        <v>1332</v>
      </c>
      <c r="AC259" s="12">
        <f ca="1">IFERROR(__xludf.DUMMYFUNCTION("""COMPUTED_VALUE"""),802)</f>
        <v>802</v>
      </c>
      <c r="AD259" s="12">
        <f ca="1">IFERROR(__xludf.DUMMYFUNCTION("""COMPUTED_VALUE"""),368)</f>
        <v>368</v>
      </c>
      <c r="AE259" s="12">
        <f ca="1">IFERROR(__xludf.DUMMYFUNCTION("""COMPUTED_VALUE"""),2419)</f>
        <v>2419</v>
      </c>
      <c r="AF259" s="8">
        <f ca="1">IFERROR(__xludf.DUMMYFUNCTION("""COMPUTED_VALUE"""),3519)</f>
        <v>3519</v>
      </c>
      <c r="AG259" s="8">
        <f ca="1">IFERROR(__xludf.DUMMYFUNCTION("""COMPUTED_VALUE"""),1881)</f>
        <v>1881</v>
      </c>
      <c r="AH259" s="8">
        <f ca="1">IFERROR(__xludf.DUMMYFUNCTION("""COMPUTED_VALUE"""),1892)</f>
        <v>1892</v>
      </c>
      <c r="AI259" s="8">
        <f ca="1">IFERROR(__xludf.DUMMYFUNCTION("""COMPUTED_VALUE"""),183)</f>
        <v>183</v>
      </c>
      <c r="AJ259" s="8">
        <f ca="1">IFERROR(__xludf.DUMMYFUNCTION("""COMPUTED_VALUE"""),555)</f>
        <v>555</v>
      </c>
      <c r="AK259" s="8">
        <f ca="1">IFERROR(__xludf.DUMMYFUNCTION("""COMPUTED_VALUE"""),811)</f>
        <v>811</v>
      </c>
      <c r="AL259" s="8">
        <f ca="1">IFERROR(__xludf.DUMMYFUNCTION("""COMPUTED_VALUE"""),367)</f>
        <v>367</v>
      </c>
      <c r="AM259" s="8">
        <f ca="1">IFERROR(__xludf.DUMMYFUNCTION("""COMPUTED_VALUE"""),1995)</f>
        <v>1995</v>
      </c>
      <c r="AN259" s="8">
        <f ca="1">IFERROR(__xludf.DUMMYFUNCTION("""COMPUTED_VALUE"""),864)</f>
        <v>864</v>
      </c>
      <c r="AO259" s="8">
        <f ca="1">IFERROR(__xludf.DUMMYFUNCTION("""COMPUTED_VALUE"""),733)</f>
        <v>733</v>
      </c>
      <c r="AP259" s="8"/>
      <c r="AQ259" s="8"/>
      <c r="AR259" s="8"/>
      <c r="AS259" s="8"/>
      <c r="AT259" s="8"/>
      <c r="AU259" s="8"/>
      <c r="AV259" s="8"/>
      <c r="AW259" s="8"/>
      <c r="AX259" s="8"/>
      <c r="AY259" s="8"/>
    </row>
    <row r="260" spans="1:51" ht="13.2" x14ac:dyDescent="0.25">
      <c r="A260" s="12" t="str">
        <f ca="1">IFERROR(__xludf.DUMMYFUNCTION("""COMPUTED_VALUE"""),"                     right Area prostriata")</f>
        <v xml:space="preserve">                     right Area prostriata</v>
      </c>
      <c r="B260" s="12">
        <f ca="1">IFERROR(__xludf.DUMMYFUNCTION("""COMPUTED_VALUE"""),514)</f>
        <v>514</v>
      </c>
      <c r="C260" s="12">
        <f ca="1">IFERROR(__xludf.DUMMYFUNCTION("""COMPUTED_VALUE"""),1524)</f>
        <v>1524</v>
      </c>
      <c r="D260" s="12">
        <f ca="1">IFERROR(__xludf.DUMMYFUNCTION("""COMPUTED_VALUE"""),421)</f>
        <v>421</v>
      </c>
      <c r="E260" s="12">
        <f ca="1">IFERROR(__xludf.DUMMYFUNCTION("""COMPUTED_VALUE"""),428)</f>
        <v>428</v>
      </c>
      <c r="F260" s="12">
        <f ca="1">IFERROR(__xludf.DUMMYFUNCTION("""COMPUTED_VALUE"""),1596)</f>
        <v>1596</v>
      </c>
      <c r="G260" s="12">
        <f ca="1">IFERROR(__xludf.DUMMYFUNCTION("""COMPUTED_VALUE"""),793)</f>
        <v>793</v>
      </c>
      <c r="H260" s="12">
        <f ca="1">IFERROR(__xludf.DUMMYFUNCTION("""COMPUTED_VALUE"""),723)</f>
        <v>723</v>
      </c>
      <c r="I260" s="12">
        <f ca="1">IFERROR(__xludf.DUMMYFUNCTION("""COMPUTED_VALUE"""),861)</f>
        <v>861</v>
      </c>
      <c r="J260" s="12">
        <f ca="1">IFERROR(__xludf.DUMMYFUNCTION("""COMPUTED_VALUE"""),1279)</f>
        <v>1279</v>
      </c>
      <c r="K260" s="12">
        <f ca="1">IFERROR(__xludf.DUMMYFUNCTION("""COMPUTED_VALUE"""),812)</f>
        <v>812</v>
      </c>
      <c r="L260" s="12">
        <f ca="1">IFERROR(__xludf.DUMMYFUNCTION("""COMPUTED_VALUE"""),340)</f>
        <v>340</v>
      </c>
      <c r="M260" s="12">
        <f ca="1">IFERROR(__xludf.DUMMYFUNCTION("""COMPUTED_VALUE"""),889)</f>
        <v>889</v>
      </c>
      <c r="N260" s="12">
        <f ca="1">IFERROR(__xludf.DUMMYFUNCTION("""COMPUTED_VALUE"""),462)</f>
        <v>462</v>
      </c>
      <c r="O260" s="12">
        <f ca="1">IFERROR(__xludf.DUMMYFUNCTION("""COMPUTED_VALUE"""),1327)</f>
        <v>1327</v>
      </c>
      <c r="P260" s="12">
        <f ca="1">IFERROR(__xludf.DUMMYFUNCTION("""COMPUTED_VALUE"""),638)</f>
        <v>638</v>
      </c>
      <c r="Q260" s="12">
        <f ca="1">IFERROR(__xludf.DUMMYFUNCTION("""COMPUTED_VALUE"""),2475)</f>
        <v>2475</v>
      </c>
      <c r="R260" s="12">
        <f ca="1">IFERROR(__xludf.DUMMYFUNCTION("""COMPUTED_VALUE"""),637)</f>
        <v>637</v>
      </c>
      <c r="S260" s="12">
        <f ca="1">IFERROR(__xludf.DUMMYFUNCTION("""COMPUTED_VALUE"""),183)</f>
        <v>183</v>
      </c>
      <c r="T260" s="12">
        <f ca="1">IFERROR(__xludf.DUMMYFUNCTION("""COMPUTED_VALUE"""),1339)</f>
        <v>1339</v>
      </c>
      <c r="U260" s="12">
        <f ca="1">IFERROR(__xludf.DUMMYFUNCTION("""COMPUTED_VALUE"""),1722)</f>
        <v>1722</v>
      </c>
      <c r="V260" s="12">
        <f ca="1">IFERROR(__xludf.DUMMYFUNCTION("""COMPUTED_VALUE"""),830)</f>
        <v>830</v>
      </c>
      <c r="W260" s="12">
        <f ca="1">IFERROR(__xludf.DUMMYFUNCTION("""COMPUTED_VALUE"""),4621)</f>
        <v>4621</v>
      </c>
      <c r="X260" s="12">
        <f ca="1">IFERROR(__xludf.DUMMYFUNCTION("""COMPUTED_VALUE"""),1606)</f>
        <v>1606</v>
      </c>
      <c r="Y260" s="12">
        <f ca="1">IFERROR(__xludf.DUMMYFUNCTION("""COMPUTED_VALUE"""),654)</f>
        <v>654</v>
      </c>
      <c r="Z260" s="12">
        <f ca="1">IFERROR(__xludf.DUMMYFUNCTION("""COMPUTED_VALUE"""),781)</f>
        <v>781</v>
      </c>
      <c r="AA260" s="12">
        <f ca="1">IFERROR(__xludf.DUMMYFUNCTION("""COMPUTED_VALUE"""),1345)</f>
        <v>1345</v>
      </c>
      <c r="AB260" s="12">
        <f ca="1">IFERROR(__xludf.DUMMYFUNCTION("""COMPUTED_VALUE"""),1624)</f>
        <v>1624</v>
      </c>
      <c r="AC260" s="12">
        <f ca="1">IFERROR(__xludf.DUMMYFUNCTION("""COMPUTED_VALUE"""),1259)</f>
        <v>1259</v>
      </c>
      <c r="AD260" s="12">
        <f ca="1">IFERROR(__xludf.DUMMYFUNCTION("""COMPUTED_VALUE"""),580)</f>
        <v>580</v>
      </c>
      <c r="AE260" s="12">
        <f ca="1">IFERROR(__xludf.DUMMYFUNCTION("""COMPUTED_VALUE"""),856)</f>
        <v>856</v>
      </c>
      <c r="AF260" s="8">
        <f ca="1">IFERROR(__xludf.DUMMYFUNCTION("""COMPUTED_VALUE"""),2253)</f>
        <v>2253</v>
      </c>
      <c r="AG260" s="8">
        <f ca="1">IFERROR(__xludf.DUMMYFUNCTION("""COMPUTED_VALUE"""),733)</f>
        <v>733</v>
      </c>
      <c r="AH260" s="8">
        <f ca="1">IFERROR(__xludf.DUMMYFUNCTION("""COMPUTED_VALUE"""),681)</f>
        <v>681</v>
      </c>
      <c r="AI260" s="8">
        <f ca="1">IFERROR(__xludf.DUMMYFUNCTION("""COMPUTED_VALUE"""),147)</f>
        <v>147</v>
      </c>
      <c r="AJ260" s="8">
        <f ca="1">IFERROR(__xludf.DUMMYFUNCTION("""COMPUTED_VALUE"""),857)</f>
        <v>857</v>
      </c>
      <c r="AK260" s="8">
        <f ca="1">IFERROR(__xludf.DUMMYFUNCTION("""COMPUTED_VALUE"""),338)</f>
        <v>338</v>
      </c>
      <c r="AL260" s="8">
        <f ca="1">IFERROR(__xludf.DUMMYFUNCTION("""COMPUTED_VALUE"""),418)</f>
        <v>418</v>
      </c>
      <c r="AM260" s="8">
        <f ca="1">IFERROR(__xludf.DUMMYFUNCTION("""COMPUTED_VALUE"""),709)</f>
        <v>709</v>
      </c>
      <c r="AN260" s="8">
        <f ca="1">IFERROR(__xludf.DUMMYFUNCTION("""COMPUTED_VALUE"""),867)</f>
        <v>867</v>
      </c>
      <c r="AO260" s="8">
        <f ca="1">IFERROR(__xludf.DUMMYFUNCTION("""COMPUTED_VALUE"""),576)</f>
        <v>576</v>
      </c>
      <c r="AP260" s="8"/>
      <c r="AQ260" s="8"/>
      <c r="AR260" s="8"/>
      <c r="AS260" s="8"/>
      <c r="AT260" s="8"/>
      <c r="AU260" s="8"/>
      <c r="AV260" s="8"/>
      <c r="AW260" s="8"/>
      <c r="AX260" s="8"/>
      <c r="AY260" s="8"/>
    </row>
    <row r="261" spans="1:51" ht="13.2" x14ac:dyDescent="0.25">
      <c r="A261" s="12" t="str">
        <f ca="1">IFERROR(__xludf.DUMMYFUNCTION("""COMPUTED_VALUE"""),"            right Cortical subplate")</f>
        <v xml:space="preserve">            right Cortical subplate</v>
      </c>
      <c r="B261" s="12">
        <f ca="1">IFERROR(__xludf.DUMMYFUNCTION("""COMPUTED_VALUE"""),16774)</f>
        <v>16774</v>
      </c>
      <c r="C261" s="12">
        <f ca="1">IFERROR(__xludf.DUMMYFUNCTION("""COMPUTED_VALUE"""),45771)</f>
        <v>45771</v>
      </c>
      <c r="D261" s="12">
        <f ca="1">IFERROR(__xludf.DUMMYFUNCTION("""COMPUTED_VALUE"""),34505)</f>
        <v>34505</v>
      </c>
      <c r="E261" s="12">
        <f ca="1">IFERROR(__xludf.DUMMYFUNCTION("""COMPUTED_VALUE"""),15420)</f>
        <v>15420</v>
      </c>
      <c r="F261" s="12">
        <f ca="1">IFERROR(__xludf.DUMMYFUNCTION("""COMPUTED_VALUE"""),44262)</f>
        <v>44262</v>
      </c>
      <c r="G261" s="12">
        <f ca="1">IFERROR(__xludf.DUMMYFUNCTION("""COMPUTED_VALUE"""),21615)</f>
        <v>21615</v>
      </c>
      <c r="H261" s="12">
        <f ca="1">IFERROR(__xludf.DUMMYFUNCTION("""COMPUTED_VALUE"""),13911)</f>
        <v>13911</v>
      </c>
      <c r="I261" s="12">
        <f ca="1">IFERROR(__xludf.DUMMYFUNCTION("""COMPUTED_VALUE"""),14453)</f>
        <v>14453</v>
      </c>
      <c r="J261" s="12">
        <f ca="1">IFERROR(__xludf.DUMMYFUNCTION("""COMPUTED_VALUE"""),25720)</f>
        <v>25720</v>
      </c>
      <c r="K261" s="12">
        <f ca="1">IFERROR(__xludf.DUMMYFUNCTION("""COMPUTED_VALUE"""),30405)</f>
        <v>30405</v>
      </c>
      <c r="L261" s="12">
        <f ca="1">IFERROR(__xludf.DUMMYFUNCTION("""COMPUTED_VALUE"""),36425)</f>
        <v>36425</v>
      </c>
      <c r="M261" s="12">
        <f ca="1">IFERROR(__xludf.DUMMYFUNCTION("""COMPUTED_VALUE"""),39832)</f>
        <v>39832</v>
      </c>
      <c r="N261" s="12">
        <f ca="1">IFERROR(__xludf.DUMMYFUNCTION("""COMPUTED_VALUE"""),22381)</f>
        <v>22381</v>
      </c>
      <c r="O261" s="12">
        <f ca="1">IFERROR(__xludf.DUMMYFUNCTION("""COMPUTED_VALUE"""),35497)</f>
        <v>35497</v>
      </c>
      <c r="P261" s="12">
        <f ca="1">IFERROR(__xludf.DUMMYFUNCTION("""COMPUTED_VALUE"""),20564)</f>
        <v>20564</v>
      </c>
      <c r="Q261" s="12">
        <f ca="1">IFERROR(__xludf.DUMMYFUNCTION("""COMPUTED_VALUE"""),18160)</f>
        <v>18160</v>
      </c>
      <c r="R261" s="12">
        <f ca="1">IFERROR(__xludf.DUMMYFUNCTION("""COMPUTED_VALUE"""),23644)</f>
        <v>23644</v>
      </c>
      <c r="S261" s="12">
        <f ca="1">IFERROR(__xludf.DUMMYFUNCTION("""COMPUTED_VALUE"""),9899)</f>
        <v>9899</v>
      </c>
      <c r="T261" s="12">
        <f ca="1">IFERROR(__xludf.DUMMYFUNCTION("""COMPUTED_VALUE"""),42623)</f>
        <v>42623</v>
      </c>
      <c r="U261" s="12">
        <f ca="1">IFERROR(__xludf.DUMMYFUNCTION("""COMPUTED_VALUE"""),25589)</f>
        <v>25589</v>
      </c>
      <c r="V261" s="12">
        <f ca="1">IFERROR(__xludf.DUMMYFUNCTION("""COMPUTED_VALUE"""),34873)</f>
        <v>34873</v>
      </c>
      <c r="W261" s="12">
        <f ca="1">IFERROR(__xludf.DUMMYFUNCTION("""COMPUTED_VALUE"""),64421)</f>
        <v>64421</v>
      </c>
      <c r="X261" s="12">
        <f ca="1">IFERROR(__xludf.DUMMYFUNCTION("""COMPUTED_VALUE"""),89043)</f>
        <v>89043</v>
      </c>
      <c r="Y261" s="12">
        <f ca="1">IFERROR(__xludf.DUMMYFUNCTION("""COMPUTED_VALUE"""),36648)</f>
        <v>36648</v>
      </c>
      <c r="Z261" s="12">
        <f ca="1">IFERROR(__xludf.DUMMYFUNCTION("""COMPUTED_VALUE"""),59803)</f>
        <v>59803</v>
      </c>
      <c r="AA261" s="12">
        <f ca="1">IFERROR(__xludf.DUMMYFUNCTION("""COMPUTED_VALUE"""),55732)</f>
        <v>55732</v>
      </c>
      <c r="AB261" s="12">
        <f ca="1">IFERROR(__xludf.DUMMYFUNCTION("""COMPUTED_VALUE"""),40146)</f>
        <v>40146</v>
      </c>
      <c r="AC261" s="12">
        <f ca="1">IFERROR(__xludf.DUMMYFUNCTION("""COMPUTED_VALUE"""),15976)</f>
        <v>15976</v>
      </c>
      <c r="AD261" s="12">
        <f ca="1">IFERROR(__xludf.DUMMYFUNCTION("""COMPUTED_VALUE"""),35256)</f>
        <v>35256</v>
      </c>
      <c r="AE261" s="12">
        <f ca="1">IFERROR(__xludf.DUMMYFUNCTION("""COMPUTED_VALUE"""),39822)</f>
        <v>39822</v>
      </c>
      <c r="AF261" s="8">
        <f ca="1">IFERROR(__xludf.DUMMYFUNCTION("""COMPUTED_VALUE"""),74623)</f>
        <v>74623</v>
      </c>
      <c r="AG261" s="8">
        <f ca="1">IFERROR(__xludf.DUMMYFUNCTION("""COMPUTED_VALUE"""),35028)</f>
        <v>35028</v>
      </c>
      <c r="AH261" s="8">
        <f ca="1">IFERROR(__xludf.DUMMYFUNCTION("""COMPUTED_VALUE"""),57626)</f>
        <v>57626</v>
      </c>
      <c r="AI261" s="8">
        <f ca="1">IFERROR(__xludf.DUMMYFUNCTION("""COMPUTED_VALUE"""),26048)</f>
        <v>26048</v>
      </c>
      <c r="AJ261" s="8">
        <f ca="1">IFERROR(__xludf.DUMMYFUNCTION("""COMPUTED_VALUE"""),24611)</f>
        <v>24611</v>
      </c>
      <c r="AK261" s="8">
        <f ca="1">IFERROR(__xludf.DUMMYFUNCTION("""COMPUTED_VALUE"""),10936)</f>
        <v>10936</v>
      </c>
      <c r="AL261" s="8">
        <f ca="1">IFERROR(__xludf.DUMMYFUNCTION("""COMPUTED_VALUE"""),14675)</f>
        <v>14675</v>
      </c>
      <c r="AM261" s="8">
        <f ca="1">IFERROR(__xludf.DUMMYFUNCTION("""COMPUTED_VALUE"""),44252)</f>
        <v>44252</v>
      </c>
      <c r="AN261" s="8">
        <f ca="1">IFERROR(__xludf.DUMMYFUNCTION("""COMPUTED_VALUE"""),22293)</f>
        <v>22293</v>
      </c>
      <c r="AO261" s="8">
        <f ca="1">IFERROR(__xludf.DUMMYFUNCTION("""COMPUTED_VALUE"""),30314)</f>
        <v>30314</v>
      </c>
      <c r="AP261" s="8"/>
      <c r="AQ261" s="8"/>
      <c r="AR261" s="8"/>
      <c r="AS261" s="8"/>
      <c r="AT261" s="8"/>
      <c r="AU261" s="8"/>
      <c r="AV261" s="8"/>
      <c r="AW261" s="8"/>
      <c r="AX261" s="8"/>
      <c r="AY261" s="8"/>
    </row>
    <row r="262" spans="1:51" ht="13.2" x14ac:dyDescent="0.25">
      <c r="A262" s="12" t="str">
        <f ca="1">IFERROR(__xludf.DUMMYFUNCTION("""COMPUTED_VALUE"""),"               right Claustrum")</f>
        <v xml:space="preserve">               right Claustrum</v>
      </c>
      <c r="B262" s="12">
        <f ca="1">IFERROR(__xludf.DUMMYFUNCTION("""COMPUTED_VALUE"""),2278)</f>
        <v>2278</v>
      </c>
      <c r="C262" s="12">
        <f ca="1">IFERROR(__xludf.DUMMYFUNCTION("""COMPUTED_VALUE"""),3487)</f>
        <v>3487</v>
      </c>
      <c r="D262" s="12">
        <f ca="1">IFERROR(__xludf.DUMMYFUNCTION("""COMPUTED_VALUE"""),3310)</f>
        <v>3310</v>
      </c>
      <c r="E262" s="12">
        <f ca="1">IFERROR(__xludf.DUMMYFUNCTION("""COMPUTED_VALUE"""),3105)</f>
        <v>3105</v>
      </c>
      <c r="F262" s="12">
        <f ca="1">IFERROR(__xludf.DUMMYFUNCTION("""COMPUTED_VALUE"""),4468)</f>
        <v>4468</v>
      </c>
      <c r="G262" s="12">
        <f ca="1">IFERROR(__xludf.DUMMYFUNCTION("""COMPUTED_VALUE"""),2771)</f>
        <v>2771</v>
      </c>
      <c r="H262" s="12">
        <f ca="1">IFERROR(__xludf.DUMMYFUNCTION("""COMPUTED_VALUE"""),1406)</f>
        <v>1406</v>
      </c>
      <c r="I262" s="12">
        <f ca="1">IFERROR(__xludf.DUMMYFUNCTION("""COMPUTED_VALUE"""),1609)</f>
        <v>1609</v>
      </c>
      <c r="J262" s="12">
        <f ca="1">IFERROR(__xludf.DUMMYFUNCTION("""COMPUTED_VALUE"""),2710)</f>
        <v>2710</v>
      </c>
      <c r="K262" s="12">
        <f ca="1">IFERROR(__xludf.DUMMYFUNCTION("""COMPUTED_VALUE"""),3048)</f>
        <v>3048</v>
      </c>
      <c r="L262" s="12">
        <f ca="1">IFERROR(__xludf.DUMMYFUNCTION("""COMPUTED_VALUE"""),4850)</f>
        <v>4850</v>
      </c>
      <c r="M262" s="12">
        <f ca="1">IFERROR(__xludf.DUMMYFUNCTION("""COMPUTED_VALUE"""),5379)</f>
        <v>5379</v>
      </c>
      <c r="N262" s="12">
        <f ca="1">IFERROR(__xludf.DUMMYFUNCTION("""COMPUTED_VALUE"""),2914)</f>
        <v>2914</v>
      </c>
      <c r="O262" s="12">
        <f ca="1">IFERROR(__xludf.DUMMYFUNCTION("""COMPUTED_VALUE"""),4792)</f>
        <v>4792</v>
      </c>
      <c r="P262" s="12">
        <f ca="1">IFERROR(__xludf.DUMMYFUNCTION("""COMPUTED_VALUE"""),2610)</f>
        <v>2610</v>
      </c>
      <c r="Q262" s="12">
        <f ca="1">IFERROR(__xludf.DUMMYFUNCTION("""COMPUTED_VALUE"""),1354)</f>
        <v>1354</v>
      </c>
      <c r="R262" s="12">
        <f ca="1">IFERROR(__xludf.DUMMYFUNCTION("""COMPUTED_VALUE"""),2351)</f>
        <v>2351</v>
      </c>
      <c r="S262" s="12">
        <f ca="1">IFERROR(__xludf.DUMMYFUNCTION("""COMPUTED_VALUE"""),1710)</f>
        <v>1710</v>
      </c>
      <c r="T262" s="12">
        <f ca="1">IFERROR(__xludf.DUMMYFUNCTION("""COMPUTED_VALUE"""),3492)</f>
        <v>3492</v>
      </c>
      <c r="U262" s="12">
        <f ca="1">IFERROR(__xludf.DUMMYFUNCTION("""COMPUTED_VALUE"""),2490)</f>
        <v>2490</v>
      </c>
      <c r="V262" s="12">
        <f ca="1">IFERROR(__xludf.DUMMYFUNCTION("""COMPUTED_VALUE"""),2374)</f>
        <v>2374</v>
      </c>
      <c r="W262" s="12">
        <f ca="1">IFERROR(__xludf.DUMMYFUNCTION("""COMPUTED_VALUE"""),9442)</f>
        <v>9442</v>
      </c>
      <c r="X262" s="12">
        <f ca="1">IFERROR(__xludf.DUMMYFUNCTION("""COMPUTED_VALUE"""),8372)</f>
        <v>8372</v>
      </c>
      <c r="Y262" s="12">
        <f ca="1">IFERROR(__xludf.DUMMYFUNCTION("""COMPUTED_VALUE"""),2061)</f>
        <v>2061</v>
      </c>
      <c r="Z262" s="12">
        <f ca="1">IFERROR(__xludf.DUMMYFUNCTION("""COMPUTED_VALUE"""),3005)</f>
        <v>3005</v>
      </c>
      <c r="AA262" s="12">
        <f ca="1">IFERROR(__xludf.DUMMYFUNCTION("""COMPUTED_VALUE"""),2917)</f>
        <v>2917</v>
      </c>
      <c r="AB262" s="12">
        <f ca="1">IFERROR(__xludf.DUMMYFUNCTION("""COMPUTED_VALUE"""),4516)</f>
        <v>4516</v>
      </c>
      <c r="AC262" s="12">
        <f ca="1">IFERROR(__xludf.DUMMYFUNCTION("""COMPUTED_VALUE"""),1834)</f>
        <v>1834</v>
      </c>
      <c r="AD262" s="12">
        <f ca="1">IFERROR(__xludf.DUMMYFUNCTION("""COMPUTED_VALUE"""),2890)</f>
        <v>2890</v>
      </c>
      <c r="AE262" s="12">
        <f ca="1">IFERROR(__xludf.DUMMYFUNCTION("""COMPUTED_VALUE"""),3118)</f>
        <v>3118</v>
      </c>
      <c r="AF262" s="8">
        <f ca="1">IFERROR(__xludf.DUMMYFUNCTION("""COMPUTED_VALUE"""),8998)</f>
        <v>8998</v>
      </c>
      <c r="AG262" s="8">
        <f ca="1">IFERROR(__xludf.DUMMYFUNCTION("""COMPUTED_VALUE"""),1541)</f>
        <v>1541</v>
      </c>
      <c r="AH262" s="8">
        <f ca="1">IFERROR(__xludf.DUMMYFUNCTION("""COMPUTED_VALUE"""),6179)</f>
        <v>6179</v>
      </c>
      <c r="AI262" s="8">
        <f ca="1">IFERROR(__xludf.DUMMYFUNCTION("""COMPUTED_VALUE"""),1964)</f>
        <v>1964</v>
      </c>
      <c r="AJ262" s="8">
        <f ca="1">IFERROR(__xludf.DUMMYFUNCTION("""COMPUTED_VALUE"""),3510)</f>
        <v>3510</v>
      </c>
      <c r="AK262" s="8">
        <f ca="1">IFERROR(__xludf.DUMMYFUNCTION("""COMPUTED_VALUE"""),1172)</f>
        <v>1172</v>
      </c>
      <c r="AL262" s="8">
        <f ca="1">IFERROR(__xludf.DUMMYFUNCTION("""COMPUTED_VALUE"""),1997)</f>
        <v>1997</v>
      </c>
      <c r="AM262" s="8">
        <f ca="1">IFERROR(__xludf.DUMMYFUNCTION("""COMPUTED_VALUE"""),4612)</f>
        <v>4612</v>
      </c>
      <c r="AN262" s="8">
        <f ca="1">IFERROR(__xludf.DUMMYFUNCTION("""COMPUTED_VALUE"""),2481)</f>
        <v>2481</v>
      </c>
      <c r="AO262" s="8">
        <f ca="1">IFERROR(__xludf.DUMMYFUNCTION("""COMPUTED_VALUE"""),3058)</f>
        <v>3058</v>
      </c>
      <c r="AP262" s="8"/>
      <c r="AQ262" s="8"/>
      <c r="AR262" s="8"/>
      <c r="AS262" s="8"/>
      <c r="AT262" s="8"/>
      <c r="AU262" s="8"/>
      <c r="AV262" s="8"/>
      <c r="AW262" s="8"/>
      <c r="AX262" s="8"/>
      <c r="AY262" s="8"/>
    </row>
    <row r="263" spans="1:51" ht="13.2" x14ac:dyDescent="0.25">
      <c r="A263" s="12" t="str">
        <f ca="1">IFERROR(__xludf.DUMMYFUNCTION("""COMPUTED_VALUE"""),"               right Endopiriform nucleus")</f>
        <v xml:space="preserve">               right Endopiriform nucleus</v>
      </c>
      <c r="B263" s="12">
        <f ca="1">IFERROR(__xludf.DUMMYFUNCTION("""COMPUTED_VALUE"""),5335)</f>
        <v>5335</v>
      </c>
      <c r="C263" s="12">
        <f ca="1">IFERROR(__xludf.DUMMYFUNCTION("""COMPUTED_VALUE"""),12534)</f>
        <v>12534</v>
      </c>
      <c r="D263" s="12">
        <f ca="1">IFERROR(__xludf.DUMMYFUNCTION("""COMPUTED_VALUE"""),10681)</f>
        <v>10681</v>
      </c>
      <c r="E263" s="12">
        <f ca="1">IFERROR(__xludf.DUMMYFUNCTION("""COMPUTED_VALUE"""),4714)</f>
        <v>4714</v>
      </c>
      <c r="F263" s="12">
        <f ca="1">IFERROR(__xludf.DUMMYFUNCTION("""COMPUTED_VALUE"""),10920)</f>
        <v>10920</v>
      </c>
      <c r="G263" s="12">
        <f ca="1">IFERROR(__xludf.DUMMYFUNCTION("""COMPUTED_VALUE"""),6462)</f>
        <v>6462</v>
      </c>
      <c r="H263" s="12">
        <f ca="1">IFERROR(__xludf.DUMMYFUNCTION("""COMPUTED_VALUE"""),5420)</f>
        <v>5420</v>
      </c>
      <c r="I263" s="12">
        <f ca="1">IFERROR(__xludf.DUMMYFUNCTION("""COMPUTED_VALUE"""),3890)</f>
        <v>3890</v>
      </c>
      <c r="J263" s="12">
        <f ca="1">IFERROR(__xludf.DUMMYFUNCTION("""COMPUTED_VALUE"""),6760)</f>
        <v>6760</v>
      </c>
      <c r="K263" s="12">
        <f ca="1">IFERROR(__xludf.DUMMYFUNCTION("""COMPUTED_VALUE"""),9457)</f>
        <v>9457</v>
      </c>
      <c r="L263" s="12">
        <f ca="1">IFERROR(__xludf.DUMMYFUNCTION("""COMPUTED_VALUE"""),11951)</f>
        <v>11951</v>
      </c>
      <c r="M263" s="12">
        <f ca="1">IFERROR(__xludf.DUMMYFUNCTION("""COMPUTED_VALUE"""),14670)</f>
        <v>14670</v>
      </c>
      <c r="N263" s="12">
        <f ca="1">IFERROR(__xludf.DUMMYFUNCTION("""COMPUTED_VALUE"""),7265)</f>
        <v>7265</v>
      </c>
      <c r="O263" s="12">
        <f ca="1">IFERROR(__xludf.DUMMYFUNCTION("""COMPUTED_VALUE"""),14034)</f>
        <v>14034</v>
      </c>
      <c r="P263" s="12">
        <f ca="1">IFERROR(__xludf.DUMMYFUNCTION("""COMPUTED_VALUE"""),6175)</f>
        <v>6175</v>
      </c>
      <c r="Q263" s="12">
        <f ca="1">IFERROR(__xludf.DUMMYFUNCTION("""COMPUTED_VALUE"""),4112)</f>
        <v>4112</v>
      </c>
      <c r="R263" s="12">
        <f ca="1">IFERROR(__xludf.DUMMYFUNCTION("""COMPUTED_VALUE"""),6366)</f>
        <v>6366</v>
      </c>
      <c r="S263" s="12">
        <f ca="1">IFERROR(__xludf.DUMMYFUNCTION("""COMPUTED_VALUE"""),2883)</f>
        <v>2883</v>
      </c>
      <c r="T263" s="12">
        <f ca="1">IFERROR(__xludf.DUMMYFUNCTION("""COMPUTED_VALUE"""),13913)</f>
        <v>13913</v>
      </c>
      <c r="U263" s="12">
        <f ca="1">IFERROR(__xludf.DUMMYFUNCTION("""COMPUTED_VALUE"""),6523)</f>
        <v>6523</v>
      </c>
      <c r="V263" s="12">
        <f ca="1">IFERROR(__xludf.DUMMYFUNCTION("""COMPUTED_VALUE"""),7068)</f>
        <v>7068</v>
      </c>
      <c r="W263" s="12">
        <f ca="1">IFERROR(__xludf.DUMMYFUNCTION("""COMPUTED_VALUE"""),21688)</f>
        <v>21688</v>
      </c>
      <c r="X263" s="12">
        <f ca="1">IFERROR(__xludf.DUMMYFUNCTION("""COMPUTED_VALUE"""),19703)</f>
        <v>19703</v>
      </c>
      <c r="Y263" s="12">
        <f ca="1">IFERROR(__xludf.DUMMYFUNCTION("""COMPUTED_VALUE"""),7750)</f>
        <v>7750</v>
      </c>
      <c r="Z263" s="12">
        <f ca="1">IFERROR(__xludf.DUMMYFUNCTION("""COMPUTED_VALUE"""),15660)</f>
        <v>15660</v>
      </c>
      <c r="AA263" s="12">
        <f ca="1">IFERROR(__xludf.DUMMYFUNCTION("""COMPUTED_VALUE"""),14744)</f>
        <v>14744</v>
      </c>
      <c r="AB263" s="12">
        <f ca="1">IFERROR(__xludf.DUMMYFUNCTION("""COMPUTED_VALUE"""),10095)</f>
        <v>10095</v>
      </c>
      <c r="AC263" s="12">
        <f ca="1">IFERROR(__xludf.DUMMYFUNCTION("""COMPUTED_VALUE"""),4202)</f>
        <v>4202</v>
      </c>
      <c r="AD263" s="12">
        <f ca="1">IFERROR(__xludf.DUMMYFUNCTION("""COMPUTED_VALUE"""),10482)</f>
        <v>10482</v>
      </c>
      <c r="AE263" s="12">
        <f ca="1">IFERROR(__xludf.DUMMYFUNCTION("""COMPUTED_VALUE"""),12412)</f>
        <v>12412</v>
      </c>
      <c r="AF263" s="8">
        <f ca="1">IFERROR(__xludf.DUMMYFUNCTION("""COMPUTED_VALUE"""),23588)</f>
        <v>23588</v>
      </c>
      <c r="AG263" s="8">
        <f ca="1">IFERROR(__xludf.DUMMYFUNCTION("""COMPUTED_VALUE"""),8203)</f>
        <v>8203</v>
      </c>
      <c r="AH263" s="8">
        <f ca="1">IFERROR(__xludf.DUMMYFUNCTION("""COMPUTED_VALUE"""),13863)</f>
        <v>13863</v>
      </c>
      <c r="AI263" s="8">
        <f ca="1">IFERROR(__xludf.DUMMYFUNCTION("""COMPUTED_VALUE"""),6376)</f>
        <v>6376</v>
      </c>
      <c r="AJ263" s="8">
        <f ca="1">IFERROR(__xludf.DUMMYFUNCTION("""COMPUTED_VALUE"""),7385)</f>
        <v>7385</v>
      </c>
      <c r="AK263" s="8">
        <f ca="1">IFERROR(__xludf.DUMMYFUNCTION("""COMPUTED_VALUE"""),3026)</f>
        <v>3026</v>
      </c>
      <c r="AL263" s="8">
        <f ca="1">IFERROR(__xludf.DUMMYFUNCTION("""COMPUTED_VALUE"""),4634)</f>
        <v>4634</v>
      </c>
      <c r="AM263" s="8">
        <f ca="1">IFERROR(__xludf.DUMMYFUNCTION("""COMPUTED_VALUE"""),12219)</f>
        <v>12219</v>
      </c>
      <c r="AN263" s="8">
        <f ca="1">IFERROR(__xludf.DUMMYFUNCTION("""COMPUTED_VALUE"""),7735)</f>
        <v>7735</v>
      </c>
      <c r="AO263" s="8">
        <f ca="1">IFERROR(__xludf.DUMMYFUNCTION("""COMPUTED_VALUE"""),9190)</f>
        <v>9190</v>
      </c>
      <c r="AP263" s="8"/>
      <c r="AQ263" s="8"/>
      <c r="AR263" s="8"/>
      <c r="AS263" s="8"/>
      <c r="AT263" s="8"/>
      <c r="AU263" s="8"/>
      <c r="AV263" s="8"/>
      <c r="AW263" s="8"/>
      <c r="AX263" s="8"/>
      <c r="AY263" s="8"/>
    </row>
    <row r="264" spans="1:51" ht="13.2" x14ac:dyDescent="0.25">
      <c r="A264" s="12" t="str">
        <f ca="1">IFERROR(__xludf.DUMMYFUNCTION("""COMPUTED_VALUE"""),"                  right Endopiriform nucleus, dorsal part")</f>
        <v xml:space="preserve">                  right Endopiriform nucleus, dorsal part</v>
      </c>
      <c r="B264" s="12">
        <f ca="1">IFERROR(__xludf.DUMMYFUNCTION("""COMPUTED_VALUE"""),3945)</f>
        <v>3945</v>
      </c>
      <c r="C264" s="12">
        <f ca="1">IFERROR(__xludf.DUMMYFUNCTION("""COMPUTED_VALUE"""),8667)</f>
        <v>8667</v>
      </c>
      <c r="D264" s="12">
        <f ca="1">IFERROR(__xludf.DUMMYFUNCTION("""COMPUTED_VALUE"""),7798)</f>
        <v>7798</v>
      </c>
      <c r="E264" s="12">
        <f ca="1">IFERROR(__xludf.DUMMYFUNCTION("""COMPUTED_VALUE"""),3924)</f>
        <v>3924</v>
      </c>
      <c r="F264" s="12">
        <f ca="1">IFERROR(__xludf.DUMMYFUNCTION("""COMPUTED_VALUE"""),8550)</f>
        <v>8550</v>
      </c>
      <c r="G264" s="12">
        <f ca="1">IFERROR(__xludf.DUMMYFUNCTION("""COMPUTED_VALUE"""),4511)</f>
        <v>4511</v>
      </c>
      <c r="H264" s="12">
        <f ca="1">IFERROR(__xludf.DUMMYFUNCTION("""COMPUTED_VALUE"""),4258)</f>
        <v>4258</v>
      </c>
      <c r="I264" s="12">
        <f ca="1">IFERROR(__xludf.DUMMYFUNCTION("""COMPUTED_VALUE"""),3134)</f>
        <v>3134</v>
      </c>
      <c r="J264" s="12">
        <f ca="1">IFERROR(__xludf.DUMMYFUNCTION("""COMPUTED_VALUE"""),5151)</f>
        <v>5151</v>
      </c>
      <c r="K264" s="12">
        <f ca="1">IFERROR(__xludf.DUMMYFUNCTION("""COMPUTED_VALUE"""),6960)</f>
        <v>6960</v>
      </c>
      <c r="L264" s="12">
        <f ca="1">IFERROR(__xludf.DUMMYFUNCTION("""COMPUTED_VALUE"""),8921)</f>
        <v>8921</v>
      </c>
      <c r="M264" s="12">
        <f ca="1">IFERROR(__xludf.DUMMYFUNCTION("""COMPUTED_VALUE"""),9694)</f>
        <v>9694</v>
      </c>
      <c r="N264" s="12">
        <f ca="1">IFERROR(__xludf.DUMMYFUNCTION("""COMPUTED_VALUE"""),5633)</f>
        <v>5633</v>
      </c>
      <c r="O264" s="12">
        <f ca="1">IFERROR(__xludf.DUMMYFUNCTION("""COMPUTED_VALUE"""),10791)</f>
        <v>10791</v>
      </c>
      <c r="P264" s="12">
        <f ca="1">IFERROR(__xludf.DUMMYFUNCTION("""COMPUTED_VALUE"""),4326)</f>
        <v>4326</v>
      </c>
      <c r="Q264" s="12">
        <f ca="1">IFERROR(__xludf.DUMMYFUNCTION("""COMPUTED_VALUE"""),2739)</f>
        <v>2739</v>
      </c>
      <c r="R264" s="12">
        <f ca="1">IFERROR(__xludf.DUMMYFUNCTION("""COMPUTED_VALUE"""),3632)</f>
        <v>3632</v>
      </c>
      <c r="S264" s="12">
        <f ca="1">IFERROR(__xludf.DUMMYFUNCTION("""COMPUTED_VALUE"""),1653)</f>
        <v>1653</v>
      </c>
      <c r="T264" s="12">
        <f ca="1">IFERROR(__xludf.DUMMYFUNCTION("""COMPUTED_VALUE"""),9568)</f>
        <v>9568</v>
      </c>
      <c r="U264" s="12">
        <f ca="1">IFERROR(__xludf.DUMMYFUNCTION("""COMPUTED_VALUE"""),4673)</f>
        <v>4673</v>
      </c>
      <c r="V264" s="12">
        <f ca="1">IFERROR(__xludf.DUMMYFUNCTION("""COMPUTED_VALUE"""),4145)</f>
        <v>4145</v>
      </c>
      <c r="W264" s="12">
        <f ca="1">IFERROR(__xludf.DUMMYFUNCTION("""COMPUTED_VALUE"""),16518)</f>
        <v>16518</v>
      </c>
      <c r="X264" s="12">
        <f ca="1">IFERROR(__xludf.DUMMYFUNCTION("""COMPUTED_VALUE"""),13964)</f>
        <v>13964</v>
      </c>
      <c r="Y264" s="12">
        <f ca="1">IFERROR(__xludf.DUMMYFUNCTION("""COMPUTED_VALUE"""),4702)</f>
        <v>4702</v>
      </c>
      <c r="Z264" s="12">
        <f ca="1">IFERROR(__xludf.DUMMYFUNCTION("""COMPUTED_VALUE"""),11409)</f>
        <v>11409</v>
      </c>
      <c r="AA264" s="12">
        <f ca="1">IFERROR(__xludf.DUMMYFUNCTION("""COMPUTED_VALUE"""),9402)</f>
        <v>9402</v>
      </c>
      <c r="AB264" s="12">
        <f ca="1">IFERROR(__xludf.DUMMYFUNCTION("""COMPUTED_VALUE"""),7148)</f>
        <v>7148</v>
      </c>
      <c r="AC264" s="12">
        <f ca="1">IFERROR(__xludf.DUMMYFUNCTION("""COMPUTED_VALUE"""),3319)</f>
        <v>3319</v>
      </c>
      <c r="AD264" s="12">
        <f ca="1">IFERROR(__xludf.DUMMYFUNCTION("""COMPUTED_VALUE"""),8188)</f>
        <v>8188</v>
      </c>
      <c r="AE264" s="12">
        <f ca="1">IFERROR(__xludf.DUMMYFUNCTION("""COMPUTED_VALUE"""),8448)</f>
        <v>8448</v>
      </c>
      <c r="AF264" s="8">
        <f ca="1">IFERROR(__xludf.DUMMYFUNCTION("""COMPUTED_VALUE"""),18053)</f>
        <v>18053</v>
      </c>
      <c r="AG264" s="8">
        <f ca="1">IFERROR(__xludf.DUMMYFUNCTION("""COMPUTED_VALUE"""),5577)</f>
        <v>5577</v>
      </c>
      <c r="AH264" s="8">
        <f ca="1">IFERROR(__xludf.DUMMYFUNCTION("""COMPUTED_VALUE"""),9615)</f>
        <v>9615</v>
      </c>
      <c r="AI264" s="8">
        <f ca="1">IFERROR(__xludf.DUMMYFUNCTION("""COMPUTED_VALUE"""),4028)</f>
        <v>4028</v>
      </c>
      <c r="AJ264" s="8">
        <f ca="1">IFERROR(__xludf.DUMMYFUNCTION("""COMPUTED_VALUE"""),5510)</f>
        <v>5510</v>
      </c>
      <c r="AK264" s="8">
        <f ca="1">IFERROR(__xludf.DUMMYFUNCTION("""COMPUTED_VALUE"""),2253)</f>
        <v>2253</v>
      </c>
      <c r="AL264" s="8">
        <f ca="1">IFERROR(__xludf.DUMMYFUNCTION("""COMPUTED_VALUE"""),3733)</f>
        <v>3733</v>
      </c>
      <c r="AM264" s="8">
        <f ca="1">IFERROR(__xludf.DUMMYFUNCTION("""COMPUTED_VALUE"""),7971)</f>
        <v>7971</v>
      </c>
      <c r="AN264" s="8">
        <f ca="1">IFERROR(__xludf.DUMMYFUNCTION("""COMPUTED_VALUE"""),6086)</f>
        <v>6086</v>
      </c>
      <c r="AO264" s="8">
        <f ca="1">IFERROR(__xludf.DUMMYFUNCTION("""COMPUTED_VALUE"""),6027)</f>
        <v>6027</v>
      </c>
      <c r="AP264" s="8"/>
      <c r="AQ264" s="8"/>
      <c r="AR264" s="8"/>
      <c r="AS264" s="8"/>
      <c r="AT264" s="8"/>
      <c r="AU264" s="8"/>
      <c r="AV264" s="8"/>
      <c r="AW264" s="8"/>
      <c r="AX264" s="8"/>
      <c r="AY264" s="8"/>
    </row>
    <row r="265" spans="1:51" ht="13.2" x14ac:dyDescent="0.25">
      <c r="A265" s="12" t="str">
        <f ca="1">IFERROR(__xludf.DUMMYFUNCTION("""COMPUTED_VALUE"""),"                  right Endopiriform nucleus, ventral part")</f>
        <v xml:space="preserve">                  right Endopiriform nucleus, ventral part</v>
      </c>
      <c r="B265" s="12">
        <f ca="1">IFERROR(__xludf.DUMMYFUNCTION("""COMPUTED_VALUE"""),1390)</f>
        <v>1390</v>
      </c>
      <c r="C265" s="12">
        <f ca="1">IFERROR(__xludf.DUMMYFUNCTION("""COMPUTED_VALUE"""),3867)</f>
        <v>3867</v>
      </c>
      <c r="D265" s="12">
        <f ca="1">IFERROR(__xludf.DUMMYFUNCTION("""COMPUTED_VALUE"""),2883)</f>
        <v>2883</v>
      </c>
      <c r="E265" s="12">
        <f ca="1">IFERROR(__xludf.DUMMYFUNCTION("""COMPUTED_VALUE"""),790)</f>
        <v>790</v>
      </c>
      <c r="F265" s="12">
        <f ca="1">IFERROR(__xludf.DUMMYFUNCTION("""COMPUTED_VALUE"""),2370)</f>
        <v>2370</v>
      </c>
      <c r="G265" s="12">
        <f ca="1">IFERROR(__xludf.DUMMYFUNCTION("""COMPUTED_VALUE"""),1951)</f>
        <v>1951</v>
      </c>
      <c r="H265" s="12">
        <f ca="1">IFERROR(__xludf.DUMMYFUNCTION("""COMPUTED_VALUE"""),1162)</f>
        <v>1162</v>
      </c>
      <c r="I265" s="12">
        <f ca="1">IFERROR(__xludf.DUMMYFUNCTION("""COMPUTED_VALUE"""),756)</f>
        <v>756</v>
      </c>
      <c r="J265" s="12">
        <f ca="1">IFERROR(__xludf.DUMMYFUNCTION("""COMPUTED_VALUE"""),1609)</f>
        <v>1609</v>
      </c>
      <c r="K265" s="12">
        <f ca="1">IFERROR(__xludf.DUMMYFUNCTION("""COMPUTED_VALUE"""),2497)</f>
        <v>2497</v>
      </c>
      <c r="L265" s="12">
        <f ca="1">IFERROR(__xludf.DUMMYFUNCTION("""COMPUTED_VALUE"""),3030)</f>
        <v>3030</v>
      </c>
      <c r="M265" s="12">
        <f ca="1">IFERROR(__xludf.DUMMYFUNCTION("""COMPUTED_VALUE"""),4976)</f>
        <v>4976</v>
      </c>
      <c r="N265" s="12">
        <f ca="1">IFERROR(__xludf.DUMMYFUNCTION("""COMPUTED_VALUE"""),1632)</f>
        <v>1632</v>
      </c>
      <c r="O265" s="12">
        <f ca="1">IFERROR(__xludf.DUMMYFUNCTION("""COMPUTED_VALUE"""),3243)</f>
        <v>3243</v>
      </c>
      <c r="P265" s="12">
        <f ca="1">IFERROR(__xludf.DUMMYFUNCTION("""COMPUTED_VALUE"""),1849)</f>
        <v>1849</v>
      </c>
      <c r="Q265" s="12">
        <f ca="1">IFERROR(__xludf.DUMMYFUNCTION("""COMPUTED_VALUE"""),1373)</f>
        <v>1373</v>
      </c>
      <c r="R265" s="12">
        <f ca="1">IFERROR(__xludf.DUMMYFUNCTION("""COMPUTED_VALUE"""),2734)</f>
        <v>2734</v>
      </c>
      <c r="S265" s="12">
        <f ca="1">IFERROR(__xludf.DUMMYFUNCTION("""COMPUTED_VALUE"""),1230)</f>
        <v>1230</v>
      </c>
      <c r="T265" s="12">
        <f ca="1">IFERROR(__xludf.DUMMYFUNCTION("""COMPUTED_VALUE"""),4345)</f>
        <v>4345</v>
      </c>
      <c r="U265" s="12">
        <f ca="1">IFERROR(__xludf.DUMMYFUNCTION("""COMPUTED_VALUE"""),1850)</f>
        <v>1850</v>
      </c>
      <c r="V265" s="12">
        <f ca="1">IFERROR(__xludf.DUMMYFUNCTION("""COMPUTED_VALUE"""),2923)</f>
        <v>2923</v>
      </c>
      <c r="W265" s="12">
        <f ca="1">IFERROR(__xludf.DUMMYFUNCTION("""COMPUTED_VALUE"""),5170)</f>
        <v>5170</v>
      </c>
      <c r="X265" s="12">
        <f ca="1">IFERROR(__xludf.DUMMYFUNCTION("""COMPUTED_VALUE"""),5739)</f>
        <v>5739</v>
      </c>
      <c r="Y265" s="12">
        <f ca="1">IFERROR(__xludf.DUMMYFUNCTION("""COMPUTED_VALUE"""),3048)</f>
        <v>3048</v>
      </c>
      <c r="Z265" s="12">
        <f ca="1">IFERROR(__xludf.DUMMYFUNCTION("""COMPUTED_VALUE"""),4251)</f>
        <v>4251</v>
      </c>
      <c r="AA265" s="12">
        <f ca="1">IFERROR(__xludf.DUMMYFUNCTION("""COMPUTED_VALUE"""),5342)</f>
        <v>5342</v>
      </c>
      <c r="AB265" s="12">
        <f ca="1">IFERROR(__xludf.DUMMYFUNCTION("""COMPUTED_VALUE"""),2947)</f>
        <v>2947</v>
      </c>
      <c r="AC265" s="12">
        <f ca="1">IFERROR(__xludf.DUMMYFUNCTION("""COMPUTED_VALUE"""),883)</f>
        <v>883</v>
      </c>
      <c r="AD265" s="12">
        <f ca="1">IFERROR(__xludf.DUMMYFUNCTION("""COMPUTED_VALUE"""),2294)</f>
        <v>2294</v>
      </c>
      <c r="AE265" s="12">
        <f ca="1">IFERROR(__xludf.DUMMYFUNCTION("""COMPUTED_VALUE"""),3964)</f>
        <v>3964</v>
      </c>
      <c r="AF265" s="8">
        <f ca="1">IFERROR(__xludf.DUMMYFUNCTION("""COMPUTED_VALUE"""),5535)</f>
        <v>5535</v>
      </c>
      <c r="AG265" s="8">
        <f ca="1">IFERROR(__xludf.DUMMYFUNCTION("""COMPUTED_VALUE"""),2626)</f>
        <v>2626</v>
      </c>
      <c r="AH265" s="8">
        <f ca="1">IFERROR(__xludf.DUMMYFUNCTION("""COMPUTED_VALUE"""),4248)</f>
        <v>4248</v>
      </c>
      <c r="AI265" s="8">
        <f ca="1">IFERROR(__xludf.DUMMYFUNCTION("""COMPUTED_VALUE"""),2348)</f>
        <v>2348</v>
      </c>
      <c r="AJ265" s="8">
        <f ca="1">IFERROR(__xludf.DUMMYFUNCTION("""COMPUTED_VALUE"""),1875)</f>
        <v>1875</v>
      </c>
      <c r="AK265" s="8">
        <f ca="1">IFERROR(__xludf.DUMMYFUNCTION("""COMPUTED_VALUE"""),773)</f>
        <v>773</v>
      </c>
      <c r="AL265" s="8">
        <f ca="1">IFERROR(__xludf.DUMMYFUNCTION("""COMPUTED_VALUE"""),901)</f>
        <v>901</v>
      </c>
      <c r="AM265" s="8">
        <f ca="1">IFERROR(__xludf.DUMMYFUNCTION("""COMPUTED_VALUE"""),4248)</f>
        <v>4248</v>
      </c>
      <c r="AN265" s="8">
        <f ca="1">IFERROR(__xludf.DUMMYFUNCTION("""COMPUTED_VALUE"""),1649)</f>
        <v>1649</v>
      </c>
      <c r="AO265" s="8">
        <f ca="1">IFERROR(__xludf.DUMMYFUNCTION("""COMPUTED_VALUE"""),3163)</f>
        <v>3163</v>
      </c>
      <c r="AP265" s="8"/>
      <c r="AQ265" s="8"/>
      <c r="AR265" s="8"/>
      <c r="AS265" s="8"/>
      <c r="AT265" s="8"/>
      <c r="AU265" s="8"/>
      <c r="AV265" s="8"/>
      <c r="AW265" s="8"/>
      <c r="AX265" s="8"/>
      <c r="AY265" s="8"/>
    </row>
    <row r="266" spans="1:51" ht="13.2" x14ac:dyDescent="0.25">
      <c r="A266" s="12" t="str">
        <f ca="1">IFERROR(__xludf.DUMMYFUNCTION("""COMPUTED_VALUE"""),"               right Lateral amygdalar nucleus")</f>
        <v xml:space="preserve">               right Lateral amygdalar nucleus</v>
      </c>
      <c r="B266" s="12">
        <f ca="1">IFERROR(__xludf.DUMMYFUNCTION("""COMPUTED_VALUE"""),2151)</f>
        <v>2151</v>
      </c>
      <c r="C266" s="12">
        <f ca="1">IFERROR(__xludf.DUMMYFUNCTION("""COMPUTED_VALUE"""),6114)</f>
        <v>6114</v>
      </c>
      <c r="D266" s="12">
        <f ca="1">IFERROR(__xludf.DUMMYFUNCTION("""COMPUTED_VALUE"""),7895)</f>
        <v>7895</v>
      </c>
      <c r="E266" s="12">
        <f ca="1">IFERROR(__xludf.DUMMYFUNCTION("""COMPUTED_VALUE"""),2051)</f>
        <v>2051</v>
      </c>
      <c r="F266" s="12">
        <f ca="1">IFERROR(__xludf.DUMMYFUNCTION("""COMPUTED_VALUE"""),11053)</f>
        <v>11053</v>
      </c>
      <c r="G266" s="12">
        <f ca="1">IFERROR(__xludf.DUMMYFUNCTION("""COMPUTED_VALUE"""),3214)</f>
        <v>3214</v>
      </c>
      <c r="H266" s="12">
        <f ca="1">IFERROR(__xludf.DUMMYFUNCTION("""COMPUTED_VALUE"""),849)</f>
        <v>849</v>
      </c>
      <c r="I266" s="12">
        <f ca="1">IFERROR(__xludf.DUMMYFUNCTION("""COMPUTED_VALUE"""),3741)</f>
        <v>3741</v>
      </c>
      <c r="J266" s="12">
        <f ca="1">IFERROR(__xludf.DUMMYFUNCTION("""COMPUTED_VALUE"""),5077)</f>
        <v>5077</v>
      </c>
      <c r="K266" s="12">
        <f ca="1">IFERROR(__xludf.DUMMYFUNCTION("""COMPUTED_VALUE"""),2783)</f>
        <v>2783</v>
      </c>
      <c r="L266" s="12">
        <f ca="1">IFERROR(__xludf.DUMMYFUNCTION("""COMPUTED_VALUE"""),4990)</f>
        <v>4990</v>
      </c>
      <c r="M266" s="12">
        <f ca="1">IFERROR(__xludf.DUMMYFUNCTION("""COMPUTED_VALUE"""),3105)</f>
        <v>3105</v>
      </c>
      <c r="N266" s="12">
        <f ca="1">IFERROR(__xludf.DUMMYFUNCTION("""COMPUTED_VALUE"""),2403)</f>
        <v>2403</v>
      </c>
      <c r="O266" s="12">
        <f ca="1">IFERROR(__xludf.DUMMYFUNCTION("""COMPUTED_VALUE"""),4330)</f>
        <v>4330</v>
      </c>
      <c r="P266" s="12">
        <f ca="1">IFERROR(__xludf.DUMMYFUNCTION("""COMPUTED_VALUE"""),4323)</f>
        <v>4323</v>
      </c>
      <c r="Q266" s="12">
        <f ca="1">IFERROR(__xludf.DUMMYFUNCTION("""COMPUTED_VALUE"""),1807)</f>
        <v>1807</v>
      </c>
      <c r="R266" s="12">
        <f ca="1">IFERROR(__xludf.DUMMYFUNCTION("""COMPUTED_VALUE"""),3064)</f>
        <v>3064</v>
      </c>
      <c r="S266" s="12">
        <f ca="1">IFERROR(__xludf.DUMMYFUNCTION("""COMPUTED_VALUE"""),809)</f>
        <v>809</v>
      </c>
      <c r="T266" s="12">
        <f ca="1">IFERROR(__xludf.DUMMYFUNCTION("""COMPUTED_VALUE"""),4883)</f>
        <v>4883</v>
      </c>
      <c r="U266" s="12">
        <f ca="1">IFERROR(__xludf.DUMMYFUNCTION("""COMPUTED_VALUE"""),3473)</f>
        <v>3473</v>
      </c>
      <c r="V266" s="12">
        <f ca="1">IFERROR(__xludf.DUMMYFUNCTION("""COMPUTED_VALUE"""),4388)</f>
        <v>4388</v>
      </c>
      <c r="W266" s="12">
        <f ca="1">IFERROR(__xludf.DUMMYFUNCTION("""COMPUTED_VALUE"""),6723)</f>
        <v>6723</v>
      </c>
      <c r="X266" s="12">
        <f ca="1">IFERROR(__xludf.DUMMYFUNCTION("""COMPUTED_VALUE"""),19452)</f>
        <v>19452</v>
      </c>
      <c r="Y266" s="12">
        <f ca="1">IFERROR(__xludf.DUMMYFUNCTION("""COMPUTED_VALUE"""),4433)</f>
        <v>4433</v>
      </c>
      <c r="Z266" s="12">
        <f ca="1">IFERROR(__xludf.DUMMYFUNCTION("""COMPUTED_VALUE"""),10604)</f>
        <v>10604</v>
      </c>
      <c r="AA266" s="12">
        <f ca="1">IFERROR(__xludf.DUMMYFUNCTION("""COMPUTED_VALUE"""),9048)</f>
        <v>9048</v>
      </c>
      <c r="AB266" s="12">
        <f ca="1">IFERROR(__xludf.DUMMYFUNCTION("""COMPUTED_VALUE"""),5002)</f>
        <v>5002</v>
      </c>
      <c r="AC266" s="12">
        <f ca="1">IFERROR(__xludf.DUMMYFUNCTION("""COMPUTED_VALUE"""),2663)</f>
        <v>2663</v>
      </c>
      <c r="AD266" s="12">
        <f ca="1">IFERROR(__xludf.DUMMYFUNCTION("""COMPUTED_VALUE"""),4022)</f>
        <v>4022</v>
      </c>
      <c r="AE266" s="12">
        <f ca="1">IFERROR(__xludf.DUMMYFUNCTION("""COMPUTED_VALUE"""),2625)</f>
        <v>2625</v>
      </c>
      <c r="AF266" s="8">
        <f ca="1">IFERROR(__xludf.DUMMYFUNCTION("""COMPUTED_VALUE"""),6594)</f>
        <v>6594</v>
      </c>
      <c r="AG266" s="8">
        <f ca="1">IFERROR(__xludf.DUMMYFUNCTION("""COMPUTED_VALUE"""),4192)</f>
        <v>4192</v>
      </c>
      <c r="AH266" s="8">
        <f ca="1">IFERROR(__xludf.DUMMYFUNCTION("""COMPUTED_VALUE"""),8706)</f>
        <v>8706</v>
      </c>
      <c r="AI266" s="8">
        <f ca="1">IFERROR(__xludf.DUMMYFUNCTION("""COMPUTED_VALUE"""),5573)</f>
        <v>5573</v>
      </c>
      <c r="AJ266" s="8">
        <f ca="1">IFERROR(__xludf.DUMMYFUNCTION("""COMPUTED_VALUE"""),3925)</f>
        <v>3925</v>
      </c>
      <c r="AK266" s="8">
        <f ca="1">IFERROR(__xludf.DUMMYFUNCTION("""COMPUTED_VALUE"""),1330)</f>
        <v>1330</v>
      </c>
      <c r="AL266" s="8">
        <f ca="1">IFERROR(__xludf.DUMMYFUNCTION("""COMPUTED_VALUE"""),1734)</f>
        <v>1734</v>
      </c>
      <c r="AM266" s="8">
        <f ca="1">IFERROR(__xludf.DUMMYFUNCTION("""COMPUTED_VALUE"""),3988)</f>
        <v>3988</v>
      </c>
      <c r="AN266" s="8">
        <f ca="1">IFERROR(__xludf.DUMMYFUNCTION("""COMPUTED_VALUE"""),2690)</f>
        <v>2690</v>
      </c>
      <c r="AO266" s="8">
        <f ca="1">IFERROR(__xludf.DUMMYFUNCTION("""COMPUTED_VALUE"""),3220)</f>
        <v>3220</v>
      </c>
      <c r="AP266" s="8"/>
      <c r="AQ266" s="8"/>
      <c r="AR266" s="8"/>
      <c r="AS266" s="8"/>
      <c r="AT266" s="8"/>
      <c r="AU266" s="8"/>
      <c r="AV266" s="8"/>
      <c r="AW266" s="8"/>
      <c r="AX266" s="8"/>
      <c r="AY266" s="8"/>
    </row>
    <row r="267" spans="1:51" ht="13.2" x14ac:dyDescent="0.25">
      <c r="A267" s="12" t="str">
        <f ca="1">IFERROR(__xludf.DUMMYFUNCTION("""COMPUTED_VALUE"""),"               right Basolateral amygdalar nucleus")</f>
        <v xml:space="preserve">               right Basolateral amygdalar nucleus</v>
      </c>
      <c r="B267" s="12">
        <f ca="1">IFERROR(__xludf.DUMMYFUNCTION("""COMPUTED_VALUE"""),2565)</f>
        <v>2565</v>
      </c>
      <c r="C267" s="12">
        <f ca="1">IFERROR(__xludf.DUMMYFUNCTION("""COMPUTED_VALUE"""),7852)</f>
        <v>7852</v>
      </c>
      <c r="D267" s="12">
        <f ca="1">IFERROR(__xludf.DUMMYFUNCTION("""COMPUTED_VALUE"""),5262)</f>
        <v>5262</v>
      </c>
      <c r="E267" s="12">
        <f ca="1">IFERROR(__xludf.DUMMYFUNCTION("""COMPUTED_VALUE"""),1614)</f>
        <v>1614</v>
      </c>
      <c r="F267" s="12">
        <f ca="1">IFERROR(__xludf.DUMMYFUNCTION("""COMPUTED_VALUE"""),9376)</f>
        <v>9376</v>
      </c>
      <c r="G267" s="12">
        <f ca="1">IFERROR(__xludf.DUMMYFUNCTION("""COMPUTED_VALUE"""),4652)</f>
        <v>4652</v>
      </c>
      <c r="H267" s="12">
        <f ca="1">IFERROR(__xludf.DUMMYFUNCTION("""COMPUTED_VALUE"""),2709)</f>
        <v>2709</v>
      </c>
      <c r="I267" s="12">
        <f ca="1">IFERROR(__xludf.DUMMYFUNCTION("""COMPUTED_VALUE"""),1895)</f>
        <v>1895</v>
      </c>
      <c r="J267" s="12">
        <f ca="1">IFERROR(__xludf.DUMMYFUNCTION("""COMPUTED_VALUE"""),3706)</f>
        <v>3706</v>
      </c>
      <c r="K267" s="12">
        <f ca="1">IFERROR(__xludf.DUMMYFUNCTION("""COMPUTED_VALUE"""),4781)</f>
        <v>4781</v>
      </c>
      <c r="L267" s="12">
        <f ca="1">IFERROR(__xludf.DUMMYFUNCTION("""COMPUTED_VALUE"""),5822)</f>
        <v>5822</v>
      </c>
      <c r="M267" s="12">
        <f ca="1">IFERROR(__xludf.DUMMYFUNCTION("""COMPUTED_VALUE"""),6894)</f>
        <v>6894</v>
      </c>
      <c r="N267" s="12">
        <f ca="1">IFERROR(__xludf.DUMMYFUNCTION("""COMPUTED_VALUE"""),4513)</f>
        <v>4513</v>
      </c>
      <c r="O267" s="12">
        <f ca="1">IFERROR(__xludf.DUMMYFUNCTION("""COMPUTED_VALUE"""),4293)</f>
        <v>4293</v>
      </c>
      <c r="P267" s="12">
        <f ca="1">IFERROR(__xludf.DUMMYFUNCTION("""COMPUTED_VALUE"""),2709)</f>
        <v>2709</v>
      </c>
      <c r="Q267" s="12">
        <f ca="1">IFERROR(__xludf.DUMMYFUNCTION("""COMPUTED_VALUE"""),3035)</f>
        <v>3035</v>
      </c>
      <c r="R267" s="12">
        <f ca="1">IFERROR(__xludf.DUMMYFUNCTION("""COMPUTED_VALUE"""),4597)</f>
        <v>4597</v>
      </c>
      <c r="S267" s="12">
        <f ca="1">IFERROR(__xludf.DUMMYFUNCTION("""COMPUTED_VALUE"""),1489)</f>
        <v>1489</v>
      </c>
      <c r="T267" s="12">
        <f ca="1">IFERROR(__xludf.DUMMYFUNCTION("""COMPUTED_VALUE"""),7887)</f>
        <v>7887</v>
      </c>
      <c r="U267" s="12">
        <f ca="1">IFERROR(__xludf.DUMMYFUNCTION("""COMPUTED_VALUE"""),4725)</f>
        <v>4725</v>
      </c>
      <c r="V267" s="12">
        <f ca="1">IFERROR(__xludf.DUMMYFUNCTION("""COMPUTED_VALUE"""),7167)</f>
        <v>7167</v>
      </c>
      <c r="W267" s="12">
        <f ca="1">IFERROR(__xludf.DUMMYFUNCTION("""COMPUTED_VALUE"""),11280)</f>
        <v>11280</v>
      </c>
      <c r="X267" s="12">
        <f ca="1">IFERROR(__xludf.DUMMYFUNCTION("""COMPUTED_VALUE"""),20454)</f>
        <v>20454</v>
      </c>
      <c r="Y267" s="12">
        <f ca="1">IFERROR(__xludf.DUMMYFUNCTION("""COMPUTED_VALUE"""),8078)</f>
        <v>8078</v>
      </c>
      <c r="Z267" s="12">
        <f ca="1">IFERROR(__xludf.DUMMYFUNCTION("""COMPUTED_VALUE"""),11319)</f>
        <v>11319</v>
      </c>
      <c r="AA267" s="12">
        <f ca="1">IFERROR(__xludf.DUMMYFUNCTION("""COMPUTED_VALUE"""),12955)</f>
        <v>12955</v>
      </c>
      <c r="AB267" s="12">
        <f ca="1">IFERROR(__xludf.DUMMYFUNCTION("""COMPUTED_VALUE"""),7638)</f>
        <v>7638</v>
      </c>
      <c r="AC267" s="12">
        <f ca="1">IFERROR(__xludf.DUMMYFUNCTION("""COMPUTED_VALUE"""),2704)</f>
        <v>2704</v>
      </c>
      <c r="AD267" s="12">
        <f ca="1">IFERROR(__xludf.DUMMYFUNCTION("""COMPUTED_VALUE"""),6571)</f>
        <v>6571</v>
      </c>
      <c r="AE267" s="12">
        <f ca="1">IFERROR(__xludf.DUMMYFUNCTION("""COMPUTED_VALUE"""),6922)</f>
        <v>6922</v>
      </c>
      <c r="AF267" s="8">
        <f ca="1">IFERROR(__xludf.DUMMYFUNCTION("""COMPUTED_VALUE"""),10775)</f>
        <v>10775</v>
      </c>
      <c r="AG267" s="8">
        <f ca="1">IFERROR(__xludf.DUMMYFUNCTION("""COMPUTED_VALUE"""),7449)</f>
        <v>7449</v>
      </c>
      <c r="AH267" s="8">
        <f ca="1">IFERROR(__xludf.DUMMYFUNCTION("""COMPUTED_VALUE"""),13182)</f>
        <v>13182</v>
      </c>
      <c r="AI267" s="8">
        <f ca="1">IFERROR(__xludf.DUMMYFUNCTION("""COMPUTED_VALUE"""),6009)</f>
        <v>6009</v>
      </c>
      <c r="AJ267" s="8">
        <f ca="1">IFERROR(__xludf.DUMMYFUNCTION("""COMPUTED_VALUE"""),3819)</f>
        <v>3819</v>
      </c>
      <c r="AK267" s="8">
        <f ca="1">IFERROR(__xludf.DUMMYFUNCTION("""COMPUTED_VALUE"""),1768)</f>
        <v>1768</v>
      </c>
      <c r="AL267" s="8">
        <f ca="1">IFERROR(__xludf.DUMMYFUNCTION("""COMPUTED_VALUE"""),2588)</f>
        <v>2588</v>
      </c>
      <c r="AM267" s="8">
        <f ca="1">IFERROR(__xludf.DUMMYFUNCTION("""COMPUTED_VALUE"""),9783)</f>
        <v>9783</v>
      </c>
      <c r="AN267" s="8">
        <f ca="1">IFERROR(__xludf.DUMMYFUNCTION("""COMPUTED_VALUE"""),3562)</f>
        <v>3562</v>
      </c>
      <c r="AO267" s="8">
        <f ca="1">IFERROR(__xludf.DUMMYFUNCTION("""COMPUTED_VALUE"""),6455)</f>
        <v>6455</v>
      </c>
      <c r="AP267" s="8"/>
      <c r="AQ267" s="8"/>
      <c r="AR267" s="8"/>
      <c r="AS267" s="8"/>
      <c r="AT267" s="8"/>
      <c r="AU267" s="8"/>
      <c r="AV267" s="8"/>
      <c r="AW267" s="8"/>
      <c r="AX267" s="8"/>
      <c r="AY267" s="8"/>
    </row>
    <row r="268" spans="1:51" ht="13.2" x14ac:dyDescent="0.25">
      <c r="A268" s="12" t="str">
        <f ca="1">IFERROR(__xludf.DUMMYFUNCTION("""COMPUTED_VALUE"""),"                  right Basolateral amygdalar nucleus, anterior part")</f>
        <v xml:space="preserve">                  right Basolateral amygdalar nucleus, anterior part</v>
      </c>
      <c r="B268" s="12">
        <f ca="1">IFERROR(__xludf.DUMMYFUNCTION("""COMPUTED_VALUE"""),1667)</f>
        <v>1667</v>
      </c>
      <c r="C268" s="12">
        <f ca="1">IFERROR(__xludf.DUMMYFUNCTION("""COMPUTED_VALUE"""),4248)</f>
        <v>4248</v>
      </c>
      <c r="D268" s="12">
        <f ca="1">IFERROR(__xludf.DUMMYFUNCTION("""COMPUTED_VALUE"""),2455)</f>
        <v>2455</v>
      </c>
      <c r="E268" s="12">
        <f ca="1">IFERROR(__xludf.DUMMYFUNCTION("""COMPUTED_VALUE"""),1208)</f>
        <v>1208</v>
      </c>
      <c r="F268" s="12">
        <f ca="1">IFERROR(__xludf.DUMMYFUNCTION("""COMPUTED_VALUE"""),5003)</f>
        <v>5003</v>
      </c>
      <c r="G268" s="12">
        <f ca="1">IFERROR(__xludf.DUMMYFUNCTION("""COMPUTED_VALUE"""),2511)</f>
        <v>2511</v>
      </c>
      <c r="H268" s="12">
        <f ca="1">IFERROR(__xludf.DUMMYFUNCTION("""COMPUTED_VALUE"""),1244)</f>
        <v>1244</v>
      </c>
      <c r="I268" s="12">
        <f ca="1">IFERROR(__xludf.DUMMYFUNCTION("""COMPUTED_VALUE"""),1333)</f>
        <v>1333</v>
      </c>
      <c r="J268" s="12">
        <f ca="1">IFERROR(__xludf.DUMMYFUNCTION("""COMPUTED_VALUE"""),2165)</f>
        <v>2165</v>
      </c>
      <c r="K268" s="12">
        <f ca="1">IFERROR(__xludf.DUMMYFUNCTION("""COMPUTED_VALUE"""),2425)</f>
        <v>2425</v>
      </c>
      <c r="L268" s="12">
        <f ca="1">IFERROR(__xludf.DUMMYFUNCTION("""COMPUTED_VALUE"""),3026)</f>
        <v>3026</v>
      </c>
      <c r="M268" s="12">
        <f ca="1">IFERROR(__xludf.DUMMYFUNCTION("""COMPUTED_VALUE"""),3246)</f>
        <v>3246</v>
      </c>
      <c r="N268" s="12">
        <f ca="1">IFERROR(__xludf.DUMMYFUNCTION("""COMPUTED_VALUE"""),2022)</f>
        <v>2022</v>
      </c>
      <c r="O268" s="12">
        <f ca="1">IFERROR(__xludf.DUMMYFUNCTION("""COMPUTED_VALUE"""),2812)</f>
        <v>2812</v>
      </c>
      <c r="P268" s="12">
        <f ca="1">IFERROR(__xludf.DUMMYFUNCTION("""COMPUTED_VALUE"""),1460)</f>
        <v>1460</v>
      </c>
      <c r="Q268" s="12">
        <f ca="1">IFERROR(__xludf.DUMMYFUNCTION("""COMPUTED_VALUE"""),1819)</f>
        <v>1819</v>
      </c>
      <c r="R268" s="12">
        <f ca="1">IFERROR(__xludf.DUMMYFUNCTION("""COMPUTED_VALUE"""),2423)</f>
        <v>2423</v>
      </c>
      <c r="S268" s="12">
        <f ca="1">IFERROR(__xludf.DUMMYFUNCTION("""COMPUTED_VALUE"""),638)</f>
        <v>638</v>
      </c>
      <c r="T268" s="12">
        <f ca="1">IFERROR(__xludf.DUMMYFUNCTION("""COMPUTED_VALUE"""),3897)</f>
        <v>3897</v>
      </c>
      <c r="U268" s="12">
        <f ca="1">IFERROR(__xludf.DUMMYFUNCTION("""COMPUTED_VALUE"""),1265)</f>
        <v>1265</v>
      </c>
      <c r="V268" s="12">
        <f ca="1">IFERROR(__xludf.DUMMYFUNCTION("""COMPUTED_VALUE"""),2964)</f>
        <v>2964</v>
      </c>
      <c r="W268" s="12">
        <f ca="1">IFERROR(__xludf.DUMMYFUNCTION("""COMPUTED_VALUE"""),6372)</f>
        <v>6372</v>
      </c>
      <c r="X268" s="12">
        <f ca="1">IFERROR(__xludf.DUMMYFUNCTION("""COMPUTED_VALUE"""),10116)</f>
        <v>10116</v>
      </c>
      <c r="Y268" s="12">
        <f ca="1">IFERROR(__xludf.DUMMYFUNCTION("""COMPUTED_VALUE"""),3793)</f>
        <v>3793</v>
      </c>
      <c r="Z268" s="12">
        <f ca="1">IFERROR(__xludf.DUMMYFUNCTION("""COMPUTED_VALUE"""),5965)</f>
        <v>5965</v>
      </c>
      <c r="AA268" s="12">
        <f ca="1">IFERROR(__xludf.DUMMYFUNCTION("""COMPUTED_VALUE"""),7042)</f>
        <v>7042</v>
      </c>
      <c r="AB268" s="12">
        <f ca="1">IFERROR(__xludf.DUMMYFUNCTION("""COMPUTED_VALUE"""),4453)</f>
        <v>4453</v>
      </c>
      <c r="AC268" s="12">
        <f ca="1">IFERROR(__xludf.DUMMYFUNCTION("""COMPUTED_VALUE"""),958)</f>
        <v>958</v>
      </c>
      <c r="AD268" s="12">
        <f ca="1">IFERROR(__xludf.DUMMYFUNCTION("""COMPUTED_VALUE"""),2691)</f>
        <v>2691</v>
      </c>
      <c r="AE268" s="12">
        <f ca="1">IFERROR(__xludf.DUMMYFUNCTION("""COMPUTED_VALUE"""),3849)</f>
        <v>3849</v>
      </c>
      <c r="AF268" s="8">
        <f ca="1">IFERROR(__xludf.DUMMYFUNCTION("""COMPUTED_VALUE"""),5848)</f>
        <v>5848</v>
      </c>
      <c r="AG268" s="8">
        <f ca="1">IFERROR(__xludf.DUMMYFUNCTION("""COMPUTED_VALUE"""),3819)</f>
        <v>3819</v>
      </c>
      <c r="AH268" s="8">
        <f ca="1">IFERROR(__xludf.DUMMYFUNCTION("""COMPUTED_VALUE"""),5776)</f>
        <v>5776</v>
      </c>
      <c r="AI268" s="8">
        <f ca="1">IFERROR(__xludf.DUMMYFUNCTION("""COMPUTED_VALUE"""),2697)</f>
        <v>2697</v>
      </c>
      <c r="AJ268" s="8">
        <f ca="1">IFERROR(__xludf.DUMMYFUNCTION("""COMPUTED_VALUE"""),2036)</f>
        <v>2036</v>
      </c>
      <c r="AK268" s="8">
        <f ca="1">IFERROR(__xludf.DUMMYFUNCTION("""COMPUTED_VALUE"""),626)</f>
        <v>626</v>
      </c>
      <c r="AL268" s="8">
        <f ca="1">IFERROR(__xludf.DUMMYFUNCTION("""COMPUTED_VALUE"""),1496)</f>
        <v>1496</v>
      </c>
      <c r="AM268" s="8">
        <f ca="1">IFERROR(__xludf.DUMMYFUNCTION("""COMPUTED_VALUE"""),4151)</f>
        <v>4151</v>
      </c>
      <c r="AN268" s="8">
        <f ca="1">IFERROR(__xludf.DUMMYFUNCTION("""COMPUTED_VALUE"""),1686)</f>
        <v>1686</v>
      </c>
      <c r="AO268" s="8">
        <f ca="1">IFERROR(__xludf.DUMMYFUNCTION("""COMPUTED_VALUE"""),2758)</f>
        <v>2758</v>
      </c>
      <c r="AP268" s="8"/>
      <c r="AQ268" s="8"/>
      <c r="AR268" s="8"/>
      <c r="AS268" s="8"/>
      <c r="AT268" s="8"/>
      <c r="AU268" s="8"/>
      <c r="AV268" s="8"/>
      <c r="AW268" s="8"/>
      <c r="AX268" s="8"/>
      <c r="AY268" s="8"/>
    </row>
    <row r="269" spans="1:51" ht="13.2" x14ac:dyDescent="0.25">
      <c r="A269" s="12" t="str">
        <f ca="1">IFERROR(__xludf.DUMMYFUNCTION("""COMPUTED_VALUE"""),"                  right Basolateral amygdalar nucleus, posterior part")</f>
        <v xml:space="preserve">                  right Basolateral amygdalar nucleus, posterior part</v>
      </c>
      <c r="B269" s="12">
        <f ca="1">IFERROR(__xludf.DUMMYFUNCTION("""COMPUTED_VALUE"""),583)</f>
        <v>583</v>
      </c>
      <c r="C269" s="12">
        <f ca="1">IFERROR(__xludf.DUMMYFUNCTION("""COMPUTED_VALUE"""),2712)</f>
        <v>2712</v>
      </c>
      <c r="D269" s="12">
        <f ca="1">IFERROR(__xludf.DUMMYFUNCTION("""COMPUTED_VALUE"""),2146)</f>
        <v>2146</v>
      </c>
      <c r="E269" s="12">
        <f ca="1">IFERROR(__xludf.DUMMYFUNCTION("""COMPUTED_VALUE"""),246)</f>
        <v>246</v>
      </c>
      <c r="F269" s="12">
        <f ca="1">IFERROR(__xludf.DUMMYFUNCTION("""COMPUTED_VALUE"""),3169)</f>
        <v>3169</v>
      </c>
      <c r="G269" s="12">
        <f ca="1">IFERROR(__xludf.DUMMYFUNCTION("""COMPUTED_VALUE"""),1686)</f>
        <v>1686</v>
      </c>
      <c r="H269" s="12">
        <f ca="1">IFERROR(__xludf.DUMMYFUNCTION("""COMPUTED_VALUE"""),1236)</f>
        <v>1236</v>
      </c>
      <c r="I269" s="12">
        <f ca="1">IFERROR(__xludf.DUMMYFUNCTION("""COMPUTED_VALUE"""),460)</f>
        <v>460</v>
      </c>
      <c r="J269" s="12">
        <f ca="1">IFERROR(__xludf.DUMMYFUNCTION("""COMPUTED_VALUE"""),1244)</f>
        <v>1244</v>
      </c>
      <c r="K269" s="12">
        <f ca="1">IFERROR(__xludf.DUMMYFUNCTION("""COMPUTED_VALUE"""),1577)</f>
        <v>1577</v>
      </c>
      <c r="L269" s="12">
        <f ca="1">IFERROR(__xludf.DUMMYFUNCTION("""COMPUTED_VALUE"""),2019)</f>
        <v>2019</v>
      </c>
      <c r="M269" s="12">
        <f ca="1">IFERROR(__xludf.DUMMYFUNCTION("""COMPUTED_VALUE"""),1832)</f>
        <v>1832</v>
      </c>
      <c r="N269" s="12">
        <f ca="1">IFERROR(__xludf.DUMMYFUNCTION("""COMPUTED_VALUE"""),1855)</f>
        <v>1855</v>
      </c>
      <c r="O269" s="12">
        <f ca="1">IFERROR(__xludf.DUMMYFUNCTION("""COMPUTED_VALUE"""),947)</f>
        <v>947</v>
      </c>
      <c r="P269" s="12">
        <f ca="1">IFERROR(__xludf.DUMMYFUNCTION("""COMPUTED_VALUE"""),1078)</f>
        <v>1078</v>
      </c>
      <c r="Q269" s="12">
        <f ca="1">IFERROR(__xludf.DUMMYFUNCTION("""COMPUTED_VALUE"""),820)</f>
        <v>820</v>
      </c>
      <c r="R269" s="12">
        <f ca="1">IFERROR(__xludf.DUMMYFUNCTION("""COMPUTED_VALUE"""),1546)</f>
        <v>1546</v>
      </c>
      <c r="S269" s="12">
        <f ca="1">IFERROR(__xludf.DUMMYFUNCTION("""COMPUTED_VALUE"""),365)</f>
        <v>365</v>
      </c>
      <c r="T269" s="12">
        <f ca="1">IFERROR(__xludf.DUMMYFUNCTION("""COMPUTED_VALUE"""),2496)</f>
        <v>2496</v>
      </c>
      <c r="U269" s="12">
        <f ca="1">IFERROR(__xludf.DUMMYFUNCTION("""COMPUTED_VALUE"""),2966)</f>
        <v>2966</v>
      </c>
      <c r="V269" s="12">
        <f ca="1">IFERROR(__xludf.DUMMYFUNCTION("""COMPUTED_VALUE"""),2702)</f>
        <v>2702</v>
      </c>
      <c r="W269" s="12">
        <f ca="1">IFERROR(__xludf.DUMMYFUNCTION("""COMPUTED_VALUE"""),3981)</f>
        <v>3981</v>
      </c>
      <c r="X269" s="12">
        <f ca="1">IFERROR(__xludf.DUMMYFUNCTION("""COMPUTED_VALUE"""),6943)</f>
        <v>6943</v>
      </c>
      <c r="Y269" s="12">
        <f ca="1">IFERROR(__xludf.DUMMYFUNCTION("""COMPUTED_VALUE"""),3259)</f>
        <v>3259</v>
      </c>
      <c r="Z269" s="12">
        <f ca="1">IFERROR(__xludf.DUMMYFUNCTION("""COMPUTED_VALUE"""),3267)</f>
        <v>3267</v>
      </c>
      <c r="AA269" s="12">
        <f ca="1">IFERROR(__xludf.DUMMYFUNCTION("""COMPUTED_VALUE"""),4614)</f>
        <v>4614</v>
      </c>
      <c r="AB269" s="12">
        <f ca="1">IFERROR(__xludf.DUMMYFUNCTION("""COMPUTED_VALUE"""),2381)</f>
        <v>2381</v>
      </c>
      <c r="AC269" s="12">
        <f ca="1">IFERROR(__xludf.DUMMYFUNCTION("""COMPUTED_VALUE"""),1315)</f>
        <v>1315</v>
      </c>
      <c r="AD269" s="12">
        <f ca="1">IFERROR(__xludf.DUMMYFUNCTION("""COMPUTED_VALUE"""),3070)</f>
        <v>3070</v>
      </c>
      <c r="AE269" s="12">
        <f ca="1">IFERROR(__xludf.DUMMYFUNCTION("""COMPUTED_VALUE"""),2410)</f>
        <v>2410</v>
      </c>
      <c r="AF269" s="8">
        <f ca="1">IFERROR(__xludf.DUMMYFUNCTION("""COMPUTED_VALUE"""),3069)</f>
        <v>3069</v>
      </c>
      <c r="AG269" s="8">
        <f ca="1">IFERROR(__xludf.DUMMYFUNCTION("""COMPUTED_VALUE"""),3003)</f>
        <v>3003</v>
      </c>
      <c r="AH269" s="8">
        <f ca="1">IFERROR(__xludf.DUMMYFUNCTION("""COMPUTED_VALUE"""),5628)</f>
        <v>5628</v>
      </c>
      <c r="AI269" s="8">
        <f ca="1">IFERROR(__xludf.DUMMYFUNCTION("""COMPUTED_VALUE"""),2609)</f>
        <v>2609</v>
      </c>
      <c r="AJ269" s="8">
        <f ca="1">IFERROR(__xludf.DUMMYFUNCTION("""COMPUTED_VALUE"""),1250)</f>
        <v>1250</v>
      </c>
      <c r="AK269" s="8">
        <f ca="1">IFERROR(__xludf.DUMMYFUNCTION("""COMPUTED_VALUE"""),838)</f>
        <v>838</v>
      </c>
      <c r="AL269" s="8">
        <f ca="1">IFERROR(__xludf.DUMMYFUNCTION("""COMPUTED_VALUE"""),820)</f>
        <v>820</v>
      </c>
      <c r="AM269" s="8">
        <f ca="1">IFERROR(__xludf.DUMMYFUNCTION("""COMPUTED_VALUE"""),3974)</f>
        <v>3974</v>
      </c>
      <c r="AN269" s="8">
        <f ca="1">IFERROR(__xludf.DUMMYFUNCTION("""COMPUTED_VALUE"""),1537)</f>
        <v>1537</v>
      </c>
      <c r="AO269" s="8">
        <f ca="1">IFERROR(__xludf.DUMMYFUNCTION("""COMPUTED_VALUE"""),2617)</f>
        <v>2617</v>
      </c>
      <c r="AP269" s="8"/>
      <c r="AQ269" s="8"/>
      <c r="AR269" s="8"/>
      <c r="AS269" s="8"/>
      <c r="AT269" s="8"/>
      <c r="AU269" s="8"/>
      <c r="AV269" s="8"/>
      <c r="AW269" s="8"/>
      <c r="AX269" s="8"/>
      <c r="AY269" s="8"/>
    </row>
    <row r="270" spans="1:51" ht="13.2" x14ac:dyDescent="0.25">
      <c r="A270" s="12" t="str">
        <f ca="1">IFERROR(__xludf.DUMMYFUNCTION("""COMPUTED_VALUE"""),"                  right Basolateral amygdalar nucleus, ventral part")</f>
        <v xml:space="preserve">                  right Basolateral amygdalar nucleus, ventral part</v>
      </c>
      <c r="B270" s="12">
        <f ca="1">IFERROR(__xludf.DUMMYFUNCTION("""COMPUTED_VALUE"""),315)</f>
        <v>315</v>
      </c>
      <c r="C270" s="12">
        <f ca="1">IFERROR(__xludf.DUMMYFUNCTION("""COMPUTED_VALUE"""),892)</f>
        <v>892</v>
      </c>
      <c r="D270" s="12">
        <f ca="1">IFERROR(__xludf.DUMMYFUNCTION("""COMPUTED_VALUE"""),661)</f>
        <v>661</v>
      </c>
      <c r="E270" s="12">
        <f ca="1">IFERROR(__xludf.DUMMYFUNCTION("""COMPUTED_VALUE"""),160)</f>
        <v>160</v>
      </c>
      <c r="F270" s="12">
        <f ca="1">IFERROR(__xludf.DUMMYFUNCTION("""COMPUTED_VALUE"""),1204)</f>
        <v>1204</v>
      </c>
      <c r="G270" s="12">
        <f ca="1">IFERROR(__xludf.DUMMYFUNCTION("""COMPUTED_VALUE"""),455)</f>
        <v>455</v>
      </c>
      <c r="H270" s="12">
        <f ca="1">IFERROR(__xludf.DUMMYFUNCTION("""COMPUTED_VALUE"""),229)</f>
        <v>229</v>
      </c>
      <c r="I270" s="12">
        <f ca="1">IFERROR(__xludf.DUMMYFUNCTION("""COMPUTED_VALUE"""),102)</f>
        <v>102</v>
      </c>
      <c r="J270" s="12">
        <f ca="1">IFERROR(__xludf.DUMMYFUNCTION("""COMPUTED_VALUE"""),297)</f>
        <v>297</v>
      </c>
      <c r="K270" s="12">
        <f ca="1">IFERROR(__xludf.DUMMYFUNCTION("""COMPUTED_VALUE"""),779)</f>
        <v>779</v>
      </c>
      <c r="L270" s="12">
        <f ca="1">IFERROR(__xludf.DUMMYFUNCTION("""COMPUTED_VALUE"""),777)</f>
        <v>777</v>
      </c>
      <c r="M270" s="12">
        <f ca="1">IFERROR(__xludf.DUMMYFUNCTION("""COMPUTED_VALUE"""),1816)</f>
        <v>1816</v>
      </c>
      <c r="N270" s="12">
        <f ca="1">IFERROR(__xludf.DUMMYFUNCTION("""COMPUTED_VALUE"""),636)</f>
        <v>636</v>
      </c>
      <c r="O270" s="12">
        <f ca="1">IFERROR(__xludf.DUMMYFUNCTION("""COMPUTED_VALUE"""),534)</f>
        <v>534</v>
      </c>
      <c r="P270" s="12">
        <f ca="1">IFERROR(__xludf.DUMMYFUNCTION("""COMPUTED_VALUE"""),171)</f>
        <v>171</v>
      </c>
      <c r="Q270" s="12">
        <f ca="1">IFERROR(__xludf.DUMMYFUNCTION("""COMPUTED_VALUE"""),396)</f>
        <v>396</v>
      </c>
      <c r="R270" s="12">
        <f ca="1">IFERROR(__xludf.DUMMYFUNCTION("""COMPUTED_VALUE"""),628)</f>
        <v>628</v>
      </c>
      <c r="S270" s="12">
        <f ca="1">IFERROR(__xludf.DUMMYFUNCTION("""COMPUTED_VALUE"""),486)</f>
        <v>486</v>
      </c>
      <c r="T270" s="12">
        <f ca="1">IFERROR(__xludf.DUMMYFUNCTION("""COMPUTED_VALUE"""),1494)</f>
        <v>1494</v>
      </c>
      <c r="U270" s="12">
        <f ca="1">IFERROR(__xludf.DUMMYFUNCTION("""COMPUTED_VALUE"""),494)</f>
        <v>494</v>
      </c>
      <c r="V270" s="12">
        <f ca="1">IFERROR(__xludf.DUMMYFUNCTION("""COMPUTED_VALUE"""),1501)</f>
        <v>1501</v>
      </c>
      <c r="W270" s="12">
        <f ca="1">IFERROR(__xludf.DUMMYFUNCTION("""COMPUTED_VALUE"""),927)</f>
        <v>927</v>
      </c>
      <c r="X270" s="12">
        <f ca="1">IFERROR(__xludf.DUMMYFUNCTION("""COMPUTED_VALUE"""),3395)</f>
        <v>3395</v>
      </c>
      <c r="Y270" s="12">
        <f ca="1">IFERROR(__xludf.DUMMYFUNCTION("""COMPUTED_VALUE"""),1026)</f>
        <v>1026</v>
      </c>
      <c r="Z270" s="12">
        <f ca="1">IFERROR(__xludf.DUMMYFUNCTION("""COMPUTED_VALUE"""),2087)</f>
        <v>2087</v>
      </c>
      <c r="AA270" s="12">
        <f ca="1">IFERROR(__xludf.DUMMYFUNCTION("""COMPUTED_VALUE"""),1299)</f>
        <v>1299</v>
      </c>
      <c r="AB270" s="12">
        <f ca="1">IFERROR(__xludf.DUMMYFUNCTION("""COMPUTED_VALUE"""),804)</f>
        <v>804</v>
      </c>
      <c r="AC270" s="12">
        <f ca="1">IFERROR(__xludf.DUMMYFUNCTION("""COMPUTED_VALUE"""),431)</f>
        <v>431</v>
      </c>
      <c r="AD270" s="12">
        <f ca="1">IFERROR(__xludf.DUMMYFUNCTION("""COMPUTED_VALUE"""),810)</f>
        <v>810</v>
      </c>
      <c r="AE270" s="12">
        <f ca="1">IFERROR(__xludf.DUMMYFUNCTION("""COMPUTED_VALUE"""),663)</f>
        <v>663</v>
      </c>
      <c r="AF270" s="8">
        <f ca="1">IFERROR(__xludf.DUMMYFUNCTION("""COMPUTED_VALUE"""),1858)</f>
        <v>1858</v>
      </c>
      <c r="AG270" s="8">
        <f ca="1">IFERROR(__xludf.DUMMYFUNCTION("""COMPUTED_VALUE"""),627)</f>
        <v>627</v>
      </c>
      <c r="AH270" s="8">
        <f ca="1">IFERROR(__xludf.DUMMYFUNCTION("""COMPUTED_VALUE"""),1778)</f>
        <v>1778</v>
      </c>
      <c r="AI270" s="8">
        <f ca="1">IFERROR(__xludf.DUMMYFUNCTION("""COMPUTED_VALUE"""),703)</f>
        <v>703</v>
      </c>
      <c r="AJ270" s="8">
        <f ca="1">IFERROR(__xludf.DUMMYFUNCTION("""COMPUTED_VALUE"""),533)</f>
        <v>533</v>
      </c>
      <c r="AK270" s="8">
        <f ca="1">IFERROR(__xludf.DUMMYFUNCTION("""COMPUTED_VALUE"""),304)</f>
        <v>304</v>
      </c>
      <c r="AL270" s="8">
        <f ca="1">IFERROR(__xludf.DUMMYFUNCTION("""COMPUTED_VALUE"""),272)</f>
        <v>272</v>
      </c>
      <c r="AM270" s="8">
        <f ca="1">IFERROR(__xludf.DUMMYFUNCTION("""COMPUTED_VALUE"""),1658)</f>
        <v>1658</v>
      </c>
      <c r="AN270" s="8">
        <f ca="1">IFERROR(__xludf.DUMMYFUNCTION("""COMPUTED_VALUE"""),339)</f>
        <v>339</v>
      </c>
      <c r="AO270" s="8">
        <f ca="1">IFERROR(__xludf.DUMMYFUNCTION("""COMPUTED_VALUE"""),1080)</f>
        <v>1080</v>
      </c>
      <c r="AP270" s="8"/>
      <c r="AQ270" s="8"/>
      <c r="AR270" s="8"/>
      <c r="AS270" s="8"/>
      <c r="AT270" s="8"/>
      <c r="AU270" s="8"/>
      <c r="AV270" s="8"/>
      <c r="AW270" s="8"/>
      <c r="AX270" s="8"/>
      <c r="AY270" s="8"/>
    </row>
    <row r="271" spans="1:51" ht="13.2" x14ac:dyDescent="0.25">
      <c r="A271" s="12" t="str">
        <f ca="1">IFERROR(__xludf.DUMMYFUNCTION("""COMPUTED_VALUE"""),"               right Basomedial amygdalar nucleus")</f>
        <v xml:space="preserve">               right Basomedial amygdalar nucleus</v>
      </c>
      <c r="B271" s="12">
        <f ca="1">IFERROR(__xludf.DUMMYFUNCTION("""COMPUTED_VALUE"""),2743)</f>
        <v>2743</v>
      </c>
      <c r="C271" s="12">
        <f ca="1">IFERROR(__xludf.DUMMYFUNCTION("""COMPUTED_VALUE"""),9085)</f>
        <v>9085</v>
      </c>
      <c r="D271" s="12">
        <f ca="1">IFERROR(__xludf.DUMMYFUNCTION("""COMPUTED_VALUE"""),3913)</f>
        <v>3913</v>
      </c>
      <c r="E271" s="12">
        <f ca="1">IFERROR(__xludf.DUMMYFUNCTION("""COMPUTED_VALUE"""),2765)</f>
        <v>2765</v>
      </c>
      <c r="F271" s="12">
        <f ca="1">IFERROR(__xludf.DUMMYFUNCTION("""COMPUTED_VALUE"""),5511)</f>
        <v>5511</v>
      </c>
      <c r="G271" s="12">
        <f ca="1">IFERROR(__xludf.DUMMYFUNCTION("""COMPUTED_VALUE"""),3018)</f>
        <v>3018</v>
      </c>
      <c r="H271" s="12">
        <f ca="1">IFERROR(__xludf.DUMMYFUNCTION("""COMPUTED_VALUE"""),2235)</f>
        <v>2235</v>
      </c>
      <c r="I271" s="12">
        <f ca="1">IFERROR(__xludf.DUMMYFUNCTION("""COMPUTED_VALUE"""),2134)</f>
        <v>2134</v>
      </c>
      <c r="J271" s="12">
        <f ca="1">IFERROR(__xludf.DUMMYFUNCTION("""COMPUTED_VALUE"""),4515)</f>
        <v>4515</v>
      </c>
      <c r="K271" s="12">
        <f ca="1">IFERROR(__xludf.DUMMYFUNCTION("""COMPUTED_VALUE"""),6433)</f>
        <v>6433</v>
      </c>
      <c r="L271" s="12">
        <f ca="1">IFERROR(__xludf.DUMMYFUNCTION("""COMPUTED_VALUE"""),4882)</f>
        <v>4882</v>
      </c>
      <c r="M271" s="12">
        <f ca="1">IFERROR(__xludf.DUMMYFUNCTION("""COMPUTED_VALUE"""),4789)</f>
        <v>4789</v>
      </c>
      <c r="N271" s="12">
        <f ca="1">IFERROR(__xludf.DUMMYFUNCTION("""COMPUTED_VALUE"""),2617)</f>
        <v>2617</v>
      </c>
      <c r="O271" s="12">
        <f ca="1">IFERROR(__xludf.DUMMYFUNCTION("""COMPUTED_VALUE"""),4481)</f>
        <v>4481</v>
      </c>
      <c r="P271" s="12">
        <f ca="1">IFERROR(__xludf.DUMMYFUNCTION("""COMPUTED_VALUE"""),2871)</f>
        <v>2871</v>
      </c>
      <c r="Q271" s="12">
        <f ca="1">IFERROR(__xludf.DUMMYFUNCTION("""COMPUTED_VALUE"""),4781)</f>
        <v>4781</v>
      </c>
      <c r="R271" s="12">
        <f ca="1">IFERROR(__xludf.DUMMYFUNCTION("""COMPUTED_VALUE"""),4755)</f>
        <v>4755</v>
      </c>
      <c r="S271" s="12">
        <f ca="1">IFERROR(__xludf.DUMMYFUNCTION("""COMPUTED_VALUE"""),2041)</f>
        <v>2041</v>
      </c>
      <c r="T271" s="12">
        <f ca="1">IFERROR(__xludf.DUMMYFUNCTION("""COMPUTED_VALUE"""),6856)</f>
        <v>6856</v>
      </c>
      <c r="U271" s="12">
        <f ca="1">IFERROR(__xludf.DUMMYFUNCTION("""COMPUTED_VALUE"""),4329)</f>
        <v>4329</v>
      </c>
      <c r="V271" s="12">
        <f ca="1">IFERROR(__xludf.DUMMYFUNCTION("""COMPUTED_VALUE"""),7217)</f>
        <v>7217</v>
      </c>
      <c r="W271" s="12">
        <f ca="1">IFERROR(__xludf.DUMMYFUNCTION("""COMPUTED_VALUE"""),7595)</f>
        <v>7595</v>
      </c>
      <c r="X271" s="12">
        <f ca="1">IFERROR(__xludf.DUMMYFUNCTION("""COMPUTED_VALUE"""),13373)</f>
        <v>13373</v>
      </c>
      <c r="Y271" s="12">
        <f ca="1">IFERROR(__xludf.DUMMYFUNCTION("""COMPUTED_VALUE"""),8396)</f>
        <v>8396</v>
      </c>
      <c r="Z271" s="12">
        <f ca="1">IFERROR(__xludf.DUMMYFUNCTION("""COMPUTED_VALUE"""),10766)</f>
        <v>10766</v>
      </c>
      <c r="AA271" s="12">
        <f ca="1">IFERROR(__xludf.DUMMYFUNCTION("""COMPUTED_VALUE"""),9176)</f>
        <v>9176</v>
      </c>
      <c r="AB271" s="12">
        <f ca="1">IFERROR(__xludf.DUMMYFUNCTION("""COMPUTED_VALUE"""),7305)</f>
        <v>7305</v>
      </c>
      <c r="AC271" s="12">
        <f ca="1">IFERROR(__xludf.DUMMYFUNCTION("""COMPUTED_VALUE"""),2350)</f>
        <v>2350</v>
      </c>
      <c r="AD271" s="12">
        <f ca="1">IFERROR(__xludf.DUMMYFUNCTION("""COMPUTED_VALUE"""),6930)</f>
        <v>6930</v>
      </c>
      <c r="AE271" s="12">
        <f ca="1">IFERROR(__xludf.DUMMYFUNCTION("""COMPUTED_VALUE"""),8293)</f>
        <v>8293</v>
      </c>
      <c r="AF271" s="8">
        <f ca="1">IFERROR(__xludf.DUMMYFUNCTION("""COMPUTED_VALUE"""),13300)</f>
        <v>13300</v>
      </c>
      <c r="AG271" s="8">
        <f ca="1">IFERROR(__xludf.DUMMYFUNCTION("""COMPUTED_VALUE"""),6564)</f>
        <v>6564</v>
      </c>
      <c r="AH271" s="8">
        <f ca="1">IFERROR(__xludf.DUMMYFUNCTION("""COMPUTED_VALUE"""),9462)</f>
        <v>9462</v>
      </c>
      <c r="AI271" s="8">
        <f ca="1">IFERROR(__xludf.DUMMYFUNCTION("""COMPUTED_VALUE"""),3745)</f>
        <v>3745</v>
      </c>
      <c r="AJ271" s="8">
        <f ca="1">IFERROR(__xludf.DUMMYFUNCTION("""COMPUTED_VALUE"""),3476)</f>
        <v>3476</v>
      </c>
      <c r="AK271" s="8">
        <f ca="1">IFERROR(__xludf.DUMMYFUNCTION("""COMPUTED_VALUE"""),1614)</f>
        <v>1614</v>
      </c>
      <c r="AL271" s="8">
        <f ca="1">IFERROR(__xludf.DUMMYFUNCTION("""COMPUTED_VALUE"""),1962)</f>
        <v>1962</v>
      </c>
      <c r="AM271" s="8">
        <f ca="1">IFERROR(__xludf.DUMMYFUNCTION("""COMPUTED_VALUE"""),7604)</f>
        <v>7604</v>
      </c>
      <c r="AN271" s="8">
        <f ca="1">IFERROR(__xludf.DUMMYFUNCTION("""COMPUTED_VALUE"""),3331)</f>
        <v>3331</v>
      </c>
      <c r="AO271" s="8">
        <f ca="1">IFERROR(__xludf.DUMMYFUNCTION("""COMPUTED_VALUE"""),4803)</f>
        <v>4803</v>
      </c>
      <c r="AP271" s="8"/>
      <c r="AQ271" s="8"/>
      <c r="AR271" s="8"/>
      <c r="AS271" s="8"/>
      <c r="AT271" s="8"/>
      <c r="AU271" s="8"/>
      <c r="AV271" s="8"/>
      <c r="AW271" s="8"/>
      <c r="AX271" s="8"/>
      <c r="AY271" s="8"/>
    </row>
    <row r="272" spans="1:51" ht="13.2" x14ac:dyDescent="0.25">
      <c r="A272" s="12" t="str">
        <f ca="1">IFERROR(__xludf.DUMMYFUNCTION("""COMPUTED_VALUE"""),"                  right Basomedial amygdalar nucleus, anterior part")</f>
        <v xml:space="preserve">                  right Basomedial amygdalar nucleus, anterior part</v>
      </c>
      <c r="B272" s="12">
        <f ca="1">IFERROR(__xludf.DUMMYFUNCTION("""COMPUTED_VALUE"""),1527)</f>
        <v>1527</v>
      </c>
      <c r="C272" s="12">
        <f ca="1">IFERROR(__xludf.DUMMYFUNCTION("""COMPUTED_VALUE"""),4283)</f>
        <v>4283</v>
      </c>
      <c r="D272" s="12">
        <f ca="1">IFERROR(__xludf.DUMMYFUNCTION("""COMPUTED_VALUE"""),1652)</f>
        <v>1652</v>
      </c>
      <c r="E272" s="12">
        <f ca="1">IFERROR(__xludf.DUMMYFUNCTION("""COMPUTED_VALUE"""),1950)</f>
        <v>1950</v>
      </c>
      <c r="F272" s="12">
        <f ca="1">IFERROR(__xludf.DUMMYFUNCTION("""COMPUTED_VALUE"""),2150)</f>
        <v>2150</v>
      </c>
      <c r="G272" s="12">
        <f ca="1">IFERROR(__xludf.DUMMYFUNCTION("""COMPUTED_VALUE"""),1346)</f>
        <v>1346</v>
      </c>
      <c r="H272" s="12">
        <f ca="1">IFERROR(__xludf.DUMMYFUNCTION("""COMPUTED_VALUE"""),1232)</f>
        <v>1232</v>
      </c>
      <c r="I272" s="12">
        <f ca="1">IFERROR(__xludf.DUMMYFUNCTION("""COMPUTED_VALUE"""),881)</f>
        <v>881</v>
      </c>
      <c r="J272" s="12">
        <f ca="1">IFERROR(__xludf.DUMMYFUNCTION("""COMPUTED_VALUE"""),1651)</f>
        <v>1651</v>
      </c>
      <c r="K272" s="12">
        <f ca="1">IFERROR(__xludf.DUMMYFUNCTION("""COMPUTED_VALUE"""),3932)</f>
        <v>3932</v>
      </c>
      <c r="L272" s="12">
        <f ca="1">IFERROR(__xludf.DUMMYFUNCTION("""COMPUTED_VALUE"""),2586)</f>
        <v>2586</v>
      </c>
      <c r="M272" s="12">
        <f ca="1">IFERROR(__xludf.DUMMYFUNCTION("""COMPUTED_VALUE"""),1766)</f>
        <v>1766</v>
      </c>
      <c r="N272" s="12">
        <f ca="1">IFERROR(__xludf.DUMMYFUNCTION("""COMPUTED_VALUE"""),1074)</f>
        <v>1074</v>
      </c>
      <c r="O272" s="12">
        <f ca="1">IFERROR(__xludf.DUMMYFUNCTION("""COMPUTED_VALUE"""),2772)</f>
        <v>2772</v>
      </c>
      <c r="P272" s="12">
        <f ca="1">IFERROR(__xludf.DUMMYFUNCTION("""COMPUTED_VALUE"""),1593)</f>
        <v>1593</v>
      </c>
      <c r="Q272" s="12">
        <f ca="1">IFERROR(__xludf.DUMMYFUNCTION("""COMPUTED_VALUE"""),2838)</f>
        <v>2838</v>
      </c>
      <c r="R272" s="12">
        <f ca="1">IFERROR(__xludf.DUMMYFUNCTION("""COMPUTED_VALUE"""),2382)</f>
        <v>2382</v>
      </c>
      <c r="S272" s="12">
        <f ca="1">IFERROR(__xludf.DUMMYFUNCTION("""COMPUTED_VALUE"""),1146)</f>
        <v>1146</v>
      </c>
      <c r="T272" s="12">
        <f ca="1">IFERROR(__xludf.DUMMYFUNCTION("""COMPUTED_VALUE"""),3683)</f>
        <v>3683</v>
      </c>
      <c r="U272" s="12">
        <f ca="1">IFERROR(__xludf.DUMMYFUNCTION("""COMPUTED_VALUE"""),1320)</f>
        <v>1320</v>
      </c>
      <c r="V272" s="12">
        <f ca="1">IFERROR(__xludf.DUMMYFUNCTION("""COMPUTED_VALUE"""),4137)</f>
        <v>4137</v>
      </c>
      <c r="W272" s="12">
        <f ca="1">IFERROR(__xludf.DUMMYFUNCTION("""COMPUTED_VALUE"""),4433)</f>
        <v>4433</v>
      </c>
      <c r="X272" s="12">
        <f ca="1">IFERROR(__xludf.DUMMYFUNCTION("""COMPUTED_VALUE"""),6687)</f>
        <v>6687</v>
      </c>
      <c r="Y272" s="12">
        <f ca="1">IFERROR(__xludf.DUMMYFUNCTION("""COMPUTED_VALUE"""),3866)</f>
        <v>3866</v>
      </c>
      <c r="Z272" s="12">
        <f ca="1">IFERROR(__xludf.DUMMYFUNCTION("""COMPUTED_VALUE"""),5193)</f>
        <v>5193</v>
      </c>
      <c r="AA272" s="12">
        <f ca="1">IFERROR(__xludf.DUMMYFUNCTION("""COMPUTED_VALUE"""),4607)</f>
        <v>4607</v>
      </c>
      <c r="AB272" s="12">
        <f ca="1">IFERROR(__xludf.DUMMYFUNCTION("""COMPUTED_VALUE"""),4000)</f>
        <v>4000</v>
      </c>
      <c r="AC272" s="12">
        <f ca="1">IFERROR(__xludf.DUMMYFUNCTION("""COMPUTED_VALUE"""),643)</f>
        <v>643</v>
      </c>
      <c r="AD272" s="12">
        <f ca="1">IFERROR(__xludf.DUMMYFUNCTION("""COMPUTED_VALUE"""),2817)</f>
        <v>2817</v>
      </c>
      <c r="AE272" s="12">
        <f ca="1">IFERROR(__xludf.DUMMYFUNCTION("""COMPUTED_VALUE"""),4813)</f>
        <v>4813</v>
      </c>
      <c r="AF272" s="8">
        <f ca="1">IFERROR(__xludf.DUMMYFUNCTION("""COMPUTED_VALUE"""),7748)</f>
        <v>7748</v>
      </c>
      <c r="AG272" s="8">
        <f ca="1">IFERROR(__xludf.DUMMYFUNCTION("""COMPUTED_VALUE"""),3260)</f>
        <v>3260</v>
      </c>
      <c r="AH272" s="8">
        <f ca="1">IFERROR(__xludf.DUMMYFUNCTION("""COMPUTED_VALUE"""),3899)</f>
        <v>3899</v>
      </c>
      <c r="AI272" s="8">
        <f ca="1">IFERROR(__xludf.DUMMYFUNCTION("""COMPUTED_VALUE"""),1427)</f>
        <v>1427</v>
      </c>
      <c r="AJ272" s="8">
        <f ca="1">IFERROR(__xludf.DUMMYFUNCTION("""COMPUTED_VALUE"""),2320)</f>
        <v>2320</v>
      </c>
      <c r="AK272" s="8">
        <f ca="1">IFERROR(__xludf.DUMMYFUNCTION("""COMPUTED_VALUE"""),698)</f>
        <v>698</v>
      </c>
      <c r="AL272" s="8">
        <f ca="1">IFERROR(__xludf.DUMMYFUNCTION("""COMPUTED_VALUE"""),987)</f>
        <v>987</v>
      </c>
      <c r="AM272" s="8">
        <f ca="1">IFERROR(__xludf.DUMMYFUNCTION("""COMPUTED_VALUE"""),3747)</f>
        <v>3747</v>
      </c>
      <c r="AN272" s="8">
        <f ca="1">IFERROR(__xludf.DUMMYFUNCTION("""COMPUTED_VALUE"""),1851)</f>
        <v>1851</v>
      </c>
      <c r="AO272" s="8">
        <f ca="1">IFERROR(__xludf.DUMMYFUNCTION("""COMPUTED_VALUE"""),2410)</f>
        <v>2410</v>
      </c>
      <c r="AP272" s="8"/>
      <c r="AQ272" s="8"/>
      <c r="AR272" s="8"/>
      <c r="AS272" s="8"/>
      <c r="AT272" s="8"/>
      <c r="AU272" s="8"/>
      <c r="AV272" s="8"/>
      <c r="AW272" s="8"/>
      <c r="AX272" s="8"/>
      <c r="AY272" s="8"/>
    </row>
    <row r="273" spans="1:51" ht="13.2" x14ac:dyDescent="0.25">
      <c r="A273" s="12" t="str">
        <f ca="1">IFERROR(__xludf.DUMMYFUNCTION("""COMPUTED_VALUE"""),"                  right Basomedial amygdalar nucleus, posterior part")</f>
        <v xml:space="preserve">                  right Basomedial amygdalar nucleus, posterior part</v>
      </c>
      <c r="B273" s="12">
        <f ca="1">IFERROR(__xludf.DUMMYFUNCTION("""COMPUTED_VALUE"""),1216)</f>
        <v>1216</v>
      </c>
      <c r="C273" s="12">
        <f ca="1">IFERROR(__xludf.DUMMYFUNCTION("""COMPUTED_VALUE"""),4802)</f>
        <v>4802</v>
      </c>
      <c r="D273" s="12">
        <f ca="1">IFERROR(__xludf.DUMMYFUNCTION("""COMPUTED_VALUE"""),2261)</f>
        <v>2261</v>
      </c>
      <c r="E273" s="12">
        <f ca="1">IFERROR(__xludf.DUMMYFUNCTION("""COMPUTED_VALUE"""),815)</f>
        <v>815</v>
      </c>
      <c r="F273" s="12">
        <f ca="1">IFERROR(__xludf.DUMMYFUNCTION("""COMPUTED_VALUE"""),3361)</f>
        <v>3361</v>
      </c>
      <c r="G273" s="12">
        <f ca="1">IFERROR(__xludf.DUMMYFUNCTION("""COMPUTED_VALUE"""),1672)</f>
        <v>1672</v>
      </c>
      <c r="H273" s="12">
        <f ca="1">IFERROR(__xludf.DUMMYFUNCTION("""COMPUTED_VALUE"""),1003)</f>
        <v>1003</v>
      </c>
      <c r="I273" s="12">
        <f ca="1">IFERROR(__xludf.DUMMYFUNCTION("""COMPUTED_VALUE"""),1253)</f>
        <v>1253</v>
      </c>
      <c r="J273" s="12">
        <f ca="1">IFERROR(__xludf.DUMMYFUNCTION("""COMPUTED_VALUE"""),2864)</f>
        <v>2864</v>
      </c>
      <c r="K273" s="12">
        <f ca="1">IFERROR(__xludf.DUMMYFUNCTION("""COMPUTED_VALUE"""),2501)</f>
        <v>2501</v>
      </c>
      <c r="L273" s="12">
        <f ca="1">IFERROR(__xludf.DUMMYFUNCTION("""COMPUTED_VALUE"""),2296)</f>
        <v>2296</v>
      </c>
      <c r="M273" s="12">
        <f ca="1">IFERROR(__xludf.DUMMYFUNCTION("""COMPUTED_VALUE"""),3023)</f>
        <v>3023</v>
      </c>
      <c r="N273" s="12">
        <f ca="1">IFERROR(__xludf.DUMMYFUNCTION("""COMPUTED_VALUE"""),1543)</f>
        <v>1543</v>
      </c>
      <c r="O273" s="12">
        <f ca="1">IFERROR(__xludf.DUMMYFUNCTION("""COMPUTED_VALUE"""),1709)</f>
        <v>1709</v>
      </c>
      <c r="P273" s="12">
        <f ca="1">IFERROR(__xludf.DUMMYFUNCTION("""COMPUTED_VALUE"""),1278)</f>
        <v>1278</v>
      </c>
      <c r="Q273" s="12">
        <f ca="1">IFERROR(__xludf.DUMMYFUNCTION("""COMPUTED_VALUE"""),1943)</f>
        <v>1943</v>
      </c>
      <c r="R273" s="12">
        <f ca="1">IFERROR(__xludf.DUMMYFUNCTION("""COMPUTED_VALUE"""),2373)</f>
        <v>2373</v>
      </c>
      <c r="S273" s="12">
        <f ca="1">IFERROR(__xludf.DUMMYFUNCTION("""COMPUTED_VALUE"""),895)</f>
        <v>895</v>
      </c>
      <c r="T273" s="12">
        <f ca="1">IFERROR(__xludf.DUMMYFUNCTION("""COMPUTED_VALUE"""),3173)</f>
        <v>3173</v>
      </c>
      <c r="U273" s="12">
        <f ca="1">IFERROR(__xludf.DUMMYFUNCTION("""COMPUTED_VALUE"""),3009)</f>
        <v>3009</v>
      </c>
      <c r="V273" s="12">
        <f ca="1">IFERROR(__xludf.DUMMYFUNCTION("""COMPUTED_VALUE"""),3080)</f>
        <v>3080</v>
      </c>
      <c r="W273" s="12">
        <f ca="1">IFERROR(__xludf.DUMMYFUNCTION("""COMPUTED_VALUE"""),3162)</f>
        <v>3162</v>
      </c>
      <c r="X273" s="12">
        <f ca="1">IFERROR(__xludf.DUMMYFUNCTION("""COMPUTED_VALUE"""),6686)</f>
        <v>6686</v>
      </c>
      <c r="Y273" s="12">
        <f ca="1">IFERROR(__xludf.DUMMYFUNCTION("""COMPUTED_VALUE"""),4530)</f>
        <v>4530</v>
      </c>
      <c r="Z273" s="12">
        <f ca="1">IFERROR(__xludf.DUMMYFUNCTION("""COMPUTED_VALUE"""),5573)</f>
        <v>5573</v>
      </c>
      <c r="AA273" s="12">
        <f ca="1">IFERROR(__xludf.DUMMYFUNCTION("""COMPUTED_VALUE"""),4569)</f>
        <v>4569</v>
      </c>
      <c r="AB273" s="12">
        <f ca="1">IFERROR(__xludf.DUMMYFUNCTION("""COMPUTED_VALUE"""),3305)</f>
        <v>3305</v>
      </c>
      <c r="AC273" s="12">
        <f ca="1">IFERROR(__xludf.DUMMYFUNCTION("""COMPUTED_VALUE"""),1707)</f>
        <v>1707</v>
      </c>
      <c r="AD273" s="12">
        <f ca="1">IFERROR(__xludf.DUMMYFUNCTION("""COMPUTED_VALUE"""),4113)</f>
        <v>4113</v>
      </c>
      <c r="AE273" s="12">
        <f ca="1">IFERROR(__xludf.DUMMYFUNCTION("""COMPUTED_VALUE"""),3480)</f>
        <v>3480</v>
      </c>
      <c r="AF273" s="8">
        <f ca="1">IFERROR(__xludf.DUMMYFUNCTION("""COMPUTED_VALUE"""),5552)</f>
        <v>5552</v>
      </c>
      <c r="AG273" s="8">
        <f ca="1">IFERROR(__xludf.DUMMYFUNCTION("""COMPUTED_VALUE"""),3304)</f>
        <v>3304</v>
      </c>
      <c r="AH273" s="8">
        <f ca="1">IFERROR(__xludf.DUMMYFUNCTION("""COMPUTED_VALUE"""),5563)</f>
        <v>5563</v>
      </c>
      <c r="AI273" s="8">
        <f ca="1">IFERROR(__xludf.DUMMYFUNCTION("""COMPUTED_VALUE"""),2318)</f>
        <v>2318</v>
      </c>
      <c r="AJ273" s="8">
        <f ca="1">IFERROR(__xludf.DUMMYFUNCTION("""COMPUTED_VALUE"""),1156)</f>
        <v>1156</v>
      </c>
      <c r="AK273" s="8">
        <f ca="1">IFERROR(__xludf.DUMMYFUNCTION("""COMPUTED_VALUE"""),916)</f>
        <v>916</v>
      </c>
      <c r="AL273" s="8">
        <f ca="1">IFERROR(__xludf.DUMMYFUNCTION("""COMPUTED_VALUE"""),975)</f>
        <v>975</v>
      </c>
      <c r="AM273" s="8">
        <f ca="1">IFERROR(__xludf.DUMMYFUNCTION("""COMPUTED_VALUE"""),3857)</f>
        <v>3857</v>
      </c>
      <c r="AN273" s="8">
        <f ca="1">IFERROR(__xludf.DUMMYFUNCTION("""COMPUTED_VALUE"""),1480)</f>
        <v>1480</v>
      </c>
      <c r="AO273" s="8">
        <f ca="1">IFERROR(__xludf.DUMMYFUNCTION("""COMPUTED_VALUE"""),2393)</f>
        <v>2393</v>
      </c>
      <c r="AP273" s="8"/>
      <c r="AQ273" s="8"/>
      <c r="AR273" s="8"/>
      <c r="AS273" s="8"/>
      <c r="AT273" s="8"/>
      <c r="AU273" s="8"/>
      <c r="AV273" s="8"/>
      <c r="AW273" s="8"/>
      <c r="AX273" s="8"/>
      <c r="AY273" s="8"/>
    </row>
    <row r="274" spans="1:51" ht="13.2" x14ac:dyDescent="0.25">
      <c r="A274" s="12" t="str">
        <f ca="1">IFERROR(__xludf.DUMMYFUNCTION("""COMPUTED_VALUE"""),"               right Posterior amygdalar nucleus")</f>
        <v xml:space="preserve">               right Posterior amygdalar nucleus</v>
      </c>
      <c r="B274" s="12">
        <f ca="1">IFERROR(__xludf.DUMMYFUNCTION("""COMPUTED_VALUE"""),1168)</f>
        <v>1168</v>
      </c>
      <c r="C274" s="12">
        <f ca="1">IFERROR(__xludf.DUMMYFUNCTION("""COMPUTED_VALUE"""),5168)</f>
        <v>5168</v>
      </c>
      <c r="D274" s="12">
        <f ca="1">IFERROR(__xludf.DUMMYFUNCTION("""COMPUTED_VALUE"""),1977)</f>
        <v>1977</v>
      </c>
      <c r="E274" s="12">
        <f ca="1">IFERROR(__xludf.DUMMYFUNCTION("""COMPUTED_VALUE"""),598)</f>
        <v>598</v>
      </c>
      <c r="F274" s="12">
        <f ca="1">IFERROR(__xludf.DUMMYFUNCTION("""COMPUTED_VALUE"""),1615)</f>
        <v>1615</v>
      </c>
      <c r="G274" s="12">
        <f ca="1">IFERROR(__xludf.DUMMYFUNCTION("""COMPUTED_VALUE"""),859)</f>
        <v>859</v>
      </c>
      <c r="H274" s="12">
        <f ca="1">IFERROR(__xludf.DUMMYFUNCTION("""COMPUTED_VALUE"""),901)</f>
        <v>901</v>
      </c>
      <c r="I274" s="12">
        <f ca="1">IFERROR(__xludf.DUMMYFUNCTION("""COMPUTED_VALUE"""),734)</f>
        <v>734</v>
      </c>
      <c r="J274" s="12">
        <f ca="1">IFERROR(__xludf.DUMMYFUNCTION("""COMPUTED_VALUE"""),2068)</f>
        <v>2068</v>
      </c>
      <c r="K274" s="12">
        <f ca="1">IFERROR(__xludf.DUMMYFUNCTION("""COMPUTED_VALUE"""),2819)</f>
        <v>2819</v>
      </c>
      <c r="L274" s="12">
        <f ca="1">IFERROR(__xludf.DUMMYFUNCTION("""COMPUTED_VALUE"""),2561)</f>
        <v>2561</v>
      </c>
      <c r="M274" s="12">
        <f ca="1">IFERROR(__xludf.DUMMYFUNCTION("""COMPUTED_VALUE"""),3358)</f>
        <v>3358</v>
      </c>
      <c r="N274" s="12">
        <f ca="1">IFERROR(__xludf.DUMMYFUNCTION("""COMPUTED_VALUE"""),1877)</f>
        <v>1877</v>
      </c>
      <c r="O274" s="12">
        <f ca="1">IFERROR(__xludf.DUMMYFUNCTION("""COMPUTED_VALUE"""),2235)</f>
        <v>2235</v>
      </c>
      <c r="P274" s="12">
        <f ca="1">IFERROR(__xludf.DUMMYFUNCTION("""COMPUTED_VALUE"""),1226)</f>
        <v>1226</v>
      </c>
      <c r="Q274" s="12">
        <f ca="1">IFERROR(__xludf.DUMMYFUNCTION("""COMPUTED_VALUE"""),2413)</f>
        <v>2413</v>
      </c>
      <c r="R274" s="12">
        <f ca="1">IFERROR(__xludf.DUMMYFUNCTION("""COMPUTED_VALUE"""),1726)</f>
        <v>1726</v>
      </c>
      <c r="S274" s="12">
        <f ca="1">IFERROR(__xludf.DUMMYFUNCTION("""COMPUTED_VALUE"""),660)</f>
        <v>660</v>
      </c>
      <c r="T274" s="12">
        <f ca="1">IFERROR(__xludf.DUMMYFUNCTION("""COMPUTED_VALUE"""),4012)</f>
        <v>4012</v>
      </c>
      <c r="U274" s="12">
        <f ca="1">IFERROR(__xludf.DUMMYFUNCTION("""COMPUTED_VALUE"""),3227)</f>
        <v>3227</v>
      </c>
      <c r="V274" s="12">
        <f ca="1">IFERROR(__xludf.DUMMYFUNCTION("""COMPUTED_VALUE"""),5408)</f>
        <v>5408</v>
      </c>
      <c r="W274" s="12">
        <f ca="1">IFERROR(__xludf.DUMMYFUNCTION("""COMPUTED_VALUE"""),5196)</f>
        <v>5196</v>
      </c>
      <c r="X274" s="12">
        <f ca="1">IFERROR(__xludf.DUMMYFUNCTION("""COMPUTED_VALUE"""),5044)</f>
        <v>5044</v>
      </c>
      <c r="Y274" s="12">
        <f ca="1">IFERROR(__xludf.DUMMYFUNCTION("""COMPUTED_VALUE"""),4612)</f>
        <v>4612</v>
      </c>
      <c r="Z274" s="12">
        <f ca="1">IFERROR(__xludf.DUMMYFUNCTION("""COMPUTED_VALUE"""),6227)</f>
        <v>6227</v>
      </c>
      <c r="AA274" s="12">
        <f ca="1">IFERROR(__xludf.DUMMYFUNCTION("""COMPUTED_VALUE"""),4557)</f>
        <v>4557</v>
      </c>
      <c r="AB274" s="12">
        <f ca="1">IFERROR(__xludf.DUMMYFUNCTION("""COMPUTED_VALUE"""),4334)</f>
        <v>4334</v>
      </c>
      <c r="AC274" s="12">
        <f ca="1">IFERROR(__xludf.DUMMYFUNCTION("""COMPUTED_VALUE"""),1743)</f>
        <v>1743</v>
      </c>
      <c r="AD274" s="12">
        <f ca="1">IFERROR(__xludf.DUMMYFUNCTION("""COMPUTED_VALUE"""),3225)</f>
        <v>3225</v>
      </c>
      <c r="AE274" s="12">
        <f ca="1">IFERROR(__xludf.DUMMYFUNCTION("""COMPUTED_VALUE"""),5304)</f>
        <v>5304</v>
      </c>
      <c r="AF274" s="8">
        <f ca="1">IFERROR(__xludf.DUMMYFUNCTION("""COMPUTED_VALUE"""),8528)</f>
        <v>8528</v>
      </c>
      <c r="AG274" s="8">
        <f ca="1">IFERROR(__xludf.DUMMYFUNCTION("""COMPUTED_VALUE"""),5675)</f>
        <v>5675</v>
      </c>
      <c r="AH274" s="8">
        <f ca="1">IFERROR(__xludf.DUMMYFUNCTION("""COMPUTED_VALUE"""),4335)</f>
        <v>4335</v>
      </c>
      <c r="AI274" s="8">
        <f ca="1">IFERROR(__xludf.DUMMYFUNCTION("""COMPUTED_VALUE"""),1517)</f>
        <v>1517</v>
      </c>
      <c r="AJ274" s="8">
        <f ca="1">IFERROR(__xludf.DUMMYFUNCTION("""COMPUTED_VALUE"""),1783)</f>
        <v>1783</v>
      </c>
      <c r="AK274" s="8">
        <f ca="1">IFERROR(__xludf.DUMMYFUNCTION("""COMPUTED_VALUE"""),1728)</f>
        <v>1728</v>
      </c>
      <c r="AL274" s="8">
        <f ca="1">IFERROR(__xludf.DUMMYFUNCTION("""COMPUTED_VALUE"""),1229)</f>
        <v>1229</v>
      </c>
      <c r="AM274" s="8">
        <f ca="1">IFERROR(__xludf.DUMMYFUNCTION("""COMPUTED_VALUE"""),4342)</f>
        <v>4342</v>
      </c>
      <c r="AN274" s="8">
        <f ca="1">IFERROR(__xludf.DUMMYFUNCTION("""COMPUTED_VALUE"""),1598)</f>
        <v>1598</v>
      </c>
      <c r="AO274" s="8">
        <f ca="1">IFERROR(__xludf.DUMMYFUNCTION("""COMPUTED_VALUE"""),2426)</f>
        <v>2426</v>
      </c>
      <c r="AP274" s="8"/>
      <c r="AQ274" s="8"/>
      <c r="AR274" s="8"/>
      <c r="AS274" s="8"/>
      <c r="AT274" s="8"/>
      <c r="AU274" s="8"/>
      <c r="AV274" s="8"/>
      <c r="AW274" s="8"/>
      <c r="AX274" s="8"/>
      <c r="AY274" s="8"/>
    </row>
    <row r="275" spans="1:51" ht="13.2" x14ac:dyDescent="0.25">
      <c r="A275" s="12" t="str">
        <f ca="1">IFERROR(__xludf.DUMMYFUNCTION("""COMPUTED_VALUE"""),"         right Cerebral nuclei")</f>
        <v xml:space="preserve">         right Cerebral nuclei</v>
      </c>
      <c r="B275" s="12">
        <f ca="1">IFERROR(__xludf.DUMMYFUNCTION("""COMPUTED_VALUE"""),56533)</f>
        <v>56533</v>
      </c>
      <c r="C275" s="12">
        <f ca="1">IFERROR(__xludf.DUMMYFUNCTION("""COMPUTED_VALUE"""),119459)</f>
        <v>119459</v>
      </c>
      <c r="D275" s="12">
        <f ca="1">IFERROR(__xludf.DUMMYFUNCTION("""COMPUTED_VALUE"""),185002)</f>
        <v>185002</v>
      </c>
      <c r="E275" s="12">
        <f ca="1">IFERROR(__xludf.DUMMYFUNCTION("""COMPUTED_VALUE"""),109885)</f>
        <v>109885</v>
      </c>
      <c r="F275" s="12">
        <f ca="1">IFERROR(__xludf.DUMMYFUNCTION("""COMPUTED_VALUE"""),197810)</f>
        <v>197810</v>
      </c>
      <c r="G275" s="12">
        <f ca="1">IFERROR(__xludf.DUMMYFUNCTION("""COMPUTED_VALUE"""),59677)</f>
        <v>59677</v>
      </c>
      <c r="H275" s="12">
        <f ca="1">IFERROR(__xludf.DUMMYFUNCTION("""COMPUTED_VALUE"""),61729)</f>
        <v>61729</v>
      </c>
      <c r="I275" s="12">
        <f ca="1">IFERROR(__xludf.DUMMYFUNCTION("""COMPUTED_VALUE"""),62077)</f>
        <v>62077</v>
      </c>
      <c r="J275" s="12">
        <f ca="1">IFERROR(__xludf.DUMMYFUNCTION("""COMPUTED_VALUE"""),77327)</f>
        <v>77327</v>
      </c>
      <c r="K275" s="12">
        <f ca="1">IFERROR(__xludf.DUMMYFUNCTION("""COMPUTED_VALUE"""),97733)</f>
        <v>97733</v>
      </c>
      <c r="L275" s="12">
        <f ca="1">IFERROR(__xludf.DUMMYFUNCTION("""COMPUTED_VALUE"""),186521)</f>
        <v>186521</v>
      </c>
      <c r="M275" s="12">
        <f ca="1">IFERROR(__xludf.DUMMYFUNCTION("""COMPUTED_VALUE"""),142162)</f>
        <v>142162</v>
      </c>
      <c r="N275" s="12">
        <f ca="1">IFERROR(__xludf.DUMMYFUNCTION("""COMPUTED_VALUE"""),235641)</f>
        <v>235641</v>
      </c>
      <c r="O275" s="12">
        <f ca="1">IFERROR(__xludf.DUMMYFUNCTION("""COMPUTED_VALUE"""),114602)</f>
        <v>114602</v>
      </c>
      <c r="P275" s="12">
        <f ca="1">IFERROR(__xludf.DUMMYFUNCTION("""COMPUTED_VALUE"""),74426)</f>
        <v>74426</v>
      </c>
      <c r="Q275" s="12">
        <f ca="1">IFERROR(__xludf.DUMMYFUNCTION("""COMPUTED_VALUE"""),88728)</f>
        <v>88728</v>
      </c>
      <c r="R275" s="12">
        <f ca="1">IFERROR(__xludf.DUMMYFUNCTION("""COMPUTED_VALUE"""),77350)</f>
        <v>77350</v>
      </c>
      <c r="S275" s="12">
        <f ca="1">IFERROR(__xludf.DUMMYFUNCTION("""COMPUTED_VALUE"""),22875)</f>
        <v>22875</v>
      </c>
      <c r="T275" s="12">
        <f ca="1">IFERROR(__xludf.DUMMYFUNCTION("""COMPUTED_VALUE"""),139208)</f>
        <v>139208</v>
      </c>
      <c r="U275" s="12">
        <f ca="1">IFERROR(__xludf.DUMMYFUNCTION("""COMPUTED_VALUE"""),84630)</f>
        <v>84630</v>
      </c>
      <c r="V275" s="12">
        <f ca="1">IFERROR(__xludf.DUMMYFUNCTION("""COMPUTED_VALUE"""),210318)</f>
        <v>210318</v>
      </c>
      <c r="W275" s="12">
        <f ca="1">IFERROR(__xludf.DUMMYFUNCTION("""COMPUTED_VALUE"""),304050)</f>
        <v>304050</v>
      </c>
      <c r="X275" s="12">
        <f ca="1">IFERROR(__xludf.DUMMYFUNCTION("""COMPUTED_VALUE"""),413102)</f>
        <v>413102</v>
      </c>
      <c r="Y275" s="12">
        <f ca="1">IFERROR(__xludf.DUMMYFUNCTION("""COMPUTED_VALUE"""),117534)</f>
        <v>117534</v>
      </c>
      <c r="Z275" s="12">
        <f ca="1">IFERROR(__xludf.DUMMYFUNCTION("""COMPUTED_VALUE"""),205256)</f>
        <v>205256</v>
      </c>
      <c r="AA275" s="12">
        <f ca="1">IFERROR(__xludf.DUMMYFUNCTION("""COMPUTED_VALUE"""),182157)</f>
        <v>182157</v>
      </c>
      <c r="AB275" s="12">
        <f ca="1">IFERROR(__xludf.DUMMYFUNCTION("""COMPUTED_VALUE"""),145741)</f>
        <v>145741</v>
      </c>
      <c r="AC275" s="12">
        <f ca="1">IFERROR(__xludf.DUMMYFUNCTION("""COMPUTED_VALUE"""),73300)</f>
        <v>73300</v>
      </c>
      <c r="AD275" s="12">
        <f ca="1">IFERROR(__xludf.DUMMYFUNCTION("""COMPUTED_VALUE"""),175632)</f>
        <v>175632</v>
      </c>
      <c r="AE275" s="12">
        <f ca="1">IFERROR(__xludf.DUMMYFUNCTION("""COMPUTED_VALUE"""),142298)</f>
        <v>142298</v>
      </c>
      <c r="AF275" s="8">
        <f ca="1">IFERROR(__xludf.DUMMYFUNCTION("""COMPUTED_VALUE"""),347838)</f>
        <v>347838</v>
      </c>
      <c r="AG275" s="8">
        <f ca="1">IFERROR(__xludf.DUMMYFUNCTION("""COMPUTED_VALUE"""),88051)</f>
        <v>88051</v>
      </c>
      <c r="AH275" s="8">
        <f ca="1">IFERROR(__xludf.DUMMYFUNCTION("""COMPUTED_VALUE"""),242563)</f>
        <v>242563</v>
      </c>
      <c r="AI275" s="8">
        <f ca="1">IFERROR(__xludf.DUMMYFUNCTION("""COMPUTED_VALUE"""),86535)</f>
        <v>86535</v>
      </c>
      <c r="AJ275" s="8">
        <f ca="1">IFERROR(__xludf.DUMMYFUNCTION("""COMPUTED_VALUE"""),89311)</f>
        <v>89311</v>
      </c>
      <c r="AK275" s="8">
        <f ca="1">IFERROR(__xludf.DUMMYFUNCTION("""COMPUTED_VALUE"""),35033)</f>
        <v>35033</v>
      </c>
      <c r="AL275" s="8">
        <f ca="1">IFERROR(__xludf.DUMMYFUNCTION("""COMPUTED_VALUE"""),86453)</f>
        <v>86453</v>
      </c>
      <c r="AM275" s="8">
        <f ca="1">IFERROR(__xludf.DUMMYFUNCTION("""COMPUTED_VALUE"""),170336)</f>
        <v>170336</v>
      </c>
      <c r="AN275" s="8">
        <f ca="1">IFERROR(__xludf.DUMMYFUNCTION("""COMPUTED_VALUE"""),96379)</f>
        <v>96379</v>
      </c>
      <c r="AO275" s="8">
        <f ca="1">IFERROR(__xludf.DUMMYFUNCTION("""COMPUTED_VALUE"""),82762)</f>
        <v>82762</v>
      </c>
      <c r="AP275" s="8"/>
      <c r="AQ275" s="8"/>
      <c r="AR275" s="8"/>
      <c r="AS275" s="8"/>
      <c r="AT275" s="8"/>
      <c r="AU275" s="8"/>
      <c r="AV275" s="8"/>
      <c r="AW275" s="8"/>
      <c r="AX275" s="8"/>
      <c r="AY275" s="8"/>
    </row>
    <row r="276" spans="1:51" ht="13.2" x14ac:dyDescent="0.25">
      <c r="A276" s="12" t="str">
        <f ca="1">IFERROR(__xludf.DUMMYFUNCTION("""COMPUTED_VALUE"""),"            right Striatum")</f>
        <v xml:space="preserve">            right Striatum</v>
      </c>
      <c r="B276" s="12">
        <f ca="1">IFERROR(__xludf.DUMMYFUNCTION("""COMPUTED_VALUE"""),48159)</f>
        <v>48159</v>
      </c>
      <c r="C276" s="12">
        <f ca="1">IFERROR(__xludf.DUMMYFUNCTION("""COMPUTED_VALUE"""),106188)</f>
        <v>106188</v>
      </c>
      <c r="D276" s="12">
        <f ca="1">IFERROR(__xludf.DUMMYFUNCTION("""COMPUTED_VALUE"""),163327)</f>
        <v>163327</v>
      </c>
      <c r="E276" s="12">
        <f ca="1">IFERROR(__xludf.DUMMYFUNCTION("""COMPUTED_VALUE"""),98666)</f>
        <v>98666</v>
      </c>
      <c r="F276" s="12">
        <f ca="1">IFERROR(__xludf.DUMMYFUNCTION("""COMPUTED_VALUE"""),178299)</f>
        <v>178299</v>
      </c>
      <c r="G276" s="12">
        <f ca="1">IFERROR(__xludf.DUMMYFUNCTION("""COMPUTED_VALUE"""),53358)</f>
        <v>53358</v>
      </c>
      <c r="H276" s="12">
        <f ca="1">IFERROR(__xludf.DUMMYFUNCTION("""COMPUTED_VALUE"""),53146)</f>
        <v>53146</v>
      </c>
      <c r="I276" s="12">
        <f ca="1">IFERROR(__xludf.DUMMYFUNCTION("""COMPUTED_VALUE"""),55403)</f>
        <v>55403</v>
      </c>
      <c r="J276" s="12">
        <f ca="1">IFERROR(__xludf.DUMMYFUNCTION("""COMPUTED_VALUE"""),66741)</f>
        <v>66741</v>
      </c>
      <c r="K276" s="12">
        <f ca="1">IFERROR(__xludf.DUMMYFUNCTION("""COMPUTED_VALUE"""),86890)</f>
        <v>86890</v>
      </c>
      <c r="L276" s="12">
        <f ca="1">IFERROR(__xludf.DUMMYFUNCTION("""COMPUTED_VALUE"""),159315)</f>
        <v>159315</v>
      </c>
      <c r="M276" s="12">
        <f ca="1">IFERROR(__xludf.DUMMYFUNCTION("""COMPUTED_VALUE"""),126948)</f>
        <v>126948</v>
      </c>
      <c r="N276" s="12">
        <f ca="1">IFERROR(__xludf.DUMMYFUNCTION("""COMPUTED_VALUE"""),191648)</f>
        <v>191648</v>
      </c>
      <c r="O276" s="12">
        <f ca="1">IFERROR(__xludf.DUMMYFUNCTION("""COMPUTED_VALUE"""),104065)</f>
        <v>104065</v>
      </c>
      <c r="P276" s="12">
        <f ca="1">IFERROR(__xludf.DUMMYFUNCTION("""COMPUTED_VALUE"""),64768)</f>
        <v>64768</v>
      </c>
      <c r="Q276" s="12">
        <f ca="1">IFERROR(__xludf.DUMMYFUNCTION("""COMPUTED_VALUE"""),76105)</f>
        <v>76105</v>
      </c>
      <c r="R276" s="12">
        <f ca="1">IFERROR(__xludf.DUMMYFUNCTION("""COMPUTED_VALUE"""),67263)</f>
        <v>67263</v>
      </c>
      <c r="S276" s="12">
        <f ca="1">IFERROR(__xludf.DUMMYFUNCTION("""COMPUTED_VALUE"""),21183)</f>
        <v>21183</v>
      </c>
      <c r="T276" s="12">
        <f ca="1">IFERROR(__xludf.DUMMYFUNCTION("""COMPUTED_VALUE"""),121443)</f>
        <v>121443</v>
      </c>
      <c r="U276" s="12">
        <f ca="1">IFERROR(__xludf.DUMMYFUNCTION("""COMPUTED_VALUE"""),74205)</f>
        <v>74205</v>
      </c>
      <c r="V276" s="12">
        <f ca="1">IFERROR(__xludf.DUMMYFUNCTION("""COMPUTED_VALUE"""),191255)</f>
        <v>191255</v>
      </c>
      <c r="W276" s="12">
        <f ca="1">IFERROR(__xludf.DUMMYFUNCTION("""COMPUTED_VALUE"""),272880)</f>
        <v>272880</v>
      </c>
      <c r="X276" s="12">
        <f ca="1">IFERROR(__xludf.DUMMYFUNCTION("""COMPUTED_VALUE"""),365980)</f>
        <v>365980</v>
      </c>
      <c r="Y276" s="12">
        <f ca="1">IFERROR(__xludf.DUMMYFUNCTION("""COMPUTED_VALUE"""),102720)</f>
        <v>102720</v>
      </c>
      <c r="Z276" s="12">
        <f ca="1">IFERROR(__xludf.DUMMYFUNCTION("""COMPUTED_VALUE"""),172870)</f>
        <v>172870</v>
      </c>
      <c r="AA276" s="12">
        <f ca="1">IFERROR(__xludf.DUMMYFUNCTION("""COMPUTED_VALUE"""),165465)</f>
        <v>165465</v>
      </c>
      <c r="AB276" s="12">
        <f ca="1">IFERROR(__xludf.DUMMYFUNCTION("""COMPUTED_VALUE"""),128330)</f>
        <v>128330</v>
      </c>
      <c r="AC276" s="12">
        <f ca="1">IFERROR(__xludf.DUMMYFUNCTION("""COMPUTED_VALUE"""),63409)</f>
        <v>63409</v>
      </c>
      <c r="AD276" s="12">
        <f ca="1">IFERROR(__xludf.DUMMYFUNCTION("""COMPUTED_VALUE"""),151902)</f>
        <v>151902</v>
      </c>
      <c r="AE276" s="12">
        <f ca="1">IFERROR(__xludf.DUMMYFUNCTION("""COMPUTED_VALUE"""),125717)</f>
        <v>125717</v>
      </c>
      <c r="AF276" s="8">
        <f ca="1">IFERROR(__xludf.DUMMYFUNCTION("""COMPUTED_VALUE"""),304642)</f>
        <v>304642</v>
      </c>
      <c r="AG276" s="8">
        <f ca="1">IFERROR(__xludf.DUMMYFUNCTION("""COMPUTED_VALUE"""),79737)</f>
        <v>79737</v>
      </c>
      <c r="AH276" s="8">
        <f ca="1">IFERROR(__xludf.DUMMYFUNCTION("""COMPUTED_VALUE"""),211790)</f>
        <v>211790</v>
      </c>
      <c r="AI276" s="8">
        <f ca="1">IFERROR(__xludf.DUMMYFUNCTION("""COMPUTED_VALUE"""),68785)</f>
        <v>68785</v>
      </c>
      <c r="AJ276" s="8">
        <f ca="1">IFERROR(__xludf.DUMMYFUNCTION("""COMPUTED_VALUE"""),76885)</f>
        <v>76885</v>
      </c>
      <c r="AK276" s="8">
        <f ca="1">IFERROR(__xludf.DUMMYFUNCTION("""COMPUTED_VALUE"""),30417)</f>
        <v>30417</v>
      </c>
      <c r="AL276" s="8">
        <f ca="1">IFERROR(__xludf.DUMMYFUNCTION("""COMPUTED_VALUE"""),74147)</f>
        <v>74147</v>
      </c>
      <c r="AM276" s="8">
        <f ca="1">IFERROR(__xludf.DUMMYFUNCTION("""COMPUTED_VALUE"""),150383)</f>
        <v>150383</v>
      </c>
      <c r="AN276" s="8">
        <f ca="1">IFERROR(__xludf.DUMMYFUNCTION("""COMPUTED_VALUE"""),84647)</f>
        <v>84647</v>
      </c>
      <c r="AO276" s="8">
        <f ca="1">IFERROR(__xludf.DUMMYFUNCTION("""COMPUTED_VALUE"""),74119)</f>
        <v>74119</v>
      </c>
      <c r="AP276" s="8"/>
      <c r="AQ276" s="8"/>
      <c r="AR276" s="8"/>
      <c r="AS276" s="8"/>
      <c r="AT276" s="8"/>
      <c r="AU276" s="8"/>
      <c r="AV276" s="8"/>
      <c r="AW276" s="8"/>
      <c r="AX276" s="8"/>
      <c r="AY276" s="8"/>
    </row>
    <row r="277" spans="1:51" ht="13.2" x14ac:dyDescent="0.25">
      <c r="A277" s="12" t="str">
        <f ca="1">IFERROR(__xludf.DUMMYFUNCTION("""COMPUTED_VALUE"""),"               right Striatum dorsal region")</f>
        <v xml:space="preserve">               right Striatum dorsal region</v>
      </c>
      <c r="B277" s="12">
        <f ca="1">IFERROR(__xludf.DUMMYFUNCTION("""COMPUTED_VALUE"""),14321)</f>
        <v>14321</v>
      </c>
      <c r="C277" s="12">
        <f ca="1">IFERROR(__xludf.DUMMYFUNCTION("""COMPUTED_VALUE"""),48161)</f>
        <v>48161</v>
      </c>
      <c r="D277" s="12">
        <f ca="1">IFERROR(__xludf.DUMMYFUNCTION("""COMPUTED_VALUE"""),79236)</f>
        <v>79236</v>
      </c>
      <c r="E277" s="12">
        <f ca="1">IFERROR(__xludf.DUMMYFUNCTION("""COMPUTED_VALUE"""),45764)</f>
        <v>45764</v>
      </c>
      <c r="F277" s="12">
        <f ca="1">IFERROR(__xludf.DUMMYFUNCTION("""COMPUTED_VALUE"""),96980)</f>
        <v>96980</v>
      </c>
      <c r="G277" s="12">
        <f ca="1">IFERROR(__xludf.DUMMYFUNCTION("""COMPUTED_VALUE"""),22160)</f>
        <v>22160</v>
      </c>
      <c r="H277" s="12">
        <f ca="1">IFERROR(__xludf.DUMMYFUNCTION("""COMPUTED_VALUE"""),24142)</f>
        <v>24142</v>
      </c>
      <c r="I277" s="12">
        <f ca="1">IFERROR(__xludf.DUMMYFUNCTION("""COMPUTED_VALUE"""),24685)</f>
        <v>24685</v>
      </c>
      <c r="J277" s="12">
        <f ca="1">IFERROR(__xludf.DUMMYFUNCTION("""COMPUTED_VALUE"""),26460)</f>
        <v>26460</v>
      </c>
      <c r="K277" s="12">
        <f ca="1">IFERROR(__xludf.DUMMYFUNCTION("""COMPUTED_VALUE"""),36793)</f>
        <v>36793</v>
      </c>
      <c r="L277" s="12">
        <f ca="1">IFERROR(__xludf.DUMMYFUNCTION("""COMPUTED_VALUE"""),67285)</f>
        <v>67285</v>
      </c>
      <c r="M277" s="12">
        <f ca="1">IFERROR(__xludf.DUMMYFUNCTION("""COMPUTED_VALUE"""),60990)</f>
        <v>60990</v>
      </c>
      <c r="N277" s="12">
        <f ca="1">IFERROR(__xludf.DUMMYFUNCTION("""COMPUTED_VALUE"""),123122)</f>
        <v>123122</v>
      </c>
      <c r="O277" s="12">
        <f ca="1">IFERROR(__xludf.DUMMYFUNCTION("""COMPUTED_VALUE"""),48128)</f>
        <v>48128</v>
      </c>
      <c r="P277" s="12">
        <f ca="1">IFERROR(__xludf.DUMMYFUNCTION("""COMPUTED_VALUE"""),25514)</f>
        <v>25514</v>
      </c>
      <c r="Q277" s="12">
        <f ca="1">IFERROR(__xludf.DUMMYFUNCTION("""COMPUTED_VALUE"""),26894)</f>
        <v>26894</v>
      </c>
      <c r="R277" s="12">
        <f ca="1">IFERROR(__xludf.DUMMYFUNCTION("""COMPUTED_VALUE"""),25403)</f>
        <v>25403</v>
      </c>
      <c r="S277" s="12">
        <f ca="1">IFERROR(__xludf.DUMMYFUNCTION("""COMPUTED_VALUE"""),4914)</f>
        <v>4914</v>
      </c>
      <c r="T277" s="12">
        <f ca="1">IFERROR(__xludf.DUMMYFUNCTION("""COMPUTED_VALUE"""),45755)</f>
        <v>45755</v>
      </c>
      <c r="U277" s="12">
        <f ca="1">IFERROR(__xludf.DUMMYFUNCTION("""COMPUTED_VALUE"""),35375)</f>
        <v>35375</v>
      </c>
      <c r="V277" s="12">
        <f ca="1">IFERROR(__xludf.DUMMYFUNCTION("""COMPUTED_VALUE"""),100269)</f>
        <v>100269</v>
      </c>
      <c r="W277" s="12">
        <f ca="1">IFERROR(__xludf.DUMMYFUNCTION("""COMPUTED_VALUE"""),153526)</f>
        <v>153526</v>
      </c>
      <c r="X277" s="12">
        <f ca="1">IFERROR(__xludf.DUMMYFUNCTION("""COMPUTED_VALUE"""),189360)</f>
        <v>189360</v>
      </c>
      <c r="Y277" s="12">
        <f ca="1">IFERROR(__xludf.DUMMYFUNCTION("""COMPUTED_VALUE"""),43520)</f>
        <v>43520</v>
      </c>
      <c r="Z277" s="12">
        <f ca="1">IFERROR(__xludf.DUMMYFUNCTION("""COMPUTED_VALUE"""),77677)</f>
        <v>77677</v>
      </c>
      <c r="AA277" s="12">
        <f ca="1">IFERROR(__xludf.DUMMYFUNCTION("""COMPUTED_VALUE"""),90203)</f>
        <v>90203</v>
      </c>
      <c r="AB277" s="12">
        <f ca="1">IFERROR(__xludf.DUMMYFUNCTION("""COMPUTED_VALUE"""),62382)</f>
        <v>62382</v>
      </c>
      <c r="AC277" s="12">
        <f ca="1">IFERROR(__xludf.DUMMYFUNCTION("""COMPUTED_VALUE"""),35305)</f>
        <v>35305</v>
      </c>
      <c r="AD277" s="12">
        <f ca="1">IFERROR(__xludf.DUMMYFUNCTION("""COMPUTED_VALUE"""),60635)</f>
        <v>60635</v>
      </c>
      <c r="AE277" s="12">
        <f ca="1">IFERROR(__xludf.DUMMYFUNCTION("""COMPUTED_VALUE"""),56050)</f>
        <v>56050</v>
      </c>
      <c r="AF277" s="8">
        <f ca="1">IFERROR(__xludf.DUMMYFUNCTION("""COMPUTED_VALUE"""),135721)</f>
        <v>135721</v>
      </c>
      <c r="AG277" s="8">
        <f ca="1">IFERROR(__xludf.DUMMYFUNCTION("""COMPUTED_VALUE"""),38893)</f>
        <v>38893</v>
      </c>
      <c r="AH277" s="8">
        <f ca="1">IFERROR(__xludf.DUMMYFUNCTION("""COMPUTED_VALUE"""),101958)</f>
        <v>101958</v>
      </c>
      <c r="AI277" s="8">
        <f ca="1">IFERROR(__xludf.DUMMYFUNCTION("""COMPUTED_VALUE"""),29747)</f>
        <v>29747</v>
      </c>
      <c r="AJ277" s="8">
        <f ca="1">IFERROR(__xludf.DUMMYFUNCTION("""COMPUTED_VALUE"""),35864)</f>
        <v>35864</v>
      </c>
      <c r="AK277" s="8">
        <f ca="1">IFERROR(__xludf.DUMMYFUNCTION("""COMPUTED_VALUE"""),10818)</f>
        <v>10818</v>
      </c>
      <c r="AL277" s="8">
        <f ca="1">IFERROR(__xludf.DUMMYFUNCTION("""COMPUTED_VALUE"""),28541)</f>
        <v>28541</v>
      </c>
      <c r="AM277" s="8">
        <f ca="1">IFERROR(__xludf.DUMMYFUNCTION("""COMPUTED_VALUE"""),73755)</f>
        <v>73755</v>
      </c>
      <c r="AN277" s="8">
        <f ca="1">IFERROR(__xludf.DUMMYFUNCTION("""COMPUTED_VALUE"""),40376)</f>
        <v>40376</v>
      </c>
      <c r="AO277" s="8">
        <f ca="1">IFERROR(__xludf.DUMMYFUNCTION("""COMPUTED_VALUE"""),37554)</f>
        <v>37554</v>
      </c>
      <c r="AP277" s="8"/>
      <c r="AQ277" s="8"/>
      <c r="AR277" s="8"/>
      <c r="AS277" s="8"/>
      <c r="AT277" s="8"/>
      <c r="AU277" s="8"/>
      <c r="AV277" s="8"/>
      <c r="AW277" s="8"/>
      <c r="AX277" s="8"/>
      <c r="AY277" s="8"/>
    </row>
    <row r="278" spans="1:51" ht="13.2" x14ac:dyDescent="0.25">
      <c r="A278" s="12" t="str">
        <f ca="1">IFERROR(__xludf.DUMMYFUNCTION("""COMPUTED_VALUE"""),"                  right Caudoputamen")</f>
        <v xml:space="preserve">                  right Caudoputamen</v>
      </c>
      <c r="B278" s="12">
        <f ca="1">IFERROR(__xludf.DUMMYFUNCTION("""COMPUTED_VALUE"""),14321)</f>
        <v>14321</v>
      </c>
      <c r="C278" s="12">
        <f ca="1">IFERROR(__xludf.DUMMYFUNCTION("""COMPUTED_VALUE"""),48161)</f>
        <v>48161</v>
      </c>
      <c r="D278" s="12">
        <f ca="1">IFERROR(__xludf.DUMMYFUNCTION("""COMPUTED_VALUE"""),79236)</f>
        <v>79236</v>
      </c>
      <c r="E278" s="12">
        <f ca="1">IFERROR(__xludf.DUMMYFUNCTION("""COMPUTED_VALUE"""),45764)</f>
        <v>45764</v>
      </c>
      <c r="F278" s="12">
        <f ca="1">IFERROR(__xludf.DUMMYFUNCTION("""COMPUTED_VALUE"""),96980)</f>
        <v>96980</v>
      </c>
      <c r="G278" s="12">
        <f ca="1">IFERROR(__xludf.DUMMYFUNCTION("""COMPUTED_VALUE"""),22160)</f>
        <v>22160</v>
      </c>
      <c r="H278" s="12">
        <f ca="1">IFERROR(__xludf.DUMMYFUNCTION("""COMPUTED_VALUE"""),24142)</f>
        <v>24142</v>
      </c>
      <c r="I278" s="12">
        <f ca="1">IFERROR(__xludf.DUMMYFUNCTION("""COMPUTED_VALUE"""),24685)</f>
        <v>24685</v>
      </c>
      <c r="J278" s="12">
        <f ca="1">IFERROR(__xludf.DUMMYFUNCTION("""COMPUTED_VALUE"""),26460)</f>
        <v>26460</v>
      </c>
      <c r="K278" s="12">
        <f ca="1">IFERROR(__xludf.DUMMYFUNCTION("""COMPUTED_VALUE"""),36793)</f>
        <v>36793</v>
      </c>
      <c r="L278" s="12">
        <f ca="1">IFERROR(__xludf.DUMMYFUNCTION("""COMPUTED_VALUE"""),67285)</f>
        <v>67285</v>
      </c>
      <c r="M278" s="12">
        <f ca="1">IFERROR(__xludf.DUMMYFUNCTION("""COMPUTED_VALUE"""),60990)</f>
        <v>60990</v>
      </c>
      <c r="N278" s="12">
        <f ca="1">IFERROR(__xludf.DUMMYFUNCTION("""COMPUTED_VALUE"""),123122)</f>
        <v>123122</v>
      </c>
      <c r="O278" s="12">
        <f ca="1">IFERROR(__xludf.DUMMYFUNCTION("""COMPUTED_VALUE"""),48128)</f>
        <v>48128</v>
      </c>
      <c r="P278" s="12">
        <f ca="1">IFERROR(__xludf.DUMMYFUNCTION("""COMPUTED_VALUE"""),25514)</f>
        <v>25514</v>
      </c>
      <c r="Q278" s="12">
        <f ca="1">IFERROR(__xludf.DUMMYFUNCTION("""COMPUTED_VALUE"""),26894)</f>
        <v>26894</v>
      </c>
      <c r="R278" s="12">
        <f ca="1">IFERROR(__xludf.DUMMYFUNCTION("""COMPUTED_VALUE"""),25403)</f>
        <v>25403</v>
      </c>
      <c r="S278" s="12">
        <f ca="1">IFERROR(__xludf.DUMMYFUNCTION("""COMPUTED_VALUE"""),4914)</f>
        <v>4914</v>
      </c>
      <c r="T278" s="12">
        <f ca="1">IFERROR(__xludf.DUMMYFUNCTION("""COMPUTED_VALUE"""),45755)</f>
        <v>45755</v>
      </c>
      <c r="U278" s="12">
        <f ca="1">IFERROR(__xludf.DUMMYFUNCTION("""COMPUTED_VALUE"""),35375)</f>
        <v>35375</v>
      </c>
      <c r="V278" s="12">
        <f ca="1">IFERROR(__xludf.DUMMYFUNCTION("""COMPUTED_VALUE"""),100269)</f>
        <v>100269</v>
      </c>
      <c r="W278" s="12">
        <f ca="1">IFERROR(__xludf.DUMMYFUNCTION("""COMPUTED_VALUE"""),153526)</f>
        <v>153526</v>
      </c>
      <c r="X278" s="12">
        <f ca="1">IFERROR(__xludf.DUMMYFUNCTION("""COMPUTED_VALUE"""),189360)</f>
        <v>189360</v>
      </c>
      <c r="Y278" s="12">
        <f ca="1">IFERROR(__xludf.DUMMYFUNCTION("""COMPUTED_VALUE"""),43520)</f>
        <v>43520</v>
      </c>
      <c r="Z278" s="12">
        <f ca="1">IFERROR(__xludf.DUMMYFUNCTION("""COMPUTED_VALUE"""),77677)</f>
        <v>77677</v>
      </c>
      <c r="AA278" s="12">
        <f ca="1">IFERROR(__xludf.DUMMYFUNCTION("""COMPUTED_VALUE"""),90203)</f>
        <v>90203</v>
      </c>
      <c r="AB278" s="12">
        <f ca="1">IFERROR(__xludf.DUMMYFUNCTION("""COMPUTED_VALUE"""),62382)</f>
        <v>62382</v>
      </c>
      <c r="AC278" s="12">
        <f ca="1">IFERROR(__xludf.DUMMYFUNCTION("""COMPUTED_VALUE"""),35305)</f>
        <v>35305</v>
      </c>
      <c r="AD278" s="12">
        <f ca="1">IFERROR(__xludf.DUMMYFUNCTION("""COMPUTED_VALUE"""),60635)</f>
        <v>60635</v>
      </c>
      <c r="AE278" s="12">
        <f ca="1">IFERROR(__xludf.DUMMYFUNCTION("""COMPUTED_VALUE"""),56050)</f>
        <v>56050</v>
      </c>
      <c r="AF278" s="8">
        <f ca="1">IFERROR(__xludf.DUMMYFUNCTION("""COMPUTED_VALUE"""),135721)</f>
        <v>135721</v>
      </c>
      <c r="AG278" s="8">
        <f ca="1">IFERROR(__xludf.DUMMYFUNCTION("""COMPUTED_VALUE"""),38893)</f>
        <v>38893</v>
      </c>
      <c r="AH278" s="8">
        <f ca="1">IFERROR(__xludf.DUMMYFUNCTION("""COMPUTED_VALUE"""),101958)</f>
        <v>101958</v>
      </c>
      <c r="AI278" s="8">
        <f ca="1">IFERROR(__xludf.DUMMYFUNCTION("""COMPUTED_VALUE"""),29747)</f>
        <v>29747</v>
      </c>
      <c r="AJ278" s="8">
        <f ca="1">IFERROR(__xludf.DUMMYFUNCTION("""COMPUTED_VALUE"""),35864)</f>
        <v>35864</v>
      </c>
      <c r="AK278" s="8">
        <f ca="1">IFERROR(__xludf.DUMMYFUNCTION("""COMPUTED_VALUE"""),10818)</f>
        <v>10818</v>
      </c>
      <c r="AL278" s="8">
        <f ca="1">IFERROR(__xludf.DUMMYFUNCTION("""COMPUTED_VALUE"""),28541)</f>
        <v>28541</v>
      </c>
      <c r="AM278" s="8">
        <f ca="1">IFERROR(__xludf.DUMMYFUNCTION("""COMPUTED_VALUE"""),73755)</f>
        <v>73755</v>
      </c>
      <c r="AN278" s="8">
        <f ca="1">IFERROR(__xludf.DUMMYFUNCTION("""COMPUTED_VALUE"""),40376)</f>
        <v>40376</v>
      </c>
      <c r="AO278" s="8">
        <f ca="1">IFERROR(__xludf.DUMMYFUNCTION("""COMPUTED_VALUE"""),37554)</f>
        <v>37554</v>
      </c>
      <c r="AP278" s="8"/>
      <c r="AQ278" s="8"/>
      <c r="AR278" s="8"/>
      <c r="AS278" s="8"/>
      <c r="AT278" s="8"/>
      <c r="AU278" s="8"/>
      <c r="AV278" s="8"/>
      <c r="AW278" s="8"/>
      <c r="AX278" s="8"/>
      <c r="AY278" s="8"/>
    </row>
    <row r="279" spans="1:51" ht="13.2" x14ac:dyDescent="0.25">
      <c r="A279" s="12" t="str">
        <f ca="1">IFERROR(__xludf.DUMMYFUNCTION("""COMPUTED_VALUE"""),"               right Striatum ventral region")</f>
        <v xml:space="preserve">               right Striatum ventral region</v>
      </c>
      <c r="B279" s="12">
        <f ca="1">IFERROR(__xludf.DUMMYFUNCTION("""COMPUTED_VALUE"""),10544)</f>
        <v>10544</v>
      </c>
      <c r="C279" s="12">
        <f ca="1">IFERROR(__xludf.DUMMYFUNCTION("""COMPUTED_VALUE"""),13204)</f>
        <v>13204</v>
      </c>
      <c r="D279" s="12">
        <f ca="1">IFERROR(__xludf.DUMMYFUNCTION("""COMPUTED_VALUE"""),34290)</f>
        <v>34290</v>
      </c>
      <c r="E279" s="12">
        <f ca="1">IFERROR(__xludf.DUMMYFUNCTION("""COMPUTED_VALUE"""),18371)</f>
        <v>18371</v>
      </c>
      <c r="F279" s="12">
        <f ca="1">IFERROR(__xludf.DUMMYFUNCTION("""COMPUTED_VALUE"""),28646)</f>
        <v>28646</v>
      </c>
      <c r="G279" s="12">
        <f ca="1">IFERROR(__xludf.DUMMYFUNCTION("""COMPUTED_VALUE"""),7650)</f>
        <v>7650</v>
      </c>
      <c r="H279" s="12">
        <f ca="1">IFERROR(__xludf.DUMMYFUNCTION("""COMPUTED_VALUE"""),7110)</f>
        <v>7110</v>
      </c>
      <c r="I279" s="12">
        <f ca="1">IFERROR(__xludf.DUMMYFUNCTION("""COMPUTED_VALUE"""),8497)</f>
        <v>8497</v>
      </c>
      <c r="J279" s="12">
        <f ca="1">IFERROR(__xludf.DUMMYFUNCTION("""COMPUTED_VALUE"""),11225)</f>
        <v>11225</v>
      </c>
      <c r="K279" s="12">
        <f ca="1">IFERROR(__xludf.DUMMYFUNCTION("""COMPUTED_VALUE"""),15597)</f>
        <v>15597</v>
      </c>
      <c r="L279" s="12">
        <f ca="1">IFERROR(__xludf.DUMMYFUNCTION("""COMPUTED_VALUE"""),39005)</f>
        <v>39005</v>
      </c>
      <c r="M279" s="12">
        <f ca="1">IFERROR(__xludf.DUMMYFUNCTION("""COMPUTED_VALUE"""),27186)</f>
        <v>27186</v>
      </c>
      <c r="N279" s="12">
        <f ca="1">IFERROR(__xludf.DUMMYFUNCTION("""COMPUTED_VALUE"""),20657)</f>
        <v>20657</v>
      </c>
      <c r="O279" s="12">
        <f ca="1">IFERROR(__xludf.DUMMYFUNCTION("""COMPUTED_VALUE"""),19411)</f>
        <v>19411</v>
      </c>
      <c r="P279" s="12">
        <f ca="1">IFERROR(__xludf.DUMMYFUNCTION("""COMPUTED_VALUE"""),12226)</f>
        <v>12226</v>
      </c>
      <c r="Q279" s="12">
        <f ca="1">IFERROR(__xludf.DUMMYFUNCTION("""COMPUTED_VALUE"""),12191)</f>
        <v>12191</v>
      </c>
      <c r="R279" s="12">
        <f ca="1">IFERROR(__xludf.DUMMYFUNCTION("""COMPUTED_VALUE"""),15579)</f>
        <v>15579</v>
      </c>
      <c r="S279" s="12">
        <f ca="1">IFERROR(__xludf.DUMMYFUNCTION("""COMPUTED_VALUE"""),1681)</f>
        <v>1681</v>
      </c>
      <c r="T279" s="12">
        <f ca="1">IFERROR(__xludf.DUMMYFUNCTION("""COMPUTED_VALUE"""),30896)</f>
        <v>30896</v>
      </c>
      <c r="U279" s="12">
        <f ca="1">IFERROR(__xludf.DUMMYFUNCTION("""COMPUTED_VALUE"""),16824)</f>
        <v>16824</v>
      </c>
      <c r="V279" s="12">
        <f ca="1">IFERROR(__xludf.DUMMYFUNCTION("""COMPUTED_VALUE"""),37139)</f>
        <v>37139</v>
      </c>
      <c r="W279" s="12">
        <f ca="1">IFERROR(__xludf.DUMMYFUNCTION("""COMPUTED_VALUE"""),52869)</f>
        <v>52869</v>
      </c>
      <c r="X279" s="12">
        <f ca="1">IFERROR(__xludf.DUMMYFUNCTION("""COMPUTED_VALUE"""),76803)</f>
        <v>76803</v>
      </c>
      <c r="Y279" s="12">
        <f ca="1">IFERROR(__xludf.DUMMYFUNCTION("""COMPUTED_VALUE"""),16751)</f>
        <v>16751</v>
      </c>
      <c r="Z279" s="12">
        <f ca="1">IFERROR(__xludf.DUMMYFUNCTION("""COMPUTED_VALUE"""),37062)</f>
        <v>37062</v>
      </c>
      <c r="AA279" s="12">
        <f ca="1">IFERROR(__xludf.DUMMYFUNCTION("""COMPUTED_VALUE"""),29785)</f>
        <v>29785</v>
      </c>
      <c r="AB279" s="12">
        <f ca="1">IFERROR(__xludf.DUMMYFUNCTION("""COMPUTED_VALUE"""),23068)</f>
        <v>23068</v>
      </c>
      <c r="AC279" s="12">
        <f ca="1">IFERROR(__xludf.DUMMYFUNCTION("""COMPUTED_VALUE"""),5883)</f>
        <v>5883</v>
      </c>
      <c r="AD279" s="12">
        <f ca="1">IFERROR(__xludf.DUMMYFUNCTION("""COMPUTED_VALUE"""),44777)</f>
        <v>44777</v>
      </c>
      <c r="AE279" s="12">
        <f ca="1">IFERROR(__xludf.DUMMYFUNCTION("""COMPUTED_VALUE"""),20417)</f>
        <v>20417</v>
      </c>
      <c r="AF279" s="8">
        <f ca="1">IFERROR(__xludf.DUMMYFUNCTION("""COMPUTED_VALUE"""),66438)</f>
        <v>66438</v>
      </c>
      <c r="AG279" s="8">
        <f ca="1">IFERROR(__xludf.DUMMYFUNCTION("""COMPUTED_VALUE"""),18044)</f>
        <v>18044</v>
      </c>
      <c r="AH279" s="8">
        <f ca="1">IFERROR(__xludf.DUMMYFUNCTION("""COMPUTED_VALUE"""),50151)</f>
        <v>50151</v>
      </c>
      <c r="AI279" s="8">
        <f ca="1">IFERROR(__xludf.DUMMYFUNCTION("""COMPUTED_VALUE"""),17879)</f>
        <v>17879</v>
      </c>
      <c r="AJ279" s="8">
        <f ca="1">IFERROR(__xludf.DUMMYFUNCTION("""COMPUTED_VALUE"""),18070)</f>
        <v>18070</v>
      </c>
      <c r="AK279" s="8">
        <f ca="1">IFERROR(__xludf.DUMMYFUNCTION("""COMPUTED_VALUE"""),8617)</f>
        <v>8617</v>
      </c>
      <c r="AL279" s="8">
        <f ca="1">IFERROR(__xludf.DUMMYFUNCTION("""COMPUTED_VALUE"""),18087)</f>
        <v>18087</v>
      </c>
      <c r="AM279" s="8">
        <f ca="1">IFERROR(__xludf.DUMMYFUNCTION("""COMPUTED_VALUE"""),26333)</f>
        <v>26333</v>
      </c>
      <c r="AN279" s="8">
        <f ca="1">IFERROR(__xludf.DUMMYFUNCTION("""COMPUTED_VALUE"""),19646)</f>
        <v>19646</v>
      </c>
      <c r="AO279" s="8">
        <f ca="1">IFERROR(__xludf.DUMMYFUNCTION("""COMPUTED_VALUE"""),11755)</f>
        <v>11755</v>
      </c>
      <c r="AP279" s="8"/>
      <c r="AQ279" s="8"/>
      <c r="AR279" s="8"/>
      <c r="AS279" s="8"/>
      <c r="AT279" s="8"/>
      <c r="AU279" s="8"/>
      <c r="AV279" s="8"/>
      <c r="AW279" s="8"/>
      <c r="AX279" s="8"/>
      <c r="AY279" s="8"/>
    </row>
    <row r="280" spans="1:51" ht="13.2" x14ac:dyDescent="0.25">
      <c r="A280" s="12" t="str">
        <f ca="1">IFERROR(__xludf.DUMMYFUNCTION("""COMPUTED_VALUE"""),"                  right Nucleus accumbens")</f>
        <v xml:space="preserve">                  right Nucleus accumbens</v>
      </c>
      <c r="B280" s="12">
        <f ca="1">IFERROR(__xludf.DUMMYFUNCTION("""COMPUTED_VALUE"""),7506)</f>
        <v>7506</v>
      </c>
      <c r="C280" s="12">
        <f ca="1">IFERROR(__xludf.DUMMYFUNCTION("""COMPUTED_VALUE"""),10121)</f>
        <v>10121</v>
      </c>
      <c r="D280" s="12">
        <f ca="1">IFERROR(__xludf.DUMMYFUNCTION("""COMPUTED_VALUE"""),20947)</f>
        <v>20947</v>
      </c>
      <c r="E280" s="12">
        <f ca="1">IFERROR(__xludf.DUMMYFUNCTION("""COMPUTED_VALUE"""),12471)</f>
        <v>12471</v>
      </c>
      <c r="F280" s="12">
        <f ca="1">IFERROR(__xludf.DUMMYFUNCTION("""COMPUTED_VALUE"""),23460)</f>
        <v>23460</v>
      </c>
      <c r="G280" s="12">
        <f ca="1">IFERROR(__xludf.DUMMYFUNCTION("""COMPUTED_VALUE"""),6692)</f>
        <v>6692</v>
      </c>
      <c r="H280" s="12">
        <f ca="1">IFERROR(__xludf.DUMMYFUNCTION("""COMPUTED_VALUE"""),6269)</f>
        <v>6269</v>
      </c>
      <c r="I280" s="12">
        <f ca="1">IFERROR(__xludf.DUMMYFUNCTION("""COMPUTED_VALUE"""),7702)</f>
        <v>7702</v>
      </c>
      <c r="J280" s="12">
        <f ca="1">IFERROR(__xludf.DUMMYFUNCTION("""COMPUTED_VALUE"""),9485)</f>
        <v>9485</v>
      </c>
      <c r="K280" s="12">
        <f ca="1">IFERROR(__xludf.DUMMYFUNCTION("""COMPUTED_VALUE"""),10780)</f>
        <v>10780</v>
      </c>
      <c r="L280" s="12">
        <f ca="1">IFERROR(__xludf.DUMMYFUNCTION("""COMPUTED_VALUE"""),26215)</f>
        <v>26215</v>
      </c>
      <c r="M280" s="12">
        <f ca="1">IFERROR(__xludf.DUMMYFUNCTION("""COMPUTED_VALUE"""),17000)</f>
        <v>17000</v>
      </c>
      <c r="N280" s="12">
        <f ca="1">IFERROR(__xludf.DUMMYFUNCTION("""COMPUTED_VALUE"""),16471)</f>
        <v>16471</v>
      </c>
      <c r="O280" s="12">
        <f ca="1">IFERROR(__xludf.DUMMYFUNCTION("""COMPUTED_VALUE"""),12207)</f>
        <v>12207</v>
      </c>
      <c r="P280" s="12">
        <f ca="1">IFERROR(__xludf.DUMMYFUNCTION("""COMPUTED_VALUE"""),7846)</f>
        <v>7846</v>
      </c>
      <c r="Q280" s="12">
        <f ca="1">IFERROR(__xludf.DUMMYFUNCTION("""COMPUTED_VALUE"""),10567)</f>
        <v>10567</v>
      </c>
      <c r="R280" s="12">
        <f ca="1">IFERROR(__xludf.DUMMYFUNCTION("""COMPUTED_VALUE"""),11251)</f>
        <v>11251</v>
      </c>
      <c r="S280" s="12">
        <f ca="1">IFERROR(__xludf.DUMMYFUNCTION("""COMPUTED_VALUE"""),686)</f>
        <v>686</v>
      </c>
      <c r="T280" s="12">
        <f ca="1">IFERROR(__xludf.DUMMYFUNCTION("""COMPUTED_VALUE"""),21780)</f>
        <v>21780</v>
      </c>
      <c r="U280" s="12">
        <f ca="1">IFERROR(__xludf.DUMMYFUNCTION("""COMPUTED_VALUE"""),11677)</f>
        <v>11677</v>
      </c>
      <c r="V280" s="12">
        <f ca="1">IFERROR(__xludf.DUMMYFUNCTION("""COMPUTED_VALUE"""),25143)</f>
        <v>25143</v>
      </c>
      <c r="W280" s="12">
        <f ca="1">IFERROR(__xludf.DUMMYFUNCTION("""COMPUTED_VALUE"""),31562)</f>
        <v>31562</v>
      </c>
      <c r="X280" s="12">
        <f ca="1">IFERROR(__xludf.DUMMYFUNCTION("""COMPUTED_VALUE"""),46089)</f>
        <v>46089</v>
      </c>
      <c r="Y280" s="12">
        <f ca="1">IFERROR(__xludf.DUMMYFUNCTION("""COMPUTED_VALUE"""),9370)</f>
        <v>9370</v>
      </c>
      <c r="Z280" s="12">
        <f ca="1">IFERROR(__xludf.DUMMYFUNCTION("""COMPUTED_VALUE"""),19603)</f>
        <v>19603</v>
      </c>
      <c r="AA280" s="12">
        <f ca="1">IFERROR(__xludf.DUMMYFUNCTION("""COMPUTED_VALUE"""),15213)</f>
        <v>15213</v>
      </c>
      <c r="AB280" s="12">
        <f ca="1">IFERROR(__xludf.DUMMYFUNCTION("""COMPUTED_VALUE"""),15211)</f>
        <v>15211</v>
      </c>
      <c r="AC280" s="12">
        <f ca="1">IFERROR(__xludf.DUMMYFUNCTION("""COMPUTED_VALUE"""),2508)</f>
        <v>2508</v>
      </c>
      <c r="AD280" s="12">
        <f ca="1">IFERROR(__xludf.DUMMYFUNCTION("""COMPUTED_VALUE"""),28702)</f>
        <v>28702</v>
      </c>
      <c r="AE280" s="12">
        <f ca="1">IFERROR(__xludf.DUMMYFUNCTION("""COMPUTED_VALUE"""),11578)</f>
        <v>11578</v>
      </c>
      <c r="AF280" s="8">
        <f ca="1">IFERROR(__xludf.DUMMYFUNCTION("""COMPUTED_VALUE"""),40599)</f>
        <v>40599</v>
      </c>
      <c r="AG280" s="8">
        <f ca="1">IFERROR(__xludf.DUMMYFUNCTION("""COMPUTED_VALUE"""),10265)</f>
        <v>10265</v>
      </c>
      <c r="AH280" s="8">
        <f ca="1">IFERROR(__xludf.DUMMYFUNCTION("""COMPUTED_VALUE"""),29849)</f>
        <v>29849</v>
      </c>
      <c r="AI280" s="8">
        <f ca="1">IFERROR(__xludf.DUMMYFUNCTION("""COMPUTED_VALUE"""),8444)</f>
        <v>8444</v>
      </c>
      <c r="AJ280" s="8">
        <f ca="1">IFERROR(__xludf.DUMMYFUNCTION("""COMPUTED_VALUE"""),9327)</f>
        <v>9327</v>
      </c>
      <c r="AK280" s="8">
        <f ca="1">IFERROR(__xludf.DUMMYFUNCTION("""COMPUTED_VALUE"""),3945)</f>
        <v>3945</v>
      </c>
      <c r="AL280" s="8">
        <f ca="1">IFERROR(__xludf.DUMMYFUNCTION("""COMPUTED_VALUE"""),12959)</f>
        <v>12959</v>
      </c>
      <c r="AM280" s="8">
        <f ca="1">IFERROR(__xludf.DUMMYFUNCTION("""COMPUTED_VALUE"""),18271)</f>
        <v>18271</v>
      </c>
      <c r="AN280" s="8">
        <f ca="1">IFERROR(__xludf.DUMMYFUNCTION("""COMPUTED_VALUE"""),11077)</f>
        <v>11077</v>
      </c>
      <c r="AO280" s="8">
        <f ca="1">IFERROR(__xludf.DUMMYFUNCTION("""COMPUTED_VALUE"""),4969)</f>
        <v>4969</v>
      </c>
      <c r="AP280" s="8"/>
      <c r="AQ280" s="8"/>
      <c r="AR280" s="8"/>
      <c r="AS280" s="8"/>
      <c r="AT280" s="8"/>
      <c r="AU280" s="8"/>
      <c r="AV280" s="8"/>
      <c r="AW280" s="8"/>
      <c r="AX280" s="8"/>
      <c r="AY280" s="8"/>
    </row>
    <row r="281" spans="1:51" ht="13.2" x14ac:dyDescent="0.25">
      <c r="A281" s="12" t="str">
        <f ca="1">IFERROR(__xludf.DUMMYFUNCTION("""COMPUTED_VALUE"""),"                  right Fundus of striatum")</f>
        <v xml:space="preserve">                  right Fundus of striatum</v>
      </c>
      <c r="B281" s="12">
        <f ca="1">IFERROR(__xludf.DUMMYFUNCTION("""COMPUTED_VALUE"""),569)</f>
        <v>569</v>
      </c>
      <c r="C281" s="12">
        <f ca="1">IFERROR(__xludf.DUMMYFUNCTION("""COMPUTED_VALUE"""),651)</f>
        <v>651</v>
      </c>
      <c r="D281" s="12">
        <f ca="1">IFERROR(__xludf.DUMMYFUNCTION("""COMPUTED_VALUE"""),1250)</f>
        <v>1250</v>
      </c>
      <c r="E281" s="12">
        <f ca="1">IFERROR(__xludf.DUMMYFUNCTION("""COMPUTED_VALUE"""),699)</f>
        <v>699</v>
      </c>
      <c r="F281" s="12">
        <f ca="1">IFERROR(__xludf.DUMMYFUNCTION("""COMPUTED_VALUE"""),1118)</f>
        <v>1118</v>
      </c>
      <c r="G281" s="12">
        <f ca="1">IFERROR(__xludf.DUMMYFUNCTION("""COMPUTED_VALUE"""),640)</f>
        <v>640</v>
      </c>
      <c r="H281" s="12">
        <f ca="1">IFERROR(__xludf.DUMMYFUNCTION("""COMPUTED_VALUE"""),215)</f>
        <v>215</v>
      </c>
      <c r="I281" s="12">
        <f ca="1">IFERROR(__xludf.DUMMYFUNCTION("""COMPUTED_VALUE"""),339)</f>
        <v>339</v>
      </c>
      <c r="J281" s="12">
        <f ca="1">IFERROR(__xludf.DUMMYFUNCTION("""COMPUTED_VALUE"""),534)</f>
        <v>534</v>
      </c>
      <c r="K281" s="12">
        <f ca="1">IFERROR(__xludf.DUMMYFUNCTION("""COMPUTED_VALUE"""),856)</f>
        <v>856</v>
      </c>
      <c r="L281" s="12">
        <f ca="1">IFERROR(__xludf.DUMMYFUNCTION("""COMPUTED_VALUE"""),1469)</f>
        <v>1469</v>
      </c>
      <c r="M281" s="12">
        <f ca="1">IFERROR(__xludf.DUMMYFUNCTION("""COMPUTED_VALUE"""),2129)</f>
        <v>2129</v>
      </c>
      <c r="N281" s="12">
        <f ca="1">IFERROR(__xludf.DUMMYFUNCTION("""COMPUTED_VALUE"""),634)</f>
        <v>634</v>
      </c>
      <c r="O281" s="12">
        <f ca="1">IFERROR(__xludf.DUMMYFUNCTION("""COMPUTED_VALUE"""),871)</f>
        <v>871</v>
      </c>
      <c r="P281" s="12">
        <f ca="1">IFERROR(__xludf.DUMMYFUNCTION("""COMPUTED_VALUE"""),573)</f>
        <v>573</v>
      </c>
      <c r="Q281" s="12">
        <f ca="1">IFERROR(__xludf.DUMMYFUNCTION("""COMPUTED_VALUE"""),516)</f>
        <v>516</v>
      </c>
      <c r="R281" s="12">
        <f ca="1">IFERROR(__xludf.DUMMYFUNCTION("""COMPUTED_VALUE"""),595)</f>
        <v>595</v>
      </c>
      <c r="S281" s="12">
        <f ca="1">IFERROR(__xludf.DUMMYFUNCTION("""COMPUTED_VALUE"""),45)</f>
        <v>45</v>
      </c>
      <c r="T281" s="12">
        <f ca="1">IFERROR(__xludf.DUMMYFUNCTION("""COMPUTED_VALUE"""),629)</f>
        <v>629</v>
      </c>
      <c r="U281" s="12">
        <f ca="1">IFERROR(__xludf.DUMMYFUNCTION("""COMPUTED_VALUE"""),1226)</f>
        <v>1226</v>
      </c>
      <c r="V281" s="12">
        <f ca="1">IFERROR(__xludf.DUMMYFUNCTION("""COMPUTED_VALUE"""),1386)</f>
        <v>1386</v>
      </c>
      <c r="W281" s="12">
        <f ca="1">IFERROR(__xludf.DUMMYFUNCTION("""COMPUTED_VALUE"""),3208)</f>
        <v>3208</v>
      </c>
      <c r="X281" s="12">
        <f ca="1">IFERROR(__xludf.DUMMYFUNCTION("""COMPUTED_VALUE"""),2604)</f>
        <v>2604</v>
      </c>
      <c r="Y281" s="12">
        <f ca="1">IFERROR(__xludf.DUMMYFUNCTION("""COMPUTED_VALUE"""),1299)</f>
        <v>1299</v>
      </c>
      <c r="Z281" s="12">
        <f ca="1">IFERROR(__xludf.DUMMYFUNCTION("""COMPUTED_VALUE"""),2764)</f>
        <v>2764</v>
      </c>
      <c r="AA281" s="12">
        <f ca="1">IFERROR(__xludf.DUMMYFUNCTION("""COMPUTED_VALUE"""),2088)</f>
        <v>2088</v>
      </c>
      <c r="AB281" s="12">
        <f ca="1">IFERROR(__xludf.DUMMYFUNCTION("""COMPUTED_VALUE"""),1108)</f>
        <v>1108</v>
      </c>
      <c r="AC281" s="12">
        <f ca="1">IFERROR(__xludf.DUMMYFUNCTION("""COMPUTED_VALUE"""),325)</f>
        <v>325</v>
      </c>
      <c r="AD281" s="12">
        <f ca="1">IFERROR(__xludf.DUMMYFUNCTION("""COMPUTED_VALUE"""),2185)</f>
        <v>2185</v>
      </c>
      <c r="AE281" s="12">
        <f ca="1">IFERROR(__xludf.DUMMYFUNCTION("""COMPUTED_VALUE"""),1010)</f>
        <v>1010</v>
      </c>
      <c r="AF281" s="8">
        <f ca="1">IFERROR(__xludf.DUMMYFUNCTION("""COMPUTED_VALUE"""),3004)</f>
        <v>3004</v>
      </c>
      <c r="AG281" s="8">
        <f ca="1">IFERROR(__xludf.DUMMYFUNCTION("""COMPUTED_VALUE"""),885)</f>
        <v>885</v>
      </c>
      <c r="AH281" s="8">
        <f ca="1">IFERROR(__xludf.DUMMYFUNCTION("""COMPUTED_VALUE"""),1630)</f>
        <v>1630</v>
      </c>
      <c r="AI281" s="8">
        <f ca="1">IFERROR(__xludf.DUMMYFUNCTION("""COMPUTED_VALUE"""),1359)</f>
        <v>1359</v>
      </c>
      <c r="AJ281" s="8">
        <f ca="1">IFERROR(__xludf.DUMMYFUNCTION("""COMPUTED_VALUE"""),749)</f>
        <v>749</v>
      </c>
      <c r="AK281" s="8">
        <f ca="1">IFERROR(__xludf.DUMMYFUNCTION("""COMPUTED_VALUE"""),76)</f>
        <v>76</v>
      </c>
      <c r="AL281" s="8">
        <f ca="1">IFERROR(__xludf.DUMMYFUNCTION("""COMPUTED_VALUE"""),994)</f>
        <v>994</v>
      </c>
      <c r="AM281" s="8">
        <f ca="1">IFERROR(__xludf.DUMMYFUNCTION("""COMPUTED_VALUE"""),1795)</f>
        <v>1795</v>
      </c>
      <c r="AN281" s="8">
        <f ca="1">IFERROR(__xludf.DUMMYFUNCTION("""COMPUTED_VALUE"""),730)</f>
        <v>730</v>
      </c>
      <c r="AO281" s="8">
        <f ca="1">IFERROR(__xludf.DUMMYFUNCTION("""COMPUTED_VALUE"""),1371)</f>
        <v>1371</v>
      </c>
      <c r="AP281" s="8"/>
      <c r="AQ281" s="8"/>
      <c r="AR281" s="8"/>
      <c r="AS281" s="8"/>
      <c r="AT281" s="8"/>
      <c r="AU281" s="8"/>
      <c r="AV281" s="8"/>
      <c r="AW281" s="8"/>
      <c r="AX281" s="8"/>
      <c r="AY281" s="8"/>
    </row>
    <row r="282" spans="1:51" ht="13.2" x14ac:dyDescent="0.25">
      <c r="A282" s="12" t="str">
        <f ca="1">IFERROR(__xludf.DUMMYFUNCTION("""COMPUTED_VALUE"""),"                  right Olfactory tubercle")</f>
        <v xml:space="preserve">                  right Olfactory tubercle</v>
      </c>
      <c r="B282" s="12">
        <f ca="1">IFERROR(__xludf.DUMMYFUNCTION("""COMPUTED_VALUE"""),2469)</f>
        <v>2469</v>
      </c>
      <c r="C282" s="12">
        <f ca="1">IFERROR(__xludf.DUMMYFUNCTION("""COMPUTED_VALUE"""),2432)</f>
        <v>2432</v>
      </c>
      <c r="D282" s="12">
        <f ca="1">IFERROR(__xludf.DUMMYFUNCTION("""COMPUTED_VALUE"""),12093)</f>
        <v>12093</v>
      </c>
      <c r="E282" s="12">
        <f ca="1">IFERROR(__xludf.DUMMYFUNCTION("""COMPUTED_VALUE"""),5201)</f>
        <v>5201</v>
      </c>
      <c r="F282" s="12">
        <f ca="1">IFERROR(__xludf.DUMMYFUNCTION("""COMPUTED_VALUE"""),4068)</f>
        <v>4068</v>
      </c>
      <c r="G282" s="12">
        <f ca="1">IFERROR(__xludf.DUMMYFUNCTION("""COMPUTED_VALUE"""),318)</f>
        <v>318</v>
      </c>
      <c r="H282" s="12">
        <f ca="1">IFERROR(__xludf.DUMMYFUNCTION("""COMPUTED_VALUE"""),626)</f>
        <v>626</v>
      </c>
      <c r="I282" s="12">
        <f ca="1">IFERROR(__xludf.DUMMYFUNCTION("""COMPUTED_VALUE"""),456)</f>
        <v>456</v>
      </c>
      <c r="J282" s="12">
        <f ca="1">IFERROR(__xludf.DUMMYFUNCTION("""COMPUTED_VALUE"""),1206)</f>
        <v>1206</v>
      </c>
      <c r="K282" s="12">
        <f ca="1">IFERROR(__xludf.DUMMYFUNCTION("""COMPUTED_VALUE"""),3961)</f>
        <v>3961</v>
      </c>
      <c r="L282" s="12">
        <f ca="1">IFERROR(__xludf.DUMMYFUNCTION("""COMPUTED_VALUE"""),11321)</f>
        <v>11321</v>
      </c>
      <c r="M282" s="12">
        <f ca="1">IFERROR(__xludf.DUMMYFUNCTION("""COMPUTED_VALUE"""),8057)</f>
        <v>8057</v>
      </c>
      <c r="N282" s="12">
        <f ca="1">IFERROR(__xludf.DUMMYFUNCTION("""COMPUTED_VALUE"""),3552)</f>
        <v>3552</v>
      </c>
      <c r="O282" s="12">
        <f ca="1">IFERROR(__xludf.DUMMYFUNCTION("""COMPUTED_VALUE"""),6333)</f>
        <v>6333</v>
      </c>
      <c r="P282" s="12">
        <f ca="1">IFERROR(__xludf.DUMMYFUNCTION("""COMPUTED_VALUE"""),3807)</f>
        <v>3807</v>
      </c>
      <c r="Q282" s="12">
        <f ca="1">IFERROR(__xludf.DUMMYFUNCTION("""COMPUTED_VALUE"""),1108)</f>
        <v>1108</v>
      </c>
      <c r="R282" s="12">
        <f ca="1">IFERROR(__xludf.DUMMYFUNCTION("""COMPUTED_VALUE"""),3733)</f>
        <v>3733</v>
      </c>
      <c r="S282" s="12">
        <f ca="1">IFERROR(__xludf.DUMMYFUNCTION("""COMPUTED_VALUE"""),950)</f>
        <v>950</v>
      </c>
      <c r="T282" s="12">
        <f ca="1">IFERROR(__xludf.DUMMYFUNCTION("""COMPUTED_VALUE"""),8487)</f>
        <v>8487</v>
      </c>
      <c r="U282" s="12">
        <f ca="1">IFERROR(__xludf.DUMMYFUNCTION("""COMPUTED_VALUE"""),3921)</f>
        <v>3921</v>
      </c>
      <c r="V282" s="12">
        <f ca="1">IFERROR(__xludf.DUMMYFUNCTION("""COMPUTED_VALUE"""),10610)</f>
        <v>10610</v>
      </c>
      <c r="W282" s="12">
        <f ca="1">IFERROR(__xludf.DUMMYFUNCTION("""COMPUTED_VALUE"""),18099)</f>
        <v>18099</v>
      </c>
      <c r="X282" s="12">
        <f ca="1">IFERROR(__xludf.DUMMYFUNCTION("""COMPUTED_VALUE"""),28110)</f>
        <v>28110</v>
      </c>
      <c r="Y282" s="12">
        <f ca="1">IFERROR(__xludf.DUMMYFUNCTION("""COMPUTED_VALUE"""),6082)</f>
        <v>6082</v>
      </c>
      <c r="Z282" s="12">
        <f ca="1">IFERROR(__xludf.DUMMYFUNCTION("""COMPUTED_VALUE"""),14695)</f>
        <v>14695</v>
      </c>
      <c r="AA282" s="12">
        <f ca="1">IFERROR(__xludf.DUMMYFUNCTION("""COMPUTED_VALUE"""),12484)</f>
        <v>12484</v>
      </c>
      <c r="AB282" s="12">
        <f ca="1">IFERROR(__xludf.DUMMYFUNCTION("""COMPUTED_VALUE"""),6749)</f>
        <v>6749</v>
      </c>
      <c r="AC282" s="12">
        <f ca="1">IFERROR(__xludf.DUMMYFUNCTION("""COMPUTED_VALUE"""),3050)</f>
        <v>3050</v>
      </c>
      <c r="AD282" s="12">
        <f ca="1">IFERROR(__xludf.DUMMYFUNCTION("""COMPUTED_VALUE"""),13890)</f>
        <v>13890</v>
      </c>
      <c r="AE282" s="12">
        <f ca="1">IFERROR(__xludf.DUMMYFUNCTION("""COMPUTED_VALUE"""),7829)</f>
        <v>7829</v>
      </c>
      <c r="AF282" s="8">
        <f ca="1">IFERROR(__xludf.DUMMYFUNCTION("""COMPUTED_VALUE"""),22835)</f>
        <v>22835</v>
      </c>
      <c r="AG282" s="8">
        <f ca="1">IFERROR(__xludf.DUMMYFUNCTION("""COMPUTED_VALUE"""),6894)</f>
        <v>6894</v>
      </c>
      <c r="AH282" s="8">
        <f ca="1">IFERROR(__xludf.DUMMYFUNCTION("""COMPUTED_VALUE"""),18672)</f>
        <v>18672</v>
      </c>
      <c r="AI282" s="8">
        <f ca="1">IFERROR(__xludf.DUMMYFUNCTION("""COMPUTED_VALUE"""),8076)</f>
        <v>8076</v>
      </c>
      <c r="AJ282" s="8">
        <f ca="1">IFERROR(__xludf.DUMMYFUNCTION("""COMPUTED_VALUE"""),7994)</f>
        <v>7994</v>
      </c>
      <c r="AK282" s="8">
        <f ca="1">IFERROR(__xludf.DUMMYFUNCTION("""COMPUTED_VALUE"""),4596)</f>
        <v>4596</v>
      </c>
      <c r="AL282" s="8">
        <f ca="1">IFERROR(__xludf.DUMMYFUNCTION("""COMPUTED_VALUE"""),4134)</f>
        <v>4134</v>
      </c>
      <c r="AM282" s="8">
        <f ca="1">IFERROR(__xludf.DUMMYFUNCTION("""COMPUTED_VALUE"""),6267)</f>
        <v>6267</v>
      </c>
      <c r="AN282" s="8">
        <f ca="1">IFERROR(__xludf.DUMMYFUNCTION("""COMPUTED_VALUE"""),7839)</f>
        <v>7839</v>
      </c>
      <c r="AO282" s="8">
        <f ca="1">IFERROR(__xludf.DUMMYFUNCTION("""COMPUTED_VALUE"""),5415)</f>
        <v>5415</v>
      </c>
      <c r="AP282" s="8"/>
      <c r="AQ282" s="8"/>
      <c r="AR282" s="8"/>
      <c r="AS282" s="8"/>
      <c r="AT282" s="8"/>
      <c r="AU282" s="8"/>
      <c r="AV282" s="8"/>
      <c r="AW282" s="8"/>
      <c r="AX282" s="8"/>
      <c r="AY282" s="8"/>
    </row>
    <row r="283" spans="1:51" ht="13.2" x14ac:dyDescent="0.25">
      <c r="A283" s="12" t="str">
        <f ca="1">IFERROR(__xludf.DUMMYFUNCTION("""COMPUTED_VALUE"""),"               right Lateral septal complex")</f>
        <v xml:space="preserve">               right Lateral septal complex</v>
      </c>
      <c r="B283" s="12">
        <f ca="1">IFERROR(__xludf.DUMMYFUNCTION("""COMPUTED_VALUE"""),9832)</f>
        <v>9832</v>
      </c>
      <c r="C283" s="12">
        <f ca="1">IFERROR(__xludf.DUMMYFUNCTION("""COMPUTED_VALUE"""),17012)</f>
        <v>17012</v>
      </c>
      <c r="D283" s="12">
        <f ca="1">IFERROR(__xludf.DUMMYFUNCTION("""COMPUTED_VALUE"""),24607)</f>
        <v>24607</v>
      </c>
      <c r="E283" s="12">
        <f ca="1">IFERROR(__xludf.DUMMYFUNCTION("""COMPUTED_VALUE"""),16617)</f>
        <v>16617</v>
      </c>
      <c r="F283" s="12">
        <f ca="1">IFERROR(__xludf.DUMMYFUNCTION("""COMPUTED_VALUE"""),24785)</f>
        <v>24785</v>
      </c>
      <c r="G283" s="12">
        <f ca="1">IFERROR(__xludf.DUMMYFUNCTION("""COMPUTED_VALUE"""),10541)</f>
        <v>10541</v>
      </c>
      <c r="H283" s="12">
        <f ca="1">IFERROR(__xludf.DUMMYFUNCTION("""COMPUTED_VALUE"""),11063)</f>
        <v>11063</v>
      </c>
      <c r="I283" s="12">
        <f ca="1">IFERROR(__xludf.DUMMYFUNCTION("""COMPUTED_VALUE"""),9573)</f>
        <v>9573</v>
      </c>
      <c r="J283" s="12">
        <f ca="1">IFERROR(__xludf.DUMMYFUNCTION("""COMPUTED_VALUE"""),12487)</f>
        <v>12487</v>
      </c>
      <c r="K283" s="12">
        <f ca="1">IFERROR(__xludf.DUMMYFUNCTION("""COMPUTED_VALUE"""),14348)</f>
        <v>14348</v>
      </c>
      <c r="L283" s="12">
        <f ca="1">IFERROR(__xludf.DUMMYFUNCTION("""COMPUTED_VALUE"""),22730)</f>
        <v>22730</v>
      </c>
      <c r="M283" s="12">
        <f ca="1">IFERROR(__xludf.DUMMYFUNCTION("""COMPUTED_VALUE"""),15893)</f>
        <v>15893</v>
      </c>
      <c r="N283" s="12">
        <f ca="1">IFERROR(__xludf.DUMMYFUNCTION("""COMPUTED_VALUE"""),27566)</f>
        <v>27566</v>
      </c>
      <c r="O283" s="12">
        <f ca="1">IFERROR(__xludf.DUMMYFUNCTION("""COMPUTED_VALUE"""),17007)</f>
        <v>17007</v>
      </c>
      <c r="P283" s="12">
        <f ca="1">IFERROR(__xludf.DUMMYFUNCTION("""COMPUTED_VALUE"""),11633)</f>
        <v>11633</v>
      </c>
      <c r="Q283" s="12">
        <f ca="1">IFERROR(__xludf.DUMMYFUNCTION("""COMPUTED_VALUE"""),17410)</f>
        <v>17410</v>
      </c>
      <c r="R283" s="12">
        <f ca="1">IFERROR(__xludf.DUMMYFUNCTION("""COMPUTED_VALUE"""),9258)</f>
        <v>9258</v>
      </c>
      <c r="S283" s="12">
        <f ca="1">IFERROR(__xludf.DUMMYFUNCTION("""COMPUTED_VALUE"""),9206)</f>
        <v>9206</v>
      </c>
      <c r="T283" s="12">
        <f ca="1">IFERROR(__xludf.DUMMYFUNCTION("""COMPUTED_VALUE"""),15397)</f>
        <v>15397</v>
      </c>
      <c r="U283" s="12">
        <f ca="1">IFERROR(__xludf.DUMMYFUNCTION("""COMPUTED_VALUE"""),10249)</f>
        <v>10249</v>
      </c>
      <c r="V283" s="12">
        <f ca="1">IFERROR(__xludf.DUMMYFUNCTION("""COMPUTED_VALUE"""),22094)</f>
        <v>22094</v>
      </c>
      <c r="W283" s="12">
        <f ca="1">IFERROR(__xludf.DUMMYFUNCTION("""COMPUTED_VALUE"""),27012)</f>
        <v>27012</v>
      </c>
      <c r="X283" s="12">
        <f ca="1">IFERROR(__xludf.DUMMYFUNCTION("""COMPUTED_VALUE"""),38480)</f>
        <v>38480</v>
      </c>
      <c r="Y283" s="12">
        <f ca="1">IFERROR(__xludf.DUMMYFUNCTION("""COMPUTED_VALUE"""),14519)</f>
        <v>14519</v>
      </c>
      <c r="Z283" s="12">
        <f ca="1">IFERROR(__xludf.DUMMYFUNCTION("""COMPUTED_VALUE"""),10630)</f>
        <v>10630</v>
      </c>
      <c r="AA283" s="12">
        <f ca="1">IFERROR(__xludf.DUMMYFUNCTION("""COMPUTED_VALUE"""),13497)</f>
        <v>13497</v>
      </c>
      <c r="AB283" s="12">
        <f ca="1">IFERROR(__xludf.DUMMYFUNCTION("""COMPUTED_VALUE"""),11438)</f>
        <v>11438</v>
      </c>
      <c r="AC283" s="12">
        <f ca="1">IFERROR(__xludf.DUMMYFUNCTION("""COMPUTED_VALUE"""),14258)</f>
        <v>14258</v>
      </c>
      <c r="AD283" s="12">
        <f ca="1">IFERROR(__xludf.DUMMYFUNCTION("""COMPUTED_VALUE"""),12892)</f>
        <v>12892</v>
      </c>
      <c r="AE283" s="12">
        <f ca="1">IFERROR(__xludf.DUMMYFUNCTION("""COMPUTED_VALUE"""),18815)</f>
        <v>18815</v>
      </c>
      <c r="AF283" s="8">
        <f ca="1">IFERROR(__xludf.DUMMYFUNCTION("""COMPUTED_VALUE"""),39448)</f>
        <v>39448</v>
      </c>
      <c r="AG283" s="8">
        <f ca="1">IFERROR(__xludf.DUMMYFUNCTION("""COMPUTED_VALUE"""),6140)</f>
        <v>6140</v>
      </c>
      <c r="AH283" s="8">
        <f ca="1">IFERROR(__xludf.DUMMYFUNCTION("""COMPUTED_VALUE"""),19789)</f>
        <v>19789</v>
      </c>
      <c r="AI283" s="8">
        <f ca="1">IFERROR(__xludf.DUMMYFUNCTION("""COMPUTED_VALUE"""),6371)</f>
        <v>6371</v>
      </c>
      <c r="AJ283" s="8">
        <f ca="1">IFERROR(__xludf.DUMMYFUNCTION("""COMPUTED_VALUE"""),11666)</f>
        <v>11666</v>
      </c>
      <c r="AK283" s="8">
        <f ca="1">IFERROR(__xludf.DUMMYFUNCTION("""COMPUTED_VALUE"""),4331)</f>
        <v>4331</v>
      </c>
      <c r="AL283" s="8">
        <f ca="1">IFERROR(__xludf.DUMMYFUNCTION("""COMPUTED_VALUE"""),13736)</f>
        <v>13736</v>
      </c>
      <c r="AM283" s="8">
        <f ca="1">IFERROR(__xludf.DUMMYFUNCTION("""COMPUTED_VALUE"""),21220)</f>
        <v>21220</v>
      </c>
      <c r="AN283" s="8">
        <f ca="1">IFERROR(__xludf.DUMMYFUNCTION("""COMPUTED_VALUE"""),10313)</f>
        <v>10313</v>
      </c>
      <c r="AO283" s="8">
        <f ca="1">IFERROR(__xludf.DUMMYFUNCTION("""COMPUTED_VALUE"""),9991)</f>
        <v>9991</v>
      </c>
      <c r="AP283" s="8"/>
      <c r="AQ283" s="8"/>
      <c r="AR283" s="8"/>
      <c r="AS283" s="8"/>
      <c r="AT283" s="8"/>
      <c r="AU283" s="8"/>
      <c r="AV283" s="8"/>
      <c r="AW283" s="8"/>
      <c r="AX283" s="8"/>
      <c r="AY283" s="8"/>
    </row>
    <row r="284" spans="1:51" ht="13.2" x14ac:dyDescent="0.25">
      <c r="A284" s="12" t="str">
        <f ca="1">IFERROR(__xludf.DUMMYFUNCTION("""COMPUTED_VALUE"""),"                  right Lateral septal nucleus")</f>
        <v xml:space="preserve">                  right Lateral septal nucleus</v>
      </c>
      <c r="B284" s="12">
        <f ca="1">IFERROR(__xludf.DUMMYFUNCTION("""COMPUTED_VALUE"""),9477)</f>
        <v>9477</v>
      </c>
      <c r="C284" s="12">
        <f ca="1">IFERROR(__xludf.DUMMYFUNCTION("""COMPUTED_VALUE"""),15881)</f>
        <v>15881</v>
      </c>
      <c r="D284" s="12">
        <f ca="1">IFERROR(__xludf.DUMMYFUNCTION("""COMPUTED_VALUE"""),23412)</f>
        <v>23412</v>
      </c>
      <c r="E284" s="12">
        <f ca="1">IFERROR(__xludf.DUMMYFUNCTION("""COMPUTED_VALUE"""),15824)</f>
        <v>15824</v>
      </c>
      <c r="F284" s="12">
        <f ca="1">IFERROR(__xludf.DUMMYFUNCTION("""COMPUTED_VALUE"""),23630)</f>
        <v>23630</v>
      </c>
      <c r="G284" s="12">
        <f ca="1">IFERROR(__xludf.DUMMYFUNCTION("""COMPUTED_VALUE"""),9978)</f>
        <v>9978</v>
      </c>
      <c r="H284" s="12">
        <f ca="1">IFERROR(__xludf.DUMMYFUNCTION("""COMPUTED_VALUE"""),10586)</f>
        <v>10586</v>
      </c>
      <c r="I284" s="12">
        <f ca="1">IFERROR(__xludf.DUMMYFUNCTION("""COMPUTED_VALUE"""),9230)</f>
        <v>9230</v>
      </c>
      <c r="J284" s="12">
        <f ca="1">IFERROR(__xludf.DUMMYFUNCTION("""COMPUTED_VALUE"""),12075)</f>
        <v>12075</v>
      </c>
      <c r="K284" s="12">
        <f ca="1">IFERROR(__xludf.DUMMYFUNCTION("""COMPUTED_VALUE"""),13577)</f>
        <v>13577</v>
      </c>
      <c r="L284" s="12">
        <f ca="1">IFERROR(__xludf.DUMMYFUNCTION("""COMPUTED_VALUE"""),21542)</f>
        <v>21542</v>
      </c>
      <c r="M284" s="12">
        <f ca="1">IFERROR(__xludf.DUMMYFUNCTION("""COMPUTED_VALUE"""),15077)</f>
        <v>15077</v>
      </c>
      <c r="N284" s="12">
        <f ca="1">IFERROR(__xludf.DUMMYFUNCTION("""COMPUTED_VALUE"""),22626)</f>
        <v>22626</v>
      </c>
      <c r="O284" s="12">
        <f ca="1">IFERROR(__xludf.DUMMYFUNCTION("""COMPUTED_VALUE"""),16127)</f>
        <v>16127</v>
      </c>
      <c r="P284" s="12">
        <f ca="1">IFERROR(__xludf.DUMMYFUNCTION("""COMPUTED_VALUE"""),11094)</f>
        <v>11094</v>
      </c>
      <c r="Q284" s="12">
        <f ca="1">IFERROR(__xludf.DUMMYFUNCTION("""COMPUTED_VALUE"""),16922)</f>
        <v>16922</v>
      </c>
      <c r="R284" s="12">
        <f ca="1">IFERROR(__xludf.DUMMYFUNCTION("""COMPUTED_VALUE"""),8894)</f>
        <v>8894</v>
      </c>
      <c r="S284" s="12">
        <f ca="1">IFERROR(__xludf.DUMMYFUNCTION("""COMPUTED_VALUE"""),8830)</f>
        <v>8830</v>
      </c>
      <c r="T284" s="12">
        <f ca="1">IFERROR(__xludf.DUMMYFUNCTION("""COMPUTED_VALUE"""),14860)</f>
        <v>14860</v>
      </c>
      <c r="U284" s="12">
        <f ca="1">IFERROR(__xludf.DUMMYFUNCTION("""COMPUTED_VALUE"""),9361)</f>
        <v>9361</v>
      </c>
      <c r="V284" s="12">
        <f ca="1">IFERROR(__xludf.DUMMYFUNCTION("""COMPUTED_VALUE"""),21265)</f>
        <v>21265</v>
      </c>
      <c r="W284" s="12">
        <f ca="1">IFERROR(__xludf.DUMMYFUNCTION("""COMPUTED_VALUE"""),25736)</f>
        <v>25736</v>
      </c>
      <c r="X284" s="12">
        <f ca="1">IFERROR(__xludf.DUMMYFUNCTION("""COMPUTED_VALUE"""),36256)</f>
        <v>36256</v>
      </c>
      <c r="Y284" s="12">
        <f ca="1">IFERROR(__xludf.DUMMYFUNCTION("""COMPUTED_VALUE"""),13350)</f>
        <v>13350</v>
      </c>
      <c r="Z284" s="12">
        <f ca="1">IFERROR(__xludf.DUMMYFUNCTION("""COMPUTED_VALUE"""),9034)</f>
        <v>9034</v>
      </c>
      <c r="AA284" s="12">
        <f ca="1">IFERROR(__xludf.DUMMYFUNCTION("""COMPUTED_VALUE"""),12309)</f>
        <v>12309</v>
      </c>
      <c r="AB284" s="12">
        <f ca="1">IFERROR(__xludf.DUMMYFUNCTION("""COMPUTED_VALUE"""),10624)</f>
        <v>10624</v>
      </c>
      <c r="AC284" s="12">
        <f ca="1">IFERROR(__xludf.DUMMYFUNCTION("""COMPUTED_VALUE"""),13048)</f>
        <v>13048</v>
      </c>
      <c r="AD284" s="12">
        <f ca="1">IFERROR(__xludf.DUMMYFUNCTION("""COMPUTED_VALUE"""),12167)</f>
        <v>12167</v>
      </c>
      <c r="AE284" s="12">
        <f ca="1">IFERROR(__xludf.DUMMYFUNCTION("""COMPUTED_VALUE"""),17381)</f>
        <v>17381</v>
      </c>
      <c r="AF284" s="8">
        <f ca="1">IFERROR(__xludf.DUMMYFUNCTION("""COMPUTED_VALUE"""),35506)</f>
        <v>35506</v>
      </c>
      <c r="AG284" s="8">
        <f ca="1">IFERROR(__xludf.DUMMYFUNCTION("""COMPUTED_VALUE"""),5616)</f>
        <v>5616</v>
      </c>
      <c r="AH284" s="8">
        <f ca="1">IFERROR(__xludf.DUMMYFUNCTION("""COMPUTED_VALUE"""),18834)</f>
        <v>18834</v>
      </c>
      <c r="AI284" s="8">
        <f ca="1">IFERROR(__xludf.DUMMYFUNCTION("""COMPUTED_VALUE"""),6014)</f>
        <v>6014</v>
      </c>
      <c r="AJ284" s="8">
        <f ca="1">IFERROR(__xludf.DUMMYFUNCTION("""COMPUTED_VALUE"""),10042)</f>
        <v>10042</v>
      </c>
      <c r="AK284" s="8">
        <f ca="1">IFERROR(__xludf.DUMMYFUNCTION("""COMPUTED_VALUE"""),4029)</f>
        <v>4029</v>
      </c>
      <c r="AL284" s="8">
        <f ca="1">IFERROR(__xludf.DUMMYFUNCTION("""COMPUTED_VALUE"""),12778)</f>
        <v>12778</v>
      </c>
      <c r="AM284" s="8">
        <f ca="1">IFERROR(__xludf.DUMMYFUNCTION("""COMPUTED_VALUE"""),19531)</f>
        <v>19531</v>
      </c>
      <c r="AN284" s="8">
        <f ca="1">IFERROR(__xludf.DUMMYFUNCTION("""COMPUTED_VALUE"""),9708)</f>
        <v>9708</v>
      </c>
      <c r="AO284" s="8">
        <f ca="1">IFERROR(__xludf.DUMMYFUNCTION("""COMPUTED_VALUE"""),9205)</f>
        <v>9205</v>
      </c>
      <c r="AP284" s="8"/>
      <c r="AQ284" s="8"/>
      <c r="AR284" s="8"/>
      <c r="AS284" s="8"/>
      <c r="AT284" s="8"/>
      <c r="AU284" s="8"/>
      <c r="AV284" s="8"/>
      <c r="AW284" s="8"/>
      <c r="AX284" s="8"/>
      <c r="AY284" s="8"/>
    </row>
    <row r="285" spans="1:51" ht="13.2" x14ac:dyDescent="0.25">
      <c r="A285" s="12" t="str">
        <f ca="1">IFERROR(__xludf.DUMMYFUNCTION("""COMPUTED_VALUE"""),"               right Striatum-like amygdalar nuclei")</f>
        <v xml:space="preserve">               right Striatum-like amygdalar nuclei</v>
      </c>
      <c r="B285" s="12">
        <f ca="1">IFERROR(__xludf.DUMMYFUNCTION("""COMPUTED_VALUE"""),7825)</f>
        <v>7825</v>
      </c>
      <c r="C285" s="12">
        <f ca="1">IFERROR(__xludf.DUMMYFUNCTION("""COMPUTED_VALUE"""),18105)</f>
        <v>18105</v>
      </c>
      <c r="D285" s="12">
        <f ca="1">IFERROR(__xludf.DUMMYFUNCTION("""COMPUTED_VALUE"""),9902)</f>
        <v>9902</v>
      </c>
      <c r="E285" s="12">
        <f ca="1">IFERROR(__xludf.DUMMYFUNCTION("""COMPUTED_VALUE"""),10247)</f>
        <v>10247</v>
      </c>
      <c r="F285" s="12">
        <f ca="1">IFERROR(__xludf.DUMMYFUNCTION("""COMPUTED_VALUE"""),12543)</f>
        <v>12543</v>
      </c>
      <c r="G285" s="12">
        <f ca="1">IFERROR(__xludf.DUMMYFUNCTION("""COMPUTED_VALUE"""),8380)</f>
        <v>8380</v>
      </c>
      <c r="H285" s="12">
        <f ca="1">IFERROR(__xludf.DUMMYFUNCTION("""COMPUTED_VALUE"""),6675)</f>
        <v>6675</v>
      </c>
      <c r="I285" s="12">
        <f ca="1">IFERROR(__xludf.DUMMYFUNCTION("""COMPUTED_VALUE"""),7901)</f>
        <v>7901</v>
      </c>
      <c r="J285" s="12">
        <f ca="1">IFERROR(__xludf.DUMMYFUNCTION("""COMPUTED_VALUE"""),9967)</f>
        <v>9967</v>
      </c>
      <c r="K285" s="12">
        <f ca="1">IFERROR(__xludf.DUMMYFUNCTION("""COMPUTED_VALUE"""),13477)</f>
        <v>13477</v>
      </c>
      <c r="L285" s="12">
        <f ca="1">IFERROR(__xludf.DUMMYFUNCTION("""COMPUTED_VALUE"""),15360)</f>
        <v>15360</v>
      </c>
      <c r="M285" s="12">
        <f ca="1">IFERROR(__xludf.DUMMYFUNCTION("""COMPUTED_VALUE"""),13315)</f>
        <v>13315</v>
      </c>
      <c r="N285" s="12">
        <f ca="1">IFERROR(__xludf.DUMMYFUNCTION("""COMPUTED_VALUE"""),8065)</f>
        <v>8065</v>
      </c>
      <c r="O285" s="12">
        <f ca="1">IFERROR(__xludf.DUMMYFUNCTION("""COMPUTED_VALUE"""),10266)</f>
        <v>10266</v>
      </c>
      <c r="P285" s="12">
        <f ca="1">IFERROR(__xludf.DUMMYFUNCTION("""COMPUTED_VALUE"""),9295)</f>
        <v>9295</v>
      </c>
      <c r="Q285" s="12">
        <f ca="1">IFERROR(__xludf.DUMMYFUNCTION("""COMPUTED_VALUE"""),12120)</f>
        <v>12120</v>
      </c>
      <c r="R285" s="12">
        <f ca="1">IFERROR(__xludf.DUMMYFUNCTION("""COMPUTED_VALUE"""),10760)</f>
        <v>10760</v>
      </c>
      <c r="S285" s="12">
        <f ca="1">IFERROR(__xludf.DUMMYFUNCTION("""COMPUTED_VALUE"""),2589)</f>
        <v>2589</v>
      </c>
      <c r="T285" s="12">
        <f ca="1">IFERROR(__xludf.DUMMYFUNCTION("""COMPUTED_VALUE"""),20021)</f>
        <v>20021</v>
      </c>
      <c r="U285" s="12">
        <f ca="1">IFERROR(__xludf.DUMMYFUNCTION("""COMPUTED_VALUE"""),6831)</f>
        <v>6831</v>
      </c>
      <c r="V285" s="12">
        <f ca="1">IFERROR(__xludf.DUMMYFUNCTION("""COMPUTED_VALUE"""),18772)</f>
        <v>18772</v>
      </c>
      <c r="W285" s="12">
        <f ca="1">IFERROR(__xludf.DUMMYFUNCTION("""COMPUTED_VALUE"""),23011)</f>
        <v>23011</v>
      </c>
      <c r="X285" s="12">
        <f ca="1">IFERROR(__xludf.DUMMYFUNCTION("""COMPUTED_VALUE"""),33013)</f>
        <v>33013</v>
      </c>
      <c r="Y285" s="12">
        <f ca="1">IFERROR(__xludf.DUMMYFUNCTION("""COMPUTED_VALUE"""),17167)</f>
        <v>17167</v>
      </c>
      <c r="Z285" s="12">
        <f ca="1">IFERROR(__xludf.DUMMYFUNCTION("""COMPUTED_VALUE"""),30872)</f>
        <v>30872</v>
      </c>
      <c r="AA285" s="12">
        <f ca="1">IFERROR(__xludf.DUMMYFUNCTION("""COMPUTED_VALUE"""),20875)</f>
        <v>20875</v>
      </c>
      <c r="AB285" s="12">
        <f ca="1">IFERROR(__xludf.DUMMYFUNCTION("""COMPUTED_VALUE"""),22753)</f>
        <v>22753</v>
      </c>
      <c r="AC285" s="12">
        <f ca="1">IFERROR(__xludf.DUMMYFUNCTION("""COMPUTED_VALUE"""),3433)</f>
        <v>3433</v>
      </c>
      <c r="AD285" s="12">
        <f ca="1">IFERROR(__xludf.DUMMYFUNCTION("""COMPUTED_VALUE"""),22113)</f>
        <v>22113</v>
      </c>
      <c r="AE285" s="12">
        <f ca="1">IFERROR(__xludf.DUMMYFUNCTION("""COMPUTED_VALUE"""),20303)</f>
        <v>20303</v>
      </c>
      <c r="AF285" s="8">
        <f ca="1">IFERROR(__xludf.DUMMYFUNCTION("""COMPUTED_VALUE"""),43046)</f>
        <v>43046</v>
      </c>
      <c r="AG285" s="8">
        <f ca="1">IFERROR(__xludf.DUMMYFUNCTION("""COMPUTED_VALUE"""),11950)</f>
        <v>11950</v>
      </c>
      <c r="AH285" s="8">
        <f ca="1">IFERROR(__xludf.DUMMYFUNCTION("""COMPUTED_VALUE"""),20421)</f>
        <v>20421</v>
      </c>
      <c r="AI285" s="8">
        <f ca="1">IFERROR(__xludf.DUMMYFUNCTION("""COMPUTED_VALUE"""),7703)</f>
        <v>7703</v>
      </c>
      <c r="AJ285" s="8">
        <f ca="1">IFERROR(__xludf.DUMMYFUNCTION("""COMPUTED_VALUE"""),5880)</f>
        <v>5880</v>
      </c>
      <c r="AK285" s="8">
        <f ca="1">IFERROR(__xludf.DUMMYFUNCTION("""COMPUTED_VALUE"""),4732)</f>
        <v>4732</v>
      </c>
      <c r="AL285" s="8">
        <f ca="1">IFERROR(__xludf.DUMMYFUNCTION("""COMPUTED_VALUE"""),6809)</f>
        <v>6809</v>
      </c>
      <c r="AM285" s="8">
        <f ca="1">IFERROR(__xludf.DUMMYFUNCTION("""COMPUTED_VALUE"""),19486)</f>
        <v>19486</v>
      </c>
      <c r="AN285" s="8">
        <f ca="1">IFERROR(__xludf.DUMMYFUNCTION("""COMPUTED_VALUE"""),9510)</f>
        <v>9510</v>
      </c>
      <c r="AO285" s="8">
        <f ca="1">IFERROR(__xludf.DUMMYFUNCTION("""COMPUTED_VALUE"""),9562)</f>
        <v>9562</v>
      </c>
      <c r="AP285" s="8"/>
      <c r="AQ285" s="8"/>
      <c r="AR285" s="8"/>
      <c r="AS285" s="8"/>
      <c r="AT285" s="8"/>
      <c r="AU285" s="8"/>
      <c r="AV285" s="8"/>
      <c r="AW285" s="8"/>
      <c r="AX285" s="8"/>
      <c r="AY285" s="8"/>
    </row>
    <row r="286" spans="1:51" ht="13.2" x14ac:dyDescent="0.25">
      <c r="A286" s="12" t="str">
        <f ca="1">IFERROR(__xludf.DUMMYFUNCTION("""COMPUTED_VALUE"""),"                  right Anterior amygdalar area")</f>
        <v xml:space="preserve">                  right Anterior amygdalar area</v>
      </c>
      <c r="B286" s="12">
        <f ca="1">IFERROR(__xludf.DUMMYFUNCTION("""COMPUTED_VALUE"""),805)</f>
        <v>805</v>
      </c>
      <c r="C286" s="12">
        <f ca="1">IFERROR(__xludf.DUMMYFUNCTION("""COMPUTED_VALUE"""),1636)</f>
        <v>1636</v>
      </c>
      <c r="D286" s="12">
        <f ca="1">IFERROR(__xludf.DUMMYFUNCTION("""COMPUTED_VALUE"""),1357)</f>
        <v>1357</v>
      </c>
      <c r="E286" s="12">
        <f ca="1">IFERROR(__xludf.DUMMYFUNCTION("""COMPUTED_VALUE"""),684)</f>
        <v>684</v>
      </c>
      <c r="F286" s="12">
        <f ca="1">IFERROR(__xludf.DUMMYFUNCTION("""COMPUTED_VALUE"""),738)</f>
        <v>738</v>
      </c>
      <c r="G286" s="12">
        <f ca="1">IFERROR(__xludf.DUMMYFUNCTION("""COMPUTED_VALUE"""),468)</f>
        <v>468</v>
      </c>
      <c r="H286" s="12">
        <f ca="1">IFERROR(__xludf.DUMMYFUNCTION("""COMPUTED_VALUE"""),428)</f>
        <v>428</v>
      </c>
      <c r="I286" s="12">
        <f ca="1">IFERROR(__xludf.DUMMYFUNCTION("""COMPUTED_VALUE"""),221)</f>
        <v>221</v>
      </c>
      <c r="J286" s="12">
        <f ca="1">IFERROR(__xludf.DUMMYFUNCTION("""COMPUTED_VALUE"""),1058)</f>
        <v>1058</v>
      </c>
      <c r="K286" s="12">
        <f ca="1">IFERROR(__xludf.DUMMYFUNCTION("""COMPUTED_VALUE"""),1007)</f>
        <v>1007</v>
      </c>
      <c r="L286" s="12">
        <f ca="1">IFERROR(__xludf.DUMMYFUNCTION("""COMPUTED_VALUE"""),1276)</f>
        <v>1276</v>
      </c>
      <c r="M286" s="12">
        <f ca="1">IFERROR(__xludf.DUMMYFUNCTION("""COMPUTED_VALUE"""),636)</f>
        <v>636</v>
      </c>
      <c r="N286" s="12">
        <f ca="1">IFERROR(__xludf.DUMMYFUNCTION("""COMPUTED_VALUE"""),591)</f>
        <v>591</v>
      </c>
      <c r="O286" s="12">
        <f ca="1">IFERROR(__xludf.DUMMYFUNCTION("""COMPUTED_VALUE"""),1082)</f>
        <v>1082</v>
      </c>
      <c r="P286" s="12">
        <f ca="1">IFERROR(__xludf.DUMMYFUNCTION("""COMPUTED_VALUE"""),950)</f>
        <v>950</v>
      </c>
      <c r="Q286" s="12">
        <f ca="1">IFERROR(__xludf.DUMMYFUNCTION("""COMPUTED_VALUE"""),1245)</f>
        <v>1245</v>
      </c>
      <c r="R286" s="12">
        <f ca="1">IFERROR(__xludf.DUMMYFUNCTION("""COMPUTED_VALUE"""),735)</f>
        <v>735</v>
      </c>
      <c r="S286" s="12">
        <f ca="1">IFERROR(__xludf.DUMMYFUNCTION("""COMPUTED_VALUE"""),105)</f>
        <v>105</v>
      </c>
      <c r="T286" s="12">
        <f ca="1">IFERROR(__xludf.DUMMYFUNCTION("""COMPUTED_VALUE"""),1108)</f>
        <v>1108</v>
      </c>
      <c r="U286" s="12">
        <f ca="1">IFERROR(__xludf.DUMMYFUNCTION("""COMPUTED_VALUE"""),665)</f>
        <v>665</v>
      </c>
      <c r="V286" s="12">
        <f ca="1">IFERROR(__xludf.DUMMYFUNCTION("""COMPUTED_VALUE"""),1045)</f>
        <v>1045</v>
      </c>
      <c r="W286" s="12">
        <f ca="1">IFERROR(__xludf.DUMMYFUNCTION("""COMPUTED_VALUE"""),2104)</f>
        <v>2104</v>
      </c>
      <c r="X286" s="12">
        <f ca="1">IFERROR(__xludf.DUMMYFUNCTION("""COMPUTED_VALUE"""),3109)</f>
        <v>3109</v>
      </c>
      <c r="Y286" s="12">
        <f ca="1">IFERROR(__xludf.DUMMYFUNCTION("""COMPUTED_VALUE"""),1174)</f>
        <v>1174</v>
      </c>
      <c r="Z286" s="12">
        <f ca="1">IFERROR(__xludf.DUMMYFUNCTION("""COMPUTED_VALUE"""),1952)</f>
        <v>1952</v>
      </c>
      <c r="AA286" s="12">
        <f ca="1">IFERROR(__xludf.DUMMYFUNCTION("""COMPUTED_VALUE"""),1295)</f>
        <v>1295</v>
      </c>
      <c r="AB286" s="12">
        <f ca="1">IFERROR(__xludf.DUMMYFUNCTION("""COMPUTED_VALUE"""),1075)</f>
        <v>1075</v>
      </c>
      <c r="AC286" s="12">
        <f ca="1">IFERROR(__xludf.DUMMYFUNCTION("""COMPUTED_VALUE"""),135)</f>
        <v>135</v>
      </c>
      <c r="AD286" s="12">
        <f ca="1">IFERROR(__xludf.DUMMYFUNCTION("""COMPUTED_VALUE"""),1061)</f>
        <v>1061</v>
      </c>
      <c r="AE286" s="12">
        <f ca="1">IFERROR(__xludf.DUMMYFUNCTION("""COMPUTED_VALUE"""),2021)</f>
        <v>2021</v>
      </c>
      <c r="AF286" s="8">
        <f ca="1">IFERROR(__xludf.DUMMYFUNCTION("""COMPUTED_VALUE"""),3234)</f>
        <v>3234</v>
      </c>
      <c r="AG286" s="8">
        <f ca="1">IFERROR(__xludf.DUMMYFUNCTION("""COMPUTED_VALUE"""),587)</f>
        <v>587</v>
      </c>
      <c r="AH286" s="8">
        <f ca="1">IFERROR(__xludf.DUMMYFUNCTION("""COMPUTED_VALUE"""),1875)</f>
        <v>1875</v>
      </c>
      <c r="AI286" s="8">
        <f ca="1">IFERROR(__xludf.DUMMYFUNCTION("""COMPUTED_VALUE"""),1028)</f>
        <v>1028</v>
      </c>
      <c r="AJ286" s="8">
        <f ca="1">IFERROR(__xludf.DUMMYFUNCTION("""COMPUTED_VALUE"""),590)</f>
        <v>590</v>
      </c>
      <c r="AK286" s="8">
        <f ca="1">IFERROR(__xludf.DUMMYFUNCTION("""COMPUTED_VALUE"""),320)</f>
        <v>320</v>
      </c>
      <c r="AL286" s="8">
        <f ca="1">IFERROR(__xludf.DUMMYFUNCTION("""COMPUTED_VALUE"""),547)</f>
        <v>547</v>
      </c>
      <c r="AM286" s="8">
        <f ca="1">IFERROR(__xludf.DUMMYFUNCTION("""COMPUTED_VALUE"""),1454)</f>
        <v>1454</v>
      </c>
      <c r="AN286" s="8">
        <f ca="1">IFERROR(__xludf.DUMMYFUNCTION("""COMPUTED_VALUE"""),749)</f>
        <v>749</v>
      </c>
      <c r="AO286" s="8">
        <f ca="1">IFERROR(__xludf.DUMMYFUNCTION("""COMPUTED_VALUE"""),830)</f>
        <v>830</v>
      </c>
      <c r="AP286" s="8"/>
      <c r="AQ286" s="8"/>
      <c r="AR286" s="8"/>
      <c r="AS286" s="8"/>
      <c r="AT286" s="8"/>
      <c r="AU286" s="8"/>
      <c r="AV286" s="8"/>
      <c r="AW286" s="8"/>
      <c r="AX286" s="8"/>
      <c r="AY286" s="8"/>
    </row>
    <row r="287" spans="1:51" ht="13.2" x14ac:dyDescent="0.25">
      <c r="A287" s="12" t="str">
        <f ca="1">IFERROR(__xludf.DUMMYFUNCTION("""COMPUTED_VALUE"""),"                  right Bed nucleus of the accessory olfactory tract")</f>
        <v xml:space="preserve">                  right Bed nucleus of the accessory olfactory tract</v>
      </c>
      <c r="B287" s="12">
        <f ca="1">IFERROR(__xludf.DUMMYFUNCTION("""COMPUTED_VALUE"""),18)</f>
        <v>18</v>
      </c>
      <c r="C287" s="12">
        <f ca="1">IFERROR(__xludf.DUMMYFUNCTION("""COMPUTED_VALUE"""),29)</f>
        <v>29</v>
      </c>
      <c r="D287" s="12">
        <f ca="1">IFERROR(__xludf.DUMMYFUNCTION("""COMPUTED_VALUE"""),86)</f>
        <v>86</v>
      </c>
      <c r="E287" s="12">
        <f ca="1">IFERROR(__xludf.DUMMYFUNCTION("""COMPUTED_VALUE"""),29)</f>
        <v>29</v>
      </c>
      <c r="F287" s="12">
        <f ca="1">IFERROR(__xludf.DUMMYFUNCTION("""COMPUTED_VALUE"""),0)</f>
        <v>0</v>
      </c>
      <c r="G287" s="12">
        <f ca="1">IFERROR(__xludf.DUMMYFUNCTION("""COMPUTED_VALUE"""),1)</f>
        <v>1</v>
      </c>
      <c r="H287" s="12">
        <f ca="1">IFERROR(__xludf.DUMMYFUNCTION("""COMPUTED_VALUE"""),11)</f>
        <v>11</v>
      </c>
      <c r="I287" s="12">
        <f ca="1">IFERROR(__xludf.DUMMYFUNCTION("""COMPUTED_VALUE"""),0)</f>
        <v>0</v>
      </c>
      <c r="J287" s="12">
        <f ca="1">IFERROR(__xludf.DUMMYFUNCTION("""COMPUTED_VALUE"""),9)</f>
        <v>9</v>
      </c>
      <c r="K287" s="12">
        <f ca="1">IFERROR(__xludf.DUMMYFUNCTION("""COMPUTED_VALUE"""),10)</f>
        <v>10</v>
      </c>
      <c r="L287" s="12">
        <f ca="1">IFERROR(__xludf.DUMMYFUNCTION("""COMPUTED_VALUE"""),98)</f>
        <v>98</v>
      </c>
      <c r="M287" s="12">
        <f ca="1">IFERROR(__xludf.DUMMYFUNCTION("""COMPUTED_VALUE"""),2)</f>
        <v>2</v>
      </c>
      <c r="N287" s="12">
        <f ca="1">IFERROR(__xludf.DUMMYFUNCTION("""COMPUTED_VALUE"""),8)</f>
        <v>8</v>
      </c>
      <c r="O287" s="12">
        <f ca="1">IFERROR(__xludf.DUMMYFUNCTION("""COMPUTED_VALUE"""),21)</f>
        <v>21</v>
      </c>
      <c r="P287" s="12">
        <f ca="1">IFERROR(__xludf.DUMMYFUNCTION("""COMPUTED_VALUE"""),10)</f>
        <v>10</v>
      </c>
      <c r="Q287" s="12">
        <f ca="1">IFERROR(__xludf.DUMMYFUNCTION("""COMPUTED_VALUE"""),4)</f>
        <v>4</v>
      </c>
      <c r="R287" s="12">
        <f ca="1">IFERROR(__xludf.DUMMYFUNCTION("""COMPUTED_VALUE"""),20)</f>
        <v>20</v>
      </c>
      <c r="S287" s="12">
        <f ca="1">IFERROR(__xludf.DUMMYFUNCTION("""COMPUTED_VALUE"""),9)</f>
        <v>9</v>
      </c>
      <c r="T287" s="12">
        <f ca="1">IFERROR(__xludf.DUMMYFUNCTION("""COMPUTED_VALUE"""),19)</f>
        <v>19</v>
      </c>
      <c r="U287" s="12">
        <f ca="1">IFERROR(__xludf.DUMMYFUNCTION("""COMPUTED_VALUE"""),11)</f>
        <v>11</v>
      </c>
      <c r="V287" s="12">
        <f ca="1">IFERROR(__xludf.DUMMYFUNCTION("""COMPUTED_VALUE"""),41)</f>
        <v>41</v>
      </c>
      <c r="W287" s="12">
        <f ca="1">IFERROR(__xludf.DUMMYFUNCTION("""COMPUTED_VALUE"""),160)</f>
        <v>160</v>
      </c>
      <c r="X287" s="12">
        <f ca="1">IFERROR(__xludf.DUMMYFUNCTION("""COMPUTED_VALUE"""),253)</f>
        <v>253</v>
      </c>
      <c r="Y287" s="12">
        <f ca="1">IFERROR(__xludf.DUMMYFUNCTION("""COMPUTED_VALUE"""),47)</f>
        <v>47</v>
      </c>
      <c r="Z287" s="12">
        <f ca="1">IFERROR(__xludf.DUMMYFUNCTION("""COMPUTED_VALUE"""),26)</f>
        <v>26</v>
      </c>
      <c r="AA287" s="12">
        <f ca="1">IFERROR(__xludf.DUMMYFUNCTION("""COMPUTED_VALUE"""),4)</f>
        <v>4</v>
      </c>
      <c r="AB287" s="12">
        <f ca="1">IFERROR(__xludf.DUMMYFUNCTION("""COMPUTED_VALUE"""),1)</f>
        <v>1</v>
      </c>
      <c r="AC287" s="12">
        <f ca="1">IFERROR(__xludf.DUMMYFUNCTION("""COMPUTED_VALUE"""),20)</f>
        <v>20</v>
      </c>
      <c r="AD287" s="12">
        <f ca="1">IFERROR(__xludf.DUMMYFUNCTION("""COMPUTED_VALUE"""),65)</f>
        <v>65</v>
      </c>
      <c r="AE287" s="12">
        <f ca="1">IFERROR(__xludf.DUMMYFUNCTION("""COMPUTED_VALUE"""),144)</f>
        <v>144</v>
      </c>
      <c r="AF287" s="8">
        <f ca="1">IFERROR(__xludf.DUMMYFUNCTION("""COMPUTED_VALUE"""),109)</f>
        <v>109</v>
      </c>
      <c r="AG287" s="8">
        <f ca="1">IFERROR(__xludf.DUMMYFUNCTION("""COMPUTED_VALUE"""),6)</f>
        <v>6</v>
      </c>
      <c r="AH287" s="8">
        <f ca="1">IFERROR(__xludf.DUMMYFUNCTION("""COMPUTED_VALUE"""),64)</f>
        <v>64</v>
      </c>
      <c r="AI287" s="8">
        <f ca="1">IFERROR(__xludf.DUMMYFUNCTION("""COMPUTED_VALUE"""),9)</f>
        <v>9</v>
      </c>
      <c r="AJ287" s="8">
        <f ca="1">IFERROR(__xludf.DUMMYFUNCTION("""COMPUTED_VALUE"""),9)</f>
        <v>9</v>
      </c>
      <c r="AK287" s="8">
        <f ca="1">IFERROR(__xludf.DUMMYFUNCTION("""COMPUTED_VALUE"""),22)</f>
        <v>22</v>
      </c>
      <c r="AL287" s="8">
        <f ca="1">IFERROR(__xludf.DUMMYFUNCTION("""COMPUTED_VALUE"""),6)</f>
        <v>6</v>
      </c>
      <c r="AM287" s="8">
        <f ca="1">IFERROR(__xludf.DUMMYFUNCTION("""COMPUTED_VALUE"""),11)</f>
        <v>11</v>
      </c>
      <c r="AN287" s="8">
        <f ca="1">IFERROR(__xludf.DUMMYFUNCTION("""COMPUTED_VALUE"""),73)</f>
        <v>73</v>
      </c>
      <c r="AO287" s="8">
        <f ca="1">IFERROR(__xludf.DUMMYFUNCTION("""COMPUTED_VALUE"""),146)</f>
        <v>146</v>
      </c>
      <c r="AP287" s="8"/>
      <c r="AQ287" s="8"/>
      <c r="AR287" s="8"/>
      <c r="AS287" s="8"/>
      <c r="AT287" s="8"/>
      <c r="AU287" s="8"/>
      <c r="AV287" s="8"/>
      <c r="AW287" s="8"/>
      <c r="AX287" s="8"/>
      <c r="AY287" s="8"/>
    </row>
    <row r="288" spans="1:51" ht="13.2" x14ac:dyDescent="0.25">
      <c r="A288" s="12" t="str">
        <f ca="1">IFERROR(__xludf.DUMMYFUNCTION("""COMPUTED_VALUE"""),"                  right Central amygdalar nucleus")</f>
        <v xml:space="preserve">                  right Central amygdalar nucleus</v>
      </c>
      <c r="B288" s="12">
        <f ca="1">IFERROR(__xludf.DUMMYFUNCTION("""COMPUTED_VALUE"""),3006)</f>
        <v>3006</v>
      </c>
      <c r="C288" s="12">
        <f ca="1">IFERROR(__xludf.DUMMYFUNCTION("""COMPUTED_VALUE"""),5302)</f>
        <v>5302</v>
      </c>
      <c r="D288" s="12">
        <f ca="1">IFERROR(__xludf.DUMMYFUNCTION("""COMPUTED_VALUE"""),3822)</f>
        <v>3822</v>
      </c>
      <c r="E288" s="12">
        <f ca="1">IFERROR(__xludf.DUMMYFUNCTION("""COMPUTED_VALUE"""),2849)</f>
        <v>2849</v>
      </c>
      <c r="F288" s="12">
        <f ca="1">IFERROR(__xludf.DUMMYFUNCTION("""COMPUTED_VALUE"""),7465)</f>
        <v>7465</v>
      </c>
      <c r="G288" s="12">
        <f ca="1">IFERROR(__xludf.DUMMYFUNCTION("""COMPUTED_VALUE"""),4082)</f>
        <v>4082</v>
      </c>
      <c r="H288" s="12">
        <f ca="1">IFERROR(__xludf.DUMMYFUNCTION("""COMPUTED_VALUE"""),1368)</f>
        <v>1368</v>
      </c>
      <c r="I288" s="12">
        <f ca="1">IFERROR(__xludf.DUMMYFUNCTION("""COMPUTED_VALUE"""),3883)</f>
        <v>3883</v>
      </c>
      <c r="J288" s="12">
        <f ca="1">IFERROR(__xludf.DUMMYFUNCTION("""COMPUTED_VALUE"""),3136)</f>
        <v>3136</v>
      </c>
      <c r="K288" s="12">
        <f ca="1">IFERROR(__xludf.DUMMYFUNCTION("""COMPUTED_VALUE"""),3087)</f>
        <v>3087</v>
      </c>
      <c r="L288" s="12">
        <f ca="1">IFERROR(__xludf.DUMMYFUNCTION("""COMPUTED_VALUE"""),4354)</f>
        <v>4354</v>
      </c>
      <c r="M288" s="12">
        <f ca="1">IFERROR(__xludf.DUMMYFUNCTION("""COMPUTED_VALUE"""),4400)</f>
        <v>4400</v>
      </c>
      <c r="N288" s="12">
        <f ca="1">IFERROR(__xludf.DUMMYFUNCTION("""COMPUTED_VALUE"""),3739)</f>
        <v>3739</v>
      </c>
      <c r="O288" s="12">
        <f ca="1">IFERROR(__xludf.DUMMYFUNCTION("""COMPUTED_VALUE"""),3207)</f>
        <v>3207</v>
      </c>
      <c r="P288" s="12">
        <f ca="1">IFERROR(__xludf.DUMMYFUNCTION("""COMPUTED_VALUE"""),2471)</f>
        <v>2471</v>
      </c>
      <c r="Q288" s="12">
        <f ca="1">IFERROR(__xludf.DUMMYFUNCTION("""COMPUTED_VALUE"""),2969)</f>
        <v>2969</v>
      </c>
      <c r="R288" s="12">
        <f ca="1">IFERROR(__xludf.DUMMYFUNCTION("""COMPUTED_VALUE"""),3898)</f>
        <v>3898</v>
      </c>
      <c r="S288" s="12">
        <f ca="1">IFERROR(__xludf.DUMMYFUNCTION("""COMPUTED_VALUE"""),687)</f>
        <v>687</v>
      </c>
      <c r="T288" s="12">
        <f ca="1">IFERROR(__xludf.DUMMYFUNCTION("""COMPUTED_VALUE"""),3125)</f>
        <v>3125</v>
      </c>
      <c r="U288" s="12">
        <f ca="1">IFERROR(__xludf.DUMMYFUNCTION("""COMPUTED_VALUE"""),1676)</f>
        <v>1676</v>
      </c>
      <c r="V288" s="12">
        <f ca="1">IFERROR(__xludf.DUMMYFUNCTION("""COMPUTED_VALUE"""),6844)</f>
        <v>6844</v>
      </c>
      <c r="W288" s="12">
        <f ca="1">IFERROR(__xludf.DUMMYFUNCTION("""COMPUTED_VALUE"""),10967)</f>
        <v>10967</v>
      </c>
      <c r="X288" s="12">
        <f ca="1">IFERROR(__xludf.DUMMYFUNCTION("""COMPUTED_VALUE"""),11368)</f>
        <v>11368</v>
      </c>
      <c r="Y288" s="12">
        <f ca="1">IFERROR(__xludf.DUMMYFUNCTION("""COMPUTED_VALUE"""),7842)</f>
        <v>7842</v>
      </c>
      <c r="Z288" s="12">
        <f ca="1">IFERROR(__xludf.DUMMYFUNCTION("""COMPUTED_VALUE"""),11137)</f>
        <v>11137</v>
      </c>
      <c r="AA288" s="12">
        <f ca="1">IFERROR(__xludf.DUMMYFUNCTION("""COMPUTED_VALUE"""),6272)</f>
        <v>6272</v>
      </c>
      <c r="AB288" s="12">
        <f ca="1">IFERROR(__xludf.DUMMYFUNCTION("""COMPUTED_VALUE"""),7584)</f>
        <v>7584</v>
      </c>
      <c r="AC288" s="12">
        <f ca="1">IFERROR(__xludf.DUMMYFUNCTION("""COMPUTED_VALUE"""),866)</f>
        <v>866</v>
      </c>
      <c r="AD288" s="12">
        <f ca="1">IFERROR(__xludf.DUMMYFUNCTION("""COMPUTED_VALUE"""),8134)</f>
        <v>8134</v>
      </c>
      <c r="AE288" s="12">
        <f ca="1">IFERROR(__xludf.DUMMYFUNCTION("""COMPUTED_VALUE"""),3808)</f>
        <v>3808</v>
      </c>
      <c r="AF288" s="8">
        <f ca="1">IFERROR(__xludf.DUMMYFUNCTION("""COMPUTED_VALUE"""),10830)</f>
        <v>10830</v>
      </c>
      <c r="AG288" s="8">
        <f ca="1">IFERROR(__xludf.DUMMYFUNCTION("""COMPUTED_VALUE"""),4281)</f>
        <v>4281</v>
      </c>
      <c r="AH288" s="8">
        <f ca="1">IFERROR(__xludf.DUMMYFUNCTION("""COMPUTED_VALUE"""),8139)</f>
        <v>8139</v>
      </c>
      <c r="AI288" s="8">
        <f ca="1">IFERROR(__xludf.DUMMYFUNCTION("""COMPUTED_VALUE"""),2943)</f>
        <v>2943</v>
      </c>
      <c r="AJ288" s="8">
        <f ca="1">IFERROR(__xludf.DUMMYFUNCTION("""COMPUTED_VALUE"""),1459)</f>
        <v>1459</v>
      </c>
      <c r="AK288" s="8">
        <f ca="1">IFERROR(__xludf.DUMMYFUNCTION("""COMPUTED_VALUE"""),215)</f>
        <v>215</v>
      </c>
      <c r="AL288" s="8">
        <f ca="1">IFERROR(__xludf.DUMMYFUNCTION("""COMPUTED_VALUE"""),1715)</f>
        <v>1715</v>
      </c>
      <c r="AM288" s="8">
        <f ca="1">IFERROR(__xludf.DUMMYFUNCTION("""COMPUTED_VALUE"""),5265)</f>
        <v>5265</v>
      </c>
      <c r="AN288" s="8">
        <f ca="1">IFERROR(__xludf.DUMMYFUNCTION("""COMPUTED_VALUE"""),3265)</f>
        <v>3265</v>
      </c>
      <c r="AO288" s="8">
        <f ca="1">IFERROR(__xludf.DUMMYFUNCTION("""COMPUTED_VALUE"""),3591)</f>
        <v>3591</v>
      </c>
      <c r="AP288" s="8"/>
      <c r="AQ288" s="8"/>
      <c r="AR288" s="8"/>
      <c r="AS288" s="8"/>
      <c r="AT288" s="8"/>
      <c r="AU288" s="8"/>
      <c r="AV288" s="8"/>
      <c r="AW288" s="8"/>
      <c r="AX288" s="8"/>
      <c r="AY288" s="8"/>
    </row>
    <row r="289" spans="1:51" ht="13.2" x14ac:dyDescent="0.25">
      <c r="A289" s="12" t="str">
        <f ca="1">IFERROR(__xludf.DUMMYFUNCTION("""COMPUTED_VALUE"""),"                  right Intercalated amygdalar nucleus")</f>
        <v xml:space="preserve">                  right Intercalated amygdalar nucleus</v>
      </c>
      <c r="B289" s="12">
        <f ca="1">IFERROR(__xludf.DUMMYFUNCTION("""COMPUTED_VALUE"""),366)</f>
        <v>366</v>
      </c>
      <c r="C289" s="12">
        <f ca="1">IFERROR(__xludf.DUMMYFUNCTION("""COMPUTED_VALUE"""),1081)</f>
        <v>1081</v>
      </c>
      <c r="D289" s="12">
        <f ca="1">IFERROR(__xludf.DUMMYFUNCTION("""COMPUTED_VALUE"""),525)</f>
        <v>525</v>
      </c>
      <c r="E289" s="12">
        <f ca="1">IFERROR(__xludf.DUMMYFUNCTION("""COMPUTED_VALUE"""),384)</f>
        <v>384</v>
      </c>
      <c r="F289" s="12">
        <f ca="1">IFERROR(__xludf.DUMMYFUNCTION("""COMPUTED_VALUE"""),751)</f>
        <v>751</v>
      </c>
      <c r="G289" s="12">
        <f ca="1">IFERROR(__xludf.DUMMYFUNCTION("""COMPUTED_VALUE"""),403)</f>
        <v>403</v>
      </c>
      <c r="H289" s="12">
        <f ca="1">IFERROR(__xludf.DUMMYFUNCTION("""COMPUTED_VALUE"""),249)</f>
        <v>249</v>
      </c>
      <c r="I289" s="12">
        <f ca="1">IFERROR(__xludf.DUMMYFUNCTION("""COMPUTED_VALUE"""),251)</f>
        <v>251</v>
      </c>
      <c r="J289" s="12">
        <f ca="1">IFERROR(__xludf.DUMMYFUNCTION("""COMPUTED_VALUE"""),380)</f>
        <v>380</v>
      </c>
      <c r="K289" s="12">
        <f ca="1">IFERROR(__xludf.DUMMYFUNCTION("""COMPUTED_VALUE"""),885)</f>
        <v>885</v>
      </c>
      <c r="L289" s="12">
        <f ca="1">IFERROR(__xludf.DUMMYFUNCTION("""COMPUTED_VALUE"""),772)</f>
        <v>772</v>
      </c>
      <c r="M289" s="12">
        <f ca="1">IFERROR(__xludf.DUMMYFUNCTION("""COMPUTED_VALUE"""),573)</f>
        <v>573</v>
      </c>
      <c r="N289" s="12">
        <f ca="1">IFERROR(__xludf.DUMMYFUNCTION("""COMPUTED_VALUE"""),348)</f>
        <v>348</v>
      </c>
      <c r="O289" s="12">
        <f ca="1">IFERROR(__xludf.DUMMYFUNCTION("""COMPUTED_VALUE"""),796)</f>
        <v>796</v>
      </c>
      <c r="P289" s="12">
        <f ca="1">IFERROR(__xludf.DUMMYFUNCTION("""COMPUTED_VALUE"""),379)</f>
        <v>379</v>
      </c>
      <c r="Q289" s="12">
        <f ca="1">IFERROR(__xludf.DUMMYFUNCTION("""COMPUTED_VALUE"""),605)</f>
        <v>605</v>
      </c>
      <c r="R289" s="12">
        <f ca="1">IFERROR(__xludf.DUMMYFUNCTION("""COMPUTED_VALUE"""),562)</f>
        <v>562</v>
      </c>
      <c r="S289" s="12">
        <f ca="1">IFERROR(__xludf.DUMMYFUNCTION("""COMPUTED_VALUE"""),228)</f>
        <v>228</v>
      </c>
      <c r="T289" s="12">
        <f ca="1">IFERROR(__xludf.DUMMYFUNCTION("""COMPUTED_VALUE"""),1000)</f>
        <v>1000</v>
      </c>
      <c r="U289" s="12">
        <f ca="1">IFERROR(__xludf.DUMMYFUNCTION("""COMPUTED_VALUE"""),255)</f>
        <v>255</v>
      </c>
      <c r="V289" s="12">
        <f ca="1">IFERROR(__xludf.DUMMYFUNCTION("""COMPUTED_VALUE"""),1077)</f>
        <v>1077</v>
      </c>
      <c r="W289" s="12">
        <f ca="1">IFERROR(__xludf.DUMMYFUNCTION("""COMPUTED_VALUE"""),1501)</f>
        <v>1501</v>
      </c>
      <c r="X289" s="12">
        <f ca="1">IFERROR(__xludf.DUMMYFUNCTION("""COMPUTED_VALUE"""),1493)</f>
        <v>1493</v>
      </c>
      <c r="Y289" s="12">
        <f ca="1">IFERROR(__xludf.DUMMYFUNCTION("""COMPUTED_VALUE"""),945)</f>
        <v>945</v>
      </c>
      <c r="Z289" s="12">
        <f ca="1">IFERROR(__xludf.DUMMYFUNCTION("""COMPUTED_VALUE"""),1460)</f>
        <v>1460</v>
      </c>
      <c r="AA289" s="12">
        <f ca="1">IFERROR(__xludf.DUMMYFUNCTION("""COMPUTED_VALUE"""),1258)</f>
        <v>1258</v>
      </c>
      <c r="AB289" s="12">
        <f ca="1">IFERROR(__xludf.DUMMYFUNCTION("""COMPUTED_VALUE"""),1107)</f>
        <v>1107</v>
      </c>
      <c r="AC289" s="12">
        <f ca="1">IFERROR(__xludf.DUMMYFUNCTION("""COMPUTED_VALUE"""),143)</f>
        <v>143</v>
      </c>
      <c r="AD289" s="12">
        <f ca="1">IFERROR(__xludf.DUMMYFUNCTION("""COMPUTED_VALUE"""),978)</f>
        <v>978</v>
      </c>
      <c r="AE289" s="12">
        <f ca="1">IFERROR(__xludf.DUMMYFUNCTION("""COMPUTED_VALUE"""),1103)</f>
        <v>1103</v>
      </c>
      <c r="AF289" s="8">
        <f ca="1">IFERROR(__xludf.DUMMYFUNCTION("""COMPUTED_VALUE"""),1928)</f>
        <v>1928</v>
      </c>
      <c r="AG289" s="8">
        <f ca="1">IFERROR(__xludf.DUMMYFUNCTION("""COMPUTED_VALUE"""),855)</f>
        <v>855</v>
      </c>
      <c r="AH289" s="8">
        <f ca="1">IFERROR(__xludf.DUMMYFUNCTION("""COMPUTED_VALUE"""),868)</f>
        <v>868</v>
      </c>
      <c r="AI289" s="8">
        <f ca="1">IFERROR(__xludf.DUMMYFUNCTION("""COMPUTED_VALUE"""),415)</f>
        <v>415</v>
      </c>
      <c r="AJ289" s="8">
        <f ca="1">IFERROR(__xludf.DUMMYFUNCTION("""COMPUTED_VALUE"""),418)</f>
        <v>418</v>
      </c>
      <c r="AK289" s="8">
        <f ca="1">IFERROR(__xludf.DUMMYFUNCTION("""COMPUTED_VALUE"""),132)</f>
        <v>132</v>
      </c>
      <c r="AL289" s="8">
        <f ca="1">IFERROR(__xludf.DUMMYFUNCTION("""COMPUTED_VALUE"""),212)</f>
        <v>212</v>
      </c>
      <c r="AM289" s="8">
        <f ca="1">IFERROR(__xludf.DUMMYFUNCTION("""COMPUTED_VALUE"""),1083)</f>
        <v>1083</v>
      </c>
      <c r="AN289" s="8">
        <f ca="1">IFERROR(__xludf.DUMMYFUNCTION("""COMPUTED_VALUE"""),312)</f>
        <v>312</v>
      </c>
      <c r="AO289" s="8">
        <f ca="1">IFERROR(__xludf.DUMMYFUNCTION("""COMPUTED_VALUE"""),509)</f>
        <v>509</v>
      </c>
      <c r="AP289" s="8"/>
      <c r="AQ289" s="8"/>
      <c r="AR289" s="8"/>
      <c r="AS289" s="8"/>
      <c r="AT289" s="8"/>
      <c r="AU289" s="8"/>
      <c r="AV289" s="8"/>
      <c r="AW289" s="8"/>
      <c r="AX289" s="8"/>
      <c r="AY289" s="8"/>
    </row>
    <row r="290" spans="1:51" ht="13.2" x14ac:dyDescent="0.25">
      <c r="A290" s="12" t="str">
        <f ca="1">IFERROR(__xludf.DUMMYFUNCTION("""COMPUTED_VALUE"""),"                  right Medial amygdalar nucleus")</f>
        <v xml:space="preserve">                  right Medial amygdalar nucleus</v>
      </c>
      <c r="B290" s="12">
        <f ca="1">IFERROR(__xludf.DUMMYFUNCTION("""COMPUTED_VALUE"""),3630)</f>
        <v>3630</v>
      </c>
      <c r="C290" s="12">
        <f ca="1">IFERROR(__xludf.DUMMYFUNCTION("""COMPUTED_VALUE"""),10057)</f>
        <v>10057</v>
      </c>
      <c r="D290" s="12">
        <f ca="1">IFERROR(__xludf.DUMMYFUNCTION("""COMPUTED_VALUE"""),4112)</f>
        <v>4112</v>
      </c>
      <c r="E290" s="12">
        <f ca="1">IFERROR(__xludf.DUMMYFUNCTION("""COMPUTED_VALUE"""),6301)</f>
        <v>6301</v>
      </c>
      <c r="F290" s="12">
        <f ca="1">IFERROR(__xludf.DUMMYFUNCTION("""COMPUTED_VALUE"""),3589)</f>
        <v>3589</v>
      </c>
      <c r="G290" s="12">
        <f ca="1">IFERROR(__xludf.DUMMYFUNCTION("""COMPUTED_VALUE"""),3426)</f>
        <v>3426</v>
      </c>
      <c r="H290" s="12">
        <f ca="1">IFERROR(__xludf.DUMMYFUNCTION("""COMPUTED_VALUE"""),4619)</f>
        <v>4619</v>
      </c>
      <c r="I290" s="12">
        <f ca="1">IFERROR(__xludf.DUMMYFUNCTION("""COMPUTED_VALUE"""),3546)</f>
        <v>3546</v>
      </c>
      <c r="J290" s="12">
        <f ca="1">IFERROR(__xludf.DUMMYFUNCTION("""COMPUTED_VALUE"""),5384)</f>
        <v>5384</v>
      </c>
      <c r="K290" s="12">
        <f ca="1">IFERROR(__xludf.DUMMYFUNCTION("""COMPUTED_VALUE"""),8488)</f>
        <v>8488</v>
      </c>
      <c r="L290" s="12">
        <f ca="1">IFERROR(__xludf.DUMMYFUNCTION("""COMPUTED_VALUE"""),8860)</f>
        <v>8860</v>
      </c>
      <c r="M290" s="12">
        <f ca="1">IFERROR(__xludf.DUMMYFUNCTION("""COMPUTED_VALUE"""),7704)</f>
        <v>7704</v>
      </c>
      <c r="N290" s="12">
        <f ca="1">IFERROR(__xludf.DUMMYFUNCTION("""COMPUTED_VALUE"""),3379)</f>
        <v>3379</v>
      </c>
      <c r="O290" s="12">
        <f ca="1">IFERROR(__xludf.DUMMYFUNCTION("""COMPUTED_VALUE"""),5160)</f>
        <v>5160</v>
      </c>
      <c r="P290" s="12">
        <f ca="1">IFERROR(__xludf.DUMMYFUNCTION("""COMPUTED_VALUE"""),5485)</f>
        <v>5485</v>
      </c>
      <c r="Q290" s="12">
        <f ca="1">IFERROR(__xludf.DUMMYFUNCTION("""COMPUTED_VALUE"""),7297)</f>
        <v>7297</v>
      </c>
      <c r="R290" s="12">
        <f ca="1">IFERROR(__xludf.DUMMYFUNCTION("""COMPUTED_VALUE"""),5545)</f>
        <v>5545</v>
      </c>
      <c r="S290" s="12">
        <f ca="1">IFERROR(__xludf.DUMMYFUNCTION("""COMPUTED_VALUE"""),1560)</f>
        <v>1560</v>
      </c>
      <c r="T290" s="12">
        <f ca="1">IFERROR(__xludf.DUMMYFUNCTION("""COMPUTED_VALUE"""),14769)</f>
        <v>14769</v>
      </c>
      <c r="U290" s="12">
        <f ca="1">IFERROR(__xludf.DUMMYFUNCTION("""COMPUTED_VALUE"""),4224)</f>
        <v>4224</v>
      </c>
      <c r="V290" s="12">
        <f ca="1">IFERROR(__xludf.DUMMYFUNCTION("""COMPUTED_VALUE"""),9765)</f>
        <v>9765</v>
      </c>
      <c r="W290" s="12">
        <f ca="1">IFERROR(__xludf.DUMMYFUNCTION("""COMPUTED_VALUE"""),8279)</f>
        <v>8279</v>
      </c>
      <c r="X290" s="12">
        <f ca="1">IFERROR(__xludf.DUMMYFUNCTION("""COMPUTED_VALUE"""),16790)</f>
        <v>16790</v>
      </c>
      <c r="Y290" s="12">
        <f ca="1">IFERROR(__xludf.DUMMYFUNCTION("""COMPUTED_VALUE"""),7159)</f>
        <v>7159</v>
      </c>
      <c r="Z290" s="12">
        <f ca="1">IFERROR(__xludf.DUMMYFUNCTION("""COMPUTED_VALUE"""),16297)</f>
        <v>16297</v>
      </c>
      <c r="AA290" s="12">
        <f ca="1">IFERROR(__xludf.DUMMYFUNCTION("""COMPUTED_VALUE"""),12046)</f>
        <v>12046</v>
      </c>
      <c r="AB290" s="12">
        <f ca="1">IFERROR(__xludf.DUMMYFUNCTION("""COMPUTED_VALUE"""),12986)</f>
        <v>12986</v>
      </c>
      <c r="AC290" s="12">
        <f ca="1">IFERROR(__xludf.DUMMYFUNCTION("""COMPUTED_VALUE"""),2269)</f>
        <v>2269</v>
      </c>
      <c r="AD290" s="12">
        <f ca="1">IFERROR(__xludf.DUMMYFUNCTION("""COMPUTED_VALUE"""),11875)</f>
        <v>11875</v>
      </c>
      <c r="AE290" s="12">
        <f ca="1">IFERROR(__xludf.DUMMYFUNCTION("""COMPUTED_VALUE"""),13227)</f>
        <v>13227</v>
      </c>
      <c r="AF290" s="8">
        <f ca="1">IFERROR(__xludf.DUMMYFUNCTION("""COMPUTED_VALUE"""),26945)</f>
        <v>26945</v>
      </c>
      <c r="AG290" s="8">
        <f ca="1">IFERROR(__xludf.DUMMYFUNCTION("""COMPUTED_VALUE"""),6221)</f>
        <v>6221</v>
      </c>
      <c r="AH290" s="8">
        <f ca="1">IFERROR(__xludf.DUMMYFUNCTION("""COMPUTED_VALUE"""),9475)</f>
        <v>9475</v>
      </c>
      <c r="AI290" s="8">
        <f ca="1">IFERROR(__xludf.DUMMYFUNCTION("""COMPUTED_VALUE"""),3308)</f>
        <v>3308</v>
      </c>
      <c r="AJ290" s="8">
        <f ca="1">IFERROR(__xludf.DUMMYFUNCTION("""COMPUTED_VALUE"""),3404)</f>
        <v>3404</v>
      </c>
      <c r="AK290" s="8">
        <f ca="1">IFERROR(__xludf.DUMMYFUNCTION("""COMPUTED_VALUE"""),4043)</f>
        <v>4043</v>
      </c>
      <c r="AL290" s="8">
        <f ca="1">IFERROR(__xludf.DUMMYFUNCTION("""COMPUTED_VALUE"""),4329)</f>
        <v>4329</v>
      </c>
      <c r="AM290" s="8">
        <f ca="1">IFERROR(__xludf.DUMMYFUNCTION("""COMPUTED_VALUE"""),11673)</f>
        <v>11673</v>
      </c>
      <c r="AN290" s="8">
        <f ca="1">IFERROR(__xludf.DUMMYFUNCTION("""COMPUTED_VALUE"""),5111)</f>
        <v>5111</v>
      </c>
      <c r="AO290" s="8">
        <f ca="1">IFERROR(__xludf.DUMMYFUNCTION("""COMPUTED_VALUE"""),4486)</f>
        <v>4486</v>
      </c>
      <c r="AP290" s="8"/>
      <c r="AQ290" s="8"/>
      <c r="AR290" s="8"/>
      <c r="AS290" s="8"/>
      <c r="AT290" s="8"/>
      <c r="AU290" s="8"/>
      <c r="AV290" s="8"/>
      <c r="AW290" s="8"/>
      <c r="AX290" s="8"/>
      <c r="AY290" s="8"/>
    </row>
    <row r="291" spans="1:51" ht="13.2" x14ac:dyDescent="0.25">
      <c r="A291" s="12" t="str">
        <f ca="1">IFERROR(__xludf.DUMMYFUNCTION("""COMPUTED_VALUE"""),"            right Pallidum")</f>
        <v xml:space="preserve">            right Pallidum</v>
      </c>
      <c r="B291" s="12">
        <f ca="1">IFERROR(__xludf.DUMMYFUNCTION("""COMPUTED_VALUE"""),8374)</f>
        <v>8374</v>
      </c>
      <c r="C291" s="12">
        <f ca="1">IFERROR(__xludf.DUMMYFUNCTION("""COMPUTED_VALUE"""),13271)</f>
        <v>13271</v>
      </c>
      <c r="D291" s="12">
        <f ca="1">IFERROR(__xludf.DUMMYFUNCTION("""COMPUTED_VALUE"""),21675)</f>
        <v>21675</v>
      </c>
      <c r="E291" s="12">
        <f ca="1">IFERROR(__xludf.DUMMYFUNCTION("""COMPUTED_VALUE"""),11219)</f>
        <v>11219</v>
      </c>
      <c r="F291" s="12">
        <f ca="1">IFERROR(__xludf.DUMMYFUNCTION("""COMPUTED_VALUE"""),19511)</f>
        <v>19511</v>
      </c>
      <c r="G291" s="12">
        <f ca="1">IFERROR(__xludf.DUMMYFUNCTION("""COMPUTED_VALUE"""),6319)</f>
        <v>6319</v>
      </c>
      <c r="H291" s="12">
        <f ca="1">IFERROR(__xludf.DUMMYFUNCTION("""COMPUTED_VALUE"""),8583)</f>
        <v>8583</v>
      </c>
      <c r="I291" s="12">
        <f ca="1">IFERROR(__xludf.DUMMYFUNCTION("""COMPUTED_VALUE"""),6674)</f>
        <v>6674</v>
      </c>
      <c r="J291" s="12">
        <f ca="1">IFERROR(__xludf.DUMMYFUNCTION("""COMPUTED_VALUE"""),10586)</f>
        <v>10586</v>
      </c>
      <c r="K291" s="12">
        <f ca="1">IFERROR(__xludf.DUMMYFUNCTION("""COMPUTED_VALUE"""),10843)</f>
        <v>10843</v>
      </c>
      <c r="L291" s="12">
        <f ca="1">IFERROR(__xludf.DUMMYFUNCTION("""COMPUTED_VALUE"""),27206)</f>
        <v>27206</v>
      </c>
      <c r="M291" s="12">
        <f ca="1">IFERROR(__xludf.DUMMYFUNCTION("""COMPUTED_VALUE"""),15214)</f>
        <v>15214</v>
      </c>
      <c r="N291" s="12">
        <f ca="1">IFERROR(__xludf.DUMMYFUNCTION("""COMPUTED_VALUE"""),43993)</f>
        <v>43993</v>
      </c>
      <c r="O291" s="12">
        <f ca="1">IFERROR(__xludf.DUMMYFUNCTION("""COMPUTED_VALUE"""),10537)</f>
        <v>10537</v>
      </c>
      <c r="P291" s="12">
        <f ca="1">IFERROR(__xludf.DUMMYFUNCTION("""COMPUTED_VALUE"""),9658)</f>
        <v>9658</v>
      </c>
      <c r="Q291" s="12">
        <f ca="1">IFERROR(__xludf.DUMMYFUNCTION("""COMPUTED_VALUE"""),12623)</f>
        <v>12623</v>
      </c>
      <c r="R291" s="12">
        <f ca="1">IFERROR(__xludf.DUMMYFUNCTION("""COMPUTED_VALUE"""),10087)</f>
        <v>10087</v>
      </c>
      <c r="S291" s="12">
        <f ca="1">IFERROR(__xludf.DUMMYFUNCTION("""COMPUTED_VALUE"""),1692)</f>
        <v>1692</v>
      </c>
      <c r="T291" s="12">
        <f ca="1">IFERROR(__xludf.DUMMYFUNCTION("""COMPUTED_VALUE"""),17765)</f>
        <v>17765</v>
      </c>
      <c r="U291" s="12">
        <f ca="1">IFERROR(__xludf.DUMMYFUNCTION("""COMPUTED_VALUE"""),10425)</f>
        <v>10425</v>
      </c>
      <c r="V291" s="12">
        <f ca="1">IFERROR(__xludf.DUMMYFUNCTION("""COMPUTED_VALUE"""),19063)</f>
        <v>19063</v>
      </c>
      <c r="W291" s="12">
        <f ca="1">IFERROR(__xludf.DUMMYFUNCTION("""COMPUTED_VALUE"""),31170)</f>
        <v>31170</v>
      </c>
      <c r="X291" s="12">
        <f ca="1">IFERROR(__xludf.DUMMYFUNCTION("""COMPUTED_VALUE"""),47122)</f>
        <v>47122</v>
      </c>
      <c r="Y291" s="12">
        <f ca="1">IFERROR(__xludf.DUMMYFUNCTION("""COMPUTED_VALUE"""),14814)</f>
        <v>14814</v>
      </c>
      <c r="Z291" s="12">
        <f ca="1">IFERROR(__xludf.DUMMYFUNCTION("""COMPUTED_VALUE"""),32386)</f>
        <v>32386</v>
      </c>
      <c r="AA291" s="12">
        <f ca="1">IFERROR(__xludf.DUMMYFUNCTION("""COMPUTED_VALUE"""),16692)</f>
        <v>16692</v>
      </c>
      <c r="AB291" s="12">
        <f ca="1">IFERROR(__xludf.DUMMYFUNCTION("""COMPUTED_VALUE"""),17411)</f>
        <v>17411</v>
      </c>
      <c r="AC291" s="12">
        <f ca="1">IFERROR(__xludf.DUMMYFUNCTION("""COMPUTED_VALUE"""),9891)</f>
        <v>9891</v>
      </c>
      <c r="AD291" s="12">
        <f ca="1">IFERROR(__xludf.DUMMYFUNCTION("""COMPUTED_VALUE"""),23730)</f>
        <v>23730</v>
      </c>
      <c r="AE291" s="12">
        <f ca="1">IFERROR(__xludf.DUMMYFUNCTION("""COMPUTED_VALUE"""),16581)</f>
        <v>16581</v>
      </c>
      <c r="AF291" s="8">
        <f ca="1">IFERROR(__xludf.DUMMYFUNCTION("""COMPUTED_VALUE"""),43196)</f>
        <v>43196</v>
      </c>
      <c r="AG291" s="8">
        <f ca="1">IFERROR(__xludf.DUMMYFUNCTION("""COMPUTED_VALUE"""),8314)</f>
        <v>8314</v>
      </c>
      <c r="AH291" s="8">
        <f ca="1">IFERROR(__xludf.DUMMYFUNCTION("""COMPUTED_VALUE"""),30773)</f>
        <v>30773</v>
      </c>
      <c r="AI291" s="8">
        <f ca="1">IFERROR(__xludf.DUMMYFUNCTION("""COMPUTED_VALUE"""),17750)</f>
        <v>17750</v>
      </c>
      <c r="AJ291" s="8">
        <f ca="1">IFERROR(__xludf.DUMMYFUNCTION("""COMPUTED_VALUE"""),12426)</f>
        <v>12426</v>
      </c>
      <c r="AK291" s="8">
        <f ca="1">IFERROR(__xludf.DUMMYFUNCTION("""COMPUTED_VALUE"""),4616)</f>
        <v>4616</v>
      </c>
      <c r="AL291" s="8">
        <f ca="1">IFERROR(__xludf.DUMMYFUNCTION("""COMPUTED_VALUE"""),12306)</f>
        <v>12306</v>
      </c>
      <c r="AM291" s="8">
        <f ca="1">IFERROR(__xludf.DUMMYFUNCTION("""COMPUTED_VALUE"""),19953)</f>
        <v>19953</v>
      </c>
      <c r="AN291" s="8">
        <f ca="1">IFERROR(__xludf.DUMMYFUNCTION("""COMPUTED_VALUE"""),11732)</f>
        <v>11732</v>
      </c>
      <c r="AO291" s="8">
        <f ca="1">IFERROR(__xludf.DUMMYFUNCTION("""COMPUTED_VALUE"""),8643)</f>
        <v>8643</v>
      </c>
      <c r="AP291" s="8"/>
      <c r="AQ291" s="8"/>
      <c r="AR291" s="8"/>
      <c r="AS291" s="8"/>
      <c r="AT291" s="8"/>
      <c r="AU291" s="8"/>
      <c r="AV291" s="8"/>
      <c r="AW291" s="8"/>
      <c r="AX291" s="8"/>
      <c r="AY291" s="8"/>
    </row>
    <row r="292" spans="1:51" ht="13.2" x14ac:dyDescent="0.25">
      <c r="A292" s="12" t="str">
        <f ca="1">IFERROR(__xludf.DUMMYFUNCTION("""COMPUTED_VALUE"""),"               right Pallidum, dorsal region")</f>
        <v xml:space="preserve">               right Pallidum, dorsal region</v>
      </c>
      <c r="B292" s="12">
        <f ca="1">IFERROR(__xludf.DUMMYFUNCTION("""COMPUTED_VALUE"""),375)</f>
        <v>375</v>
      </c>
      <c r="C292" s="12">
        <f ca="1">IFERROR(__xludf.DUMMYFUNCTION("""COMPUTED_VALUE"""),1003)</f>
        <v>1003</v>
      </c>
      <c r="D292" s="12">
        <f ca="1">IFERROR(__xludf.DUMMYFUNCTION("""COMPUTED_VALUE"""),2211)</f>
        <v>2211</v>
      </c>
      <c r="E292" s="12">
        <f ca="1">IFERROR(__xludf.DUMMYFUNCTION("""COMPUTED_VALUE"""),444)</f>
        <v>444</v>
      </c>
      <c r="F292" s="12">
        <f ca="1">IFERROR(__xludf.DUMMYFUNCTION("""COMPUTED_VALUE"""),1885)</f>
        <v>1885</v>
      </c>
      <c r="G292" s="12">
        <f ca="1">IFERROR(__xludf.DUMMYFUNCTION("""COMPUTED_VALUE"""),370)</f>
        <v>370</v>
      </c>
      <c r="H292" s="12">
        <f ca="1">IFERROR(__xludf.DUMMYFUNCTION("""COMPUTED_VALUE"""),300)</f>
        <v>300</v>
      </c>
      <c r="I292" s="12">
        <f ca="1">IFERROR(__xludf.DUMMYFUNCTION("""COMPUTED_VALUE"""),422)</f>
        <v>422</v>
      </c>
      <c r="J292" s="12">
        <f ca="1">IFERROR(__xludf.DUMMYFUNCTION("""COMPUTED_VALUE"""),630)</f>
        <v>630</v>
      </c>
      <c r="K292" s="12">
        <f ca="1">IFERROR(__xludf.DUMMYFUNCTION("""COMPUTED_VALUE"""),409)</f>
        <v>409</v>
      </c>
      <c r="L292" s="12">
        <f ca="1">IFERROR(__xludf.DUMMYFUNCTION("""COMPUTED_VALUE"""),1598)</f>
        <v>1598</v>
      </c>
      <c r="M292" s="12">
        <f ca="1">IFERROR(__xludf.DUMMYFUNCTION("""COMPUTED_VALUE"""),1191)</f>
        <v>1191</v>
      </c>
      <c r="N292" s="12">
        <f ca="1">IFERROR(__xludf.DUMMYFUNCTION("""COMPUTED_VALUE"""),11699)</f>
        <v>11699</v>
      </c>
      <c r="O292" s="12">
        <f ca="1">IFERROR(__xludf.DUMMYFUNCTION("""COMPUTED_VALUE"""),1041)</f>
        <v>1041</v>
      </c>
      <c r="P292" s="12">
        <f ca="1">IFERROR(__xludf.DUMMYFUNCTION("""COMPUTED_VALUE"""),436)</f>
        <v>436</v>
      </c>
      <c r="Q292" s="12">
        <f ca="1">IFERROR(__xludf.DUMMYFUNCTION("""COMPUTED_VALUE"""),737)</f>
        <v>737</v>
      </c>
      <c r="R292" s="12">
        <f ca="1">IFERROR(__xludf.DUMMYFUNCTION("""COMPUTED_VALUE"""),570)</f>
        <v>570</v>
      </c>
      <c r="S292" s="12">
        <f ca="1">IFERROR(__xludf.DUMMYFUNCTION("""COMPUTED_VALUE"""),34)</f>
        <v>34</v>
      </c>
      <c r="T292" s="12">
        <f ca="1">IFERROR(__xludf.DUMMYFUNCTION("""COMPUTED_VALUE"""),1144)</f>
        <v>1144</v>
      </c>
      <c r="U292" s="12">
        <f ca="1">IFERROR(__xludf.DUMMYFUNCTION("""COMPUTED_VALUE"""),1232)</f>
        <v>1232</v>
      </c>
      <c r="V292" s="12">
        <f ca="1">IFERROR(__xludf.DUMMYFUNCTION("""COMPUTED_VALUE"""),3649)</f>
        <v>3649</v>
      </c>
      <c r="W292" s="12">
        <f ca="1">IFERROR(__xludf.DUMMYFUNCTION("""COMPUTED_VALUE"""),3812)</f>
        <v>3812</v>
      </c>
      <c r="X292" s="12">
        <f ca="1">IFERROR(__xludf.DUMMYFUNCTION("""COMPUTED_VALUE"""),8695)</f>
        <v>8695</v>
      </c>
      <c r="Y292" s="12">
        <f ca="1">IFERROR(__xludf.DUMMYFUNCTION("""COMPUTED_VALUE"""),2782)</f>
        <v>2782</v>
      </c>
      <c r="Z292" s="12">
        <f ca="1">IFERROR(__xludf.DUMMYFUNCTION("""COMPUTED_VALUE"""),7833)</f>
        <v>7833</v>
      </c>
      <c r="AA292" s="12">
        <f ca="1">IFERROR(__xludf.DUMMYFUNCTION("""COMPUTED_VALUE"""),1537)</f>
        <v>1537</v>
      </c>
      <c r="AB292" s="12">
        <f ca="1">IFERROR(__xludf.DUMMYFUNCTION("""COMPUTED_VALUE"""),1364)</f>
        <v>1364</v>
      </c>
      <c r="AC292" s="12">
        <f ca="1">IFERROR(__xludf.DUMMYFUNCTION("""COMPUTED_VALUE"""),1178)</f>
        <v>1178</v>
      </c>
      <c r="AD292" s="12">
        <f ca="1">IFERROR(__xludf.DUMMYFUNCTION("""COMPUTED_VALUE"""),2929)</f>
        <v>2929</v>
      </c>
      <c r="AE292" s="12">
        <f ca="1">IFERROR(__xludf.DUMMYFUNCTION("""COMPUTED_VALUE"""),1467)</f>
        <v>1467</v>
      </c>
      <c r="AF292" s="8">
        <f ca="1">IFERROR(__xludf.DUMMYFUNCTION("""COMPUTED_VALUE"""),6509)</f>
        <v>6509</v>
      </c>
      <c r="AG292" s="8">
        <f ca="1">IFERROR(__xludf.DUMMYFUNCTION("""COMPUTED_VALUE"""),1360)</f>
        <v>1360</v>
      </c>
      <c r="AH292" s="8">
        <f ca="1">IFERROR(__xludf.DUMMYFUNCTION("""COMPUTED_VALUE"""),6189)</f>
        <v>6189</v>
      </c>
      <c r="AI292" s="8">
        <f ca="1">IFERROR(__xludf.DUMMYFUNCTION("""COMPUTED_VALUE"""),1066)</f>
        <v>1066</v>
      </c>
      <c r="AJ292" s="8">
        <f ca="1">IFERROR(__xludf.DUMMYFUNCTION("""COMPUTED_VALUE"""),1878)</f>
        <v>1878</v>
      </c>
      <c r="AK292" s="8">
        <f ca="1">IFERROR(__xludf.DUMMYFUNCTION("""COMPUTED_VALUE"""),123)</f>
        <v>123</v>
      </c>
      <c r="AL292" s="8">
        <f ca="1">IFERROR(__xludf.DUMMYFUNCTION("""COMPUTED_VALUE"""),848)</f>
        <v>848</v>
      </c>
      <c r="AM292" s="8">
        <f ca="1">IFERROR(__xludf.DUMMYFUNCTION("""COMPUTED_VALUE"""),628)</f>
        <v>628</v>
      </c>
      <c r="AN292" s="8">
        <f ca="1">IFERROR(__xludf.DUMMYFUNCTION("""COMPUTED_VALUE"""),1175)</f>
        <v>1175</v>
      </c>
      <c r="AO292" s="8">
        <f ca="1">IFERROR(__xludf.DUMMYFUNCTION("""COMPUTED_VALUE"""),2360)</f>
        <v>2360</v>
      </c>
      <c r="AP292" s="8"/>
      <c r="AQ292" s="8"/>
      <c r="AR292" s="8"/>
      <c r="AS292" s="8"/>
      <c r="AT292" s="8"/>
      <c r="AU292" s="8"/>
      <c r="AV292" s="8"/>
      <c r="AW292" s="8"/>
      <c r="AX292" s="8"/>
      <c r="AY292" s="8"/>
    </row>
    <row r="293" spans="1:51" ht="13.2" x14ac:dyDescent="0.25">
      <c r="A293" s="12" t="str">
        <f ca="1">IFERROR(__xludf.DUMMYFUNCTION("""COMPUTED_VALUE"""),"               right Pallidum, ventral region")</f>
        <v xml:space="preserve">               right Pallidum, ventral region</v>
      </c>
      <c r="B293" s="12">
        <f ca="1">IFERROR(__xludf.DUMMYFUNCTION("""COMPUTED_VALUE"""),2314)</f>
        <v>2314</v>
      </c>
      <c r="C293" s="12">
        <f ca="1">IFERROR(__xludf.DUMMYFUNCTION("""COMPUTED_VALUE"""),3952)</f>
        <v>3952</v>
      </c>
      <c r="D293" s="12">
        <f ca="1">IFERROR(__xludf.DUMMYFUNCTION("""COMPUTED_VALUE"""),7959)</f>
        <v>7959</v>
      </c>
      <c r="E293" s="12">
        <f ca="1">IFERROR(__xludf.DUMMYFUNCTION("""COMPUTED_VALUE"""),4149)</f>
        <v>4149</v>
      </c>
      <c r="F293" s="12">
        <f ca="1">IFERROR(__xludf.DUMMYFUNCTION("""COMPUTED_VALUE"""),6745)</f>
        <v>6745</v>
      </c>
      <c r="G293" s="12">
        <f ca="1">IFERROR(__xludf.DUMMYFUNCTION("""COMPUTED_VALUE"""),1584)</f>
        <v>1584</v>
      </c>
      <c r="H293" s="12">
        <f ca="1">IFERROR(__xludf.DUMMYFUNCTION("""COMPUTED_VALUE"""),2205)</f>
        <v>2205</v>
      </c>
      <c r="I293" s="12">
        <f ca="1">IFERROR(__xludf.DUMMYFUNCTION("""COMPUTED_VALUE"""),1750)</f>
        <v>1750</v>
      </c>
      <c r="J293" s="12">
        <f ca="1">IFERROR(__xludf.DUMMYFUNCTION("""COMPUTED_VALUE"""),3427)</f>
        <v>3427</v>
      </c>
      <c r="K293" s="12">
        <f ca="1">IFERROR(__xludf.DUMMYFUNCTION("""COMPUTED_VALUE"""),3942)</f>
        <v>3942</v>
      </c>
      <c r="L293" s="12">
        <f ca="1">IFERROR(__xludf.DUMMYFUNCTION("""COMPUTED_VALUE"""),8672)</f>
        <v>8672</v>
      </c>
      <c r="M293" s="12">
        <f ca="1">IFERROR(__xludf.DUMMYFUNCTION("""COMPUTED_VALUE"""),4205)</f>
        <v>4205</v>
      </c>
      <c r="N293" s="12">
        <f ca="1">IFERROR(__xludf.DUMMYFUNCTION("""COMPUTED_VALUE"""),7185)</f>
        <v>7185</v>
      </c>
      <c r="O293" s="12">
        <f ca="1">IFERROR(__xludf.DUMMYFUNCTION("""COMPUTED_VALUE"""),3155)</f>
        <v>3155</v>
      </c>
      <c r="P293" s="12">
        <f ca="1">IFERROR(__xludf.DUMMYFUNCTION("""COMPUTED_VALUE"""),3067)</f>
        <v>3067</v>
      </c>
      <c r="Q293" s="12">
        <f ca="1">IFERROR(__xludf.DUMMYFUNCTION("""COMPUTED_VALUE"""),3580)</f>
        <v>3580</v>
      </c>
      <c r="R293" s="12">
        <f ca="1">IFERROR(__xludf.DUMMYFUNCTION("""COMPUTED_VALUE"""),3493)</f>
        <v>3493</v>
      </c>
      <c r="S293" s="12">
        <f ca="1">IFERROR(__xludf.DUMMYFUNCTION("""COMPUTED_VALUE"""),188)</f>
        <v>188</v>
      </c>
      <c r="T293" s="12">
        <f ca="1">IFERROR(__xludf.DUMMYFUNCTION("""COMPUTED_VALUE"""),7645)</f>
        <v>7645</v>
      </c>
      <c r="U293" s="12">
        <f ca="1">IFERROR(__xludf.DUMMYFUNCTION("""COMPUTED_VALUE"""),3336)</f>
        <v>3336</v>
      </c>
      <c r="V293" s="12">
        <f ca="1">IFERROR(__xludf.DUMMYFUNCTION("""COMPUTED_VALUE"""),6900)</f>
        <v>6900</v>
      </c>
      <c r="W293" s="12">
        <f ca="1">IFERROR(__xludf.DUMMYFUNCTION("""COMPUTED_VALUE"""),11022)</f>
        <v>11022</v>
      </c>
      <c r="X293" s="12">
        <f ca="1">IFERROR(__xludf.DUMMYFUNCTION("""COMPUTED_VALUE"""),15186)</f>
        <v>15186</v>
      </c>
      <c r="Y293" s="12">
        <f ca="1">IFERROR(__xludf.DUMMYFUNCTION("""COMPUTED_VALUE"""),4015)</f>
        <v>4015</v>
      </c>
      <c r="Z293" s="12">
        <f ca="1">IFERROR(__xludf.DUMMYFUNCTION("""COMPUTED_VALUE"""),11359)</f>
        <v>11359</v>
      </c>
      <c r="AA293" s="12">
        <f ca="1">IFERROR(__xludf.DUMMYFUNCTION("""COMPUTED_VALUE"""),5837)</f>
        <v>5837</v>
      </c>
      <c r="AB293" s="12">
        <f ca="1">IFERROR(__xludf.DUMMYFUNCTION("""COMPUTED_VALUE"""),6278)</f>
        <v>6278</v>
      </c>
      <c r="AC293" s="12">
        <f ca="1">IFERROR(__xludf.DUMMYFUNCTION("""COMPUTED_VALUE"""),1870)</f>
        <v>1870</v>
      </c>
      <c r="AD293" s="12">
        <f ca="1">IFERROR(__xludf.DUMMYFUNCTION("""COMPUTED_VALUE"""),9619)</f>
        <v>9619</v>
      </c>
      <c r="AE293" s="12">
        <f ca="1">IFERROR(__xludf.DUMMYFUNCTION("""COMPUTED_VALUE"""),6102)</f>
        <v>6102</v>
      </c>
      <c r="AF293" s="8">
        <f ca="1">IFERROR(__xludf.DUMMYFUNCTION("""COMPUTED_VALUE"""),15141)</f>
        <v>15141</v>
      </c>
      <c r="AG293" s="8">
        <f ca="1">IFERROR(__xludf.DUMMYFUNCTION("""COMPUTED_VALUE"""),2392)</f>
        <v>2392</v>
      </c>
      <c r="AH293" s="8">
        <f ca="1">IFERROR(__xludf.DUMMYFUNCTION("""COMPUTED_VALUE"""),10363)</f>
        <v>10363</v>
      </c>
      <c r="AI293" s="8">
        <f ca="1">IFERROR(__xludf.DUMMYFUNCTION("""COMPUTED_VALUE"""),5967)</f>
        <v>5967</v>
      </c>
      <c r="AJ293" s="8">
        <f ca="1">IFERROR(__xludf.DUMMYFUNCTION("""COMPUTED_VALUE"""),3323)</f>
        <v>3323</v>
      </c>
      <c r="AK293" s="8">
        <f ca="1">IFERROR(__xludf.DUMMYFUNCTION("""COMPUTED_VALUE"""),1362)</f>
        <v>1362</v>
      </c>
      <c r="AL293" s="8">
        <f ca="1">IFERROR(__xludf.DUMMYFUNCTION("""COMPUTED_VALUE"""),3950)</f>
        <v>3950</v>
      </c>
      <c r="AM293" s="8">
        <f ca="1">IFERROR(__xludf.DUMMYFUNCTION("""COMPUTED_VALUE"""),6486)</f>
        <v>6486</v>
      </c>
      <c r="AN293" s="8">
        <f ca="1">IFERROR(__xludf.DUMMYFUNCTION("""COMPUTED_VALUE"""),3683)</f>
        <v>3683</v>
      </c>
      <c r="AO293" s="8">
        <f ca="1">IFERROR(__xludf.DUMMYFUNCTION("""COMPUTED_VALUE"""),3003)</f>
        <v>3003</v>
      </c>
      <c r="AP293" s="8"/>
      <c r="AQ293" s="8"/>
      <c r="AR293" s="8"/>
      <c r="AS293" s="8"/>
      <c r="AT293" s="8"/>
      <c r="AU293" s="8"/>
      <c r="AV293" s="8"/>
      <c r="AW293" s="8"/>
      <c r="AX293" s="8"/>
      <c r="AY293" s="8"/>
    </row>
    <row r="294" spans="1:51" ht="13.2" x14ac:dyDescent="0.25">
      <c r="A294" s="12" t="str">
        <f ca="1">IFERROR(__xludf.DUMMYFUNCTION("""COMPUTED_VALUE"""),"               right Pallidum, medial region")</f>
        <v xml:space="preserve">               right Pallidum, medial region</v>
      </c>
      <c r="B294" s="12">
        <f ca="1">IFERROR(__xludf.DUMMYFUNCTION("""COMPUTED_VALUE"""),1875)</f>
        <v>1875</v>
      </c>
      <c r="C294" s="12">
        <f ca="1">IFERROR(__xludf.DUMMYFUNCTION("""COMPUTED_VALUE"""),2344)</f>
        <v>2344</v>
      </c>
      <c r="D294" s="12">
        <f ca="1">IFERROR(__xludf.DUMMYFUNCTION("""COMPUTED_VALUE"""),4109)</f>
        <v>4109</v>
      </c>
      <c r="E294" s="12">
        <f ca="1">IFERROR(__xludf.DUMMYFUNCTION("""COMPUTED_VALUE"""),2680)</f>
        <v>2680</v>
      </c>
      <c r="F294" s="12">
        <f ca="1">IFERROR(__xludf.DUMMYFUNCTION("""COMPUTED_VALUE"""),2666)</f>
        <v>2666</v>
      </c>
      <c r="G294" s="12">
        <f ca="1">IFERROR(__xludf.DUMMYFUNCTION("""COMPUTED_VALUE"""),738)</f>
        <v>738</v>
      </c>
      <c r="H294" s="12">
        <f ca="1">IFERROR(__xludf.DUMMYFUNCTION("""COMPUTED_VALUE"""),1842)</f>
        <v>1842</v>
      </c>
      <c r="I294" s="12">
        <f ca="1">IFERROR(__xludf.DUMMYFUNCTION("""COMPUTED_VALUE"""),1173)</f>
        <v>1173</v>
      </c>
      <c r="J294" s="12">
        <f ca="1">IFERROR(__xludf.DUMMYFUNCTION("""COMPUTED_VALUE"""),2492)</f>
        <v>2492</v>
      </c>
      <c r="K294" s="12">
        <f ca="1">IFERROR(__xludf.DUMMYFUNCTION("""COMPUTED_VALUE"""),1827)</f>
        <v>1827</v>
      </c>
      <c r="L294" s="12">
        <f ca="1">IFERROR(__xludf.DUMMYFUNCTION("""COMPUTED_VALUE"""),4972)</f>
        <v>4972</v>
      </c>
      <c r="M294" s="12">
        <f ca="1">IFERROR(__xludf.DUMMYFUNCTION("""COMPUTED_VALUE"""),2323)</f>
        <v>2323</v>
      </c>
      <c r="N294" s="12">
        <f ca="1">IFERROR(__xludf.DUMMYFUNCTION("""COMPUTED_VALUE"""),9922)</f>
        <v>9922</v>
      </c>
      <c r="O294" s="12">
        <f ca="1">IFERROR(__xludf.DUMMYFUNCTION("""COMPUTED_VALUE"""),2454)</f>
        <v>2454</v>
      </c>
      <c r="P294" s="12">
        <f ca="1">IFERROR(__xludf.DUMMYFUNCTION("""COMPUTED_VALUE"""),2355)</f>
        <v>2355</v>
      </c>
      <c r="Q294" s="12">
        <f ca="1">IFERROR(__xludf.DUMMYFUNCTION("""COMPUTED_VALUE"""),2539)</f>
        <v>2539</v>
      </c>
      <c r="R294" s="12">
        <f ca="1">IFERROR(__xludf.DUMMYFUNCTION("""COMPUTED_VALUE"""),1539)</f>
        <v>1539</v>
      </c>
      <c r="S294" s="12">
        <f ca="1">IFERROR(__xludf.DUMMYFUNCTION("""COMPUTED_VALUE"""),873)</f>
        <v>873</v>
      </c>
      <c r="T294" s="12">
        <f ca="1">IFERROR(__xludf.DUMMYFUNCTION("""COMPUTED_VALUE"""),2367)</f>
        <v>2367</v>
      </c>
      <c r="U294" s="12">
        <f ca="1">IFERROR(__xludf.DUMMYFUNCTION("""COMPUTED_VALUE"""),1708)</f>
        <v>1708</v>
      </c>
      <c r="V294" s="12">
        <f ca="1">IFERROR(__xludf.DUMMYFUNCTION("""COMPUTED_VALUE"""),2148)</f>
        <v>2148</v>
      </c>
      <c r="W294" s="12">
        <f ca="1">IFERROR(__xludf.DUMMYFUNCTION("""COMPUTED_VALUE"""),3612)</f>
        <v>3612</v>
      </c>
      <c r="X294" s="12">
        <f ca="1">IFERROR(__xludf.DUMMYFUNCTION("""COMPUTED_VALUE"""),6572)</f>
        <v>6572</v>
      </c>
      <c r="Y294" s="12">
        <f ca="1">IFERROR(__xludf.DUMMYFUNCTION("""COMPUTED_VALUE"""),2265)</f>
        <v>2265</v>
      </c>
      <c r="Z294" s="12">
        <f ca="1">IFERROR(__xludf.DUMMYFUNCTION("""COMPUTED_VALUE"""),3506)</f>
        <v>3506</v>
      </c>
      <c r="AA294" s="12">
        <f ca="1">IFERROR(__xludf.DUMMYFUNCTION("""COMPUTED_VALUE"""),1705)</f>
        <v>1705</v>
      </c>
      <c r="AB294" s="12">
        <f ca="1">IFERROR(__xludf.DUMMYFUNCTION("""COMPUTED_VALUE"""),2003)</f>
        <v>2003</v>
      </c>
      <c r="AC294" s="12">
        <f ca="1">IFERROR(__xludf.DUMMYFUNCTION("""COMPUTED_VALUE"""),2164)</f>
        <v>2164</v>
      </c>
      <c r="AD294" s="12">
        <f ca="1">IFERROR(__xludf.DUMMYFUNCTION("""COMPUTED_VALUE"""),3448)</f>
        <v>3448</v>
      </c>
      <c r="AE294" s="12">
        <f ca="1">IFERROR(__xludf.DUMMYFUNCTION("""COMPUTED_VALUE"""),2995)</f>
        <v>2995</v>
      </c>
      <c r="AF294" s="8">
        <f ca="1">IFERROR(__xludf.DUMMYFUNCTION("""COMPUTED_VALUE"""),8574)</f>
        <v>8574</v>
      </c>
      <c r="AG294" s="8">
        <f ca="1">IFERROR(__xludf.DUMMYFUNCTION("""COMPUTED_VALUE"""),779)</f>
        <v>779</v>
      </c>
      <c r="AH294" s="8">
        <f ca="1">IFERROR(__xludf.DUMMYFUNCTION("""COMPUTED_VALUE"""),4122)</f>
        <v>4122</v>
      </c>
      <c r="AI294" s="8">
        <f ca="1">IFERROR(__xludf.DUMMYFUNCTION("""COMPUTED_VALUE"""),2010)</f>
        <v>2010</v>
      </c>
      <c r="AJ294" s="8">
        <f ca="1">IFERROR(__xludf.DUMMYFUNCTION("""COMPUTED_VALUE"""),2435)</f>
        <v>2435</v>
      </c>
      <c r="AK294" s="8">
        <f ca="1">IFERROR(__xludf.DUMMYFUNCTION("""COMPUTED_VALUE"""),870)</f>
        <v>870</v>
      </c>
      <c r="AL294" s="8">
        <f ca="1">IFERROR(__xludf.DUMMYFUNCTION("""COMPUTED_VALUE"""),2163)</f>
        <v>2163</v>
      </c>
      <c r="AM294" s="8">
        <f ca="1">IFERROR(__xludf.DUMMYFUNCTION("""COMPUTED_VALUE"""),3231)</f>
        <v>3231</v>
      </c>
      <c r="AN294" s="8">
        <f ca="1">IFERROR(__xludf.DUMMYFUNCTION("""COMPUTED_VALUE"""),1707)</f>
        <v>1707</v>
      </c>
      <c r="AO294" s="8">
        <f ca="1">IFERROR(__xludf.DUMMYFUNCTION("""COMPUTED_VALUE"""),831)</f>
        <v>831</v>
      </c>
      <c r="AP294" s="8"/>
      <c r="AQ294" s="8"/>
      <c r="AR294" s="8"/>
      <c r="AS294" s="8"/>
      <c r="AT294" s="8"/>
      <c r="AU294" s="8"/>
      <c r="AV294" s="8"/>
      <c r="AW294" s="8"/>
      <c r="AX294" s="8"/>
      <c r="AY294" s="8"/>
    </row>
    <row r="295" spans="1:51" ht="13.2" x14ac:dyDescent="0.25">
      <c r="A295" s="12" t="str">
        <f ca="1">IFERROR(__xludf.DUMMYFUNCTION("""COMPUTED_VALUE"""),"                  right Medial septal complex")</f>
        <v xml:space="preserve">                  right Medial septal complex</v>
      </c>
      <c r="B295" s="12">
        <f ca="1">IFERROR(__xludf.DUMMYFUNCTION("""COMPUTED_VALUE"""),1665)</f>
        <v>1665</v>
      </c>
      <c r="C295" s="12">
        <f ca="1">IFERROR(__xludf.DUMMYFUNCTION("""COMPUTED_VALUE"""),1493)</f>
        <v>1493</v>
      </c>
      <c r="D295" s="12">
        <f ca="1">IFERROR(__xludf.DUMMYFUNCTION("""COMPUTED_VALUE"""),3164)</f>
        <v>3164</v>
      </c>
      <c r="E295" s="12">
        <f ca="1">IFERROR(__xludf.DUMMYFUNCTION("""COMPUTED_VALUE"""),2143)</f>
        <v>2143</v>
      </c>
      <c r="F295" s="12">
        <f ca="1">IFERROR(__xludf.DUMMYFUNCTION("""COMPUTED_VALUE"""),1898)</f>
        <v>1898</v>
      </c>
      <c r="G295" s="12">
        <f ca="1">IFERROR(__xludf.DUMMYFUNCTION("""COMPUTED_VALUE"""),346)</f>
        <v>346</v>
      </c>
      <c r="H295" s="12">
        <f ca="1">IFERROR(__xludf.DUMMYFUNCTION("""COMPUTED_VALUE"""),1521)</f>
        <v>1521</v>
      </c>
      <c r="I295" s="12">
        <f ca="1">IFERROR(__xludf.DUMMYFUNCTION("""COMPUTED_VALUE"""),910)</f>
        <v>910</v>
      </c>
      <c r="J295" s="12">
        <f ca="1">IFERROR(__xludf.DUMMYFUNCTION("""COMPUTED_VALUE"""),2032)</f>
        <v>2032</v>
      </c>
      <c r="K295" s="12">
        <f ca="1">IFERROR(__xludf.DUMMYFUNCTION("""COMPUTED_VALUE"""),1295)</f>
        <v>1295</v>
      </c>
      <c r="L295" s="12">
        <f ca="1">IFERROR(__xludf.DUMMYFUNCTION("""COMPUTED_VALUE"""),4054)</f>
        <v>4054</v>
      </c>
      <c r="M295" s="12">
        <f ca="1">IFERROR(__xludf.DUMMYFUNCTION("""COMPUTED_VALUE"""),1471)</f>
        <v>1471</v>
      </c>
      <c r="N295" s="12">
        <f ca="1">IFERROR(__xludf.DUMMYFUNCTION("""COMPUTED_VALUE"""),5895)</f>
        <v>5895</v>
      </c>
      <c r="O295" s="12">
        <f ca="1">IFERROR(__xludf.DUMMYFUNCTION("""COMPUTED_VALUE"""),1656)</f>
        <v>1656</v>
      </c>
      <c r="P295" s="12">
        <f ca="1">IFERROR(__xludf.DUMMYFUNCTION("""COMPUTED_VALUE"""),1856)</f>
        <v>1856</v>
      </c>
      <c r="Q295" s="12">
        <f ca="1">IFERROR(__xludf.DUMMYFUNCTION("""COMPUTED_VALUE"""),2233)</f>
        <v>2233</v>
      </c>
      <c r="R295" s="12">
        <f ca="1">IFERROR(__xludf.DUMMYFUNCTION("""COMPUTED_VALUE"""),1144)</f>
        <v>1144</v>
      </c>
      <c r="S295" s="12">
        <f ca="1">IFERROR(__xludf.DUMMYFUNCTION("""COMPUTED_VALUE"""),617)</f>
        <v>617</v>
      </c>
      <c r="T295" s="12">
        <f ca="1">IFERROR(__xludf.DUMMYFUNCTION("""COMPUTED_VALUE"""),2043)</f>
        <v>2043</v>
      </c>
      <c r="U295" s="12">
        <f ca="1">IFERROR(__xludf.DUMMYFUNCTION("""COMPUTED_VALUE"""),1290)</f>
        <v>1290</v>
      </c>
      <c r="V295" s="12">
        <f ca="1">IFERROR(__xludf.DUMMYFUNCTION("""COMPUTED_VALUE"""),1870)</f>
        <v>1870</v>
      </c>
      <c r="W295" s="12">
        <f ca="1">IFERROR(__xludf.DUMMYFUNCTION("""COMPUTED_VALUE"""),2696)</f>
        <v>2696</v>
      </c>
      <c r="X295" s="12">
        <f ca="1">IFERROR(__xludf.DUMMYFUNCTION("""COMPUTED_VALUE"""),5424)</f>
        <v>5424</v>
      </c>
      <c r="Y295" s="12">
        <f ca="1">IFERROR(__xludf.DUMMYFUNCTION("""COMPUTED_VALUE"""),1782)</f>
        <v>1782</v>
      </c>
      <c r="Z295" s="12">
        <f ca="1">IFERROR(__xludf.DUMMYFUNCTION("""COMPUTED_VALUE"""),2369)</f>
        <v>2369</v>
      </c>
      <c r="AA295" s="12">
        <f ca="1">IFERROR(__xludf.DUMMYFUNCTION("""COMPUTED_VALUE"""),1313)</f>
        <v>1313</v>
      </c>
      <c r="AB295" s="12">
        <f ca="1">IFERROR(__xludf.DUMMYFUNCTION("""COMPUTED_VALUE"""),1525)</f>
        <v>1525</v>
      </c>
      <c r="AC295" s="12">
        <f ca="1">IFERROR(__xludf.DUMMYFUNCTION("""COMPUTED_VALUE"""),1575)</f>
        <v>1575</v>
      </c>
      <c r="AD295" s="12">
        <f ca="1">IFERROR(__xludf.DUMMYFUNCTION("""COMPUTED_VALUE"""),3074)</f>
        <v>3074</v>
      </c>
      <c r="AE295" s="12">
        <f ca="1">IFERROR(__xludf.DUMMYFUNCTION("""COMPUTED_VALUE"""),2574)</f>
        <v>2574</v>
      </c>
      <c r="AF295" s="8">
        <f ca="1">IFERROR(__xludf.DUMMYFUNCTION("""COMPUTED_VALUE"""),6653)</f>
        <v>6653</v>
      </c>
      <c r="AG295" s="8">
        <f ca="1">IFERROR(__xludf.DUMMYFUNCTION("""COMPUTED_VALUE"""),561)</f>
        <v>561</v>
      </c>
      <c r="AH295" s="8">
        <f ca="1">IFERROR(__xludf.DUMMYFUNCTION("""COMPUTED_VALUE"""),3596)</f>
        <v>3596</v>
      </c>
      <c r="AI295" s="8">
        <f ca="1">IFERROR(__xludf.DUMMYFUNCTION("""COMPUTED_VALUE"""),1835)</f>
        <v>1835</v>
      </c>
      <c r="AJ295" s="8">
        <f ca="1">IFERROR(__xludf.DUMMYFUNCTION("""COMPUTED_VALUE"""),1062)</f>
        <v>1062</v>
      </c>
      <c r="AK295" s="8">
        <f ca="1">IFERROR(__xludf.DUMMYFUNCTION("""COMPUTED_VALUE"""),787)</f>
        <v>787</v>
      </c>
      <c r="AL295" s="8">
        <f ca="1">IFERROR(__xludf.DUMMYFUNCTION("""COMPUTED_VALUE"""),1683)</f>
        <v>1683</v>
      </c>
      <c r="AM295" s="8">
        <f ca="1">IFERROR(__xludf.DUMMYFUNCTION("""COMPUTED_VALUE"""),2491)</f>
        <v>2491</v>
      </c>
      <c r="AN295" s="8">
        <f ca="1">IFERROR(__xludf.DUMMYFUNCTION("""COMPUTED_VALUE"""),1539)</f>
        <v>1539</v>
      </c>
      <c r="AO295" s="8">
        <f ca="1">IFERROR(__xludf.DUMMYFUNCTION("""COMPUTED_VALUE"""),475)</f>
        <v>475</v>
      </c>
      <c r="AP295" s="8"/>
      <c r="AQ295" s="8"/>
      <c r="AR295" s="8"/>
      <c r="AS295" s="8"/>
      <c r="AT295" s="8"/>
      <c r="AU295" s="8"/>
      <c r="AV295" s="8"/>
      <c r="AW295" s="8"/>
      <c r="AX295" s="8"/>
      <c r="AY295" s="8"/>
    </row>
    <row r="296" spans="1:51" ht="13.2" x14ac:dyDescent="0.25">
      <c r="A296" s="12" t="str">
        <f ca="1">IFERROR(__xludf.DUMMYFUNCTION("""COMPUTED_VALUE"""),"                  right Triangular nucleus of septum")</f>
        <v xml:space="preserve">                  right Triangular nucleus of septum</v>
      </c>
      <c r="B296" s="12">
        <f ca="1">IFERROR(__xludf.DUMMYFUNCTION("""COMPUTED_VALUE"""),210)</f>
        <v>210</v>
      </c>
      <c r="C296" s="12">
        <f ca="1">IFERROR(__xludf.DUMMYFUNCTION("""COMPUTED_VALUE"""),851)</f>
        <v>851</v>
      </c>
      <c r="D296" s="12">
        <f ca="1">IFERROR(__xludf.DUMMYFUNCTION("""COMPUTED_VALUE"""),945)</f>
        <v>945</v>
      </c>
      <c r="E296" s="12">
        <f ca="1">IFERROR(__xludf.DUMMYFUNCTION("""COMPUTED_VALUE"""),537)</f>
        <v>537</v>
      </c>
      <c r="F296" s="12">
        <f ca="1">IFERROR(__xludf.DUMMYFUNCTION("""COMPUTED_VALUE"""),768)</f>
        <v>768</v>
      </c>
      <c r="G296" s="12">
        <f ca="1">IFERROR(__xludf.DUMMYFUNCTION("""COMPUTED_VALUE"""),392)</f>
        <v>392</v>
      </c>
      <c r="H296" s="12">
        <f ca="1">IFERROR(__xludf.DUMMYFUNCTION("""COMPUTED_VALUE"""),321)</f>
        <v>321</v>
      </c>
      <c r="I296" s="12">
        <f ca="1">IFERROR(__xludf.DUMMYFUNCTION("""COMPUTED_VALUE"""),263)</f>
        <v>263</v>
      </c>
      <c r="J296" s="12">
        <f ca="1">IFERROR(__xludf.DUMMYFUNCTION("""COMPUTED_VALUE"""),460)</f>
        <v>460</v>
      </c>
      <c r="K296" s="12">
        <f ca="1">IFERROR(__xludf.DUMMYFUNCTION("""COMPUTED_VALUE"""),532)</f>
        <v>532</v>
      </c>
      <c r="L296" s="12">
        <f ca="1">IFERROR(__xludf.DUMMYFUNCTION("""COMPUTED_VALUE"""),918)</f>
        <v>918</v>
      </c>
      <c r="M296" s="12">
        <f ca="1">IFERROR(__xludf.DUMMYFUNCTION("""COMPUTED_VALUE"""),852)</f>
        <v>852</v>
      </c>
      <c r="N296" s="12">
        <f ca="1">IFERROR(__xludf.DUMMYFUNCTION("""COMPUTED_VALUE"""),4027)</f>
        <v>4027</v>
      </c>
      <c r="O296" s="12">
        <f ca="1">IFERROR(__xludf.DUMMYFUNCTION("""COMPUTED_VALUE"""),798)</f>
        <v>798</v>
      </c>
      <c r="P296" s="12">
        <f ca="1">IFERROR(__xludf.DUMMYFUNCTION("""COMPUTED_VALUE"""),499)</f>
        <v>499</v>
      </c>
      <c r="Q296" s="12">
        <f ca="1">IFERROR(__xludf.DUMMYFUNCTION("""COMPUTED_VALUE"""),306)</f>
        <v>306</v>
      </c>
      <c r="R296" s="12">
        <f ca="1">IFERROR(__xludf.DUMMYFUNCTION("""COMPUTED_VALUE"""),395)</f>
        <v>395</v>
      </c>
      <c r="S296" s="12">
        <f ca="1">IFERROR(__xludf.DUMMYFUNCTION("""COMPUTED_VALUE"""),256)</f>
        <v>256</v>
      </c>
      <c r="T296" s="12">
        <f ca="1">IFERROR(__xludf.DUMMYFUNCTION("""COMPUTED_VALUE"""),324)</f>
        <v>324</v>
      </c>
      <c r="U296" s="12">
        <f ca="1">IFERROR(__xludf.DUMMYFUNCTION("""COMPUTED_VALUE"""),418)</f>
        <v>418</v>
      </c>
      <c r="V296" s="12">
        <f ca="1">IFERROR(__xludf.DUMMYFUNCTION("""COMPUTED_VALUE"""),278)</f>
        <v>278</v>
      </c>
      <c r="W296" s="12">
        <f ca="1">IFERROR(__xludf.DUMMYFUNCTION("""COMPUTED_VALUE"""),916)</f>
        <v>916</v>
      </c>
      <c r="X296" s="12">
        <f ca="1">IFERROR(__xludf.DUMMYFUNCTION("""COMPUTED_VALUE"""),1148)</f>
        <v>1148</v>
      </c>
      <c r="Y296" s="12">
        <f ca="1">IFERROR(__xludf.DUMMYFUNCTION("""COMPUTED_VALUE"""),483)</f>
        <v>483</v>
      </c>
      <c r="Z296" s="12">
        <f ca="1">IFERROR(__xludf.DUMMYFUNCTION("""COMPUTED_VALUE"""),1137)</f>
        <v>1137</v>
      </c>
      <c r="AA296" s="12">
        <f ca="1">IFERROR(__xludf.DUMMYFUNCTION("""COMPUTED_VALUE"""),392)</f>
        <v>392</v>
      </c>
      <c r="AB296" s="12">
        <f ca="1">IFERROR(__xludf.DUMMYFUNCTION("""COMPUTED_VALUE"""),478)</f>
        <v>478</v>
      </c>
      <c r="AC296" s="12">
        <f ca="1">IFERROR(__xludf.DUMMYFUNCTION("""COMPUTED_VALUE"""),589)</f>
        <v>589</v>
      </c>
      <c r="AD296" s="12">
        <f ca="1">IFERROR(__xludf.DUMMYFUNCTION("""COMPUTED_VALUE"""),374)</f>
        <v>374</v>
      </c>
      <c r="AE296" s="12">
        <f ca="1">IFERROR(__xludf.DUMMYFUNCTION("""COMPUTED_VALUE"""),421)</f>
        <v>421</v>
      </c>
      <c r="AF296" s="8">
        <f ca="1">IFERROR(__xludf.DUMMYFUNCTION("""COMPUTED_VALUE"""),1921)</f>
        <v>1921</v>
      </c>
      <c r="AG296" s="8">
        <f ca="1">IFERROR(__xludf.DUMMYFUNCTION("""COMPUTED_VALUE"""),218)</f>
        <v>218</v>
      </c>
      <c r="AH296" s="8">
        <f ca="1">IFERROR(__xludf.DUMMYFUNCTION("""COMPUTED_VALUE"""),526)</f>
        <v>526</v>
      </c>
      <c r="AI296" s="8">
        <f ca="1">IFERROR(__xludf.DUMMYFUNCTION("""COMPUTED_VALUE"""),175)</f>
        <v>175</v>
      </c>
      <c r="AJ296" s="8">
        <f ca="1">IFERROR(__xludf.DUMMYFUNCTION("""COMPUTED_VALUE"""),1373)</f>
        <v>1373</v>
      </c>
      <c r="AK296" s="8">
        <f ca="1">IFERROR(__xludf.DUMMYFUNCTION("""COMPUTED_VALUE"""),83)</f>
        <v>83</v>
      </c>
      <c r="AL296" s="8">
        <f ca="1">IFERROR(__xludf.DUMMYFUNCTION("""COMPUTED_VALUE"""),480)</f>
        <v>480</v>
      </c>
      <c r="AM296" s="8">
        <f ca="1">IFERROR(__xludf.DUMMYFUNCTION("""COMPUTED_VALUE"""),740)</f>
        <v>740</v>
      </c>
      <c r="AN296" s="8">
        <f ca="1">IFERROR(__xludf.DUMMYFUNCTION("""COMPUTED_VALUE"""),168)</f>
        <v>168</v>
      </c>
      <c r="AO296" s="8">
        <f ca="1">IFERROR(__xludf.DUMMYFUNCTION("""COMPUTED_VALUE"""),356)</f>
        <v>356</v>
      </c>
      <c r="AP296" s="8"/>
      <c r="AQ296" s="8"/>
      <c r="AR296" s="8"/>
      <c r="AS296" s="8"/>
      <c r="AT296" s="8"/>
      <c r="AU296" s="8"/>
      <c r="AV296" s="8"/>
      <c r="AW296" s="8"/>
      <c r="AX296" s="8"/>
      <c r="AY296" s="8"/>
    </row>
    <row r="297" spans="1:51" ht="13.2" x14ac:dyDescent="0.25">
      <c r="A297" s="12" t="str">
        <f ca="1">IFERROR(__xludf.DUMMYFUNCTION("""COMPUTED_VALUE"""),"               right Pallidum, caudal region")</f>
        <v xml:space="preserve">               right Pallidum, caudal region</v>
      </c>
      <c r="B297" s="12">
        <f ca="1">IFERROR(__xludf.DUMMYFUNCTION("""COMPUTED_VALUE"""),2943)</f>
        <v>2943</v>
      </c>
      <c r="C297" s="12">
        <f ca="1">IFERROR(__xludf.DUMMYFUNCTION("""COMPUTED_VALUE"""),4475)</f>
        <v>4475</v>
      </c>
      <c r="D297" s="12">
        <f ca="1">IFERROR(__xludf.DUMMYFUNCTION("""COMPUTED_VALUE"""),5973)</f>
        <v>5973</v>
      </c>
      <c r="E297" s="12">
        <f ca="1">IFERROR(__xludf.DUMMYFUNCTION("""COMPUTED_VALUE"""),2930)</f>
        <v>2930</v>
      </c>
      <c r="F297" s="12">
        <f ca="1">IFERROR(__xludf.DUMMYFUNCTION("""COMPUTED_VALUE"""),6315)</f>
        <v>6315</v>
      </c>
      <c r="G297" s="12">
        <f ca="1">IFERROR(__xludf.DUMMYFUNCTION("""COMPUTED_VALUE"""),2977)</f>
        <v>2977</v>
      </c>
      <c r="H297" s="12">
        <f ca="1">IFERROR(__xludf.DUMMYFUNCTION("""COMPUTED_VALUE"""),3328)</f>
        <v>3328</v>
      </c>
      <c r="I297" s="12">
        <f ca="1">IFERROR(__xludf.DUMMYFUNCTION("""COMPUTED_VALUE"""),2520)</f>
        <v>2520</v>
      </c>
      <c r="J297" s="12">
        <f ca="1">IFERROR(__xludf.DUMMYFUNCTION("""COMPUTED_VALUE"""),2951)</f>
        <v>2951</v>
      </c>
      <c r="K297" s="12">
        <f ca="1">IFERROR(__xludf.DUMMYFUNCTION("""COMPUTED_VALUE"""),3723)</f>
        <v>3723</v>
      </c>
      <c r="L297" s="12">
        <f ca="1">IFERROR(__xludf.DUMMYFUNCTION("""COMPUTED_VALUE"""),9413)</f>
        <v>9413</v>
      </c>
      <c r="M297" s="12">
        <f ca="1">IFERROR(__xludf.DUMMYFUNCTION("""COMPUTED_VALUE"""),6032)</f>
        <v>6032</v>
      </c>
      <c r="N297" s="12">
        <f ca="1">IFERROR(__xludf.DUMMYFUNCTION("""COMPUTED_VALUE"""),9517)</f>
        <v>9517</v>
      </c>
      <c r="O297" s="12">
        <f ca="1">IFERROR(__xludf.DUMMYFUNCTION("""COMPUTED_VALUE"""),2798)</f>
        <v>2798</v>
      </c>
      <c r="P297" s="12">
        <f ca="1">IFERROR(__xludf.DUMMYFUNCTION("""COMPUTED_VALUE"""),2800)</f>
        <v>2800</v>
      </c>
      <c r="Q297" s="12">
        <f ca="1">IFERROR(__xludf.DUMMYFUNCTION("""COMPUTED_VALUE"""),4359)</f>
        <v>4359</v>
      </c>
      <c r="R297" s="12">
        <f ca="1">IFERROR(__xludf.DUMMYFUNCTION("""COMPUTED_VALUE"""),3122)</f>
        <v>3122</v>
      </c>
      <c r="S297" s="12">
        <f ca="1">IFERROR(__xludf.DUMMYFUNCTION("""COMPUTED_VALUE"""),439)</f>
        <v>439</v>
      </c>
      <c r="T297" s="12">
        <f ca="1">IFERROR(__xludf.DUMMYFUNCTION("""COMPUTED_VALUE"""),4807)</f>
        <v>4807</v>
      </c>
      <c r="U297" s="12">
        <f ca="1">IFERROR(__xludf.DUMMYFUNCTION("""COMPUTED_VALUE"""),3129)</f>
        <v>3129</v>
      </c>
      <c r="V297" s="12">
        <f ca="1">IFERROR(__xludf.DUMMYFUNCTION("""COMPUTED_VALUE"""),5097)</f>
        <v>5097</v>
      </c>
      <c r="W297" s="12">
        <f ca="1">IFERROR(__xludf.DUMMYFUNCTION("""COMPUTED_VALUE"""),10486)</f>
        <v>10486</v>
      </c>
      <c r="X297" s="12">
        <f ca="1">IFERROR(__xludf.DUMMYFUNCTION("""COMPUTED_VALUE"""),12738)</f>
        <v>12738</v>
      </c>
      <c r="Y297" s="12">
        <f ca="1">IFERROR(__xludf.DUMMYFUNCTION("""COMPUTED_VALUE"""),4621)</f>
        <v>4621</v>
      </c>
      <c r="Z297" s="12">
        <f ca="1">IFERROR(__xludf.DUMMYFUNCTION("""COMPUTED_VALUE"""),6987)</f>
        <v>6987</v>
      </c>
      <c r="AA297" s="12">
        <f ca="1">IFERROR(__xludf.DUMMYFUNCTION("""COMPUTED_VALUE"""),5198)</f>
        <v>5198</v>
      </c>
      <c r="AB297" s="12">
        <f ca="1">IFERROR(__xludf.DUMMYFUNCTION("""COMPUTED_VALUE"""),5403)</f>
        <v>5403</v>
      </c>
      <c r="AC297" s="12">
        <f ca="1">IFERROR(__xludf.DUMMYFUNCTION("""COMPUTED_VALUE"""),3961)</f>
        <v>3961</v>
      </c>
      <c r="AD297" s="12">
        <f ca="1">IFERROR(__xludf.DUMMYFUNCTION("""COMPUTED_VALUE"""),5883)</f>
        <v>5883</v>
      </c>
      <c r="AE297" s="12">
        <f ca="1">IFERROR(__xludf.DUMMYFUNCTION("""COMPUTED_VALUE"""),4916)</f>
        <v>4916</v>
      </c>
      <c r="AF297" s="8">
        <f ca="1">IFERROR(__xludf.DUMMYFUNCTION("""COMPUTED_VALUE"""),9461)</f>
        <v>9461</v>
      </c>
      <c r="AG297" s="8">
        <f ca="1">IFERROR(__xludf.DUMMYFUNCTION("""COMPUTED_VALUE"""),2974)</f>
        <v>2974</v>
      </c>
      <c r="AH297" s="8">
        <f ca="1">IFERROR(__xludf.DUMMYFUNCTION("""COMPUTED_VALUE"""),7820)</f>
        <v>7820</v>
      </c>
      <c r="AI297" s="8">
        <f ca="1">IFERROR(__xludf.DUMMYFUNCTION("""COMPUTED_VALUE"""),7101)</f>
        <v>7101</v>
      </c>
      <c r="AJ297" s="8">
        <f ca="1">IFERROR(__xludf.DUMMYFUNCTION("""COMPUTED_VALUE"""),4053)</f>
        <v>4053</v>
      </c>
      <c r="AK297" s="8">
        <f ca="1">IFERROR(__xludf.DUMMYFUNCTION("""COMPUTED_VALUE"""),1952)</f>
        <v>1952</v>
      </c>
      <c r="AL297" s="8">
        <f ca="1">IFERROR(__xludf.DUMMYFUNCTION("""COMPUTED_VALUE"""),4111)</f>
        <v>4111</v>
      </c>
      <c r="AM297" s="8">
        <f ca="1">IFERROR(__xludf.DUMMYFUNCTION("""COMPUTED_VALUE"""),8377)</f>
        <v>8377</v>
      </c>
      <c r="AN297" s="8">
        <f ca="1">IFERROR(__xludf.DUMMYFUNCTION("""COMPUTED_VALUE"""),3912)</f>
        <v>3912</v>
      </c>
      <c r="AO297" s="8">
        <f ca="1">IFERROR(__xludf.DUMMYFUNCTION("""COMPUTED_VALUE"""),1751)</f>
        <v>1751</v>
      </c>
      <c r="AP297" s="8"/>
      <c r="AQ297" s="8"/>
      <c r="AR297" s="8"/>
      <c r="AS297" s="8"/>
      <c r="AT297" s="8"/>
      <c r="AU297" s="8"/>
      <c r="AV297" s="8"/>
      <c r="AW297" s="8"/>
      <c r="AX297" s="8"/>
      <c r="AY297" s="8"/>
    </row>
    <row r="298" spans="1:51" ht="13.2" x14ac:dyDescent="0.25">
      <c r="A298" s="12" t="str">
        <f ca="1">IFERROR(__xludf.DUMMYFUNCTION("""COMPUTED_VALUE"""),"      right Brain stem")</f>
        <v xml:space="preserve">      right Brain stem</v>
      </c>
      <c r="B298" s="12">
        <f ca="1">IFERROR(__xludf.DUMMYFUNCTION("""COMPUTED_VALUE"""),146178)</f>
        <v>146178</v>
      </c>
      <c r="C298" s="12">
        <f ca="1">IFERROR(__xludf.DUMMYFUNCTION("""COMPUTED_VALUE"""),315654)</f>
        <v>315654</v>
      </c>
      <c r="D298" s="12">
        <f ca="1">IFERROR(__xludf.DUMMYFUNCTION("""COMPUTED_VALUE"""),274454)</f>
        <v>274454</v>
      </c>
      <c r="E298" s="12">
        <f ca="1">IFERROR(__xludf.DUMMYFUNCTION("""COMPUTED_VALUE"""),193672)</f>
        <v>193672</v>
      </c>
      <c r="F298" s="12">
        <f ca="1">IFERROR(__xludf.DUMMYFUNCTION("""COMPUTED_VALUE"""),307803)</f>
        <v>307803</v>
      </c>
      <c r="G298" s="12">
        <f ca="1">IFERROR(__xludf.DUMMYFUNCTION("""COMPUTED_VALUE"""),139647)</f>
        <v>139647</v>
      </c>
      <c r="H298" s="12">
        <f ca="1">IFERROR(__xludf.DUMMYFUNCTION("""COMPUTED_VALUE"""),145604)</f>
        <v>145604</v>
      </c>
      <c r="I298" s="12">
        <f ca="1">IFERROR(__xludf.DUMMYFUNCTION("""COMPUTED_VALUE"""),125411)</f>
        <v>125411</v>
      </c>
      <c r="J298" s="12">
        <f ca="1">IFERROR(__xludf.DUMMYFUNCTION("""COMPUTED_VALUE"""),156734)</f>
        <v>156734</v>
      </c>
      <c r="K298" s="12">
        <f ca="1">IFERROR(__xludf.DUMMYFUNCTION("""COMPUTED_VALUE"""),178696)</f>
        <v>178696</v>
      </c>
      <c r="L298" s="12">
        <f ca="1">IFERROR(__xludf.DUMMYFUNCTION("""COMPUTED_VALUE"""),234139)</f>
        <v>234139</v>
      </c>
      <c r="M298" s="12">
        <f ca="1">IFERROR(__xludf.DUMMYFUNCTION("""COMPUTED_VALUE"""),303647)</f>
        <v>303647</v>
      </c>
      <c r="N298" s="12">
        <f ca="1">IFERROR(__xludf.DUMMYFUNCTION("""COMPUTED_VALUE"""),373820)</f>
        <v>373820</v>
      </c>
      <c r="O298" s="12">
        <f ca="1">IFERROR(__xludf.DUMMYFUNCTION("""COMPUTED_VALUE"""),254164)</f>
        <v>254164</v>
      </c>
      <c r="P298" s="12">
        <f ca="1">IFERROR(__xludf.DUMMYFUNCTION("""COMPUTED_VALUE"""),173279)</f>
        <v>173279</v>
      </c>
      <c r="Q298" s="12">
        <f ca="1">IFERROR(__xludf.DUMMYFUNCTION("""COMPUTED_VALUE"""),183507)</f>
        <v>183507</v>
      </c>
      <c r="R298" s="12">
        <f ca="1">IFERROR(__xludf.DUMMYFUNCTION("""COMPUTED_VALUE"""),134351)</f>
        <v>134351</v>
      </c>
      <c r="S298" s="12">
        <f ca="1">IFERROR(__xludf.DUMMYFUNCTION("""COMPUTED_VALUE"""),90593)</f>
        <v>90593</v>
      </c>
      <c r="T298" s="12">
        <f ca="1">IFERROR(__xludf.DUMMYFUNCTION("""COMPUTED_VALUE"""),182334)</f>
        <v>182334</v>
      </c>
      <c r="U298" s="12">
        <f ca="1">IFERROR(__xludf.DUMMYFUNCTION("""COMPUTED_VALUE"""),170010)</f>
        <v>170010</v>
      </c>
      <c r="V298" s="12">
        <f ca="1">IFERROR(__xludf.DUMMYFUNCTION("""COMPUTED_VALUE"""),222689)</f>
        <v>222689</v>
      </c>
      <c r="W298" s="12">
        <f ca="1">IFERROR(__xludf.DUMMYFUNCTION("""COMPUTED_VALUE"""),231716)</f>
        <v>231716</v>
      </c>
      <c r="X298" s="12">
        <f ca="1">IFERROR(__xludf.DUMMYFUNCTION("""COMPUTED_VALUE"""),560846)</f>
        <v>560846</v>
      </c>
      <c r="Y298" s="12">
        <f ca="1">IFERROR(__xludf.DUMMYFUNCTION("""COMPUTED_VALUE"""),213119)</f>
        <v>213119</v>
      </c>
      <c r="Z298" s="12">
        <f ca="1">IFERROR(__xludf.DUMMYFUNCTION("""COMPUTED_VALUE"""),375559)</f>
        <v>375559</v>
      </c>
      <c r="AA298" s="12">
        <f ca="1">IFERROR(__xludf.DUMMYFUNCTION("""COMPUTED_VALUE"""),251234)</f>
        <v>251234</v>
      </c>
      <c r="AB298" s="12">
        <f ca="1">IFERROR(__xludf.DUMMYFUNCTION("""COMPUTED_VALUE"""),149549)</f>
        <v>149549</v>
      </c>
      <c r="AC298" s="12">
        <f ca="1">IFERROR(__xludf.DUMMYFUNCTION("""COMPUTED_VALUE"""),180049)</f>
        <v>180049</v>
      </c>
      <c r="AD298" s="12">
        <f ca="1">IFERROR(__xludf.DUMMYFUNCTION("""COMPUTED_VALUE"""),197513)</f>
        <v>197513</v>
      </c>
      <c r="AE298" s="12">
        <f ca="1">IFERROR(__xludf.DUMMYFUNCTION("""COMPUTED_VALUE"""),295033)</f>
        <v>295033</v>
      </c>
      <c r="AF298" s="8">
        <f ca="1">IFERROR(__xludf.DUMMYFUNCTION("""COMPUTED_VALUE"""),376072)</f>
        <v>376072</v>
      </c>
      <c r="AG298" s="8">
        <f ca="1">IFERROR(__xludf.DUMMYFUNCTION("""COMPUTED_VALUE"""),141204)</f>
        <v>141204</v>
      </c>
      <c r="AH298" s="8">
        <f ca="1">IFERROR(__xludf.DUMMYFUNCTION("""COMPUTED_VALUE"""),252512)</f>
        <v>252512</v>
      </c>
      <c r="AI298" s="8">
        <f ca="1">IFERROR(__xludf.DUMMYFUNCTION("""COMPUTED_VALUE"""),182698)</f>
        <v>182698</v>
      </c>
      <c r="AJ298" s="8">
        <f ca="1">IFERROR(__xludf.DUMMYFUNCTION("""COMPUTED_VALUE"""),129148)</f>
        <v>129148</v>
      </c>
      <c r="AK298" s="8">
        <f ca="1">IFERROR(__xludf.DUMMYFUNCTION("""COMPUTED_VALUE"""),104604)</f>
        <v>104604</v>
      </c>
      <c r="AL298" s="8">
        <f ca="1">IFERROR(__xludf.DUMMYFUNCTION("""COMPUTED_VALUE"""),122276)</f>
        <v>122276</v>
      </c>
      <c r="AM298" s="8">
        <f ca="1">IFERROR(__xludf.DUMMYFUNCTION("""COMPUTED_VALUE"""),168502)</f>
        <v>168502</v>
      </c>
      <c r="AN298" s="8">
        <f ca="1">IFERROR(__xludf.DUMMYFUNCTION("""COMPUTED_VALUE"""),150548)</f>
        <v>150548</v>
      </c>
      <c r="AO298" s="8">
        <f ca="1">IFERROR(__xludf.DUMMYFUNCTION("""COMPUTED_VALUE"""),130723)</f>
        <v>130723</v>
      </c>
      <c r="AP298" s="8"/>
      <c r="AQ298" s="8"/>
      <c r="AR298" s="8"/>
      <c r="AS298" s="8"/>
      <c r="AT298" s="8"/>
      <c r="AU298" s="8"/>
      <c r="AV298" s="8"/>
      <c r="AW298" s="8"/>
      <c r="AX298" s="8"/>
      <c r="AY298" s="8"/>
    </row>
    <row r="299" spans="1:51" ht="13.2" x14ac:dyDescent="0.25">
      <c r="A299" s="12" t="str">
        <f ca="1">IFERROR(__xludf.DUMMYFUNCTION("""COMPUTED_VALUE"""),"         right Interbrain")</f>
        <v xml:space="preserve">         right Interbrain</v>
      </c>
      <c r="B299" s="12">
        <f ca="1">IFERROR(__xludf.DUMMYFUNCTION("""COMPUTED_VALUE"""),66516)</f>
        <v>66516</v>
      </c>
      <c r="C299" s="12">
        <f ca="1">IFERROR(__xludf.DUMMYFUNCTION("""COMPUTED_VALUE"""),120515)</f>
        <v>120515</v>
      </c>
      <c r="D299" s="12">
        <f ca="1">IFERROR(__xludf.DUMMYFUNCTION("""COMPUTED_VALUE"""),95080)</f>
        <v>95080</v>
      </c>
      <c r="E299" s="12">
        <f ca="1">IFERROR(__xludf.DUMMYFUNCTION("""COMPUTED_VALUE"""),82656)</f>
        <v>82656</v>
      </c>
      <c r="F299" s="12">
        <f ca="1">IFERROR(__xludf.DUMMYFUNCTION("""COMPUTED_VALUE"""),115437)</f>
        <v>115437</v>
      </c>
      <c r="G299" s="12">
        <f ca="1">IFERROR(__xludf.DUMMYFUNCTION("""COMPUTED_VALUE"""),49349)</f>
        <v>49349</v>
      </c>
      <c r="H299" s="12">
        <f ca="1">IFERROR(__xludf.DUMMYFUNCTION("""COMPUTED_VALUE"""),67769)</f>
        <v>67769</v>
      </c>
      <c r="I299" s="12">
        <f ca="1">IFERROR(__xludf.DUMMYFUNCTION("""COMPUTED_VALUE"""),55717)</f>
        <v>55717</v>
      </c>
      <c r="J299" s="12">
        <f ca="1">IFERROR(__xludf.DUMMYFUNCTION("""COMPUTED_VALUE"""),75107)</f>
        <v>75107</v>
      </c>
      <c r="K299" s="12">
        <f ca="1">IFERROR(__xludf.DUMMYFUNCTION("""COMPUTED_VALUE"""),65921)</f>
        <v>65921</v>
      </c>
      <c r="L299" s="12">
        <f ca="1">IFERROR(__xludf.DUMMYFUNCTION("""COMPUTED_VALUE"""),94687)</f>
        <v>94687</v>
      </c>
      <c r="M299" s="12">
        <f ca="1">IFERROR(__xludf.DUMMYFUNCTION("""COMPUTED_VALUE"""),100071)</f>
        <v>100071</v>
      </c>
      <c r="N299" s="12">
        <f ca="1">IFERROR(__xludf.DUMMYFUNCTION("""COMPUTED_VALUE"""),203141)</f>
        <v>203141</v>
      </c>
      <c r="O299" s="12">
        <f ca="1">IFERROR(__xludf.DUMMYFUNCTION("""COMPUTED_VALUE"""),80148)</f>
        <v>80148</v>
      </c>
      <c r="P299" s="12">
        <f ca="1">IFERROR(__xludf.DUMMYFUNCTION("""COMPUTED_VALUE"""),71815)</f>
        <v>71815</v>
      </c>
      <c r="Q299" s="12">
        <f ca="1">IFERROR(__xludf.DUMMYFUNCTION("""COMPUTED_VALUE"""),91474)</f>
        <v>91474</v>
      </c>
      <c r="R299" s="12">
        <f ca="1">IFERROR(__xludf.DUMMYFUNCTION("""COMPUTED_VALUE"""),67361)</f>
        <v>67361</v>
      </c>
      <c r="S299" s="12">
        <f ca="1">IFERROR(__xludf.DUMMYFUNCTION("""COMPUTED_VALUE"""),27685)</f>
        <v>27685</v>
      </c>
      <c r="T299" s="12">
        <f ca="1">IFERROR(__xludf.DUMMYFUNCTION("""COMPUTED_VALUE"""),93554)</f>
        <v>93554</v>
      </c>
      <c r="U299" s="12">
        <f ca="1">IFERROR(__xludf.DUMMYFUNCTION("""COMPUTED_VALUE"""),56335)</f>
        <v>56335</v>
      </c>
      <c r="V299" s="12">
        <f ca="1">IFERROR(__xludf.DUMMYFUNCTION("""COMPUTED_VALUE"""),79610)</f>
        <v>79610</v>
      </c>
      <c r="W299" s="12">
        <f ca="1">IFERROR(__xludf.DUMMYFUNCTION("""COMPUTED_VALUE"""),105952)</f>
        <v>105952</v>
      </c>
      <c r="X299" s="12">
        <f ca="1">IFERROR(__xludf.DUMMYFUNCTION("""COMPUTED_VALUE"""),252024)</f>
        <v>252024</v>
      </c>
      <c r="Y299" s="12">
        <f ca="1">IFERROR(__xludf.DUMMYFUNCTION("""COMPUTED_VALUE"""),73295)</f>
        <v>73295</v>
      </c>
      <c r="Z299" s="12">
        <f ca="1">IFERROR(__xludf.DUMMYFUNCTION("""COMPUTED_VALUE"""),154890)</f>
        <v>154890</v>
      </c>
      <c r="AA299" s="12">
        <f ca="1">IFERROR(__xludf.DUMMYFUNCTION("""COMPUTED_VALUE"""),112970)</f>
        <v>112970</v>
      </c>
      <c r="AB299" s="12">
        <f ca="1">IFERROR(__xludf.DUMMYFUNCTION("""COMPUTED_VALUE"""),66661)</f>
        <v>66661</v>
      </c>
      <c r="AC299" s="12">
        <f ca="1">IFERROR(__xludf.DUMMYFUNCTION("""COMPUTED_VALUE"""),62472)</f>
        <v>62472</v>
      </c>
      <c r="AD299" s="12">
        <f ca="1">IFERROR(__xludf.DUMMYFUNCTION("""COMPUTED_VALUE"""),75792)</f>
        <v>75792</v>
      </c>
      <c r="AE299" s="12">
        <f ca="1">IFERROR(__xludf.DUMMYFUNCTION("""COMPUTED_VALUE"""),108649)</f>
        <v>108649</v>
      </c>
      <c r="AF299" s="8">
        <f ca="1">IFERROR(__xludf.DUMMYFUNCTION("""COMPUTED_VALUE"""),170972)</f>
        <v>170972</v>
      </c>
      <c r="AG299" s="8">
        <f ca="1">IFERROR(__xludf.DUMMYFUNCTION("""COMPUTED_VALUE"""),62496)</f>
        <v>62496</v>
      </c>
      <c r="AH299" s="8">
        <f ca="1">IFERROR(__xludf.DUMMYFUNCTION("""COMPUTED_VALUE"""),129663)</f>
        <v>129663</v>
      </c>
      <c r="AI299" s="8">
        <f ca="1">IFERROR(__xludf.DUMMYFUNCTION("""COMPUTED_VALUE"""),91246)</f>
        <v>91246</v>
      </c>
      <c r="AJ299" s="8">
        <f ca="1">IFERROR(__xludf.DUMMYFUNCTION("""COMPUTED_VALUE"""),42822)</f>
        <v>42822</v>
      </c>
      <c r="AK299" s="8">
        <f ca="1">IFERROR(__xludf.DUMMYFUNCTION("""COMPUTED_VALUE"""),30526)</f>
        <v>30526</v>
      </c>
      <c r="AL299" s="8">
        <f ca="1">IFERROR(__xludf.DUMMYFUNCTION("""COMPUTED_VALUE"""),58118)</f>
        <v>58118</v>
      </c>
      <c r="AM299" s="8">
        <f ca="1">IFERROR(__xludf.DUMMYFUNCTION("""COMPUTED_VALUE"""),90654)</f>
        <v>90654</v>
      </c>
      <c r="AN299" s="8">
        <f ca="1">IFERROR(__xludf.DUMMYFUNCTION("""COMPUTED_VALUE"""),63219)</f>
        <v>63219</v>
      </c>
      <c r="AO299" s="8">
        <f ca="1">IFERROR(__xludf.DUMMYFUNCTION("""COMPUTED_VALUE"""),41388)</f>
        <v>41388</v>
      </c>
      <c r="AP299" s="8"/>
      <c r="AQ299" s="8"/>
      <c r="AR299" s="8"/>
      <c r="AS299" s="8"/>
      <c r="AT299" s="8"/>
      <c r="AU299" s="8"/>
      <c r="AV299" s="8"/>
      <c r="AW299" s="8"/>
      <c r="AX299" s="8"/>
      <c r="AY299" s="8"/>
    </row>
    <row r="300" spans="1:51" ht="13.2" x14ac:dyDescent="0.25">
      <c r="A300" s="12" t="str">
        <f ca="1">IFERROR(__xludf.DUMMYFUNCTION("""COMPUTED_VALUE"""),"            right Thalamus")</f>
        <v xml:space="preserve">            right Thalamus</v>
      </c>
      <c r="B300" s="12">
        <f ca="1">IFERROR(__xludf.DUMMYFUNCTION("""COMPUTED_VALUE"""),23931)</f>
        <v>23931</v>
      </c>
      <c r="C300" s="12">
        <f ca="1">IFERROR(__xludf.DUMMYFUNCTION("""COMPUTED_VALUE"""),56104)</f>
        <v>56104</v>
      </c>
      <c r="D300" s="12">
        <f ca="1">IFERROR(__xludf.DUMMYFUNCTION("""COMPUTED_VALUE"""),43099)</f>
        <v>43099</v>
      </c>
      <c r="E300" s="12">
        <f ca="1">IFERROR(__xludf.DUMMYFUNCTION("""COMPUTED_VALUE"""),31050)</f>
        <v>31050</v>
      </c>
      <c r="F300" s="12">
        <f ca="1">IFERROR(__xludf.DUMMYFUNCTION("""COMPUTED_VALUE"""),48470)</f>
        <v>48470</v>
      </c>
      <c r="G300" s="12">
        <f ca="1">IFERROR(__xludf.DUMMYFUNCTION("""COMPUTED_VALUE"""),23069)</f>
        <v>23069</v>
      </c>
      <c r="H300" s="12">
        <f ca="1">IFERROR(__xludf.DUMMYFUNCTION("""COMPUTED_VALUE"""),27447)</f>
        <v>27447</v>
      </c>
      <c r="I300" s="12">
        <f ca="1">IFERROR(__xludf.DUMMYFUNCTION("""COMPUTED_VALUE"""),27881)</f>
        <v>27881</v>
      </c>
      <c r="J300" s="12">
        <f ca="1">IFERROR(__xludf.DUMMYFUNCTION("""COMPUTED_VALUE"""),34273)</f>
        <v>34273</v>
      </c>
      <c r="K300" s="12">
        <f ca="1">IFERROR(__xludf.DUMMYFUNCTION("""COMPUTED_VALUE"""),26876)</f>
        <v>26876</v>
      </c>
      <c r="L300" s="12">
        <f ca="1">IFERROR(__xludf.DUMMYFUNCTION("""COMPUTED_VALUE"""),33838)</f>
        <v>33838</v>
      </c>
      <c r="M300" s="12">
        <f ca="1">IFERROR(__xludf.DUMMYFUNCTION("""COMPUTED_VALUE"""),39521)</f>
        <v>39521</v>
      </c>
      <c r="N300" s="12">
        <f ca="1">IFERROR(__xludf.DUMMYFUNCTION("""COMPUTED_VALUE"""),154399)</f>
        <v>154399</v>
      </c>
      <c r="O300" s="12">
        <f ca="1">IFERROR(__xludf.DUMMYFUNCTION("""COMPUTED_VALUE"""),29608)</f>
        <v>29608</v>
      </c>
      <c r="P300" s="12">
        <f ca="1">IFERROR(__xludf.DUMMYFUNCTION("""COMPUTED_VALUE"""),28261)</f>
        <v>28261</v>
      </c>
      <c r="Q300" s="12">
        <f ca="1">IFERROR(__xludf.DUMMYFUNCTION("""COMPUTED_VALUE"""),39859)</f>
        <v>39859</v>
      </c>
      <c r="R300" s="12">
        <f ca="1">IFERROR(__xludf.DUMMYFUNCTION("""COMPUTED_VALUE"""),25491)</f>
        <v>25491</v>
      </c>
      <c r="S300" s="12">
        <f ca="1">IFERROR(__xludf.DUMMYFUNCTION("""COMPUTED_VALUE"""),11129)</f>
        <v>11129</v>
      </c>
      <c r="T300" s="12">
        <f ca="1">IFERROR(__xludf.DUMMYFUNCTION("""COMPUTED_VALUE"""),40696)</f>
        <v>40696</v>
      </c>
      <c r="U300" s="12">
        <f ca="1">IFERROR(__xludf.DUMMYFUNCTION("""COMPUTED_VALUE"""),21941)</f>
        <v>21941</v>
      </c>
      <c r="V300" s="12">
        <f ca="1">IFERROR(__xludf.DUMMYFUNCTION("""COMPUTED_VALUE"""),38044)</f>
        <v>38044</v>
      </c>
      <c r="W300" s="12">
        <f ca="1">IFERROR(__xludf.DUMMYFUNCTION("""COMPUTED_VALUE"""),46572)</f>
        <v>46572</v>
      </c>
      <c r="X300" s="12">
        <f ca="1">IFERROR(__xludf.DUMMYFUNCTION("""COMPUTED_VALUE"""),99405)</f>
        <v>99405</v>
      </c>
      <c r="Y300" s="12">
        <f ca="1">IFERROR(__xludf.DUMMYFUNCTION("""COMPUTED_VALUE"""),32489)</f>
        <v>32489</v>
      </c>
      <c r="Z300" s="12">
        <f ca="1">IFERROR(__xludf.DUMMYFUNCTION("""COMPUTED_VALUE"""),60743)</f>
        <v>60743</v>
      </c>
      <c r="AA300" s="12">
        <f ca="1">IFERROR(__xludf.DUMMYFUNCTION("""COMPUTED_VALUE"""),44763)</f>
        <v>44763</v>
      </c>
      <c r="AB300" s="12">
        <f ca="1">IFERROR(__xludf.DUMMYFUNCTION("""COMPUTED_VALUE"""),27689)</f>
        <v>27689</v>
      </c>
      <c r="AC300" s="12">
        <f ca="1">IFERROR(__xludf.DUMMYFUNCTION("""COMPUTED_VALUE"""),34263)</f>
        <v>34263</v>
      </c>
      <c r="AD300" s="12">
        <f ca="1">IFERROR(__xludf.DUMMYFUNCTION("""COMPUTED_VALUE"""),23693)</f>
        <v>23693</v>
      </c>
      <c r="AE300" s="12">
        <f ca="1">IFERROR(__xludf.DUMMYFUNCTION("""COMPUTED_VALUE"""),28021)</f>
        <v>28021</v>
      </c>
      <c r="AF300" s="8">
        <f ca="1">IFERROR(__xludf.DUMMYFUNCTION("""COMPUTED_VALUE"""),57995)</f>
        <v>57995</v>
      </c>
      <c r="AG300" s="8">
        <f ca="1">IFERROR(__xludf.DUMMYFUNCTION("""COMPUTED_VALUE"""),21854)</f>
        <v>21854</v>
      </c>
      <c r="AH300" s="8">
        <f ca="1">IFERROR(__xludf.DUMMYFUNCTION("""COMPUTED_VALUE"""),36089)</f>
        <v>36089</v>
      </c>
      <c r="AI300" s="8">
        <f ca="1">IFERROR(__xludf.DUMMYFUNCTION("""COMPUTED_VALUE"""),31488)</f>
        <v>31488</v>
      </c>
      <c r="AJ300" s="8">
        <f ca="1">IFERROR(__xludf.DUMMYFUNCTION("""COMPUTED_VALUE"""),19836)</f>
        <v>19836</v>
      </c>
      <c r="AK300" s="8">
        <f ca="1">IFERROR(__xludf.DUMMYFUNCTION("""COMPUTED_VALUE"""),12109)</f>
        <v>12109</v>
      </c>
      <c r="AL300" s="8">
        <f ca="1">IFERROR(__xludf.DUMMYFUNCTION("""COMPUTED_VALUE"""),22215)</f>
        <v>22215</v>
      </c>
      <c r="AM300" s="8">
        <f ca="1">IFERROR(__xludf.DUMMYFUNCTION("""COMPUTED_VALUE"""),24703)</f>
        <v>24703</v>
      </c>
      <c r="AN300" s="8">
        <f ca="1">IFERROR(__xludf.DUMMYFUNCTION("""COMPUTED_VALUE"""),23155)</f>
        <v>23155</v>
      </c>
      <c r="AO300" s="8">
        <f ca="1">IFERROR(__xludf.DUMMYFUNCTION("""COMPUTED_VALUE"""),23881)</f>
        <v>23881</v>
      </c>
      <c r="AP300" s="8"/>
      <c r="AQ300" s="8"/>
      <c r="AR300" s="8"/>
      <c r="AS300" s="8"/>
      <c r="AT300" s="8"/>
      <c r="AU300" s="8"/>
      <c r="AV300" s="8"/>
      <c r="AW300" s="8"/>
      <c r="AX300" s="8"/>
      <c r="AY300" s="8"/>
    </row>
    <row r="301" spans="1:51" ht="13.2" x14ac:dyDescent="0.25">
      <c r="A301" s="12" t="str">
        <f ca="1">IFERROR(__xludf.DUMMYFUNCTION("""COMPUTED_VALUE"""),"               right Thalamus, sensory-motor cortex related")</f>
        <v xml:space="preserve">               right Thalamus, sensory-motor cortex related</v>
      </c>
      <c r="B301" s="12">
        <f ca="1">IFERROR(__xludf.DUMMYFUNCTION("""COMPUTED_VALUE"""),4814)</f>
        <v>4814</v>
      </c>
      <c r="C301" s="12">
        <f ca="1">IFERROR(__xludf.DUMMYFUNCTION("""COMPUTED_VALUE"""),13873)</f>
        <v>13873</v>
      </c>
      <c r="D301" s="12">
        <f ca="1">IFERROR(__xludf.DUMMYFUNCTION("""COMPUTED_VALUE"""),10623)</f>
        <v>10623</v>
      </c>
      <c r="E301" s="12">
        <f ca="1">IFERROR(__xludf.DUMMYFUNCTION("""COMPUTED_VALUE"""),5503)</f>
        <v>5503</v>
      </c>
      <c r="F301" s="12">
        <f ca="1">IFERROR(__xludf.DUMMYFUNCTION("""COMPUTED_VALUE"""),12139)</f>
        <v>12139</v>
      </c>
      <c r="G301" s="12">
        <f ca="1">IFERROR(__xludf.DUMMYFUNCTION("""COMPUTED_VALUE"""),5153)</f>
        <v>5153</v>
      </c>
      <c r="H301" s="12">
        <f ca="1">IFERROR(__xludf.DUMMYFUNCTION("""COMPUTED_VALUE"""),5363)</f>
        <v>5363</v>
      </c>
      <c r="I301" s="12">
        <f ca="1">IFERROR(__xludf.DUMMYFUNCTION("""COMPUTED_VALUE"""),6180)</f>
        <v>6180</v>
      </c>
      <c r="J301" s="12">
        <f ca="1">IFERROR(__xludf.DUMMYFUNCTION("""COMPUTED_VALUE"""),8110)</f>
        <v>8110</v>
      </c>
      <c r="K301" s="12">
        <f ca="1">IFERROR(__xludf.DUMMYFUNCTION("""COMPUTED_VALUE"""),4972)</f>
        <v>4972</v>
      </c>
      <c r="L301" s="12">
        <f ca="1">IFERROR(__xludf.DUMMYFUNCTION("""COMPUTED_VALUE"""),7896)</f>
        <v>7896</v>
      </c>
      <c r="M301" s="12">
        <f ca="1">IFERROR(__xludf.DUMMYFUNCTION("""COMPUTED_VALUE"""),8130)</f>
        <v>8130</v>
      </c>
      <c r="N301" s="12">
        <f ca="1">IFERROR(__xludf.DUMMYFUNCTION("""COMPUTED_VALUE"""),47107)</f>
        <v>47107</v>
      </c>
      <c r="O301" s="12">
        <f ca="1">IFERROR(__xludf.DUMMYFUNCTION("""COMPUTED_VALUE"""),5211)</f>
        <v>5211</v>
      </c>
      <c r="P301" s="12">
        <f ca="1">IFERROR(__xludf.DUMMYFUNCTION("""COMPUTED_VALUE"""),6526)</f>
        <v>6526</v>
      </c>
      <c r="Q301" s="12">
        <f ca="1">IFERROR(__xludf.DUMMYFUNCTION("""COMPUTED_VALUE"""),7776)</f>
        <v>7776</v>
      </c>
      <c r="R301" s="12">
        <f ca="1">IFERROR(__xludf.DUMMYFUNCTION("""COMPUTED_VALUE"""),4814)</f>
        <v>4814</v>
      </c>
      <c r="S301" s="12">
        <f ca="1">IFERROR(__xludf.DUMMYFUNCTION("""COMPUTED_VALUE"""),1799)</f>
        <v>1799</v>
      </c>
      <c r="T301" s="12">
        <f ca="1">IFERROR(__xludf.DUMMYFUNCTION("""COMPUTED_VALUE"""),14767)</f>
        <v>14767</v>
      </c>
      <c r="U301" s="12">
        <f ca="1">IFERROR(__xludf.DUMMYFUNCTION("""COMPUTED_VALUE"""),6032)</f>
        <v>6032</v>
      </c>
      <c r="V301" s="12">
        <f ca="1">IFERROR(__xludf.DUMMYFUNCTION("""COMPUTED_VALUE"""),11564)</f>
        <v>11564</v>
      </c>
      <c r="W301" s="12">
        <f ca="1">IFERROR(__xludf.DUMMYFUNCTION("""COMPUTED_VALUE"""),8907)</f>
        <v>8907</v>
      </c>
      <c r="X301" s="12">
        <f ca="1">IFERROR(__xludf.DUMMYFUNCTION("""COMPUTED_VALUE"""),24753)</f>
        <v>24753</v>
      </c>
      <c r="Y301" s="12">
        <f ca="1">IFERROR(__xludf.DUMMYFUNCTION("""COMPUTED_VALUE"""),5777)</f>
        <v>5777</v>
      </c>
      <c r="Z301" s="12">
        <f ca="1">IFERROR(__xludf.DUMMYFUNCTION("""COMPUTED_VALUE"""),19296)</f>
        <v>19296</v>
      </c>
      <c r="AA301" s="12">
        <f ca="1">IFERROR(__xludf.DUMMYFUNCTION("""COMPUTED_VALUE"""),10817)</f>
        <v>10817</v>
      </c>
      <c r="AB301" s="12">
        <f ca="1">IFERROR(__xludf.DUMMYFUNCTION("""COMPUTED_VALUE"""),6550)</f>
        <v>6550</v>
      </c>
      <c r="AC301" s="12">
        <f ca="1">IFERROR(__xludf.DUMMYFUNCTION("""COMPUTED_VALUE"""),7562)</f>
        <v>7562</v>
      </c>
      <c r="AD301" s="12">
        <f ca="1">IFERROR(__xludf.DUMMYFUNCTION("""COMPUTED_VALUE"""),5268)</f>
        <v>5268</v>
      </c>
      <c r="AE301" s="12">
        <f ca="1">IFERROR(__xludf.DUMMYFUNCTION("""COMPUTED_VALUE"""),6686)</f>
        <v>6686</v>
      </c>
      <c r="AF301" s="8">
        <f ca="1">IFERROR(__xludf.DUMMYFUNCTION("""COMPUTED_VALUE"""),18273)</f>
        <v>18273</v>
      </c>
      <c r="AG301" s="8">
        <f ca="1">IFERROR(__xludf.DUMMYFUNCTION("""COMPUTED_VALUE"""),4738)</f>
        <v>4738</v>
      </c>
      <c r="AH301" s="8">
        <f ca="1">IFERROR(__xludf.DUMMYFUNCTION("""COMPUTED_VALUE"""),6150)</f>
        <v>6150</v>
      </c>
      <c r="AI301" s="8">
        <f ca="1">IFERROR(__xludf.DUMMYFUNCTION("""COMPUTED_VALUE"""),5475)</f>
        <v>5475</v>
      </c>
      <c r="AJ301" s="8">
        <f ca="1">IFERROR(__xludf.DUMMYFUNCTION("""COMPUTED_VALUE"""),5335)</f>
        <v>5335</v>
      </c>
      <c r="AK301" s="8">
        <f ca="1">IFERROR(__xludf.DUMMYFUNCTION("""COMPUTED_VALUE"""),2815)</f>
        <v>2815</v>
      </c>
      <c r="AL301" s="8">
        <f ca="1">IFERROR(__xludf.DUMMYFUNCTION("""COMPUTED_VALUE"""),4571)</f>
        <v>4571</v>
      </c>
      <c r="AM301" s="8">
        <f ca="1">IFERROR(__xludf.DUMMYFUNCTION("""COMPUTED_VALUE"""),5228)</f>
        <v>5228</v>
      </c>
      <c r="AN301" s="8">
        <f ca="1">IFERROR(__xludf.DUMMYFUNCTION("""COMPUTED_VALUE"""),5864)</f>
        <v>5864</v>
      </c>
      <c r="AO301" s="8">
        <f ca="1">IFERROR(__xludf.DUMMYFUNCTION("""COMPUTED_VALUE"""),3310)</f>
        <v>3310</v>
      </c>
      <c r="AP301" s="8"/>
      <c r="AQ301" s="8"/>
      <c r="AR301" s="8"/>
      <c r="AS301" s="8"/>
      <c r="AT301" s="8"/>
      <c r="AU301" s="8"/>
      <c r="AV301" s="8"/>
      <c r="AW301" s="8"/>
      <c r="AX301" s="8"/>
      <c r="AY301" s="8"/>
    </row>
    <row r="302" spans="1:51" ht="13.2" x14ac:dyDescent="0.25">
      <c r="A302" s="12" t="str">
        <f ca="1">IFERROR(__xludf.DUMMYFUNCTION("""COMPUTED_VALUE"""),"                  right Ventral group of the dorsal thalamus")</f>
        <v xml:space="preserve">                  right Ventral group of the dorsal thalamus</v>
      </c>
      <c r="B302" s="12">
        <f ca="1">IFERROR(__xludf.DUMMYFUNCTION("""COMPUTED_VALUE"""),2060)</f>
        <v>2060</v>
      </c>
      <c r="C302" s="12">
        <f ca="1">IFERROR(__xludf.DUMMYFUNCTION("""COMPUTED_VALUE"""),5901)</f>
        <v>5901</v>
      </c>
      <c r="D302" s="12">
        <f ca="1">IFERROR(__xludf.DUMMYFUNCTION("""COMPUTED_VALUE"""),5041)</f>
        <v>5041</v>
      </c>
      <c r="E302" s="12">
        <f ca="1">IFERROR(__xludf.DUMMYFUNCTION("""COMPUTED_VALUE"""),2339)</f>
        <v>2339</v>
      </c>
      <c r="F302" s="12">
        <f ca="1">IFERROR(__xludf.DUMMYFUNCTION("""COMPUTED_VALUE"""),5144)</f>
        <v>5144</v>
      </c>
      <c r="G302" s="12">
        <f ca="1">IFERROR(__xludf.DUMMYFUNCTION("""COMPUTED_VALUE"""),2591)</f>
        <v>2591</v>
      </c>
      <c r="H302" s="12">
        <f ca="1">IFERROR(__xludf.DUMMYFUNCTION("""COMPUTED_VALUE"""),2847)</f>
        <v>2847</v>
      </c>
      <c r="I302" s="12">
        <f ca="1">IFERROR(__xludf.DUMMYFUNCTION("""COMPUTED_VALUE"""),3837)</f>
        <v>3837</v>
      </c>
      <c r="J302" s="12">
        <f ca="1">IFERROR(__xludf.DUMMYFUNCTION("""COMPUTED_VALUE"""),2738)</f>
        <v>2738</v>
      </c>
      <c r="K302" s="12">
        <f ca="1">IFERROR(__xludf.DUMMYFUNCTION("""COMPUTED_VALUE"""),2689)</f>
        <v>2689</v>
      </c>
      <c r="L302" s="12">
        <f ca="1">IFERROR(__xludf.DUMMYFUNCTION("""COMPUTED_VALUE"""),3509)</f>
        <v>3509</v>
      </c>
      <c r="M302" s="12">
        <f ca="1">IFERROR(__xludf.DUMMYFUNCTION("""COMPUTED_VALUE"""),4950)</f>
        <v>4950</v>
      </c>
      <c r="N302" s="12">
        <f ca="1">IFERROR(__xludf.DUMMYFUNCTION("""COMPUTED_VALUE"""),36796)</f>
        <v>36796</v>
      </c>
      <c r="O302" s="12">
        <f ca="1">IFERROR(__xludf.DUMMYFUNCTION("""COMPUTED_VALUE"""),2021)</f>
        <v>2021</v>
      </c>
      <c r="P302" s="12">
        <f ca="1">IFERROR(__xludf.DUMMYFUNCTION("""COMPUTED_VALUE"""),2823)</f>
        <v>2823</v>
      </c>
      <c r="Q302" s="12">
        <f ca="1">IFERROR(__xludf.DUMMYFUNCTION("""COMPUTED_VALUE"""),4003)</f>
        <v>4003</v>
      </c>
      <c r="R302" s="12">
        <f ca="1">IFERROR(__xludf.DUMMYFUNCTION("""COMPUTED_VALUE"""),1964)</f>
        <v>1964</v>
      </c>
      <c r="S302" s="12">
        <f ca="1">IFERROR(__xludf.DUMMYFUNCTION("""COMPUTED_VALUE"""),518)</f>
        <v>518</v>
      </c>
      <c r="T302" s="12">
        <f ca="1">IFERROR(__xludf.DUMMYFUNCTION("""COMPUTED_VALUE"""),5163)</f>
        <v>5163</v>
      </c>
      <c r="U302" s="12">
        <f ca="1">IFERROR(__xludf.DUMMYFUNCTION("""COMPUTED_VALUE"""),2655)</f>
        <v>2655</v>
      </c>
      <c r="V302" s="12">
        <f ca="1">IFERROR(__xludf.DUMMYFUNCTION("""COMPUTED_VALUE"""),7260)</f>
        <v>7260</v>
      </c>
      <c r="W302" s="12">
        <f ca="1">IFERROR(__xludf.DUMMYFUNCTION("""COMPUTED_VALUE"""),4769)</f>
        <v>4769</v>
      </c>
      <c r="X302" s="12">
        <f ca="1">IFERROR(__xludf.DUMMYFUNCTION("""COMPUTED_VALUE"""),13803)</f>
        <v>13803</v>
      </c>
      <c r="Y302" s="12">
        <f ca="1">IFERROR(__xludf.DUMMYFUNCTION("""COMPUTED_VALUE"""),1738)</f>
        <v>1738</v>
      </c>
      <c r="Z302" s="12">
        <f ca="1">IFERROR(__xludf.DUMMYFUNCTION("""COMPUTED_VALUE"""),9514)</f>
        <v>9514</v>
      </c>
      <c r="AA302" s="12">
        <f ca="1">IFERROR(__xludf.DUMMYFUNCTION("""COMPUTED_VALUE"""),7183)</f>
        <v>7183</v>
      </c>
      <c r="AB302" s="12">
        <f ca="1">IFERROR(__xludf.DUMMYFUNCTION("""COMPUTED_VALUE"""),2745)</f>
        <v>2745</v>
      </c>
      <c r="AC302" s="12">
        <f ca="1">IFERROR(__xludf.DUMMYFUNCTION("""COMPUTED_VALUE"""),3598)</f>
        <v>3598</v>
      </c>
      <c r="AD302" s="12">
        <f ca="1">IFERROR(__xludf.DUMMYFUNCTION("""COMPUTED_VALUE"""),2673)</f>
        <v>2673</v>
      </c>
      <c r="AE302" s="12">
        <f ca="1">IFERROR(__xludf.DUMMYFUNCTION("""COMPUTED_VALUE"""),3594)</f>
        <v>3594</v>
      </c>
      <c r="AF302" s="8">
        <f ca="1">IFERROR(__xludf.DUMMYFUNCTION("""COMPUTED_VALUE"""),9247)</f>
        <v>9247</v>
      </c>
      <c r="AG302" s="8">
        <f ca="1">IFERROR(__xludf.DUMMYFUNCTION("""COMPUTED_VALUE"""),3229)</f>
        <v>3229</v>
      </c>
      <c r="AH302" s="8">
        <f ca="1">IFERROR(__xludf.DUMMYFUNCTION("""COMPUTED_VALUE"""),3097)</f>
        <v>3097</v>
      </c>
      <c r="AI302" s="8">
        <f ca="1">IFERROR(__xludf.DUMMYFUNCTION("""COMPUTED_VALUE"""),3512)</f>
        <v>3512</v>
      </c>
      <c r="AJ302" s="8">
        <f ca="1">IFERROR(__xludf.DUMMYFUNCTION("""COMPUTED_VALUE"""),2087)</f>
        <v>2087</v>
      </c>
      <c r="AK302" s="8">
        <f ca="1">IFERROR(__xludf.DUMMYFUNCTION("""COMPUTED_VALUE"""),571)</f>
        <v>571</v>
      </c>
      <c r="AL302" s="8">
        <f ca="1">IFERROR(__xludf.DUMMYFUNCTION("""COMPUTED_VALUE"""),2405)</f>
        <v>2405</v>
      </c>
      <c r="AM302" s="8">
        <f ca="1">IFERROR(__xludf.DUMMYFUNCTION("""COMPUTED_VALUE"""),2511)</f>
        <v>2511</v>
      </c>
      <c r="AN302" s="8">
        <f ca="1">IFERROR(__xludf.DUMMYFUNCTION("""COMPUTED_VALUE"""),2633)</f>
        <v>2633</v>
      </c>
      <c r="AO302" s="8">
        <f ca="1">IFERROR(__xludf.DUMMYFUNCTION("""COMPUTED_VALUE"""),933)</f>
        <v>933</v>
      </c>
      <c r="AP302" s="8"/>
      <c r="AQ302" s="8"/>
      <c r="AR302" s="8"/>
      <c r="AS302" s="8"/>
      <c r="AT302" s="8"/>
      <c r="AU302" s="8"/>
      <c r="AV302" s="8"/>
      <c r="AW302" s="8"/>
      <c r="AX302" s="8"/>
      <c r="AY302" s="8"/>
    </row>
    <row r="303" spans="1:51" ht="13.2" x14ac:dyDescent="0.25">
      <c r="A303" s="12" t="str">
        <f ca="1">IFERROR(__xludf.DUMMYFUNCTION("""COMPUTED_VALUE"""),"               right Thalamus, polymodal association cortex related")</f>
        <v xml:space="preserve">               right Thalamus, polymodal association cortex related</v>
      </c>
      <c r="B303" s="12">
        <f ca="1">IFERROR(__xludf.DUMMYFUNCTION("""COMPUTED_VALUE"""),17514)</f>
        <v>17514</v>
      </c>
      <c r="C303" s="12">
        <f ca="1">IFERROR(__xludf.DUMMYFUNCTION("""COMPUTED_VALUE"""),38403)</f>
        <v>38403</v>
      </c>
      <c r="D303" s="12">
        <f ca="1">IFERROR(__xludf.DUMMYFUNCTION("""COMPUTED_VALUE"""),29557)</f>
        <v>29557</v>
      </c>
      <c r="E303" s="12">
        <f ca="1">IFERROR(__xludf.DUMMYFUNCTION("""COMPUTED_VALUE"""),23590)</f>
        <v>23590</v>
      </c>
      <c r="F303" s="12">
        <f ca="1">IFERROR(__xludf.DUMMYFUNCTION("""COMPUTED_VALUE"""),32917)</f>
        <v>32917</v>
      </c>
      <c r="G303" s="12">
        <f ca="1">IFERROR(__xludf.DUMMYFUNCTION("""COMPUTED_VALUE"""),16257)</f>
        <v>16257</v>
      </c>
      <c r="H303" s="12">
        <f ca="1">IFERROR(__xludf.DUMMYFUNCTION("""COMPUTED_VALUE"""),20307)</f>
        <v>20307</v>
      </c>
      <c r="I303" s="12">
        <f ca="1">IFERROR(__xludf.DUMMYFUNCTION("""COMPUTED_VALUE"""),20236)</f>
        <v>20236</v>
      </c>
      <c r="J303" s="12">
        <f ca="1">IFERROR(__xludf.DUMMYFUNCTION("""COMPUTED_VALUE"""),24048)</f>
        <v>24048</v>
      </c>
      <c r="K303" s="12">
        <f ca="1">IFERROR(__xludf.DUMMYFUNCTION("""COMPUTED_VALUE"""),20219)</f>
        <v>20219</v>
      </c>
      <c r="L303" s="12">
        <f ca="1">IFERROR(__xludf.DUMMYFUNCTION("""COMPUTED_VALUE"""),23381)</f>
        <v>23381</v>
      </c>
      <c r="M303" s="12">
        <f ca="1">IFERROR(__xludf.DUMMYFUNCTION("""COMPUTED_VALUE"""),28662)</f>
        <v>28662</v>
      </c>
      <c r="N303" s="12">
        <f ca="1">IFERROR(__xludf.DUMMYFUNCTION("""COMPUTED_VALUE"""),100643)</f>
        <v>100643</v>
      </c>
      <c r="O303" s="12">
        <f ca="1">IFERROR(__xludf.DUMMYFUNCTION("""COMPUTED_VALUE"""),22242)</f>
        <v>22242</v>
      </c>
      <c r="P303" s="12">
        <f ca="1">IFERROR(__xludf.DUMMYFUNCTION("""COMPUTED_VALUE"""),19982)</f>
        <v>19982</v>
      </c>
      <c r="Q303" s="12">
        <f ca="1">IFERROR(__xludf.DUMMYFUNCTION("""COMPUTED_VALUE"""),29451)</f>
        <v>29451</v>
      </c>
      <c r="R303" s="12">
        <f ca="1">IFERROR(__xludf.DUMMYFUNCTION("""COMPUTED_VALUE"""),19374)</f>
        <v>19374</v>
      </c>
      <c r="S303" s="12">
        <f ca="1">IFERROR(__xludf.DUMMYFUNCTION("""COMPUTED_VALUE"""),8796)</f>
        <v>8796</v>
      </c>
      <c r="T303" s="12">
        <f ca="1">IFERROR(__xludf.DUMMYFUNCTION("""COMPUTED_VALUE"""),23170)</f>
        <v>23170</v>
      </c>
      <c r="U303" s="12">
        <f ca="1">IFERROR(__xludf.DUMMYFUNCTION("""COMPUTED_VALUE"""),14202)</f>
        <v>14202</v>
      </c>
      <c r="V303" s="12">
        <f ca="1">IFERROR(__xludf.DUMMYFUNCTION("""COMPUTED_VALUE"""),24387)</f>
        <v>24387</v>
      </c>
      <c r="W303" s="12">
        <f ca="1">IFERROR(__xludf.DUMMYFUNCTION("""COMPUTED_VALUE"""),35756)</f>
        <v>35756</v>
      </c>
      <c r="X303" s="12">
        <f ca="1">IFERROR(__xludf.DUMMYFUNCTION("""COMPUTED_VALUE"""),67429)</f>
        <v>67429</v>
      </c>
      <c r="Y303" s="12">
        <f ca="1">IFERROR(__xludf.DUMMYFUNCTION("""COMPUTED_VALUE"""),24530)</f>
        <v>24530</v>
      </c>
      <c r="Z303" s="12">
        <f ca="1">IFERROR(__xludf.DUMMYFUNCTION("""COMPUTED_VALUE"""),36770)</f>
        <v>36770</v>
      </c>
      <c r="AA303" s="12">
        <f ca="1">IFERROR(__xludf.DUMMYFUNCTION("""COMPUTED_VALUE"""),31934)</f>
        <v>31934</v>
      </c>
      <c r="AB303" s="12">
        <f ca="1">IFERROR(__xludf.DUMMYFUNCTION("""COMPUTED_VALUE"""),19280)</f>
        <v>19280</v>
      </c>
      <c r="AC303" s="12">
        <f ca="1">IFERROR(__xludf.DUMMYFUNCTION("""COMPUTED_VALUE"""),24540)</f>
        <v>24540</v>
      </c>
      <c r="AD303" s="12">
        <f ca="1">IFERROR(__xludf.DUMMYFUNCTION("""COMPUTED_VALUE"""),17024)</f>
        <v>17024</v>
      </c>
      <c r="AE303" s="12">
        <f ca="1">IFERROR(__xludf.DUMMYFUNCTION("""COMPUTED_VALUE"""),18749)</f>
        <v>18749</v>
      </c>
      <c r="AF303" s="8">
        <f ca="1">IFERROR(__xludf.DUMMYFUNCTION("""COMPUTED_VALUE"""),35638)</f>
        <v>35638</v>
      </c>
      <c r="AG303" s="8">
        <f ca="1">IFERROR(__xludf.DUMMYFUNCTION("""COMPUTED_VALUE"""),15760)</f>
        <v>15760</v>
      </c>
      <c r="AH303" s="8">
        <f ca="1">IFERROR(__xludf.DUMMYFUNCTION("""COMPUTED_VALUE"""),27815)</f>
        <v>27815</v>
      </c>
      <c r="AI303" s="8">
        <f ca="1">IFERROR(__xludf.DUMMYFUNCTION("""COMPUTED_VALUE"""),24387)</f>
        <v>24387</v>
      </c>
      <c r="AJ303" s="8">
        <f ca="1">IFERROR(__xludf.DUMMYFUNCTION("""COMPUTED_VALUE"""),13032)</f>
        <v>13032</v>
      </c>
      <c r="AK303" s="8">
        <f ca="1">IFERROR(__xludf.DUMMYFUNCTION("""COMPUTED_VALUE"""),8757)</f>
        <v>8757</v>
      </c>
      <c r="AL303" s="8">
        <f ca="1">IFERROR(__xludf.DUMMYFUNCTION("""COMPUTED_VALUE"""),16082)</f>
        <v>16082</v>
      </c>
      <c r="AM303" s="8">
        <f ca="1">IFERROR(__xludf.DUMMYFUNCTION("""COMPUTED_VALUE"""),17934)</f>
        <v>17934</v>
      </c>
      <c r="AN303" s="8">
        <f ca="1">IFERROR(__xludf.DUMMYFUNCTION("""COMPUTED_VALUE"""),15529)</f>
        <v>15529</v>
      </c>
      <c r="AO303" s="8">
        <f ca="1">IFERROR(__xludf.DUMMYFUNCTION("""COMPUTED_VALUE"""),19336)</f>
        <v>19336</v>
      </c>
      <c r="AP303" s="8"/>
      <c r="AQ303" s="8"/>
      <c r="AR303" s="8"/>
      <c r="AS303" s="8"/>
      <c r="AT303" s="8"/>
      <c r="AU303" s="8"/>
      <c r="AV303" s="8"/>
      <c r="AW303" s="8"/>
      <c r="AX303" s="8"/>
      <c r="AY303" s="8"/>
    </row>
    <row r="304" spans="1:51" ht="13.2" x14ac:dyDescent="0.25">
      <c r="A304" s="12" t="str">
        <f ca="1">IFERROR(__xludf.DUMMYFUNCTION("""COMPUTED_VALUE"""),"            right Hypothalamus")</f>
        <v xml:space="preserve">            right Hypothalamus</v>
      </c>
      <c r="B304" s="12">
        <f ca="1">IFERROR(__xludf.DUMMYFUNCTION("""COMPUTED_VALUE"""),42585)</f>
        <v>42585</v>
      </c>
      <c r="C304" s="12">
        <f ca="1">IFERROR(__xludf.DUMMYFUNCTION("""COMPUTED_VALUE"""),64411)</f>
        <v>64411</v>
      </c>
      <c r="D304" s="12">
        <f ca="1">IFERROR(__xludf.DUMMYFUNCTION("""COMPUTED_VALUE"""),51981)</f>
        <v>51981</v>
      </c>
      <c r="E304" s="12">
        <f ca="1">IFERROR(__xludf.DUMMYFUNCTION("""COMPUTED_VALUE"""),51606)</f>
        <v>51606</v>
      </c>
      <c r="F304" s="12">
        <f ca="1">IFERROR(__xludf.DUMMYFUNCTION("""COMPUTED_VALUE"""),66967)</f>
        <v>66967</v>
      </c>
      <c r="G304" s="12">
        <f ca="1">IFERROR(__xludf.DUMMYFUNCTION("""COMPUTED_VALUE"""),26280)</f>
        <v>26280</v>
      </c>
      <c r="H304" s="12">
        <f ca="1">IFERROR(__xludf.DUMMYFUNCTION("""COMPUTED_VALUE"""),40322)</f>
        <v>40322</v>
      </c>
      <c r="I304" s="12">
        <f ca="1">IFERROR(__xludf.DUMMYFUNCTION("""COMPUTED_VALUE"""),27836)</f>
        <v>27836</v>
      </c>
      <c r="J304" s="12">
        <f ca="1">IFERROR(__xludf.DUMMYFUNCTION("""COMPUTED_VALUE"""),40834)</f>
        <v>40834</v>
      </c>
      <c r="K304" s="12">
        <f ca="1">IFERROR(__xludf.DUMMYFUNCTION("""COMPUTED_VALUE"""),39045)</f>
        <v>39045</v>
      </c>
      <c r="L304" s="12">
        <f ca="1">IFERROR(__xludf.DUMMYFUNCTION("""COMPUTED_VALUE"""),60849)</f>
        <v>60849</v>
      </c>
      <c r="M304" s="12">
        <f ca="1">IFERROR(__xludf.DUMMYFUNCTION("""COMPUTED_VALUE"""),60550)</f>
        <v>60550</v>
      </c>
      <c r="N304" s="12">
        <f ca="1">IFERROR(__xludf.DUMMYFUNCTION("""COMPUTED_VALUE"""),48742)</f>
        <v>48742</v>
      </c>
      <c r="O304" s="12">
        <f ca="1">IFERROR(__xludf.DUMMYFUNCTION("""COMPUTED_VALUE"""),50540)</f>
        <v>50540</v>
      </c>
      <c r="P304" s="12">
        <f ca="1">IFERROR(__xludf.DUMMYFUNCTION("""COMPUTED_VALUE"""),43554)</f>
        <v>43554</v>
      </c>
      <c r="Q304" s="12">
        <f ca="1">IFERROR(__xludf.DUMMYFUNCTION("""COMPUTED_VALUE"""),51615)</f>
        <v>51615</v>
      </c>
      <c r="R304" s="12">
        <f ca="1">IFERROR(__xludf.DUMMYFUNCTION("""COMPUTED_VALUE"""),41870)</f>
        <v>41870</v>
      </c>
      <c r="S304" s="12">
        <f ca="1">IFERROR(__xludf.DUMMYFUNCTION("""COMPUTED_VALUE"""),16556)</f>
        <v>16556</v>
      </c>
      <c r="T304" s="12">
        <f ca="1">IFERROR(__xludf.DUMMYFUNCTION("""COMPUTED_VALUE"""),52858)</f>
        <v>52858</v>
      </c>
      <c r="U304" s="12">
        <f ca="1">IFERROR(__xludf.DUMMYFUNCTION("""COMPUTED_VALUE"""),34394)</f>
        <v>34394</v>
      </c>
      <c r="V304" s="12">
        <f ca="1">IFERROR(__xludf.DUMMYFUNCTION("""COMPUTED_VALUE"""),41566)</f>
        <v>41566</v>
      </c>
      <c r="W304" s="12">
        <f ca="1">IFERROR(__xludf.DUMMYFUNCTION("""COMPUTED_VALUE"""),59380)</f>
        <v>59380</v>
      </c>
      <c r="X304" s="12">
        <f ca="1">IFERROR(__xludf.DUMMYFUNCTION("""COMPUTED_VALUE"""),152619)</f>
        <v>152619</v>
      </c>
      <c r="Y304" s="12">
        <f ca="1">IFERROR(__xludf.DUMMYFUNCTION("""COMPUTED_VALUE"""),40806)</f>
        <v>40806</v>
      </c>
      <c r="Z304" s="12">
        <f ca="1">IFERROR(__xludf.DUMMYFUNCTION("""COMPUTED_VALUE"""),94147)</f>
        <v>94147</v>
      </c>
      <c r="AA304" s="12">
        <f ca="1">IFERROR(__xludf.DUMMYFUNCTION("""COMPUTED_VALUE"""),68207)</f>
        <v>68207</v>
      </c>
      <c r="AB304" s="12">
        <f ca="1">IFERROR(__xludf.DUMMYFUNCTION("""COMPUTED_VALUE"""),38972)</f>
        <v>38972</v>
      </c>
      <c r="AC304" s="12">
        <f ca="1">IFERROR(__xludf.DUMMYFUNCTION("""COMPUTED_VALUE"""),28209)</f>
        <v>28209</v>
      </c>
      <c r="AD304" s="12">
        <f ca="1">IFERROR(__xludf.DUMMYFUNCTION("""COMPUTED_VALUE"""),52099)</f>
        <v>52099</v>
      </c>
      <c r="AE304" s="12">
        <f ca="1">IFERROR(__xludf.DUMMYFUNCTION("""COMPUTED_VALUE"""),80628)</f>
        <v>80628</v>
      </c>
      <c r="AF304" s="8">
        <f ca="1">IFERROR(__xludf.DUMMYFUNCTION("""COMPUTED_VALUE"""),112977)</f>
        <v>112977</v>
      </c>
      <c r="AG304" s="8">
        <f ca="1">IFERROR(__xludf.DUMMYFUNCTION("""COMPUTED_VALUE"""),40642)</f>
        <v>40642</v>
      </c>
      <c r="AH304" s="8">
        <f ca="1">IFERROR(__xludf.DUMMYFUNCTION("""COMPUTED_VALUE"""),93574)</f>
        <v>93574</v>
      </c>
      <c r="AI304" s="8">
        <f ca="1">IFERROR(__xludf.DUMMYFUNCTION("""COMPUTED_VALUE"""),59758)</f>
        <v>59758</v>
      </c>
      <c r="AJ304" s="8">
        <f ca="1">IFERROR(__xludf.DUMMYFUNCTION("""COMPUTED_VALUE"""),22986)</f>
        <v>22986</v>
      </c>
      <c r="AK304" s="8">
        <f ca="1">IFERROR(__xludf.DUMMYFUNCTION("""COMPUTED_VALUE"""),18417)</f>
        <v>18417</v>
      </c>
      <c r="AL304" s="8">
        <f ca="1">IFERROR(__xludf.DUMMYFUNCTION("""COMPUTED_VALUE"""),35903)</f>
        <v>35903</v>
      </c>
      <c r="AM304" s="8">
        <f ca="1">IFERROR(__xludf.DUMMYFUNCTION("""COMPUTED_VALUE"""),65951)</f>
        <v>65951</v>
      </c>
      <c r="AN304" s="8">
        <f ca="1">IFERROR(__xludf.DUMMYFUNCTION("""COMPUTED_VALUE"""),40064)</f>
        <v>40064</v>
      </c>
      <c r="AO304" s="8">
        <f ca="1">IFERROR(__xludf.DUMMYFUNCTION("""COMPUTED_VALUE"""),17507)</f>
        <v>17507</v>
      </c>
      <c r="AP304" s="8"/>
      <c r="AQ304" s="8"/>
      <c r="AR304" s="8"/>
      <c r="AS304" s="8"/>
      <c r="AT304" s="8"/>
      <c r="AU304" s="8"/>
      <c r="AV304" s="8"/>
      <c r="AW304" s="8"/>
      <c r="AX304" s="8"/>
      <c r="AY304" s="8"/>
    </row>
    <row r="305" spans="1:51" ht="13.2" x14ac:dyDescent="0.25">
      <c r="A305" s="12" t="str">
        <f ca="1">IFERROR(__xludf.DUMMYFUNCTION("""COMPUTED_VALUE"""),"               right Periventricular zone")</f>
        <v xml:space="preserve">               right Periventricular zone</v>
      </c>
      <c r="B305" s="12">
        <f ca="1">IFERROR(__xludf.DUMMYFUNCTION("""COMPUTED_VALUE"""),2015)</f>
        <v>2015</v>
      </c>
      <c r="C305" s="12">
        <f ca="1">IFERROR(__xludf.DUMMYFUNCTION("""COMPUTED_VALUE"""),3229)</f>
        <v>3229</v>
      </c>
      <c r="D305" s="12">
        <f ca="1">IFERROR(__xludf.DUMMYFUNCTION("""COMPUTED_VALUE"""),5176)</f>
        <v>5176</v>
      </c>
      <c r="E305" s="12">
        <f ca="1">IFERROR(__xludf.DUMMYFUNCTION("""COMPUTED_VALUE"""),3614)</f>
        <v>3614</v>
      </c>
      <c r="F305" s="12">
        <f ca="1">IFERROR(__xludf.DUMMYFUNCTION("""COMPUTED_VALUE"""),3575)</f>
        <v>3575</v>
      </c>
      <c r="G305" s="12">
        <f ca="1">IFERROR(__xludf.DUMMYFUNCTION("""COMPUTED_VALUE"""),2089)</f>
        <v>2089</v>
      </c>
      <c r="H305" s="12">
        <f ca="1">IFERROR(__xludf.DUMMYFUNCTION("""COMPUTED_VALUE"""),2094)</f>
        <v>2094</v>
      </c>
      <c r="I305" s="12">
        <f ca="1">IFERROR(__xludf.DUMMYFUNCTION("""COMPUTED_VALUE"""),1561)</f>
        <v>1561</v>
      </c>
      <c r="J305" s="12">
        <f ca="1">IFERROR(__xludf.DUMMYFUNCTION("""COMPUTED_VALUE"""),2521)</f>
        <v>2521</v>
      </c>
      <c r="K305" s="12">
        <f ca="1">IFERROR(__xludf.DUMMYFUNCTION("""COMPUTED_VALUE"""),2370)</f>
        <v>2370</v>
      </c>
      <c r="L305" s="12">
        <f ca="1">IFERROR(__xludf.DUMMYFUNCTION("""COMPUTED_VALUE"""),3653)</f>
        <v>3653</v>
      </c>
      <c r="M305" s="12">
        <f ca="1">IFERROR(__xludf.DUMMYFUNCTION("""COMPUTED_VALUE"""),2661)</f>
        <v>2661</v>
      </c>
      <c r="N305" s="12">
        <f ca="1">IFERROR(__xludf.DUMMYFUNCTION("""COMPUTED_VALUE"""),2099)</f>
        <v>2099</v>
      </c>
      <c r="O305" s="12">
        <f ca="1">IFERROR(__xludf.DUMMYFUNCTION("""COMPUTED_VALUE"""),3661)</f>
        <v>3661</v>
      </c>
      <c r="P305" s="12">
        <f ca="1">IFERROR(__xludf.DUMMYFUNCTION("""COMPUTED_VALUE"""),2604)</f>
        <v>2604</v>
      </c>
      <c r="Q305" s="12">
        <f ca="1">IFERROR(__xludf.DUMMYFUNCTION("""COMPUTED_VALUE"""),3023)</f>
        <v>3023</v>
      </c>
      <c r="R305" s="12">
        <f ca="1">IFERROR(__xludf.DUMMYFUNCTION("""COMPUTED_VALUE"""),2064)</f>
        <v>2064</v>
      </c>
      <c r="S305" s="12">
        <f ca="1">IFERROR(__xludf.DUMMYFUNCTION("""COMPUTED_VALUE"""),1532)</f>
        <v>1532</v>
      </c>
      <c r="T305" s="12">
        <f ca="1">IFERROR(__xludf.DUMMYFUNCTION("""COMPUTED_VALUE"""),2574)</f>
        <v>2574</v>
      </c>
      <c r="U305" s="12">
        <f ca="1">IFERROR(__xludf.DUMMYFUNCTION("""COMPUTED_VALUE"""),1891)</f>
        <v>1891</v>
      </c>
      <c r="V305" s="12">
        <f ca="1">IFERROR(__xludf.DUMMYFUNCTION("""COMPUTED_VALUE"""),3657)</f>
        <v>3657</v>
      </c>
      <c r="W305" s="12">
        <f ca="1">IFERROR(__xludf.DUMMYFUNCTION("""COMPUTED_VALUE"""),3849)</f>
        <v>3849</v>
      </c>
      <c r="X305" s="12">
        <f ca="1">IFERROR(__xludf.DUMMYFUNCTION("""COMPUTED_VALUE"""),11663)</f>
        <v>11663</v>
      </c>
      <c r="Y305" s="12">
        <f ca="1">IFERROR(__xludf.DUMMYFUNCTION("""COMPUTED_VALUE"""),1385)</f>
        <v>1385</v>
      </c>
      <c r="Z305" s="12">
        <f ca="1">IFERROR(__xludf.DUMMYFUNCTION("""COMPUTED_VALUE"""),5405)</f>
        <v>5405</v>
      </c>
      <c r="AA305" s="12">
        <f ca="1">IFERROR(__xludf.DUMMYFUNCTION("""COMPUTED_VALUE"""),2646)</f>
        <v>2646</v>
      </c>
      <c r="AB305" s="12">
        <f ca="1">IFERROR(__xludf.DUMMYFUNCTION("""COMPUTED_VALUE"""),2203)</f>
        <v>2203</v>
      </c>
      <c r="AC305" s="12">
        <f ca="1">IFERROR(__xludf.DUMMYFUNCTION("""COMPUTED_VALUE"""),922)</f>
        <v>922</v>
      </c>
      <c r="AD305" s="12">
        <f ca="1">IFERROR(__xludf.DUMMYFUNCTION("""COMPUTED_VALUE"""),4182)</f>
        <v>4182</v>
      </c>
      <c r="AE305" s="12">
        <f ca="1">IFERROR(__xludf.DUMMYFUNCTION("""COMPUTED_VALUE"""),5606)</f>
        <v>5606</v>
      </c>
      <c r="AF305" s="8">
        <f ca="1">IFERROR(__xludf.DUMMYFUNCTION("""COMPUTED_VALUE"""),6143)</f>
        <v>6143</v>
      </c>
      <c r="AG305" s="8">
        <f ca="1">IFERROR(__xludf.DUMMYFUNCTION("""COMPUTED_VALUE"""),2364)</f>
        <v>2364</v>
      </c>
      <c r="AH305" s="8">
        <f ca="1">IFERROR(__xludf.DUMMYFUNCTION("""COMPUTED_VALUE"""),2578)</f>
        <v>2578</v>
      </c>
      <c r="AI305" s="8">
        <f ca="1">IFERROR(__xludf.DUMMYFUNCTION("""COMPUTED_VALUE"""),3792)</f>
        <v>3792</v>
      </c>
      <c r="AJ305" s="8">
        <f ca="1">IFERROR(__xludf.DUMMYFUNCTION("""COMPUTED_VALUE"""),2162)</f>
        <v>2162</v>
      </c>
      <c r="AK305" s="8">
        <f ca="1">IFERROR(__xludf.DUMMYFUNCTION("""COMPUTED_VALUE"""),935)</f>
        <v>935</v>
      </c>
      <c r="AL305" s="8">
        <f ca="1">IFERROR(__xludf.DUMMYFUNCTION("""COMPUTED_VALUE"""),2204)</f>
        <v>2204</v>
      </c>
      <c r="AM305" s="8">
        <f ca="1">IFERROR(__xludf.DUMMYFUNCTION("""COMPUTED_VALUE"""),4767)</f>
        <v>4767</v>
      </c>
      <c r="AN305" s="8">
        <f ca="1">IFERROR(__xludf.DUMMYFUNCTION("""COMPUTED_VALUE"""),2338)</f>
        <v>2338</v>
      </c>
      <c r="AO305" s="8">
        <f ca="1">IFERROR(__xludf.DUMMYFUNCTION("""COMPUTED_VALUE"""),2401)</f>
        <v>2401</v>
      </c>
      <c r="AP305" s="8"/>
      <c r="AQ305" s="8"/>
      <c r="AR305" s="8"/>
      <c r="AS305" s="8"/>
      <c r="AT305" s="8"/>
      <c r="AU305" s="8"/>
      <c r="AV305" s="8"/>
      <c r="AW305" s="8"/>
      <c r="AX305" s="8"/>
      <c r="AY305" s="8"/>
    </row>
    <row r="306" spans="1:51" ht="13.2" x14ac:dyDescent="0.25">
      <c r="A306" s="12" t="str">
        <f ca="1">IFERROR(__xludf.DUMMYFUNCTION("""COMPUTED_VALUE"""),"               right Periventricular region")</f>
        <v xml:space="preserve">               right Periventricular region</v>
      </c>
      <c r="B306" s="12">
        <f ca="1">IFERROR(__xludf.DUMMYFUNCTION("""COMPUTED_VALUE"""),8350)</f>
        <v>8350</v>
      </c>
      <c r="C306" s="12">
        <f ca="1">IFERROR(__xludf.DUMMYFUNCTION("""COMPUTED_VALUE"""),10055)</f>
        <v>10055</v>
      </c>
      <c r="D306" s="12">
        <f ca="1">IFERROR(__xludf.DUMMYFUNCTION("""COMPUTED_VALUE"""),12081)</f>
        <v>12081</v>
      </c>
      <c r="E306" s="12">
        <f ca="1">IFERROR(__xludf.DUMMYFUNCTION("""COMPUTED_VALUE"""),11275)</f>
        <v>11275</v>
      </c>
      <c r="F306" s="12">
        <f ca="1">IFERROR(__xludf.DUMMYFUNCTION("""COMPUTED_VALUE"""),11679)</f>
        <v>11679</v>
      </c>
      <c r="G306" s="12">
        <f ca="1">IFERROR(__xludf.DUMMYFUNCTION("""COMPUTED_VALUE"""),4178)</f>
        <v>4178</v>
      </c>
      <c r="H306" s="12">
        <f ca="1">IFERROR(__xludf.DUMMYFUNCTION("""COMPUTED_VALUE"""),7081)</f>
        <v>7081</v>
      </c>
      <c r="I306" s="12">
        <f ca="1">IFERROR(__xludf.DUMMYFUNCTION("""COMPUTED_VALUE"""),4367)</f>
        <v>4367</v>
      </c>
      <c r="J306" s="12">
        <f ca="1">IFERROR(__xludf.DUMMYFUNCTION("""COMPUTED_VALUE"""),8696)</f>
        <v>8696</v>
      </c>
      <c r="K306" s="12">
        <f ca="1">IFERROR(__xludf.DUMMYFUNCTION("""COMPUTED_VALUE"""),6476)</f>
        <v>6476</v>
      </c>
      <c r="L306" s="12">
        <f ca="1">IFERROR(__xludf.DUMMYFUNCTION("""COMPUTED_VALUE"""),14272)</f>
        <v>14272</v>
      </c>
      <c r="M306" s="12">
        <f ca="1">IFERROR(__xludf.DUMMYFUNCTION("""COMPUTED_VALUE"""),9860)</f>
        <v>9860</v>
      </c>
      <c r="N306" s="12">
        <f ca="1">IFERROR(__xludf.DUMMYFUNCTION("""COMPUTED_VALUE"""),6808)</f>
        <v>6808</v>
      </c>
      <c r="O306" s="12">
        <f ca="1">IFERROR(__xludf.DUMMYFUNCTION("""COMPUTED_VALUE"""),8605)</f>
        <v>8605</v>
      </c>
      <c r="P306" s="12">
        <f ca="1">IFERROR(__xludf.DUMMYFUNCTION("""COMPUTED_VALUE"""),8993)</f>
        <v>8993</v>
      </c>
      <c r="Q306" s="12">
        <f ca="1">IFERROR(__xludf.DUMMYFUNCTION("""COMPUTED_VALUE"""),10342)</f>
        <v>10342</v>
      </c>
      <c r="R306" s="12">
        <f ca="1">IFERROR(__xludf.DUMMYFUNCTION("""COMPUTED_VALUE"""),7391)</f>
        <v>7391</v>
      </c>
      <c r="S306" s="12">
        <f ca="1">IFERROR(__xludf.DUMMYFUNCTION("""COMPUTED_VALUE"""),3829)</f>
        <v>3829</v>
      </c>
      <c r="T306" s="12">
        <f ca="1">IFERROR(__xludf.DUMMYFUNCTION("""COMPUTED_VALUE"""),8046)</f>
        <v>8046</v>
      </c>
      <c r="U306" s="12">
        <f ca="1">IFERROR(__xludf.DUMMYFUNCTION("""COMPUTED_VALUE"""),5104)</f>
        <v>5104</v>
      </c>
      <c r="V306" s="12">
        <f ca="1">IFERROR(__xludf.DUMMYFUNCTION("""COMPUTED_VALUE"""),5632)</f>
        <v>5632</v>
      </c>
      <c r="W306" s="12">
        <f ca="1">IFERROR(__xludf.DUMMYFUNCTION("""COMPUTED_VALUE"""),15118)</f>
        <v>15118</v>
      </c>
      <c r="X306" s="12">
        <f ca="1">IFERROR(__xludf.DUMMYFUNCTION("""COMPUTED_VALUE"""),29690)</f>
        <v>29690</v>
      </c>
      <c r="Y306" s="12">
        <f ca="1">IFERROR(__xludf.DUMMYFUNCTION("""COMPUTED_VALUE"""),8987)</f>
        <v>8987</v>
      </c>
      <c r="Z306" s="12">
        <f ca="1">IFERROR(__xludf.DUMMYFUNCTION("""COMPUTED_VALUE"""),15919)</f>
        <v>15919</v>
      </c>
      <c r="AA306" s="12">
        <f ca="1">IFERROR(__xludf.DUMMYFUNCTION("""COMPUTED_VALUE"""),11170)</f>
        <v>11170</v>
      </c>
      <c r="AB306" s="12">
        <f ca="1">IFERROR(__xludf.DUMMYFUNCTION("""COMPUTED_VALUE"""),6051)</f>
        <v>6051</v>
      </c>
      <c r="AC306" s="12">
        <f ca="1">IFERROR(__xludf.DUMMYFUNCTION("""COMPUTED_VALUE"""),4134)</f>
        <v>4134</v>
      </c>
      <c r="AD306" s="12">
        <f ca="1">IFERROR(__xludf.DUMMYFUNCTION("""COMPUTED_VALUE"""),10439)</f>
        <v>10439</v>
      </c>
      <c r="AE306" s="12">
        <f ca="1">IFERROR(__xludf.DUMMYFUNCTION("""COMPUTED_VALUE"""),12313)</f>
        <v>12313</v>
      </c>
      <c r="AF306" s="8">
        <f ca="1">IFERROR(__xludf.DUMMYFUNCTION("""COMPUTED_VALUE"""),16745)</f>
        <v>16745</v>
      </c>
      <c r="AG306" s="8">
        <f ca="1">IFERROR(__xludf.DUMMYFUNCTION("""COMPUTED_VALUE"""),6743)</f>
        <v>6743</v>
      </c>
      <c r="AH306" s="8">
        <f ca="1">IFERROR(__xludf.DUMMYFUNCTION("""COMPUTED_VALUE"""),17476)</f>
        <v>17476</v>
      </c>
      <c r="AI306" s="8">
        <f ca="1">IFERROR(__xludf.DUMMYFUNCTION("""COMPUTED_VALUE"""),13404)</f>
        <v>13404</v>
      </c>
      <c r="AJ306" s="8">
        <f ca="1">IFERROR(__xludf.DUMMYFUNCTION("""COMPUTED_VALUE"""),4625)</f>
        <v>4625</v>
      </c>
      <c r="AK306" s="8">
        <f ca="1">IFERROR(__xludf.DUMMYFUNCTION("""COMPUTED_VALUE"""),2557)</f>
        <v>2557</v>
      </c>
      <c r="AL306" s="8">
        <f ca="1">IFERROR(__xludf.DUMMYFUNCTION("""COMPUTED_VALUE"""),5320)</f>
        <v>5320</v>
      </c>
      <c r="AM306" s="8">
        <f ca="1">IFERROR(__xludf.DUMMYFUNCTION("""COMPUTED_VALUE"""),12472)</f>
        <v>12472</v>
      </c>
      <c r="AN306" s="8">
        <f ca="1">IFERROR(__xludf.DUMMYFUNCTION("""COMPUTED_VALUE"""),6079)</f>
        <v>6079</v>
      </c>
      <c r="AO306" s="8">
        <f ca="1">IFERROR(__xludf.DUMMYFUNCTION("""COMPUTED_VALUE"""),2544)</f>
        <v>2544</v>
      </c>
      <c r="AP306" s="8"/>
      <c r="AQ306" s="8"/>
      <c r="AR306" s="8"/>
      <c r="AS306" s="8"/>
      <c r="AT306" s="8"/>
      <c r="AU306" s="8"/>
      <c r="AV306" s="8"/>
      <c r="AW306" s="8"/>
      <c r="AX306" s="8"/>
      <c r="AY306" s="8"/>
    </row>
    <row r="307" spans="1:51" ht="13.2" x14ac:dyDescent="0.25">
      <c r="A307" s="12" t="str">
        <f ca="1">IFERROR(__xludf.DUMMYFUNCTION("""COMPUTED_VALUE"""),"               right Hypothalamic medial zone")</f>
        <v xml:space="preserve">               right Hypothalamic medial zone</v>
      </c>
      <c r="B307" s="12">
        <f ca="1">IFERROR(__xludf.DUMMYFUNCTION("""COMPUTED_VALUE"""),12351)</f>
        <v>12351</v>
      </c>
      <c r="C307" s="12">
        <f ca="1">IFERROR(__xludf.DUMMYFUNCTION("""COMPUTED_VALUE"""),19181)</f>
        <v>19181</v>
      </c>
      <c r="D307" s="12">
        <f ca="1">IFERROR(__xludf.DUMMYFUNCTION("""COMPUTED_VALUE"""),12842)</f>
        <v>12842</v>
      </c>
      <c r="E307" s="12">
        <f ca="1">IFERROR(__xludf.DUMMYFUNCTION("""COMPUTED_VALUE"""),14468)</f>
        <v>14468</v>
      </c>
      <c r="F307" s="12">
        <f ca="1">IFERROR(__xludf.DUMMYFUNCTION("""COMPUTED_VALUE"""),20395)</f>
        <v>20395</v>
      </c>
      <c r="G307" s="12">
        <f ca="1">IFERROR(__xludf.DUMMYFUNCTION("""COMPUTED_VALUE"""),8475)</f>
        <v>8475</v>
      </c>
      <c r="H307" s="12">
        <f ca="1">IFERROR(__xludf.DUMMYFUNCTION("""COMPUTED_VALUE"""),11515)</f>
        <v>11515</v>
      </c>
      <c r="I307" s="12">
        <f ca="1">IFERROR(__xludf.DUMMYFUNCTION("""COMPUTED_VALUE"""),6788)</f>
        <v>6788</v>
      </c>
      <c r="J307" s="12">
        <f ca="1">IFERROR(__xludf.DUMMYFUNCTION("""COMPUTED_VALUE"""),10152)</f>
        <v>10152</v>
      </c>
      <c r="K307" s="12">
        <f ca="1">IFERROR(__xludf.DUMMYFUNCTION("""COMPUTED_VALUE"""),10596)</f>
        <v>10596</v>
      </c>
      <c r="L307" s="12">
        <f ca="1">IFERROR(__xludf.DUMMYFUNCTION("""COMPUTED_VALUE"""),16112)</f>
        <v>16112</v>
      </c>
      <c r="M307" s="12">
        <f ca="1">IFERROR(__xludf.DUMMYFUNCTION("""COMPUTED_VALUE"""),17353)</f>
        <v>17353</v>
      </c>
      <c r="N307" s="12">
        <f ca="1">IFERROR(__xludf.DUMMYFUNCTION("""COMPUTED_VALUE"""),11750)</f>
        <v>11750</v>
      </c>
      <c r="O307" s="12">
        <f ca="1">IFERROR(__xludf.DUMMYFUNCTION("""COMPUTED_VALUE"""),15307)</f>
        <v>15307</v>
      </c>
      <c r="P307" s="12">
        <f ca="1">IFERROR(__xludf.DUMMYFUNCTION("""COMPUTED_VALUE"""),11609)</f>
        <v>11609</v>
      </c>
      <c r="Q307" s="12">
        <f ca="1">IFERROR(__xludf.DUMMYFUNCTION("""COMPUTED_VALUE"""),13427)</f>
        <v>13427</v>
      </c>
      <c r="R307" s="12">
        <f ca="1">IFERROR(__xludf.DUMMYFUNCTION("""COMPUTED_VALUE"""),10690)</f>
        <v>10690</v>
      </c>
      <c r="S307" s="12">
        <f ca="1">IFERROR(__xludf.DUMMYFUNCTION("""COMPUTED_VALUE"""),4887)</f>
        <v>4887</v>
      </c>
      <c r="T307" s="12">
        <f ca="1">IFERROR(__xludf.DUMMYFUNCTION("""COMPUTED_VALUE"""),11769)</f>
        <v>11769</v>
      </c>
      <c r="U307" s="12">
        <f ca="1">IFERROR(__xludf.DUMMYFUNCTION("""COMPUTED_VALUE"""),9209)</f>
        <v>9209</v>
      </c>
      <c r="V307" s="12">
        <f ca="1">IFERROR(__xludf.DUMMYFUNCTION("""COMPUTED_VALUE"""),12034)</f>
        <v>12034</v>
      </c>
      <c r="W307" s="12">
        <f ca="1">IFERROR(__xludf.DUMMYFUNCTION("""COMPUTED_VALUE"""),12553)</f>
        <v>12553</v>
      </c>
      <c r="X307" s="12">
        <f ca="1">IFERROR(__xludf.DUMMYFUNCTION("""COMPUTED_VALUE"""),40346)</f>
        <v>40346</v>
      </c>
      <c r="Y307" s="12">
        <f ca="1">IFERROR(__xludf.DUMMYFUNCTION("""COMPUTED_VALUE"""),10841)</f>
        <v>10841</v>
      </c>
      <c r="Z307" s="12">
        <f ca="1">IFERROR(__xludf.DUMMYFUNCTION("""COMPUTED_VALUE"""),26243)</f>
        <v>26243</v>
      </c>
      <c r="AA307" s="12">
        <f ca="1">IFERROR(__xludf.DUMMYFUNCTION("""COMPUTED_VALUE"""),20711)</f>
        <v>20711</v>
      </c>
      <c r="AB307" s="12">
        <f ca="1">IFERROR(__xludf.DUMMYFUNCTION("""COMPUTED_VALUE"""),10287)</f>
        <v>10287</v>
      </c>
      <c r="AC307" s="12">
        <f ca="1">IFERROR(__xludf.DUMMYFUNCTION("""COMPUTED_VALUE"""),8042)</f>
        <v>8042</v>
      </c>
      <c r="AD307" s="12">
        <f ca="1">IFERROR(__xludf.DUMMYFUNCTION("""COMPUTED_VALUE"""),13901)</f>
        <v>13901</v>
      </c>
      <c r="AE307" s="12">
        <f ca="1">IFERROR(__xludf.DUMMYFUNCTION("""COMPUTED_VALUE"""),27031)</f>
        <v>27031</v>
      </c>
      <c r="AF307" s="8">
        <f ca="1">IFERROR(__xludf.DUMMYFUNCTION("""COMPUTED_VALUE"""),33225)</f>
        <v>33225</v>
      </c>
      <c r="AG307" s="8">
        <f ca="1">IFERROR(__xludf.DUMMYFUNCTION("""COMPUTED_VALUE"""),11419)</f>
        <v>11419</v>
      </c>
      <c r="AH307" s="8">
        <f ca="1">IFERROR(__xludf.DUMMYFUNCTION("""COMPUTED_VALUE"""),29801)</f>
        <v>29801</v>
      </c>
      <c r="AI307" s="8">
        <f ca="1">IFERROR(__xludf.DUMMYFUNCTION("""COMPUTED_VALUE"""),16201)</f>
        <v>16201</v>
      </c>
      <c r="AJ307" s="8">
        <f ca="1">IFERROR(__xludf.DUMMYFUNCTION("""COMPUTED_VALUE"""),6319)</f>
        <v>6319</v>
      </c>
      <c r="AK307" s="8">
        <f ca="1">IFERROR(__xludf.DUMMYFUNCTION("""COMPUTED_VALUE"""),6829)</f>
        <v>6829</v>
      </c>
      <c r="AL307" s="8">
        <f ca="1">IFERROR(__xludf.DUMMYFUNCTION("""COMPUTED_VALUE"""),9446)</f>
        <v>9446</v>
      </c>
      <c r="AM307" s="8">
        <f ca="1">IFERROR(__xludf.DUMMYFUNCTION("""COMPUTED_VALUE"""),19357)</f>
        <v>19357</v>
      </c>
      <c r="AN307" s="8">
        <f ca="1">IFERROR(__xludf.DUMMYFUNCTION("""COMPUTED_VALUE"""),11321)</f>
        <v>11321</v>
      </c>
      <c r="AO307" s="8">
        <f ca="1">IFERROR(__xludf.DUMMYFUNCTION("""COMPUTED_VALUE"""),4681)</f>
        <v>4681</v>
      </c>
      <c r="AP307" s="8"/>
      <c r="AQ307" s="8"/>
      <c r="AR307" s="8"/>
      <c r="AS307" s="8"/>
      <c r="AT307" s="8"/>
      <c r="AU307" s="8"/>
      <c r="AV307" s="8"/>
      <c r="AW307" s="8"/>
      <c r="AX307" s="8"/>
      <c r="AY307" s="8"/>
    </row>
    <row r="308" spans="1:51" ht="13.2" x14ac:dyDescent="0.25">
      <c r="A308" s="12" t="str">
        <f ca="1">IFERROR(__xludf.DUMMYFUNCTION("""COMPUTED_VALUE"""),"               right Hypothalamic lateral zone")</f>
        <v xml:space="preserve">               right Hypothalamic lateral zone</v>
      </c>
      <c r="B308" s="12">
        <f ca="1">IFERROR(__xludf.DUMMYFUNCTION("""COMPUTED_VALUE"""),11327)</f>
        <v>11327</v>
      </c>
      <c r="C308" s="12">
        <f ca="1">IFERROR(__xludf.DUMMYFUNCTION("""COMPUTED_VALUE"""),18496)</f>
        <v>18496</v>
      </c>
      <c r="D308" s="12">
        <f ca="1">IFERROR(__xludf.DUMMYFUNCTION("""COMPUTED_VALUE"""),11447)</f>
        <v>11447</v>
      </c>
      <c r="E308" s="12">
        <f ca="1">IFERROR(__xludf.DUMMYFUNCTION("""COMPUTED_VALUE"""),11656)</f>
        <v>11656</v>
      </c>
      <c r="F308" s="12">
        <f ca="1">IFERROR(__xludf.DUMMYFUNCTION("""COMPUTED_VALUE"""),16928)</f>
        <v>16928</v>
      </c>
      <c r="G308" s="12">
        <f ca="1">IFERROR(__xludf.DUMMYFUNCTION("""COMPUTED_VALUE"""),6231)</f>
        <v>6231</v>
      </c>
      <c r="H308" s="12">
        <f ca="1">IFERROR(__xludf.DUMMYFUNCTION("""COMPUTED_VALUE"""),11360)</f>
        <v>11360</v>
      </c>
      <c r="I308" s="12">
        <f ca="1">IFERROR(__xludf.DUMMYFUNCTION("""COMPUTED_VALUE"""),9328)</f>
        <v>9328</v>
      </c>
      <c r="J308" s="12">
        <f ca="1">IFERROR(__xludf.DUMMYFUNCTION("""COMPUTED_VALUE"""),10604)</f>
        <v>10604</v>
      </c>
      <c r="K308" s="12">
        <f ca="1">IFERROR(__xludf.DUMMYFUNCTION("""COMPUTED_VALUE"""),11710)</f>
        <v>11710</v>
      </c>
      <c r="L308" s="12">
        <f ca="1">IFERROR(__xludf.DUMMYFUNCTION("""COMPUTED_VALUE"""),14761)</f>
        <v>14761</v>
      </c>
      <c r="M308" s="12">
        <f ca="1">IFERROR(__xludf.DUMMYFUNCTION("""COMPUTED_VALUE"""),17590)</f>
        <v>17590</v>
      </c>
      <c r="N308" s="12">
        <f ca="1">IFERROR(__xludf.DUMMYFUNCTION("""COMPUTED_VALUE"""),19278)</f>
        <v>19278</v>
      </c>
      <c r="O308" s="12">
        <f ca="1">IFERROR(__xludf.DUMMYFUNCTION("""COMPUTED_VALUE"""),12292)</f>
        <v>12292</v>
      </c>
      <c r="P308" s="12">
        <f ca="1">IFERROR(__xludf.DUMMYFUNCTION("""COMPUTED_VALUE"""),11805)</f>
        <v>11805</v>
      </c>
      <c r="Q308" s="12">
        <f ca="1">IFERROR(__xludf.DUMMYFUNCTION("""COMPUTED_VALUE"""),13599)</f>
        <v>13599</v>
      </c>
      <c r="R308" s="12">
        <f ca="1">IFERROR(__xludf.DUMMYFUNCTION("""COMPUTED_VALUE"""),12640)</f>
        <v>12640</v>
      </c>
      <c r="S308" s="12">
        <f ca="1">IFERROR(__xludf.DUMMYFUNCTION("""COMPUTED_VALUE"""),2762)</f>
        <v>2762</v>
      </c>
      <c r="T308" s="12">
        <f ca="1">IFERROR(__xludf.DUMMYFUNCTION("""COMPUTED_VALUE"""),18179)</f>
        <v>18179</v>
      </c>
      <c r="U308" s="12">
        <f ca="1">IFERROR(__xludf.DUMMYFUNCTION("""COMPUTED_VALUE"""),10294)</f>
        <v>10294</v>
      </c>
      <c r="V308" s="12">
        <f ca="1">IFERROR(__xludf.DUMMYFUNCTION("""COMPUTED_VALUE"""),11872)</f>
        <v>11872</v>
      </c>
      <c r="W308" s="12">
        <f ca="1">IFERROR(__xludf.DUMMYFUNCTION("""COMPUTED_VALUE"""),14786)</f>
        <v>14786</v>
      </c>
      <c r="X308" s="12">
        <f ca="1">IFERROR(__xludf.DUMMYFUNCTION("""COMPUTED_VALUE"""),40916)</f>
        <v>40916</v>
      </c>
      <c r="Y308" s="12">
        <f ca="1">IFERROR(__xludf.DUMMYFUNCTION("""COMPUTED_VALUE"""),10133)</f>
        <v>10133</v>
      </c>
      <c r="Z308" s="12">
        <f ca="1">IFERROR(__xludf.DUMMYFUNCTION("""COMPUTED_VALUE"""),26870)</f>
        <v>26870</v>
      </c>
      <c r="AA308" s="12">
        <f ca="1">IFERROR(__xludf.DUMMYFUNCTION("""COMPUTED_VALUE"""),19253)</f>
        <v>19253</v>
      </c>
      <c r="AB308" s="12">
        <f ca="1">IFERROR(__xludf.DUMMYFUNCTION("""COMPUTED_VALUE"""),11689)</f>
        <v>11689</v>
      </c>
      <c r="AC308" s="12">
        <f ca="1">IFERROR(__xludf.DUMMYFUNCTION("""COMPUTED_VALUE"""),9255)</f>
        <v>9255</v>
      </c>
      <c r="AD308" s="12">
        <f ca="1">IFERROR(__xludf.DUMMYFUNCTION("""COMPUTED_VALUE"""),13043)</f>
        <v>13043</v>
      </c>
      <c r="AE308" s="12">
        <f ca="1">IFERROR(__xludf.DUMMYFUNCTION("""COMPUTED_VALUE"""),18316)</f>
        <v>18316</v>
      </c>
      <c r="AF308" s="8">
        <f ca="1">IFERROR(__xludf.DUMMYFUNCTION("""COMPUTED_VALUE"""),32878)</f>
        <v>32878</v>
      </c>
      <c r="AG308" s="8">
        <f ca="1">IFERROR(__xludf.DUMMYFUNCTION("""COMPUTED_VALUE"""),11432)</f>
        <v>11432</v>
      </c>
      <c r="AH308" s="8">
        <f ca="1">IFERROR(__xludf.DUMMYFUNCTION("""COMPUTED_VALUE"""),23085)</f>
        <v>23085</v>
      </c>
      <c r="AI308" s="8">
        <f ca="1">IFERROR(__xludf.DUMMYFUNCTION("""COMPUTED_VALUE"""),13130)</f>
        <v>13130</v>
      </c>
      <c r="AJ308" s="8">
        <f ca="1">IFERROR(__xludf.DUMMYFUNCTION("""COMPUTED_VALUE"""),5508)</f>
        <v>5508</v>
      </c>
      <c r="AK308" s="8">
        <f ca="1">IFERROR(__xludf.DUMMYFUNCTION("""COMPUTED_VALUE"""),4279)</f>
        <v>4279</v>
      </c>
      <c r="AL308" s="8">
        <f ca="1">IFERROR(__xludf.DUMMYFUNCTION("""COMPUTED_VALUE"""),11214)</f>
        <v>11214</v>
      </c>
      <c r="AM308" s="8">
        <f ca="1">IFERROR(__xludf.DUMMYFUNCTION("""COMPUTED_VALUE"""),14931)</f>
        <v>14931</v>
      </c>
      <c r="AN308" s="8">
        <f ca="1">IFERROR(__xludf.DUMMYFUNCTION("""COMPUTED_VALUE"""),11568)</f>
        <v>11568</v>
      </c>
      <c r="AO308" s="8">
        <f ca="1">IFERROR(__xludf.DUMMYFUNCTION("""COMPUTED_VALUE"""),4837)</f>
        <v>4837</v>
      </c>
      <c r="AP308" s="8"/>
      <c r="AQ308" s="8"/>
      <c r="AR308" s="8"/>
      <c r="AS308" s="8"/>
      <c r="AT308" s="8"/>
      <c r="AU308" s="8"/>
      <c r="AV308" s="8"/>
      <c r="AW308" s="8"/>
      <c r="AX308" s="8"/>
      <c r="AY308" s="8"/>
    </row>
    <row r="309" spans="1:51" ht="13.2" x14ac:dyDescent="0.25">
      <c r="A309" s="12" t="str">
        <f ca="1">IFERROR(__xludf.DUMMYFUNCTION("""COMPUTED_VALUE"""),"         right Midbrain")</f>
        <v xml:space="preserve">         right Midbrain</v>
      </c>
      <c r="B309" s="12">
        <f ca="1">IFERROR(__xludf.DUMMYFUNCTION("""COMPUTED_VALUE"""),54617)</f>
        <v>54617</v>
      </c>
      <c r="C309" s="12">
        <f ca="1">IFERROR(__xludf.DUMMYFUNCTION("""COMPUTED_VALUE"""),142432)</f>
        <v>142432</v>
      </c>
      <c r="D309" s="12">
        <f ca="1">IFERROR(__xludf.DUMMYFUNCTION("""COMPUTED_VALUE"""),134493)</f>
        <v>134493</v>
      </c>
      <c r="E309" s="12">
        <f ca="1">IFERROR(__xludf.DUMMYFUNCTION("""COMPUTED_VALUE"""),70552)</f>
        <v>70552</v>
      </c>
      <c r="F309" s="12">
        <f ca="1">IFERROR(__xludf.DUMMYFUNCTION("""COMPUTED_VALUE"""),149440)</f>
        <v>149440</v>
      </c>
      <c r="G309" s="12">
        <f ca="1">IFERROR(__xludf.DUMMYFUNCTION("""COMPUTED_VALUE"""),71128)</f>
        <v>71128</v>
      </c>
      <c r="H309" s="12">
        <f ca="1">IFERROR(__xludf.DUMMYFUNCTION("""COMPUTED_VALUE"""),67053)</f>
        <v>67053</v>
      </c>
      <c r="I309" s="12">
        <f ca="1">IFERROR(__xludf.DUMMYFUNCTION("""COMPUTED_VALUE"""),55712)</f>
        <v>55712</v>
      </c>
      <c r="J309" s="12">
        <f ca="1">IFERROR(__xludf.DUMMYFUNCTION("""COMPUTED_VALUE"""),67266)</f>
        <v>67266</v>
      </c>
      <c r="K309" s="12">
        <f ca="1">IFERROR(__xludf.DUMMYFUNCTION("""COMPUTED_VALUE"""),83298)</f>
        <v>83298</v>
      </c>
      <c r="L309" s="12">
        <f ca="1">IFERROR(__xludf.DUMMYFUNCTION("""COMPUTED_VALUE"""),108334)</f>
        <v>108334</v>
      </c>
      <c r="M309" s="12">
        <f ca="1">IFERROR(__xludf.DUMMYFUNCTION("""COMPUTED_VALUE"""),143277)</f>
        <v>143277</v>
      </c>
      <c r="N309" s="12">
        <f ca="1">IFERROR(__xludf.DUMMYFUNCTION("""COMPUTED_VALUE"""),125713)</f>
        <v>125713</v>
      </c>
      <c r="O309" s="12">
        <f ca="1">IFERROR(__xludf.DUMMYFUNCTION("""COMPUTED_VALUE"""),123203)</f>
        <v>123203</v>
      </c>
      <c r="P309" s="12">
        <f ca="1">IFERROR(__xludf.DUMMYFUNCTION("""COMPUTED_VALUE"""),82544)</f>
        <v>82544</v>
      </c>
      <c r="Q309" s="12">
        <f ca="1">IFERROR(__xludf.DUMMYFUNCTION("""COMPUTED_VALUE"""),74957)</f>
        <v>74957</v>
      </c>
      <c r="R309" s="12">
        <f ca="1">IFERROR(__xludf.DUMMYFUNCTION("""COMPUTED_VALUE"""),51645)</f>
        <v>51645</v>
      </c>
      <c r="S309" s="12">
        <f ca="1">IFERROR(__xludf.DUMMYFUNCTION("""COMPUTED_VALUE"""),50456)</f>
        <v>50456</v>
      </c>
      <c r="T309" s="12">
        <f ca="1">IFERROR(__xludf.DUMMYFUNCTION("""COMPUTED_VALUE"""),72275)</f>
        <v>72275</v>
      </c>
      <c r="U309" s="12">
        <f ca="1">IFERROR(__xludf.DUMMYFUNCTION("""COMPUTED_VALUE"""),92063)</f>
        <v>92063</v>
      </c>
      <c r="V309" s="12">
        <f ca="1">IFERROR(__xludf.DUMMYFUNCTION("""COMPUTED_VALUE"""),111977)</f>
        <v>111977</v>
      </c>
      <c r="W309" s="12">
        <f ca="1">IFERROR(__xludf.DUMMYFUNCTION("""COMPUTED_VALUE"""),92209)</f>
        <v>92209</v>
      </c>
      <c r="X309" s="12">
        <f ca="1">IFERROR(__xludf.DUMMYFUNCTION("""COMPUTED_VALUE"""),217132)</f>
        <v>217132</v>
      </c>
      <c r="Y309" s="12">
        <f ca="1">IFERROR(__xludf.DUMMYFUNCTION("""COMPUTED_VALUE"""),111435)</f>
        <v>111435</v>
      </c>
      <c r="Z309" s="12">
        <f ca="1">IFERROR(__xludf.DUMMYFUNCTION("""COMPUTED_VALUE"""),178806)</f>
        <v>178806</v>
      </c>
      <c r="AA309" s="12">
        <f ca="1">IFERROR(__xludf.DUMMYFUNCTION("""COMPUTED_VALUE"""),102760)</f>
        <v>102760</v>
      </c>
      <c r="AB309" s="12">
        <f ca="1">IFERROR(__xludf.DUMMYFUNCTION("""COMPUTED_VALUE"""),70277)</f>
        <v>70277</v>
      </c>
      <c r="AC309" s="12">
        <f ca="1">IFERROR(__xludf.DUMMYFUNCTION("""COMPUTED_VALUE"""),100819)</f>
        <v>100819</v>
      </c>
      <c r="AD309" s="12">
        <f ca="1">IFERROR(__xludf.DUMMYFUNCTION("""COMPUTED_VALUE"""),88931)</f>
        <v>88931</v>
      </c>
      <c r="AE309" s="12">
        <f ca="1">IFERROR(__xludf.DUMMYFUNCTION("""COMPUTED_VALUE"""),135963)</f>
        <v>135963</v>
      </c>
      <c r="AF309" s="8">
        <f ca="1">IFERROR(__xludf.DUMMYFUNCTION("""COMPUTED_VALUE"""),173645)</f>
        <v>173645</v>
      </c>
      <c r="AG309" s="8">
        <f ca="1">IFERROR(__xludf.DUMMYFUNCTION("""COMPUTED_VALUE"""),53597)</f>
        <v>53597</v>
      </c>
      <c r="AH309" s="8">
        <f ca="1">IFERROR(__xludf.DUMMYFUNCTION("""COMPUTED_VALUE"""),98887)</f>
        <v>98887</v>
      </c>
      <c r="AI309" s="8">
        <f ca="1">IFERROR(__xludf.DUMMYFUNCTION("""COMPUTED_VALUE"""),60457)</f>
        <v>60457</v>
      </c>
      <c r="AJ309" s="8">
        <f ca="1">IFERROR(__xludf.DUMMYFUNCTION("""COMPUTED_VALUE"""),69936)</f>
        <v>69936</v>
      </c>
      <c r="AK309" s="8">
        <f ca="1">IFERROR(__xludf.DUMMYFUNCTION("""COMPUTED_VALUE"""),68090)</f>
        <v>68090</v>
      </c>
      <c r="AL309" s="8">
        <f ca="1">IFERROR(__xludf.DUMMYFUNCTION("""COMPUTED_VALUE"""),45004)</f>
        <v>45004</v>
      </c>
      <c r="AM309" s="8">
        <f ca="1">IFERROR(__xludf.DUMMYFUNCTION("""COMPUTED_VALUE"""),51143)</f>
        <v>51143</v>
      </c>
      <c r="AN309" s="8">
        <f ca="1">IFERROR(__xludf.DUMMYFUNCTION("""COMPUTED_VALUE"""),62349)</f>
        <v>62349</v>
      </c>
      <c r="AO309" s="8">
        <f ca="1">IFERROR(__xludf.DUMMYFUNCTION("""COMPUTED_VALUE"""),75813)</f>
        <v>75813</v>
      </c>
      <c r="AP309" s="8"/>
      <c r="AQ309" s="8"/>
      <c r="AR309" s="8"/>
      <c r="AS309" s="8"/>
      <c r="AT309" s="8"/>
      <c r="AU309" s="8"/>
      <c r="AV309" s="8"/>
      <c r="AW309" s="8"/>
      <c r="AX309" s="8"/>
      <c r="AY309" s="8"/>
    </row>
    <row r="310" spans="1:51" ht="13.2" x14ac:dyDescent="0.25">
      <c r="A310" s="12" t="str">
        <f ca="1">IFERROR(__xludf.DUMMYFUNCTION("""COMPUTED_VALUE"""),"            right Midbrain, sensory related")</f>
        <v xml:space="preserve">            right Midbrain, sensory related</v>
      </c>
      <c r="B310" s="12">
        <f ca="1">IFERROR(__xludf.DUMMYFUNCTION("""COMPUTED_VALUE"""),16385)</f>
        <v>16385</v>
      </c>
      <c r="C310" s="12">
        <f ca="1">IFERROR(__xludf.DUMMYFUNCTION("""COMPUTED_VALUE"""),30442)</f>
        <v>30442</v>
      </c>
      <c r="D310" s="12">
        <f ca="1">IFERROR(__xludf.DUMMYFUNCTION("""COMPUTED_VALUE"""),26431)</f>
        <v>26431</v>
      </c>
      <c r="E310" s="12">
        <f ca="1">IFERROR(__xludf.DUMMYFUNCTION("""COMPUTED_VALUE"""),9608)</f>
        <v>9608</v>
      </c>
      <c r="F310" s="12">
        <f ca="1">IFERROR(__xludf.DUMMYFUNCTION("""COMPUTED_VALUE"""),28870)</f>
        <v>28870</v>
      </c>
      <c r="G310" s="12">
        <f ca="1">IFERROR(__xludf.DUMMYFUNCTION("""COMPUTED_VALUE"""),19534)</f>
        <v>19534</v>
      </c>
      <c r="H310" s="12">
        <f ca="1">IFERROR(__xludf.DUMMYFUNCTION("""COMPUTED_VALUE"""),13974)</f>
        <v>13974</v>
      </c>
      <c r="I310" s="12">
        <f ca="1">IFERROR(__xludf.DUMMYFUNCTION("""COMPUTED_VALUE"""),14739)</f>
        <v>14739</v>
      </c>
      <c r="J310" s="12">
        <f ca="1">IFERROR(__xludf.DUMMYFUNCTION("""COMPUTED_VALUE"""),15267)</f>
        <v>15267</v>
      </c>
      <c r="K310" s="12">
        <f ca="1">IFERROR(__xludf.DUMMYFUNCTION("""COMPUTED_VALUE"""),17738)</f>
        <v>17738</v>
      </c>
      <c r="L310" s="12">
        <f ca="1">IFERROR(__xludf.DUMMYFUNCTION("""COMPUTED_VALUE"""),30811)</f>
        <v>30811</v>
      </c>
      <c r="M310" s="12">
        <f ca="1">IFERROR(__xludf.DUMMYFUNCTION("""COMPUTED_VALUE"""),36620)</f>
        <v>36620</v>
      </c>
      <c r="N310" s="12">
        <f ca="1">IFERROR(__xludf.DUMMYFUNCTION("""COMPUTED_VALUE"""),10643)</f>
        <v>10643</v>
      </c>
      <c r="O310" s="12">
        <f ca="1">IFERROR(__xludf.DUMMYFUNCTION("""COMPUTED_VALUE"""),33490)</f>
        <v>33490</v>
      </c>
      <c r="P310" s="12">
        <f ca="1">IFERROR(__xludf.DUMMYFUNCTION("""COMPUTED_VALUE"""),25679)</f>
        <v>25679</v>
      </c>
      <c r="Q310" s="12">
        <f ca="1">IFERROR(__xludf.DUMMYFUNCTION("""COMPUTED_VALUE"""),13321)</f>
        <v>13321</v>
      </c>
      <c r="R310" s="12">
        <f ca="1">IFERROR(__xludf.DUMMYFUNCTION("""COMPUTED_VALUE"""),17957)</f>
        <v>17957</v>
      </c>
      <c r="S310" s="12">
        <f ca="1">IFERROR(__xludf.DUMMYFUNCTION("""COMPUTED_VALUE"""),15123)</f>
        <v>15123</v>
      </c>
      <c r="T310" s="12">
        <f ca="1">IFERROR(__xludf.DUMMYFUNCTION("""COMPUTED_VALUE"""),21566)</f>
        <v>21566</v>
      </c>
      <c r="U310" s="12">
        <f ca="1">IFERROR(__xludf.DUMMYFUNCTION("""COMPUTED_VALUE"""),33396)</f>
        <v>33396</v>
      </c>
      <c r="V310" s="12">
        <f ca="1">IFERROR(__xludf.DUMMYFUNCTION("""COMPUTED_VALUE"""),33015)</f>
        <v>33015</v>
      </c>
      <c r="W310" s="12">
        <f ca="1">IFERROR(__xludf.DUMMYFUNCTION("""COMPUTED_VALUE"""),16050)</f>
        <v>16050</v>
      </c>
      <c r="X310" s="12">
        <f ca="1">IFERROR(__xludf.DUMMYFUNCTION("""COMPUTED_VALUE"""),50214)</f>
        <v>50214</v>
      </c>
      <c r="Y310" s="12">
        <f ca="1">IFERROR(__xludf.DUMMYFUNCTION("""COMPUTED_VALUE"""),22238)</f>
        <v>22238</v>
      </c>
      <c r="Z310" s="12">
        <f ca="1">IFERROR(__xludf.DUMMYFUNCTION("""COMPUTED_VALUE"""),26927)</f>
        <v>26927</v>
      </c>
      <c r="AA310" s="12">
        <f ca="1">IFERROR(__xludf.DUMMYFUNCTION("""COMPUTED_VALUE"""),18953)</f>
        <v>18953</v>
      </c>
      <c r="AB310" s="12">
        <f ca="1">IFERROR(__xludf.DUMMYFUNCTION("""COMPUTED_VALUE"""),20121)</f>
        <v>20121</v>
      </c>
      <c r="AC310" s="12">
        <f ca="1">IFERROR(__xludf.DUMMYFUNCTION("""COMPUTED_VALUE"""),29915)</f>
        <v>29915</v>
      </c>
      <c r="AD310" s="12">
        <f ca="1">IFERROR(__xludf.DUMMYFUNCTION("""COMPUTED_VALUE"""),29615)</f>
        <v>29615</v>
      </c>
      <c r="AE310" s="12">
        <f ca="1">IFERROR(__xludf.DUMMYFUNCTION("""COMPUTED_VALUE"""),38398)</f>
        <v>38398</v>
      </c>
      <c r="AF310" s="8">
        <f ca="1">IFERROR(__xludf.DUMMYFUNCTION("""COMPUTED_VALUE"""),51213)</f>
        <v>51213</v>
      </c>
      <c r="AG310" s="8">
        <f ca="1">IFERROR(__xludf.DUMMYFUNCTION("""COMPUTED_VALUE"""),8356)</f>
        <v>8356</v>
      </c>
      <c r="AH310" s="8">
        <f ca="1">IFERROR(__xludf.DUMMYFUNCTION("""COMPUTED_VALUE"""),22888)</f>
        <v>22888</v>
      </c>
      <c r="AI310" s="8">
        <f ca="1">IFERROR(__xludf.DUMMYFUNCTION("""COMPUTED_VALUE"""),14444)</f>
        <v>14444</v>
      </c>
      <c r="AJ310" s="8">
        <f ca="1">IFERROR(__xludf.DUMMYFUNCTION("""COMPUTED_VALUE"""),13808)</f>
        <v>13808</v>
      </c>
      <c r="AK310" s="8">
        <f ca="1">IFERROR(__xludf.DUMMYFUNCTION("""COMPUTED_VALUE"""),22979)</f>
        <v>22979</v>
      </c>
      <c r="AL310" s="8">
        <f ca="1">IFERROR(__xludf.DUMMYFUNCTION("""COMPUTED_VALUE"""),11953)</f>
        <v>11953</v>
      </c>
      <c r="AM310" s="8">
        <f ca="1">IFERROR(__xludf.DUMMYFUNCTION("""COMPUTED_VALUE"""),12281)</f>
        <v>12281</v>
      </c>
      <c r="AN310" s="8">
        <f ca="1">IFERROR(__xludf.DUMMYFUNCTION("""COMPUTED_VALUE"""),16073)</f>
        <v>16073</v>
      </c>
      <c r="AO310" s="8">
        <f ca="1">IFERROR(__xludf.DUMMYFUNCTION("""COMPUTED_VALUE"""),21795)</f>
        <v>21795</v>
      </c>
      <c r="AP310" s="8"/>
      <c r="AQ310" s="8"/>
      <c r="AR310" s="8"/>
      <c r="AS310" s="8"/>
      <c r="AT310" s="8"/>
      <c r="AU310" s="8"/>
      <c r="AV310" s="8"/>
      <c r="AW310" s="8"/>
      <c r="AX310" s="8"/>
      <c r="AY310" s="8"/>
    </row>
    <row r="311" spans="1:51" ht="13.2" x14ac:dyDescent="0.25">
      <c r="A311" s="12" t="str">
        <f ca="1">IFERROR(__xludf.DUMMYFUNCTION("""COMPUTED_VALUE"""),"               right Superior colliculus, sensory related")</f>
        <v xml:space="preserve">               right Superior colliculus, sensory related</v>
      </c>
      <c r="B311" s="12">
        <f ca="1">IFERROR(__xludf.DUMMYFUNCTION("""COMPUTED_VALUE"""),5232)</f>
        <v>5232</v>
      </c>
      <c r="C311" s="12">
        <f ca="1">IFERROR(__xludf.DUMMYFUNCTION("""COMPUTED_VALUE"""),9753)</f>
        <v>9753</v>
      </c>
      <c r="D311" s="12">
        <f ca="1">IFERROR(__xludf.DUMMYFUNCTION("""COMPUTED_VALUE"""),8844)</f>
        <v>8844</v>
      </c>
      <c r="E311" s="12">
        <f ca="1">IFERROR(__xludf.DUMMYFUNCTION("""COMPUTED_VALUE"""),4531)</f>
        <v>4531</v>
      </c>
      <c r="F311" s="12">
        <f ca="1">IFERROR(__xludf.DUMMYFUNCTION("""COMPUTED_VALUE"""),11189)</f>
        <v>11189</v>
      </c>
      <c r="G311" s="12">
        <f ca="1">IFERROR(__xludf.DUMMYFUNCTION("""COMPUTED_VALUE"""),6018)</f>
        <v>6018</v>
      </c>
      <c r="H311" s="12">
        <f ca="1">IFERROR(__xludf.DUMMYFUNCTION("""COMPUTED_VALUE"""),7712)</f>
        <v>7712</v>
      </c>
      <c r="I311" s="12">
        <f ca="1">IFERROR(__xludf.DUMMYFUNCTION("""COMPUTED_VALUE"""),5859)</f>
        <v>5859</v>
      </c>
      <c r="J311" s="12">
        <f ca="1">IFERROR(__xludf.DUMMYFUNCTION("""COMPUTED_VALUE"""),6532)</f>
        <v>6532</v>
      </c>
      <c r="K311" s="12">
        <f ca="1">IFERROR(__xludf.DUMMYFUNCTION("""COMPUTED_VALUE"""),6148)</f>
        <v>6148</v>
      </c>
      <c r="L311" s="12">
        <f ca="1">IFERROR(__xludf.DUMMYFUNCTION("""COMPUTED_VALUE"""),6742)</f>
        <v>6742</v>
      </c>
      <c r="M311" s="12">
        <f ca="1">IFERROR(__xludf.DUMMYFUNCTION("""COMPUTED_VALUE"""),12542)</f>
        <v>12542</v>
      </c>
      <c r="N311" s="12">
        <f ca="1">IFERROR(__xludf.DUMMYFUNCTION("""COMPUTED_VALUE"""),3816)</f>
        <v>3816</v>
      </c>
      <c r="O311" s="12">
        <f ca="1">IFERROR(__xludf.DUMMYFUNCTION("""COMPUTED_VALUE"""),13480)</f>
        <v>13480</v>
      </c>
      <c r="P311" s="12">
        <f ca="1">IFERROR(__xludf.DUMMYFUNCTION("""COMPUTED_VALUE"""),8401)</f>
        <v>8401</v>
      </c>
      <c r="Q311" s="12">
        <f ca="1">IFERROR(__xludf.DUMMYFUNCTION("""COMPUTED_VALUE"""),5207)</f>
        <v>5207</v>
      </c>
      <c r="R311" s="12">
        <f ca="1">IFERROR(__xludf.DUMMYFUNCTION("""COMPUTED_VALUE"""),5737)</f>
        <v>5737</v>
      </c>
      <c r="S311" s="12">
        <f ca="1">IFERROR(__xludf.DUMMYFUNCTION("""COMPUTED_VALUE"""),4845)</f>
        <v>4845</v>
      </c>
      <c r="T311" s="12">
        <f ca="1">IFERROR(__xludf.DUMMYFUNCTION("""COMPUTED_VALUE"""),8061)</f>
        <v>8061</v>
      </c>
      <c r="U311" s="12">
        <f ca="1">IFERROR(__xludf.DUMMYFUNCTION("""COMPUTED_VALUE"""),15693)</f>
        <v>15693</v>
      </c>
      <c r="V311" s="12">
        <f ca="1">IFERROR(__xludf.DUMMYFUNCTION("""COMPUTED_VALUE"""),8163)</f>
        <v>8163</v>
      </c>
      <c r="W311" s="12">
        <f ca="1">IFERROR(__xludf.DUMMYFUNCTION("""COMPUTED_VALUE"""),1326)</f>
        <v>1326</v>
      </c>
      <c r="X311" s="12">
        <f ca="1">IFERROR(__xludf.DUMMYFUNCTION("""COMPUTED_VALUE"""),18818)</f>
        <v>18818</v>
      </c>
      <c r="Y311" s="12">
        <f ca="1">IFERROR(__xludf.DUMMYFUNCTION("""COMPUTED_VALUE"""),9795)</f>
        <v>9795</v>
      </c>
      <c r="Z311" s="12">
        <f ca="1">IFERROR(__xludf.DUMMYFUNCTION("""COMPUTED_VALUE"""),3851)</f>
        <v>3851</v>
      </c>
      <c r="AA311" s="12">
        <f ca="1">IFERROR(__xludf.DUMMYFUNCTION("""COMPUTED_VALUE"""),8449)</f>
        <v>8449</v>
      </c>
      <c r="AB311" s="12">
        <f ca="1">IFERROR(__xludf.DUMMYFUNCTION("""COMPUTED_VALUE"""),10199)</f>
        <v>10199</v>
      </c>
      <c r="AC311" s="12">
        <f ca="1">IFERROR(__xludf.DUMMYFUNCTION("""COMPUTED_VALUE"""),14733)</f>
        <v>14733</v>
      </c>
      <c r="AD311" s="12">
        <f ca="1">IFERROR(__xludf.DUMMYFUNCTION("""COMPUTED_VALUE"""),12040)</f>
        <v>12040</v>
      </c>
      <c r="AE311" s="12">
        <f ca="1">IFERROR(__xludf.DUMMYFUNCTION("""COMPUTED_VALUE"""),23062)</f>
        <v>23062</v>
      </c>
      <c r="AF311" s="8">
        <f ca="1">IFERROR(__xludf.DUMMYFUNCTION("""COMPUTED_VALUE"""),20949)</f>
        <v>20949</v>
      </c>
      <c r="AG311" s="8">
        <f ca="1">IFERROR(__xludf.DUMMYFUNCTION("""COMPUTED_VALUE"""),2479)</f>
        <v>2479</v>
      </c>
      <c r="AH311" s="8">
        <f ca="1">IFERROR(__xludf.DUMMYFUNCTION("""COMPUTED_VALUE"""),6266)</f>
        <v>6266</v>
      </c>
      <c r="AI311" s="8">
        <f ca="1">IFERROR(__xludf.DUMMYFUNCTION("""COMPUTED_VALUE"""),5308)</f>
        <v>5308</v>
      </c>
      <c r="AJ311" s="8">
        <f ca="1">IFERROR(__xludf.DUMMYFUNCTION("""COMPUTED_VALUE"""),7234)</f>
        <v>7234</v>
      </c>
      <c r="AK311" s="8">
        <f ca="1">IFERROR(__xludf.DUMMYFUNCTION("""COMPUTED_VALUE"""),14949)</f>
        <v>14949</v>
      </c>
      <c r="AL311" s="8">
        <f ca="1">IFERROR(__xludf.DUMMYFUNCTION("""COMPUTED_VALUE"""),4461)</f>
        <v>4461</v>
      </c>
      <c r="AM311" s="8">
        <f ca="1">IFERROR(__xludf.DUMMYFUNCTION("""COMPUTED_VALUE"""),4428)</f>
        <v>4428</v>
      </c>
      <c r="AN311" s="8">
        <f ca="1">IFERROR(__xludf.DUMMYFUNCTION("""COMPUTED_VALUE"""),6499)</f>
        <v>6499</v>
      </c>
      <c r="AO311" s="8">
        <f ca="1">IFERROR(__xludf.DUMMYFUNCTION("""COMPUTED_VALUE"""),10123)</f>
        <v>10123</v>
      </c>
      <c r="AP311" s="8"/>
      <c r="AQ311" s="8"/>
      <c r="AR311" s="8"/>
      <c r="AS311" s="8"/>
      <c r="AT311" s="8"/>
      <c r="AU311" s="8"/>
      <c r="AV311" s="8"/>
      <c r="AW311" s="8"/>
      <c r="AX311" s="8"/>
      <c r="AY311" s="8"/>
    </row>
    <row r="312" spans="1:51" ht="13.2" x14ac:dyDescent="0.25">
      <c r="A312" s="12" t="str">
        <f ca="1">IFERROR(__xludf.DUMMYFUNCTION("""COMPUTED_VALUE"""),"               right Inferior colliculus")</f>
        <v xml:space="preserve">               right Inferior colliculus</v>
      </c>
      <c r="B312" s="12">
        <f ca="1">IFERROR(__xludf.DUMMYFUNCTION("""COMPUTED_VALUE"""),10877)</f>
        <v>10877</v>
      </c>
      <c r="C312" s="12">
        <f ca="1">IFERROR(__xludf.DUMMYFUNCTION("""COMPUTED_VALUE"""),20134)</f>
        <v>20134</v>
      </c>
      <c r="D312" s="12">
        <f ca="1">IFERROR(__xludf.DUMMYFUNCTION("""COMPUTED_VALUE"""),16874)</f>
        <v>16874</v>
      </c>
      <c r="E312" s="12">
        <f ca="1">IFERROR(__xludf.DUMMYFUNCTION("""COMPUTED_VALUE"""),4763)</f>
        <v>4763</v>
      </c>
      <c r="F312" s="12">
        <f ca="1">IFERROR(__xludf.DUMMYFUNCTION("""COMPUTED_VALUE"""),16842)</f>
        <v>16842</v>
      </c>
      <c r="G312" s="12">
        <f ca="1">IFERROR(__xludf.DUMMYFUNCTION("""COMPUTED_VALUE"""),13147)</f>
        <v>13147</v>
      </c>
      <c r="H312" s="12">
        <f ca="1">IFERROR(__xludf.DUMMYFUNCTION("""COMPUTED_VALUE"""),6141)</f>
        <v>6141</v>
      </c>
      <c r="I312" s="12">
        <f ca="1">IFERROR(__xludf.DUMMYFUNCTION("""COMPUTED_VALUE"""),8599)</f>
        <v>8599</v>
      </c>
      <c r="J312" s="12">
        <f ca="1">IFERROR(__xludf.DUMMYFUNCTION("""COMPUTED_VALUE"""),8157)</f>
        <v>8157</v>
      </c>
      <c r="K312" s="12">
        <f ca="1">IFERROR(__xludf.DUMMYFUNCTION("""COMPUTED_VALUE"""),11401)</f>
        <v>11401</v>
      </c>
      <c r="L312" s="12">
        <f ca="1">IFERROR(__xludf.DUMMYFUNCTION("""COMPUTED_VALUE"""),23271)</f>
        <v>23271</v>
      </c>
      <c r="M312" s="12">
        <f ca="1">IFERROR(__xludf.DUMMYFUNCTION("""COMPUTED_VALUE"""),23522)</f>
        <v>23522</v>
      </c>
      <c r="N312" s="12">
        <f ca="1">IFERROR(__xludf.DUMMYFUNCTION("""COMPUTED_VALUE"""),5713)</f>
        <v>5713</v>
      </c>
      <c r="O312" s="12">
        <f ca="1">IFERROR(__xludf.DUMMYFUNCTION("""COMPUTED_VALUE"""),19411)</f>
        <v>19411</v>
      </c>
      <c r="P312" s="12">
        <f ca="1">IFERROR(__xludf.DUMMYFUNCTION("""COMPUTED_VALUE"""),16862)</f>
        <v>16862</v>
      </c>
      <c r="Q312" s="12">
        <f ca="1">IFERROR(__xludf.DUMMYFUNCTION("""COMPUTED_VALUE"""),7833)</f>
        <v>7833</v>
      </c>
      <c r="R312" s="12">
        <f ca="1">IFERROR(__xludf.DUMMYFUNCTION("""COMPUTED_VALUE"""),11979)</f>
        <v>11979</v>
      </c>
      <c r="S312" s="12">
        <f ca="1">IFERROR(__xludf.DUMMYFUNCTION("""COMPUTED_VALUE"""),10201)</f>
        <v>10201</v>
      </c>
      <c r="T312" s="12">
        <f ca="1">IFERROR(__xludf.DUMMYFUNCTION("""COMPUTED_VALUE"""),13425)</f>
        <v>13425</v>
      </c>
      <c r="U312" s="12">
        <f ca="1">IFERROR(__xludf.DUMMYFUNCTION("""COMPUTED_VALUE"""),17412)</f>
        <v>17412</v>
      </c>
      <c r="V312" s="12">
        <f ca="1">IFERROR(__xludf.DUMMYFUNCTION("""COMPUTED_VALUE"""),24308)</f>
        <v>24308</v>
      </c>
      <c r="W312" s="12">
        <f ca="1">IFERROR(__xludf.DUMMYFUNCTION("""COMPUTED_VALUE"""),14412)</f>
        <v>14412</v>
      </c>
      <c r="X312" s="12">
        <f ca="1">IFERROR(__xludf.DUMMYFUNCTION("""COMPUTED_VALUE"""),30434)</f>
        <v>30434</v>
      </c>
      <c r="Y312" s="12">
        <f ca="1">IFERROR(__xludf.DUMMYFUNCTION("""COMPUTED_VALUE"""),11413)</f>
        <v>11413</v>
      </c>
      <c r="Z312" s="12">
        <f ca="1">IFERROR(__xludf.DUMMYFUNCTION("""COMPUTED_VALUE"""),21261)</f>
        <v>21261</v>
      </c>
      <c r="AA312" s="12">
        <f ca="1">IFERROR(__xludf.DUMMYFUNCTION("""COMPUTED_VALUE"""),10065)</f>
        <v>10065</v>
      </c>
      <c r="AB312" s="12">
        <f ca="1">IFERROR(__xludf.DUMMYFUNCTION("""COMPUTED_VALUE"""),9734)</f>
        <v>9734</v>
      </c>
      <c r="AC312" s="12">
        <f ca="1">IFERROR(__xludf.DUMMYFUNCTION("""COMPUTED_VALUE"""),14857)</f>
        <v>14857</v>
      </c>
      <c r="AD312" s="12">
        <f ca="1">IFERROR(__xludf.DUMMYFUNCTION("""COMPUTED_VALUE"""),17475)</f>
        <v>17475</v>
      </c>
      <c r="AE312" s="12">
        <f ca="1">IFERROR(__xludf.DUMMYFUNCTION("""COMPUTED_VALUE"""),15077)</f>
        <v>15077</v>
      </c>
      <c r="AF312" s="8">
        <f ca="1">IFERROR(__xludf.DUMMYFUNCTION("""COMPUTED_VALUE"""),29903)</f>
        <v>29903</v>
      </c>
      <c r="AG312" s="8">
        <f ca="1">IFERROR(__xludf.DUMMYFUNCTION("""COMPUTED_VALUE"""),5446)</f>
        <v>5446</v>
      </c>
      <c r="AH312" s="8">
        <f ca="1">IFERROR(__xludf.DUMMYFUNCTION("""COMPUTED_VALUE"""),16306)</f>
        <v>16306</v>
      </c>
      <c r="AI312" s="8">
        <f ca="1">IFERROR(__xludf.DUMMYFUNCTION("""COMPUTED_VALUE"""),8929)</f>
        <v>8929</v>
      </c>
      <c r="AJ312" s="8">
        <f ca="1">IFERROR(__xludf.DUMMYFUNCTION("""COMPUTED_VALUE"""),6095)</f>
        <v>6095</v>
      </c>
      <c r="AK312" s="8">
        <f ca="1">IFERROR(__xludf.DUMMYFUNCTION("""COMPUTED_VALUE"""),7902)</f>
        <v>7902</v>
      </c>
      <c r="AL312" s="8">
        <f ca="1">IFERROR(__xludf.DUMMYFUNCTION("""COMPUTED_VALUE"""),7296)</f>
        <v>7296</v>
      </c>
      <c r="AM312" s="8">
        <f ca="1">IFERROR(__xludf.DUMMYFUNCTION("""COMPUTED_VALUE"""),7731)</f>
        <v>7731</v>
      </c>
      <c r="AN312" s="8">
        <f ca="1">IFERROR(__xludf.DUMMYFUNCTION("""COMPUTED_VALUE"""),9325)</f>
        <v>9325</v>
      </c>
      <c r="AO312" s="8">
        <f ca="1">IFERROR(__xludf.DUMMYFUNCTION("""COMPUTED_VALUE"""),11279)</f>
        <v>11279</v>
      </c>
      <c r="AP312" s="8"/>
      <c r="AQ312" s="8"/>
      <c r="AR312" s="8"/>
      <c r="AS312" s="8"/>
      <c r="AT312" s="8"/>
      <c r="AU312" s="8"/>
      <c r="AV312" s="8"/>
      <c r="AW312" s="8"/>
      <c r="AX312" s="8"/>
      <c r="AY312" s="8"/>
    </row>
    <row r="313" spans="1:51" ht="13.2" x14ac:dyDescent="0.25">
      <c r="A313" s="12" t="str">
        <f ca="1">IFERROR(__xludf.DUMMYFUNCTION("""COMPUTED_VALUE"""),"            right Midbrain, motor related")</f>
        <v xml:space="preserve">            right Midbrain, motor related</v>
      </c>
      <c r="B313" s="12">
        <f ca="1">IFERROR(__xludf.DUMMYFUNCTION("""COMPUTED_VALUE"""),28239)</f>
        <v>28239</v>
      </c>
      <c r="C313" s="12">
        <f ca="1">IFERROR(__xludf.DUMMYFUNCTION("""COMPUTED_VALUE"""),87691)</f>
        <v>87691</v>
      </c>
      <c r="D313" s="12">
        <f ca="1">IFERROR(__xludf.DUMMYFUNCTION("""COMPUTED_VALUE"""),84605)</f>
        <v>84605</v>
      </c>
      <c r="E313" s="12">
        <f ca="1">IFERROR(__xludf.DUMMYFUNCTION("""COMPUTED_VALUE"""),46164)</f>
        <v>46164</v>
      </c>
      <c r="F313" s="12">
        <f ca="1">IFERROR(__xludf.DUMMYFUNCTION("""COMPUTED_VALUE"""),92383)</f>
        <v>92383</v>
      </c>
      <c r="G313" s="12">
        <f ca="1">IFERROR(__xludf.DUMMYFUNCTION("""COMPUTED_VALUE"""),40478)</f>
        <v>40478</v>
      </c>
      <c r="H313" s="12">
        <f ca="1">IFERROR(__xludf.DUMMYFUNCTION("""COMPUTED_VALUE"""),42493)</f>
        <v>42493</v>
      </c>
      <c r="I313" s="12">
        <f ca="1">IFERROR(__xludf.DUMMYFUNCTION("""COMPUTED_VALUE"""),32630)</f>
        <v>32630</v>
      </c>
      <c r="J313" s="12">
        <f ca="1">IFERROR(__xludf.DUMMYFUNCTION("""COMPUTED_VALUE"""),39952)</f>
        <v>39952</v>
      </c>
      <c r="K313" s="12">
        <f ca="1">IFERROR(__xludf.DUMMYFUNCTION("""COMPUTED_VALUE"""),51028)</f>
        <v>51028</v>
      </c>
      <c r="L313" s="12">
        <f ca="1">IFERROR(__xludf.DUMMYFUNCTION("""COMPUTED_VALUE"""),57836)</f>
        <v>57836</v>
      </c>
      <c r="M313" s="12">
        <f ca="1">IFERROR(__xludf.DUMMYFUNCTION("""COMPUTED_VALUE"""),85122)</f>
        <v>85122</v>
      </c>
      <c r="N313" s="12">
        <f ca="1">IFERROR(__xludf.DUMMYFUNCTION("""COMPUTED_VALUE"""),83779)</f>
        <v>83779</v>
      </c>
      <c r="O313" s="12">
        <f ca="1">IFERROR(__xludf.DUMMYFUNCTION("""COMPUTED_VALUE"""),71311)</f>
        <v>71311</v>
      </c>
      <c r="P313" s="12">
        <f ca="1">IFERROR(__xludf.DUMMYFUNCTION("""COMPUTED_VALUE"""),43617)</f>
        <v>43617</v>
      </c>
      <c r="Q313" s="12">
        <f ca="1">IFERROR(__xludf.DUMMYFUNCTION("""COMPUTED_VALUE"""),50063)</f>
        <v>50063</v>
      </c>
      <c r="R313" s="12">
        <f ca="1">IFERROR(__xludf.DUMMYFUNCTION("""COMPUTED_VALUE"""),25519)</f>
        <v>25519</v>
      </c>
      <c r="S313" s="12">
        <f ca="1">IFERROR(__xludf.DUMMYFUNCTION("""COMPUTED_VALUE"""),29111)</f>
        <v>29111</v>
      </c>
      <c r="T313" s="12">
        <f ca="1">IFERROR(__xludf.DUMMYFUNCTION("""COMPUTED_VALUE"""),38106)</f>
        <v>38106</v>
      </c>
      <c r="U313" s="12">
        <f ca="1">IFERROR(__xludf.DUMMYFUNCTION("""COMPUTED_VALUE"""),46468)</f>
        <v>46468</v>
      </c>
      <c r="V313" s="12">
        <f ca="1">IFERROR(__xludf.DUMMYFUNCTION("""COMPUTED_VALUE"""),59922)</f>
        <v>59922</v>
      </c>
      <c r="W313" s="12">
        <f ca="1">IFERROR(__xludf.DUMMYFUNCTION("""COMPUTED_VALUE"""),55870)</f>
        <v>55870</v>
      </c>
      <c r="X313" s="12">
        <f ca="1">IFERROR(__xludf.DUMMYFUNCTION("""COMPUTED_VALUE"""),120790)</f>
        <v>120790</v>
      </c>
      <c r="Y313" s="12">
        <f ca="1">IFERROR(__xludf.DUMMYFUNCTION("""COMPUTED_VALUE"""),69745)</f>
        <v>69745</v>
      </c>
      <c r="Z313" s="12">
        <f ca="1">IFERROR(__xludf.DUMMYFUNCTION("""COMPUTED_VALUE"""),113471)</f>
        <v>113471</v>
      </c>
      <c r="AA313" s="12">
        <f ca="1">IFERROR(__xludf.DUMMYFUNCTION("""COMPUTED_VALUE"""),63597)</f>
        <v>63597</v>
      </c>
      <c r="AB313" s="12">
        <f ca="1">IFERROR(__xludf.DUMMYFUNCTION("""COMPUTED_VALUE"""),41009)</f>
        <v>41009</v>
      </c>
      <c r="AC313" s="12">
        <f ca="1">IFERROR(__xludf.DUMMYFUNCTION("""COMPUTED_VALUE"""),57277)</f>
        <v>57277</v>
      </c>
      <c r="AD313" s="12">
        <f ca="1">IFERROR(__xludf.DUMMYFUNCTION("""COMPUTED_VALUE"""),46063)</f>
        <v>46063</v>
      </c>
      <c r="AE313" s="12">
        <f ca="1">IFERROR(__xludf.DUMMYFUNCTION("""COMPUTED_VALUE"""),78686)</f>
        <v>78686</v>
      </c>
      <c r="AF313" s="8">
        <f ca="1">IFERROR(__xludf.DUMMYFUNCTION("""COMPUTED_VALUE"""),100080)</f>
        <v>100080</v>
      </c>
      <c r="AG313" s="8">
        <f ca="1">IFERROR(__xludf.DUMMYFUNCTION("""COMPUTED_VALUE"""),35002)</f>
        <v>35002</v>
      </c>
      <c r="AH313" s="8">
        <f ca="1">IFERROR(__xludf.DUMMYFUNCTION("""COMPUTED_VALUE"""),54928)</f>
        <v>54928</v>
      </c>
      <c r="AI313" s="8">
        <f ca="1">IFERROR(__xludf.DUMMYFUNCTION("""COMPUTED_VALUE"""),35737)</f>
        <v>35737</v>
      </c>
      <c r="AJ313" s="8">
        <f ca="1">IFERROR(__xludf.DUMMYFUNCTION("""COMPUTED_VALUE"""),45809)</f>
        <v>45809</v>
      </c>
      <c r="AK313" s="8">
        <f ca="1">IFERROR(__xludf.DUMMYFUNCTION("""COMPUTED_VALUE"""),37326)</f>
        <v>37326</v>
      </c>
      <c r="AL313" s="8">
        <f ca="1">IFERROR(__xludf.DUMMYFUNCTION("""COMPUTED_VALUE"""),24488)</f>
        <v>24488</v>
      </c>
      <c r="AM313" s="8">
        <f ca="1">IFERROR(__xludf.DUMMYFUNCTION("""COMPUTED_VALUE"""),28934)</f>
        <v>28934</v>
      </c>
      <c r="AN313" s="8">
        <f ca="1">IFERROR(__xludf.DUMMYFUNCTION("""COMPUTED_VALUE"""),36985)</f>
        <v>36985</v>
      </c>
      <c r="AO313" s="8">
        <f ca="1">IFERROR(__xludf.DUMMYFUNCTION("""COMPUTED_VALUE"""),42432)</f>
        <v>42432</v>
      </c>
      <c r="AP313" s="8"/>
      <c r="AQ313" s="8"/>
      <c r="AR313" s="8"/>
      <c r="AS313" s="8"/>
      <c r="AT313" s="8"/>
      <c r="AU313" s="8"/>
      <c r="AV313" s="8"/>
      <c r="AW313" s="8"/>
      <c r="AX313" s="8"/>
      <c r="AY313" s="8"/>
    </row>
    <row r="314" spans="1:51" ht="13.2" x14ac:dyDescent="0.25">
      <c r="A314" s="12" t="str">
        <f ca="1">IFERROR(__xludf.DUMMYFUNCTION("""COMPUTED_VALUE"""),"               right Substantia nigra, reticular part")</f>
        <v xml:space="preserve">               right Substantia nigra, reticular part</v>
      </c>
      <c r="B314" s="12">
        <f ca="1">IFERROR(__xludf.DUMMYFUNCTION("""COMPUTED_VALUE"""),138)</f>
        <v>138</v>
      </c>
      <c r="C314" s="12">
        <f ca="1">IFERROR(__xludf.DUMMYFUNCTION("""COMPUTED_VALUE"""),499)</f>
        <v>499</v>
      </c>
      <c r="D314" s="12">
        <f ca="1">IFERROR(__xludf.DUMMYFUNCTION("""COMPUTED_VALUE"""),1108)</f>
        <v>1108</v>
      </c>
      <c r="E314" s="12">
        <f ca="1">IFERROR(__xludf.DUMMYFUNCTION("""COMPUTED_VALUE"""),81)</f>
        <v>81</v>
      </c>
      <c r="F314" s="12">
        <f ca="1">IFERROR(__xludf.DUMMYFUNCTION("""COMPUTED_VALUE"""),884)</f>
        <v>884</v>
      </c>
      <c r="G314" s="12">
        <f ca="1">IFERROR(__xludf.DUMMYFUNCTION("""COMPUTED_VALUE"""),125)</f>
        <v>125</v>
      </c>
      <c r="H314" s="12">
        <f ca="1">IFERROR(__xludf.DUMMYFUNCTION("""COMPUTED_VALUE"""),210)</f>
        <v>210</v>
      </c>
      <c r="I314" s="12">
        <f ca="1">IFERROR(__xludf.DUMMYFUNCTION("""COMPUTED_VALUE"""),321)</f>
        <v>321</v>
      </c>
      <c r="J314" s="12">
        <f ca="1">IFERROR(__xludf.DUMMYFUNCTION("""COMPUTED_VALUE"""),491)</f>
        <v>491</v>
      </c>
      <c r="K314" s="12">
        <f ca="1">IFERROR(__xludf.DUMMYFUNCTION("""COMPUTED_VALUE"""),463)</f>
        <v>463</v>
      </c>
      <c r="L314" s="12">
        <f ca="1">IFERROR(__xludf.DUMMYFUNCTION("""COMPUTED_VALUE"""),869)</f>
        <v>869</v>
      </c>
      <c r="M314" s="12">
        <f ca="1">IFERROR(__xludf.DUMMYFUNCTION("""COMPUTED_VALUE"""),439)</f>
        <v>439</v>
      </c>
      <c r="N314" s="12">
        <f ca="1">IFERROR(__xludf.DUMMYFUNCTION("""COMPUTED_VALUE"""),4658)</f>
        <v>4658</v>
      </c>
      <c r="O314" s="12">
        <f ca="1">IFERROR(__xludf.DUMMYFUNCTION("""COMPUTED_VALUE"""),532)</f>
        <v>532</v>
      </c>
      <c r="P314" s="12">
        <f ca="1">IFERROR(__xludf.DUMMYFUNCTION("""COMPUTED_VALUE"""),280)</f>
        <v>280</v>
      </c>
      <c r="Q314" s="12">
        <f ca="1">IFERROR(__xludf.DUMMYFUNCTION("""COMPUTED_VALUE"""),285)</f>
        <v>285</v>
      </c>
      <c r="R314" s="12">
        <f ca="1">IFERROR(__xludf.DUMMYFUNCTION("""COMPUTED_VALUE"""),291)</f>
        <v>291</v>
      </c>
      <c r="S314" s="12">
        <f ca="1">IFERROR(__xludf.DUMMYFUNCTION("""COMPUTED_VALUE"""),49)</f>
        <v>49</v>
      </c>
      <c r="T314" s="12">
        <f ca="1">IFERROR(__xludf.DUMMYFUNCTION("""COMPUTED_VALUE"""),30)</f>
        <v>30</v>
      </c>
      <c r="U314" s="12">
        <f ca="1">IFERROR(__xludf.DUMMYFUNCTION("""COMPUTED_VALUE"""),362)</f>
        <v>362</v>
      </c>
      <c r="V314" s="12">
        <f ca="1">IFERROR(__xludf.DUMMYFUNCTION("""COMPUTED_VALUE"""),524)</f>
        <v>524</v>
      </c>
      <c r="W314" s="12">
        <f ca="1">IFERROR(__xludf.DUMMYFUNCTION("""COMPUTED_VALUE"""),2270)</f>
        <v>2270</v>
      </c>
      <c r="X314" s="12">
        <f ca="1">IFERROR(__xludf.DUMMYFUNCTION("""COMPUTED_VALUE"""),1592)</f>
        <v>1592</v>
      </c>
      <c r="Y314" s="12">
        <f ca="1">IFERROR(__xludf.DUMMYFUNCTION("""COMPUTED_VALUE"""),512)</f>
        <v>512</v>
      </c>
      <c r="Z314" s="12">
        <f ca="1">IFERROR(__xludf.DUMMYFUNCTION("""COMPUTED_VALUE"""),1324)</f>
        <v>1324</v>
      </c>
      <c r="AA314" s="12">
        <f ca="1">IFERROR(__xludf.DUMMYFUNCTION("""COMPUTED_VALUE"""),532)</f>
        <v>532</v>
      </c>
      <c r="AB314" s="12">
        <f ca="1">IFERROR(__xludf.DUMMYFUNCTION("""COMPUTED_VALUE"""),85)</f>
        <v>85</v>
      </c>
      <c r="AC314" s="12">
        <f ca="1">IFERROR(__xludf.DUMMYFUNCTION("""COMPUTED_VALUE"""),188)</f>
        <v>188</v>
      </c>
      <c r="AD314" s="12">
        <f ca="1">IFERROR(__xludf.DUMMYFUNCTION("""COMPUTED_VALUE"""),214)</f>
        <v>214</v>
      </c>
      <c r="AE314" s="12">
        <f ca="1">IFERROR(__xludf.DUMMYFUNCTION("""COMPUTED_VALUE"""),260)</f>
        <v>260</v>
      </c>
      <c r="AF314" s="8">
        <f ca="1">IFERROR(__xludf.DUMMYFUNCTION("""COMPUTED_VALUE"""),714)</f>
        <v>714</v>
      </c>
      <c r="AG314" s="8">
        <f ca="1">IFERROR(__xludf.DUMMYFUNCTION("""COMPUTED_VALUE"""),379)</f>
        <v>379</v>
      </c>
      <c r="AH314" s="8">
        <f ca="1">IFERROR(__xludf.DUMMYFUNCTION("""COMPUTED_VALUE"""),1072)</f>
        <v>1072</v>
      </c>
      <c r="AI314" s="8">
        <f ca="1">IFERROR(__xludf.DUMMYFUNCTION("""COMPUTED_VALUE"""),90)</f>
        <v>90</v>
      </c>
      <c r="AJ314" s="8">
        <f ca="1">IFERROR(__xludf.DUMMYFUNCTION("""COMPUTED_VALUE"""),213)</f>
        <v>213</v>
      </c>
      <c r="AK314" s="8">
        <f ca="1">IFERROR(__xludf.DUMMYFUNCTION("""COMPUTED_VALUE"""),218)</f>
        <v>218</v>
      </c>
      <c r="AL314" s="8">
        <f ca="1">IFERROR(__xludf.DUMMYFUNCTION("""COMPUTED_VALUE"""),247)</f>
        <v>247</v>
      </c>
      <c r="AM314" s="8">
        <f ca="1">IFERROR(__xludf.DUMMYFUNCTION("""COMPUTED_VALUE"""),198)</f>
        <v>198</v>
      </c>
      <c r="AN314" s="8">
        <f ca="1">IFERROR(__xludf.DUMMYFUNCTION("""COMPUTED_VALUE"""),85)</f>
        <v>85</v>
      </c>
      <c r="AO314" s="8">
        <f ca="1">IFERROR(__xludf.DUMMYFUNCTION("""COMPUTED_VALUE"""),123)</f>
        <v>123</v>
      </c>
      <c r="AP314" s="8"/>
      <c r="AQ314" s="8"/>
      <c r="AR314" s="8"/>
      <c r="AS314" s="8"/>
      <c r="AT314" s="8"/>
      <c r="AU314" s="8"/>
      <c r="AV314" s="8"/>
      <c r="AW314" s="8"/>
      <c r="AX314" s="8"/>
      <c r="AY314" s="8"/>
    </row>
    <row r="315" spans="1:51" ht="13.2" x14ac:dyDescent="0.25">
      <c r="A315" s="12" t="str">
        <f ca="1">IFERROR(__xludf.DUMMYFUNCTION("""COMPUTED_VALUE"""),"               right Ventral tegmental area")</f>
        <v xml:space="preserve">               right Ventral tegmental area</v>
      </c>
      <c r="B315" s="12">
        <f ca="1">IFERROR(__xludf.DUMMYFUNCTION("""COMPUTED_VALUE"""),358)</f>
        <v>358</v>
      </c>
      <c r="C315" s="12">
        <f ca="1">IFERROR(__xludf.DUMMYFUNCTION("""COMPUTED_VALUE"""),737)</f>
        <v>737</v>
      </c>
      <c r="D315" s="12">
        <f ca="1">IFERROR(__xludf.DUMMYFUNCTION("""COMPUTED_VALUE"""),1184)</f>
        <v>1184</v>
      </c>
      <c r="E315" s="12">
        <f ca="1">IFERROR(__xludf.DUMMYFUNCTION("""COMPUTED_VALUE"""),279)</f>
        <v>279</v>
      </c>
      <c r="F315" s="12">
        <f ca="1">IFERROR(__xludf.DUMMYFUNCTION("""COMPUTED_VALUE"""),1039)</f>
        <v>1039</v>
      </c>
      <c r="G315" s="12">
        <f ca="1">IFERROR(__xludf.DUMMYFUNCTION("""COMPUTED_VALUE"""),165)</f>
        <v>165</v>
      </c>
      <c r="H315" s="12">
        <f ca="1">IFERROR(__xludf.DUMMYFUNCTION("""COMPUTED_VALUE"""),369)</f>
        <v>369</v>
      </c>
      <c r="I315" s="12">
        <f ca="1">IFERROR(__xludf.DUMMYFUNCTION("""COMPUTED_VALUE"""),290)</f>
        <v>290</v>
      </c>
      <c r="J315" s="12">
        <f ca="1">IFERROR(__xludf.DUMMYFUNCTION("""COMPUTED_VALUE"""),373)</f>
        <v>373</v>
      </c>
      <c r="K315" s="12">
        <f ca="1">IFERROR(__xludf.DUMMYFUNCTION("""COMPUTED_VALUE"""),410)</f>
        <v>410</v>
      </c>
      <c r="L315" s="12">
        <f ca="1">IFERROR(__xludf.DUMMYFUNCTION("""COMPUTED_VALUE"""),679)</f>
        <v>679</v>
      </c>
      <c r="M315" s="12">
        <f ca="1">IFERROR(__xludf.DUMMYFUNCTION("""COMPUTED_VALUE"""),556)</f>
        <v>556</v>
      </c>
      <c r="N315" s="12">
        <f ca="1">IFERROR(__xludf.DUMMYFUNCTION("""COMPUTED_VALUE"""),1622)</f>
        <v>1622</v>
      </c>
      <c r="O315" s="12">
        <f ca="1">IFERROR(__xludf.DUMMYFUNCTION("""COMPUTED_VALUE"""),574)</f>
        <v>574</v>
      </c>
      <c r="P315" s="12">
        <f ca="1">IFERROR(__xludf.DUMMYFUNCTION("""COMPUTED_VALUE"""),407)</f>
        <v>407</v>
      </c>
      <c r="Q315" s="12">
        <f ca="1">IFERROR(__xludf.DUMMYFUNCTION("""COMPUTED_VALUE"""),427)</f>
        <v>427</v>
      </c>
      <c r="R315" s="12">
        <f ca="1">IFERROR(__xludf.DUMMYFUNCTION("""COMPUTED_VALUE"""),165)</f>
        <v>165</v>
      </c>
      <c r="S315" s="12">
        <f ca="1">IFERROR(__xludf.DUMMYFUNCTION("""COMPUTED_VALUE"""),206)</f>
        <v>206</v>
      </c>
      <c r="T315" s="12">
        <f ca="1">IFERROR(__xludf.DUMMYFUNCTION("""COMPUTED_VALUE"""),121)</f>
        <v>121</v>
      </c>
      <c r="U315" s="12">
        <f ca="1">IFERROR(__xludf.DUMMYFUNCTION("""COMPUTED_VALUE"""),459)</f>
        <v>459</v>
      </c>
      <c r="V315" s="12">
        <f ca="1">IFERROR(__xludf.DUMMYFUNCTION("""COMPUTED_VALUE"""),930)</f>
        <v>930</v>
      </c>
      <c r="W315" s="12">
        <f ca="1">IFERROR(__xludf.DUMMYFUNCTION("""COMPUTED_VALUE"""),1027)</f>
        <v>1027</v>
      </c>
      <c r="X315" s="12">
        <f ca="1">IFERROR(__xludf.DUMMYFUNCTION("""COMPUTED_VALUE"""),2418)</f>
        <v>2418</v>
      </c>
      <c r="Y315" s="12">
        <f ca="1">IFERROR(__xludf.DUMMYFUNCTION("""COMPUTED_VALUE"""),399)</f>
        <v>399</v>
      </c>
      <c r="Z315" s="12">
        <f ca="1">IFERROR(__xludf.DUMMYFUNCTION("""COMPUTED_VALUE"""),1918)</f>
        <v>1918</v>
      </c>
      <c r="AA315" s="12">
        <f ca="1">IFERROR(__xludf.DUMMYFUNCTION("""COMPUTED_VALUE"""),772)</f>
        <v>772</v>
      </c>
      <c r="AB315" s="12">
        <f ca="1">IFERROR(__xludf.DUMMYFUNCTION("""COMPUTED_VALUE"""),259)</f>
        <v>259</v>
      </c>
      <c r="AC315" s="12">
        <f ca="1">IFERROR(__xludf.DUMMYFUNCTION("""COMPUTED_VALUE"""),118)</f>
        <v>118</v>
      </c>
      <c r="AD315" s="12">
        <f ca="1">IFERROR(__xludf.DUMMYFUNCTION("""COMPUTED_VALUE"""),498)</f>
        <v>498</v>
      </c>
      <c r="AE315" s="12">
        <f ca="1">IFERROR(__xludf.DUMMYFUNCTION("""COMPUTED_VALUE"""),839)</f>
        <v>839</v>
      </c>
      <c r="AF315" s="8">
        <f ca="1">IFERROR(__xludf.DUMMYFUNCTION("""COMPUTED_VALUE"""),536)</f>
        <v>536</v>
      </c>
      <c r="AG315" s="8">
        <f ca="1">IFERROR(__xludf.DUMMYFUNCTION("""COMPUTED_VALUE"""),377)</f>
        <v>377</v>
      </c>
      <c r="AH315" s="8">
        <f ca="1">IFERROR(__xludf.DUMMYFUNCTION("""COMPUTED_VALUE"""),497)</f>
        <v>497</v>
      </c>
      <c r="AI315" s="8">
        <f ca="1">IFERROR(__xludf.DUMMYFUNCTION("""COMPUTED_VALUE"""),374)</f>
        <v>374</v>
      </c>
      <c r="AJ315" s="8">
        <f ca="1">IFERROR(__xludf.DUMMYFUNCTION("""COMPUTED_VALUE"""),208)</f>
        <v>208</v>
      </c>
      <c r="AK315" s="8">
        <f ca="1">IFERROR(__xludf.DUMMYFUNCTION("""COMPUTED_VALUE"""),210)</f>
        <v>210</v>
      </c>
      <c r="AL315" s="8">
        <f ca="1">IFERROR(__xludf.DUMMYFUNCTION("""COMPUTED_VALUE"""),344)</f>
        <v>344</v>
      </c>
      <c r="AM315" s="8">
        <f ca="1">IFERROR(__xludf.DUMMYFUNCTION("""COMPUTED_VALUE"""),589)</f>
        <v>589</v>
      </c>
      <c r="AN315" s="8">
        <f ca="1">IFERROR(__xludf.DUMMYFUNCTION("""COMPUTED_VALUE"""),226)</f>
        <v>226</v>
      </c>
      <c r="AO315" s="8">
        <f ca="1">IFERROR(__xludf.DUMMYFUNCTION("""COMPUTED_VALUE"""),78)</f>
        <v>78</v>
      </c>
      <c r="AP315" s="8"/>
      <c r="AQ315" s="8"/>
      <c r="AR315" s="8"/>
      <c r="AS315" s="8"/>
      <c r="AT315" s="8"/>
      <c r="AU315" s="8"/>
      <c r="AV315" s="8"/>
      <c r="AW315" s="8"/>
      <c r="AX315" s="8"/>
      <c r="AY315" s="8"/>
    </row>
    <row r="316" spans="1:51" ht="13.2" x14ac:dyDescent="0.25">
      <c r="A316" s="12" t="str">
        <f ca="1">IFERROR(__xludf.DUMMYFUNCTION("""COMPUTED_VALUE"""),"               right Midbrain reticular nucleus")</f>
        <v xml:space="preserve">               right Midbrain reticular nucleus</v>
      </c>
      <c r="B316" s="12">
        <f ca="1">IFERROR(__xludf.DUMMYFUNCTION("""COMPUTED_VALUE"""),4084)</f>
        <v>4084</v>
      </c>
      <c r="C316" s="12">
        <f ca="1">IFERROR(__xludf.DUMMYFUNCTION("""COMPUTED_VALUE"""),16384)</f>
        <v>16384</v>
      </c>
      <c r="D316" s="12">
        <f ca="1">IFERROR(__xludf.DUMMYFUNCTION("""COMPUTED_VALUE"""),13978)</f>
        <v>13978</v>
      </c>
      <c r="E316" s="12">
        <f ca="1">IFERROR(__xludf.DUMMYFUNCTION("""COMPUTED_VALUE"""),6924)</f>
        <v>6924</v>
      </c>
      <c r="F316" s="12">
        <f ca="1">IFERROR(__xludf.DUMMYFUNCTION("""COMPUTED_VALUE"""),17367)</f>
        <v>17367</v>
      </c>
      <c r="G316" s="12">
        <f ca="1">IFERROR(__xludf.DUMMYFUNCTION("""COMPUTED_VALUE"""),6250)</f>
        <v>6250</v>
      </c>
      <c r="H316" s="12">
        <f ca="1">IFERROR(__xludf.DUMMYFUNCTION("""COMPUTED_VALUE"""),5538)</f>
        <v>5538</v>
      </c>
      <c r="I316" s="12">
        <f ca="1">IFERROR(__xludf.DUMMYFUNCTION("""COMPUTED_VALUE"""),6110)</f>
        <v>6110</v>
      </c>
      <c r="J316" s="12">
        <f ca="1">IFERROR(__xludf.DUMMYFUNCTION("""COMPUTED_VALUE"""),5289)</f>
        <v>5289</v>
      </c>
      <c r="K316" s="12">
        <f ca="1">IFERROR(__xludf.DUMMYFUNCTION("""COMPUTED_VALUE"""),8289)</f>
        <v>8289</v>
      </c>
      <c r="L316" s="12">
        <f ca="1">IFERROR(__xludf.DUMMYFUNCTION("""COMPUTED_VALUE"""),10979)</f>
        <v>10979</v>
      </c>
      <c r="M316" s="12">
        <f ca="1">IFERROR(__xludf.DUMMYFUNCTION("""COMPUTED_VALUE"""),13399)</f>
        <v>13399</v>
      </c>
      <c r="N316" s="12">
        <f ca="1">IFERROR(__xludf.DUMMYFUNCTION("""COMPUTED_VALUE"""),26523)</f>
        <v>26523</v>
      </c>
      <c r="O316" s="12">
        <f ca="1">IFERROR(__xludf.DUMMYFUNCTION("""COMPUTED_VALUE"""),11288)</f>
        <v>11288</v>
      </c>
      <c r="P316" s="12">
        <f ca="1">IFERROR(__xludf.DUMMYFUNCTION("""COMPUTED_VALUE"""),7172)</f>
        <v>7172</v>
      </c>
      <c r="Q316" s="12">
        <f ca="1">IFERROR(__xludf.DUMMYFUNCTION("""COMPUTED_VALUE"""),7560)</f>
        <v>7560</v>
      </c>
      <c r="R316" s="12">
        <f ca="1">IFERROR(__xludf.DUMMYFUNCTION("""COMPUTED_VALUE"""),1770)</f>
        <v>1770</v>
      </c>
      <c r="S316" s="12">
        <f ca="1">IFERROR(__xludf.DUMMYFUNCTION("""COMPUTED_VALUE"""),2509)</f>
        <v>2509</v>
      </c>
      <c r="T316" s="12">
        <f ca="1">IFERROR(__xludf.DUMMYFUNCTION("""COMPUTED_VALUE"""),5120)</f>
        <v>5120</v>
      </c>
      <c r="U316" s="12">
        <f ca="1">IFERROR(__xludf.DUMMYFUNCTION("""COMPUTED_VALUE"""),6630)</f>
        <v>6630</v>
      </c>
      <c r="V316" s="12">
        <f ca="1">IFERROR(__xludf.DUMMYFUNCTION("""COMPUTED_VALUE"""),10434)</f>
        <v>10434</v>
      </c>
      <c r="W316" s="12">
        <f ca="1">IFERROR(__xludf.DUMMYFUNCTION("""COMPUTED_VALUE"""),13253)</f>
        <v>13253</v>
      </c>
      <c r="X316" s="12">
        <f ca="1">IFERROR(__xludf.DUMMYFUNCTION("""COMPUTED_VALUE"""),24994)</f>
        <v>24994</v>
      </c>
      <c r="Y316" s="12">
        <f ca="1">IFERROR(__xludf.DUMMYFUNCTION("""COMPUTED_VALUE"""),11866)</f>
        <v>11866</v>
      </c>
      <c r="Z316" s="12">
        <f ca="1">IFERROR(__xludf.DUMMYFUNCTION("""COMPUTED_VALUE"""),33073)</f>
        <v>33073</v>
      </c>
      <c r="AA316" s="12">
        <f ca="1">IFERROR(__xludf.DUMMYFUNCTION("""COMPUTED_VALUE"""),10577)</f>
        <v>10577</v>
      </c>
      <c r="AB316" s="12">
        <f ca="1">IFERROR(__xludf.DUMMYFUNCTION("""COMPUTED_VALUE"""),4466)</f>
        <v>4466</v>
      </c>
      <c r="AC316" s="12">
        <f ca="1">IFERROR(__xludf.DUMMYFUNCTION("""COMPUTED_VALUE"""),6938)</f>
        <v>6938</v>
      </c>
      <c r="AD316" s="12">
        <f ca="1">IFERROR(__xludf.DUMMYFUNCTION("""COMPUTED_VALUE"""),5927)</f>
        <v>5927</v>
      </c>
      <c r="AE316" s="12">
        <f ca="1">IFERROR(__xludf.DUMMYFUNCTION("""COMPUTED_VALUE"""),10710)</f>
        <v>10710</v>
      </c>
      <c r="AF316" s="8">
        <f ca="1">IFERROR(__xludf.DUMMYFUNCTION("""COMPUTED_VALUE"""),16509)</f>
        <v>16509</v>
      </c>
      <c r="AG316" s="8">
        <f ca="1">IFERROR(__xludf.DUMMYFUNCTION("""COMPUTED_VALUE"""),9830)</f>
        <v>9830</v>
      </c>
      <c r="AH316" s="8">
        <f ca="1">IFERROR(__xludf.DUMMYFUNCTION("""COMPUTED_VALUE"""),11255)</f>
        <v>11255</v>
      </c>
      <c r="AI316" s="8">
        <f ca="1">IFERROR(__xludf.DUMMYFUNCTION("""COMPUTED_VALUE"""),5943)</f>
        <v>5943</v>
      </c>
      <c r="AJ316" s="8">
        <f ca="1">IFERROR(__xludf.DUMMYFUNCTION("""COMPUTED_VALUE"""),5678)</f>
        <v>5678</v>
      </c>
      <c r="AK316" s="8">
        <f ca="1">IFERROR(__xludf.DUMMYFUNCTION("""COMPUTED_VALUE"""),3910)</f>
        <v>3910</v>
      </c>
      <c r="AL316" s="8">
        <f ca="1">IFERROR(__xludf.DUMMYFUNCTION("""COMPUTED_VALUE"""),4087)</f>
        <v>4087</v>
      </c>
      <c r="AM316" s="8">
        <f ca="1">IFERROR(__xludf.DUMMYFUNCTION("""COMPUTED_VALUE"""),4295)</f>
        <v>4295</v>
      </c>
      <c r="AN316" s="8">
        <f ca="1">IFERROR(__xludf.DUMMYFUNCTION("""COMPUTED_VALUE"""),4084)</f>
        <v>4084</v>
      </c>
      <c r="AO316" s="8">
        <f ca="1">IFERROR(__xludf.DUMMYFUNCTION("""COMPUTED_VALUE"""),6339)</f>
        <v>6339</v>
      </c>
      <c r="AP316" s="8"/>
      <c r="AQ316" s="8"/>
      <c r="AR316" s="8"/>
      <c r="AS316" s="8"/>
      <c r="AT316" s="8"/>
      <c r="AU316" s="8"/>
      <c r="AV316" s="8"/>
      <c r="AW316" s="8"/>
      <c r="AX316" s="8"/>
      <c r="AY316" s="8"/>
    </row>
    <row r="317" spans="1:51" ht="13.2" x14ac:dyDescent="0.25">
      <c r="A317" s="12" t="str">
        <f ca="1">IFERROR(__xludf.DUMMYFUNCTION("""COMPUTED_VALUE"""),"               right Superior colliculus, motor related")</f>
        <v xml:space="preserve">               right Superior colliculus, motor related</v>
      </c>
      <c r="B317" s="12">
        <f ca="1">IFERROR(__xludf.DUMMYFUNCTION("""COMPUTED_VALUE"""),7783)</f>
        <v>7783</v>
      </c>
      <c r="C317" s="12">
        <f ca="1">IFERROR(__xludf.DUMMYFUNCTION("""COMPUTED_VALUE"""),26806)</f>
        <v>26806</v>
      </c>
      <c r="D317" s="12">
        <f ca="1">IFERROR(__xludf.DUMMYFUNCTION("""COMPUTED_VALUE"""),31010)</f>
        <v>31010</v>
      </c>
      <c r="E317" s="12">
        <f ca="1">IFERROR(__xludf.DUMMYFUNCTION("""COMPUTED_VALUE"""),13297)</f>
        <v>13297</v>
      </c>
      <c r="F317" s="12">
        <f ca="1">IFERROR(__xludf.DUMMYFUNCTION("""COMPUTED_VALUE"""),32610)</f>
        <v>32610</v>
      </c>
      <c r="G317" s="12">
        <f ca="1">IFERROR(__xludf.DUMMYFUNCTION("""COMPUTED_VALUE"""),13502)</f>
        <v>13502</v>
      </c>
      <c r="H317" s="12">
        <f ca="1">IFERROR(__xludf.DUMMYFUNCTION("""COMPUTED_VALUE"""),15382)</f>
        <v>15382</v>
      </c>
      <c r="I317" s="12">
        <f ca="1">IFERROR(__xludf.DUMMYFUNCTION("""COMPUTED_VALUE"""),11148)</f>
        <v>11148</v>
      </c>
      <c r="J317" s="12">
        <f ca="1">IFERROR(__xludf.DUMMYFUNCTION("""COMPUTED_VALUE"""),13584)</f>
        <v>13584</v>
      </c>
      <c r="K317" s="12">
        <f ca="1">IFERROR(__xludf.DUMMYFUNCTION("""COMPUTED_VALUE"""),16227)</f>
        <v>16227</v>
      </c>
      <c r="L317" s="12">
        <f ca="1">IFERROR(__xludf.DUMMYFUNCTION("""COMPUTED_VALUE"""),19444)</f>
        <v>19444</v>
      </c>
      <c r="M317" s="12">
        <f ca="1">IFERROR(__xludf.DUMMYFUNCTION("""COMPUTED_VALUE"""),29489)</f>
        <v>29489</v>
      </c>
      <c r="N317" s="12">
        <f ca="1">IFERROR(__xludf.DUMMYFUNCTION("""COMPUTED_VALUE"""),14463)</f>
        <v>14463</v>
      </c>
      <c r="O317" s="12">
        <f ca="1">IFERROR(__xludf.DUMMYFUNCTION("""COMPUTED_VALUE"""),23689)</f>
        <v>23689</v>
      </c>
      <c r="P317" s="12">
        <f ca="1">IFERROR(__xludf.DUMMYFUNCTION("""COMPUTED_VALUE"""),13891)</f>
        <v>13891</v>
      </c>
      <c r="Q317" s="12">
        <f ca="1">IFERROR(__xludf.DUMMYFUNCTION("""COMPUTED_VALUE"""),19005)</f>
        <v>19005</v>
      </c>
      <c r="R317" s="12">
        <f ca="1">IFERROR(__xludf.DUMMYFUNCTION("""COMPUTED_VALUE"""),8628)</f>
        <v>8628</v>
      </c>
      <c r="S317" s="12">
        <f ca="1">IFERROR(__xludf.DUMMYFUNCTION("""COMPUTED_VALUE"""),11282)</f>
        <v>11282</v>
      </c>
      <c r="T317" s="12">
        <f ca="1">IFERROR(__xludf.DUMMYFUNCTION("""COMPUTED_VALUE"""),18637)</f>
        <v>18637</v>
      </c>
      <c r="U317" s="12">
        <f ca="1">IFERROR(__xludf.DUMMYFUNCTION("""COMPUTED_VALUE"""),17981)</f>
        <v>17981</v>
      </c>
      <c r="V317" s="12">
        <f ca="1">IFERROR(__xludf.DUMMYFUNCTION("""COMPUTED_VALUE"""),19644)</f>
        <v>19644</v>
      </c>
      <c r="W317" s="12">
        <f ca="1">IFERROR(__xludf.DUMMYFUNCTION("""COMPUTED_VALUE"""),13485)</f>
        <v>13485</v>
      </c>
      <c r="X317" s="12">
        <f ca="1">IFERROR(__xludf.DUMMYFUNCTION("""COMPUTED_VALUE"""),42338)</f>
        <v>42338</v>
      </c>
      <c r="Y317" s="12">
        <f ca="1">IFERROR(__xludf.DUMMYFUNCTION("""COMPUTED_VALUE"""),25355)</f>
        <v>25355</v>
      </c>
      <c r="Z317" s="12">
        <f ca="1">IFERROR(__xludf.DUMMYFUNCTION("""COMPUTED_VALUE"""),39572)</f>
        <v>39572</v>
      </c>
      <c r="AA317" s="12">
        <f ca="1">IFERROR(__xludf.DUMMYFUNCTION("""COMPUTED_VALUE"""),25367)</f>
        <v>25367</v>
      </c>
      <c r="AB317" s="12">
        <f ca="1">IFERROR(__xludf.DUMMYFUNCTION("""COMPUTED_VALUE"""),21447)</f>
        <v>21447</v>
      </c>
      <c r="AC317" s="12">
        <f ca="1">IFERROR(__xludf.DUMMYFUNCTION("""COMPUTED_VALUE"""),22296)</f>
        <v>22296</v>
      </c>
      <c r="AD317" s="12">
        <f ca="1">IFERROR(__xludf.DUMMYFUNCTION("""COMPUTED_VALUE"""),18695)</f>
        <v>18695</v>
      </c>
      <c r="AE317" s="12">
        <f ca="1">IFERROR(__xludf.DUMMYFUNCTION("""COMPUTED_VALUE"""),31995)</f>
        <v>31995</v>
      </c>
      <c r="AF317" s="8">
        <f ca="1">IFERROR(__xludf.DUMMYFUNCTION("""COMPUTED_VALUE"""),40873)</f>
        <v>40873</v>
      </c>
      <c r="AG317" s="8">
        <f ca="1">IFERROR(__xludf.DUMMYFUNCTION("""COMPUTED_VALUE"""),12001)</f>
        <v>12001</v>
      </c>
      <c r="AH317" s="8">
        <f ca="1">IFERROR(__xludf.DUMMYFUNCTION("""COMPUTED_VALUE"""),19564)</f>
        <v>19564</v>
      </c>
      <c r="AI317" s="8">
        <f ca="1">IFERROR(__xludf.DUMMYFUNCTION("""COMPUTED_VALUE"""),13770)</f>
        <v>13770</v>
      </c>
      <c r="AJ317" s="8">
        <f ca="1">IFERROR(__xludf.DUMMYFUNCTION("""COMPUTED_VALUE"""),18938)</f>
        <v>18938</v>
      </c>
      <c r="AK317" s="8">
        <f ca="1">IFERROR(__xludf.DUMMYFUNCTION("""COMPUTED_VALUE"""),18963)</f>
        <v>18963</v>
      </c>
      <c r="AL317" s="8">
        <f ca="1">IFERROR(__xludf.DUMMYFUNCTION("""COMPUTED_VALUE"""),6766)</f>
        <v>6766</v>
      </c>
      <c r="AM317" s="8">
        <f ca="1">IFERROR(__xludf.DUMMYFUNCTION("""COMPUTED_VALUE"""),10719)</f>
        <v>10719</v>
      </c>
      <c r="AN317" s="8">
        <f ca="1">IFERROR(__xludf.DUMMYFUNCTION("""COMPUTED_VALUE"""),15247)</f>
        <v>15247</v>
      </c>
      <c r="AO317" s="8">
        <f ca="1">IFERROR(__xludf.DUMMYFUNCTION("""COMPUTED_VALUE"""),20415)</f>
        <v>20415</v>
      </c>
      <c r="AP317" s="8"/>
      <c r="AQ317" s="8"/>
      <c r="AR317" s="8"/>
      <c r="AS317" s="8"/>
      <c r="AT317" s="8"/>
      <c r="AU317" s="8"/>
      <c r="AV317" s="8"/>
      <c r="AW317" s="8"/>
      <c r="AX317" s="8"/>
      <c r="AY317" s="8"/>
    </row>
    <row r="318" spans="1:51" ht="13.2" x14ac:dyDescent="0.25">
      <c r="A318" s="12" t="str">
        <f ca="1">IFERROR(__xludf.DUMMYFUNCTION("""COMPUTED_VALUE"""),"               right Periaqueductal gray")</f>
        <v xml:space="preserve">               right Periaqueductal gray</v>
      </c>
      <c r="B318" s="12">
        <f ca="1">IFERROR(__xludf.DUMMYFUNCTION("""COMPUTED_VALUE"""),10392)</f>
        <v>10392</v>
      </c>
      <c r="C318" s="12">
        <f ca="1">IFERROR(__xludf.DUMMYFUNCTION("""COMPUTED_VALUE"""),30770)</f>
        <v>30770</v>
      </c>
      <c r="D318" s="12">
        <f ca="1">IFERROR(__xludf.DUMMYFUNCTION("""COMPUTED_VALUE"""),27707)</f>
        <v>27707</v>
      </c>
      <c r="E318" s="12">
        <f ca="1">IFERROR(__xludf.DUMMYFUNCTION("""COMPUTED_VALUE"""),18812)</f>
        <v>18812</v>
      </c>
      <c r="F318" s="12">
        <f ca="1">IFERROR(__xludf.DUMMYFUNCTION("""COMPUTED_VALUE"""),28567)</f>
        <v>28567</v>
      </c>
      <c r="G318" s="12">
        <f ca="1">IFERROR(__xludf.DUMMYFUNCTION("""COMPUTED_VALUE"""),15274)</f>
        <v>15274</v>
      </c>
      <c r="H318" s="12">
        <f ca="1">IFERROR(__xludf.DUMMYFUNCTION("""COMPUTED_VALUE"""),13700)</f>
        <v>13700</v>
      </c>
      <c r="I318" s="12">
        <f ca="1">IFERROR(__xludf.DUMMYFUNCTION("""COMPUTED_VALUE"""),10046)</f>
        <v>10046</v>
      </c>
      <c r="J318" s="12">
        <f ca="1">IFERROR(__xludf.DUMMYFUNCTION("""COMPUTED_VALUE"""),12929)</f>
        <v>12929</v>
      </c>
      <c r="K318" s="12">
        <f ca="1">IFERROR(__xludf.DUMMYFUNCTION("""COMPUTED_VALUE"""),18491)</f>
        <v>18491</v>
      </c>
      <c r="L318" s="12">
        <f ca="1">IFERROR(__xludf.DUMMYFUNCTION("""COMPUTED_VALUE"""),17442)</f>
        <v>17442</v>
      </c>
      <c r="M318" s="12">
        <f ca="1">IFERROR(__xludf.DUMMYFUNCTION("""COMPUTED_VALUE"""),32414)</f>
        <v>32414</v>
      </c>
      <c r="N318" s="12">
        <f ca="1">IFERROR(__xludf.DUMMYFUNCTION("""COMPUTED_VALUE"""),18069)</f>
        <v>18069</v>
      </c>
      <c r="O318" s="12">
        <f ca="1">IFERROR(__xludf.DUMMYFUNCTION("""COMPUTED_VALUE"""),27047)</f>
        <v>27047</v>
      </c>
      <c r="P318" s="12">
        <f ca="1">IFERROR(__xludf.DUMMYFUNCTION("""COMPUTED_VALUE"""),14804)</f>
        <v>14804</v>
      </c>
      <c r="Q318" s="12">
        <f ca="1">IFERROR(__xludf.DUMMYFUNCTION("""COMPUTED_VALUE"""),15730)</f>
        <v>15730</v>
      </c>
      <c r="R318" s="12">
        <f ca="1">IFERROR(__xludf.DUMMYFUNCTION("""COMPUTED_VALUE"""),9241)</f>
        <v>9241</v>
      </c>
      <c r="S318" s="12">
        <f ca="1">IFERROR(__xludf.DUMMYFUNCTION("""COMPUTED_VALUE"""),12409)</f>
        <v>12409</v>
      </c>
      <c r="T318" s="12">
        <f ca="1">IFERROR(__xludf.DUMMYFUNCTION("""COMPUTED_VALUE"""),8363)</f>
        <v>8363</v>
      </c>
      <c r="U318" s="12">
        <f ca="1">IFERROR(__xludf.DUMMYFUNCTION("""COMPUTED_VALUE"""),15457)</f>
        <v>15457</v>
      </c>
      <c r="V318" s="12">
        <f ca="1">IFERROR(__xludf.DUMMYFUNCTION("""COMPUTED_VALUE"""),20886)</f>
        <v>20886</v>
      </c>
      <c r="W318" s="12">
        <f ca="1">IFERROR(__xludf.DUMMYFUNCTION("""COMPUTED_VALUE"""),8967)</f>
        <v>8967</v>
      </c>
      <c r="X318" s="12">
        <f ca="1">IFERROR(__xludf.DUMMYFUNCTION("""COMPUTED_VALUE"""),29280)</f>
        <v>29280</v>
      </c>
      <c r="Y318" s="12">
        <f ca="1">IFERROR(__xludf.DUMMYFUNCTION("""COMPUTED_VALUE"""),22041)</f>
        <v>22041</v>
      </c>
      <c r="Z318" s="12">
        <f ca="1">IFERROR(__xludf.DUMMYFUNCTION("""COMPUTED_VALUE"""),22115)</f>
        <v>22115</v>
      </c>
      <c r="AA318" s="12">
        <f ca="1">IFERROR(__xludf.DUMMYFUNCTION("""COMPUTED_VALUE"""),16443)</f>
        <v>16443</v>
      </c>
      <c r="AB318" s="12">
        <f ca="1">IFERROR(__xludf.DUMMYFUNCTION("""COMPUTED_VALUE"""),9274)</f>
        <v>9274</v>
      </c>
      <c r="AC318" s="12">
        <f ca="1">IFERROR(__xludf.DUMMYFUNCTION("""COMPUTED_VALUE"""),17779)</f>
        <v>17779</v>
      </c>
      <c r="AD318" s="12">
        <f ca="1">IFERROR(__xludf.DUMMYFUNCTION("""COMPUTED_VALUE"""),11353)</f>
        <v>11353</v>
      </c>
      <c r="AE318" s="12">
        <f ca="1">IFERROR(__xludf.DUMMYFUNCTION("""COMPUTED_VALUE"""),26303)</f>
        <v>26303</v>
      </c>
      <c r="AF318" s="8">
        <f ca="1">IFERROR(__xludf.DUMMYFUNCTION("""COMPUTED_VALUE"""),26430)</f>
        <v>26430</v>
      </c>
      <c r="AG318" s="8">
        <f ca="1">IFERROR(__xludf.DUMMYFUNCTION("""COMPUTED_VALUE"""),9356)</f>
        <v>9356</v>
      </c>
      <c r="AH318" s="8">
        <f ca="1">IFERROR(__xludf.DUMMYFUNCTION("""COMPUTED_VALUE"""),14288)</f>
        <v>14288</v>
      </c>
      <c r="AI318" s="8">
        <f ca="1">IFERROR(__xludf.DUMMYFUNCTION("""COMPUTED_VALUE"""),11675)</f>
        <v>11675</v>
      </c>
      <c r="AJ318" s="8">
        <f ca="1">IFERROR(__xludf.DUMMYFUNCTION("""COMPUTED_VALUE"""),15267)</f>
        <v>15267</v>
      </c>
      <c r="AK318" s="8">
        <f ca="1">IFERROR(__xludf.DUMMYFUNCTION("""COMPUTED_VALUE"""),8903)</f>
        <v>8903</v>
      </c>
      <c r="AL318" s="8">
        <f ca="1">IFERROR(__xludf.DUMMYFUNCTION("""COMPUTED_VALUE"""),8553)</f>
        <v>8553</v>
      </c>
      <c r="AM318" s="8">
        <f ca="1">IFERROR(__xludf.DUMMYFUNCTION("""COMPUTED_VALUE"""),8171)</f>
        <v>8171</v>
      </c>
      <c r="AN318" s="8">
        <f ca="1">IFERROR(__xludf.DUMMYFUNCTION("""COMPUTED_VALUE"""),12085)</f>
        <v>12085</v>
      </c>
      <c r="AO318" s="8">
        <f ca="1">IFERROR(__xludf.DUMMYFUNCTION("""COMPUTED_VALUE"""),7171)</f>
        <v>7171</v>
      </c>
      <c r="AP318" s="8"/>
      <c r="AQ318" s="8"/>
      <c r="AR318" s="8"/>
      <c r="AS318" s="8"/>
      <c r="AT318" s="8"/>
      <c r="AU318" s="8"/>
      <c r="AV318" s="8"/>
      <c r="AW318" s="8"/>
      <c r="AX318" s="8"/>
      <c r="AY318" s="8"/>
    </row>
    <row r="319" spans="1:51" ht="13.2" x14ac:dyDescent="0.25">
      <c r="A319" s="12" t="str">
        <f ca="1">IFERROR(__xludf.DUMMYFUNCTION("""COMPUTED_VALUE"""),"               right Pretectal region")</f>
        <v xml:space="preserve">               right Pretectal region</v>
      </c>
      <c r="B319" s="12">
        <f ca="1">IFERROR(__xludf.DUMMYFUNCTION("""COMPUTED_VALUE"""),3890)</f>
        <v>3890</v>
      </c>
      <c r="C319" s="12">
        <f ca="1">IFERROR(__xludf.DUMMYFUNCTION("""COMPUTED_VALUE"""),7991)</f>
        <v>7991</v>
      </c>
      <c r="D319" s="12">
        <f ca="1">IFERROR(__xludf.DUMMYFUNCTION("""COMPUTED_VALUE"""),5989)</f>
        <v>5989</v>
      </c>
      <c r="E319" s="12">
        <f ca="1">IFERROR(__xludf.DUMMYFUNCTION("""COMPUTED_VALUE"""),4252)</f>
        <v>4252</v>
      </c>
      <c r="F319" s="12">
        <f ca="1">IFERROR(__xludf.DUMMYFUNCTION("""COMPUTED_VALUE"""),6439)</f>
        <v>6439</v>
      </c>
      <c r="G319" s="12">
        <f ca="1">IFERROR(__xludf.DUMMYFUNCTION("""COMPUTED_VALUE"""),3026)</f>
        <v>3026</v>
      </c>
      <c r="H319" s="12">
        <f ca="1">IFERROR(__xludf.DUMMYFUNCTION("""COMPUTED_VALUE"""),5617)</f>
        <v>5617</v>
      </c>
      <c r="I319" s="12">
        <f ca="1">IFERROR(__xludf.DUMMYFUNCTION("""COMPUTED_VALUE"""),2768)</f>
        <v>2768</v>
      </c>
      <c r="J319" s="12">
        <f ca="1">IFERROR(__xludf.DUMMYFUNCTION("""COMPUTED_VALUE"""),4731)</f>
        <v>4731</v>
      </c>
      <c r="K319" s="12">
        <f ca="1">IFERROR(__xludf.DUMMYFUNCTION("""COMPUTED_VALUE"""),4700)</f>
        <v>4700</v>
      </c>
      <c r="L319" s="12">
        <f ca="1">IFERROR(__xludf.DUMMYFUNCTION("""COMPUTED_VALUE"""),5095)</f>
        <v>5095</v>
      </c>
      <c r="M319" s="12">
        <f ca="1">IFERROR(__xludf.DUMMYFUNCTION("""COMPUTED_VALUE"""),4926)</f>
        <v>4926</v>
      </c>
      <c r="N319" s="12">
        <f ca="1">IFERROR(__xludf.DUMMYFUNCTION("""COMPUTED_VALUE"""),10257)</f>
        <v>10257</v>
      </c>
      <c r="O319" s="12">
        <f ca="1">IFERROR(__xludf.DUMMYFUNCTION("""COMPUTED_VALUE"""),4624)</f>
        <v>4624</v>
      </c>
      <c r="P319" s="12">
        <f ca="1">IFERROR(__xludf.DUMMYFUNCTION("""COMPUTED_VALUE"""),4634)</f>
        <v>4634</v>
      </c>
      <c r="Q319" s="12">
        <f ca="1">IFERROR(__xludf.DUMMYFUNCTION("""COMPUTED_VALUE"""),4998)</f>
        <v>4998</v>
      </c>
      <c r="R319" s="12">
        <f ca="1">IFERROR(__xludf.DUMMYFUNCTION("""COMPUTED_VALUE"""),4558)</f>
        <v>4558</v>
      </c>
      <c r="S319" s="12">
        <f ca="1">IFERROR(__xludf.DUMMYFUNCTION("""COMPUTED_VALUE"""),1964)</f>
        <v>1964</v>
      </c>
      <c r="T319" s="12">
        <f ca="1">IFERROR(__xludf.DUMMYFUNCTION("""COMPUTED_VALUE"""),4458)</f>
        <v>4458</v>
      </c>
      <c r="U319" s="12">
        <f ca="1">IFERROR(__xludf.DUMMYFUNCTION("""COMPUTED_VALUE"""),3191)</f>
        <v>3191</v>
      </c>
      <c r="V319" s="12">
        <f ca="1">IFERROR(__xludf.DUMMYFUNCTION("""COMPUTED_VALUE"""),4463)</f>
        <v>4463</v>
      </c>
      <c r="W319" s="12">
        <f ca="1">IFERROR(__xludf.DUMMYFUNCTION("""COMPUTED_VALUE"""),12095)</f>
        <v>12095</v>
      </c>
      <c r="X319" s="12">
        <f ca="1">IFERROR(__xludf.DUMMYFUNCTION("""COMPUTED_VALUE"""),10890)</f>
        <v>10890</v>
      </c>
      <c r="Y319" s="12">
        <f ca="1">IFERROR(__xludf.DUMMYFUNCTION("""COMPUTED_VALUE"""),5437)</f>
        <v>5437</v>
      </c>
      <c r="Z319" s="12">
        <f ca="1">IFERROR(__xludf.DUMMYFUNCTION("""COMPUTED_VALUE"""),7567)</f>
        <v>7567</v>
      </c>
      <c r="AA319" s="12">
        <f ca="1">IFERROR(__xludf.DUMMYFUNCTION("""COMPUTED_VALUE"""),6340)</f>
        <v>6340</v>
      </c>
      <c r="AB319" s="12">
        <f ca="1">IFERROR(__xludf.DUMMYFUNCTION("""COMPUTED_VALUE"""),4346)</f>
        <v>4346</v>
      </c>
      <c r="AC319" s="12">
        <f ca="1">IFERROR(__xludf.DUMMYFUNCTION("""COMPUTED_VALUE"""),8275)</f>
        <v>8275</v>
      </c>
      <c r="AD319" s="12">
        <f ca="1">IFERROR(__xludf.DUMMYFUNCTION("""COMPUTED_VALUE"""),7469)</f>
        <v>7469</v>
      </c>
      <c r="AE319" s="12">
        <f ca="1">IFERROR(__xludf.DUMMYFUNCTION("""COMPUTED_VALUE"""),4859)</f>
        <v>4859</v>
      </c>
      <c r="AF319" s="8">
        <f ca="1">IFERROR(__xludf.DUMMYFUNCTION("""COMPUTED_VALUE"""),9249)</f>
        <v>9249</v>
      </c>
      <c r="AG319" s="8">
        <f ca="1">IFERROR(__xludf.DUMMYFUNCTION("""COMPUTED_VALUE"""),1449)</f>
        <v>1449</v>
      </c>
      <c r="AH319" s="8">
        <f ca="1">IFERROR(__xludf.DUMMYFUNCTION("""COMPUTED_VALUE"""),5023)</f>
        <v>5023</v>
      </c>
      <c r="AI319" s="8">
        <f ca="1">IFERROR(__xludf.DUMMYFUNCTION("""COMPUTED_VALUE"""),1281)</f>
        <v>1281</v>
      </c>
      <c r="AJ319" s="8">
        <f ca="1">IFERROR(__xludf.DUMMYFUNCTION("""COMPUTED_VALUE"""),3902)</f>
        <v>3902</v>
      </c>
      <c r="AK319" s="8">
        <f ca="1">IFERROR(__xludf.DUMMYFUNCTION("""COMPUTED_VALUE"""),3895)</f>
        <v>3895</v>
      </c>
      <c r="AL319" s="8">
        <f ca="1">IFERROR(__xludf.DUMMYFUNCTION("""COMPUTED_VALUE"""),3459)</f>
        <v>3459</v>
      </c>
      <c r="AM319" s="8">
        <f ca="1">IFERROR(__xludf.DUMMYFUNCTION("""COMPUTED_VALUE"""),2532)</f>
        <v>2532</v>
      </c>
      <c r="AN319" s="8">
        <f ca="1">IFERROR(__xludf.DUMMYFUNCTION("""COMPUTED_VALUE"""),2798)</f>
        <v>2798</v>
      </c>
      <c r="AO319" s="8">
        <f ca="1">IFERROR(__xludf.DUMMYFUNCTION("""COMPUTED_VALUE"""),7527)</f>
        <v>7527</v>
      </c>
      <c r="AP319" s="8"/>
      <c r="AQ319" s="8"/>
      <c r="AR319" s="8"/>
      <c r="AS319" s="8"/>
      <c r="AT319" s="8"/>
      <c r="AU319" s="8"/>
      <c r="AV319" s="8"/>
      <c r="AW319" s="8"/>
      <c r="AX319" s="8"/>
      <c r="AY319" s="8"/>
    </row>
    <row r="320" spans="1:51" ht="13.2" x14ac:dyDescent="0.25">
      <c r="A320" s="12" t="str">
        <f ca="1">IFERROR(__xludf.DUMMYFUNCTION("""COMPUTED_VALUE"""),"            right Midbrain, behavioral state related")</f>
        <v xml:space="preserve">            right Midbrain, behavioral state related</v>
      </c>
      <c r="B320" s="12">
        <f ca="1">IFERROR(__xludf.DUMMYFUNCTION("""COMPUTED_VALUE"""),1402)</f>
        <v>1402</v>
      </c>
      <c r="C320" s="12">
        <f ca="1">IFERROR(__xludf.DUMMYFUNCTION("""COMPUTED_VALUE"""),4331)</f>
        <v>4331</v>
      </c>
      <c r="D320" s="12">
        <f ca="1">IFERROR(__xludf.DUMMYFUNCTION("""COMPUTED_VALUE"""),3721)</f>
        <v>3721</v>
      </c>
      <c r="E320" s="12">
        <f ca="1">IFERROR(__xludf.DUMMYFUNCTION("""COMPUTED_VALUE"""),3688)</f>
        <v>3688</v>
      </c>
      <c r="F320" s="12">
        <f ca="1">IFERROR(__xludf.DUMMYFUNCTION("""COMPUTED_VALUE"""),4893)</f>
        <v>4893</v>
      </c>
      <c r="G320" s="12">
        <f ca="1">IFERROR(__xludf.DUMMYFUNCTION("""COMPUTED_VALUE"""),1526)</f>
        <v>1526</v>
      </c>
      <c r="H320" s="12">
        <f ca="1">IFERROR(__xludf.DUMMYFUNCTION("""COMPUTED_VALUE"""),1215)</f>
        <v>1215</v>
      </c>
      <c r="I320" s="12">
        <f ca="1">IFERROR(__xludf.DUMMYFUNCTION("""COMPUTED_VALUE"""),1378)</f>
        <v>1378</v>
      </c>
      <c r="J320" s="12">
        <f ca="1">IFERROR(__xludf.DUMMYFUNCTION("""COMPUTED_VALUE"""),2006)</f>
        <v>2006</v>
      </c>
      <c r="K320" s="12">
        <f ca="1">IFERROR(__xludf.DUMMYFUNCTION("""COMPUTED_VALUE"""),2718)</f>
        <v>2718</v>
      </c>
      <c r="L320" s="12">
        <f ca="1">IFERROR(__xludf.DUMMYFUNCTION("""COMPUTED_VALUE"""),2398)</f>
        <v>2398</v>
      </c>
      <c r="M320" s="12">
        <f ca="1">IFERROR(__xludf.DUMMYFUNCTION("""COMPUTED_VALUE"""),3560)</f>
        <v>3560</v>
      </c>
      <c r="N320" s="12">
        <f ca="1">IFERROR(__xludf.DUMMYFUNCTION("""COMPUTED_VALUE"""),6185)</f>
        <v>6185</v>
      </c>
      <c r="O320" s="12">
        <f ca="1">IFERROR(__xludf.DUMMYFUNCTION("""COMPUTED_VALUE"""),3526)</f>
        <v>3526</v>
      </c>
      <c r="P320" s="12">
        <f ca="1">IFERROR(__xludf.DUMMYFUNCTION("""COMPUTED_VALUE"""),1814)</f>
        <v>1814</v>
      </c>
      <c r="Q320" s="12">
        <f ca="1">IFERROR(__xludf.DUMMYFUNCTION("""COMPUTED_VALUE"""),2025)</f>
        <v>2025</v>
      </c>
      <c r="R320" s="12">
        <f ca="1">IFERROR(__xludf.DUMMYFUNCTION("""COMPUTED_VALUE"""),721)</f>
        <v>721</v>
      </c>
      <c r="S320" s="12">
        <f ca="1">IFERROR(__xludf.DUMMYFUNCTION("""COMPUTED_VALUE"""),686)</f>
        <v>686</v>
      </c>
      <c r="T320" s="12">
        <f ca="1">IFERROR(__xludf.DUMMYFUNCTION("""COMPUTED_VALUE"""),1528)</f>
        <v>1528</v>
      </c>
      <c r="U320" s="12">
        <f ca="1">IFERROR(__xludf.DUMMYFUNCTION("""COMPUTED_VALUE"""),1880)</f>
        <v>1880</v>
      </c>
      <c r="V320" s="12">
        <f ca="1">IFERROR(__xludf.DUMMYFUNCTION("""COMPUTED_VALUE"""),3290)</f>
        <v>3290</v>
      </c>
      <c r="W320" s="12">
        <f ca="1">IFERROR(__xludf.DUMMYFUNCTION("""COMPUTED_VALUE"""),3852)</f>
        <v>3852</v>
      </c>
      <c r="X320" s="12">
        <f ca="1">IFERROR(__xludf.DUMMYFUNCTION("""COMPUTED_VALUE"""),10131)</f>
        <v>10131</v>
      </c>
      <c r="Y320" s="12">
        <f ca="1">IFERROR(__xludf.DUMMYFUNCTION("""COMPUTED_VALUE"""),2431)</f>
        <v>2431</v>
      </c>
      <c r="Z320" s="12">
        <f ca="1">IFERROR(__xludf.DUMMYFUNCTION("""COMPUTED_VALUE"""),7017)</f>
        <v>7017</v>
      </c>
      <c r="AA320" s="12">
        <f ca="1">IFERROR(__xludf.DUMMYFUNCTION("""COMPUTED_VALUE"""),2280)</f>
        <v>2280</v>
      </c>
      <c r="AB320" s="12">
        <f ca="1">IFERROR(__xludf.DUMMYFUNCTION("""COMPUTED_VALUE"""),940)</f>
        <v>940</v>
      </c>
      <c r="AC320" s="12">
        <f ca="1">IFERROR(__xludf.DUMMYFUNCTION("""COMPUTED_VALUE"""),1210)</f>
        <v>1210</v>
      </c>
      <c r="AD320" s="12">
        <f ca="1">IFERROR(__xludf.DUMMYFUNCTION("""COMPUTED_VALUE"""),2651)</f>
        <v>2651</v>
      </c>
      <c r="AE320" s="12">
        <f ca="1">IFERROR(__xludf.DUMMYFUNCTION("""COMPUTED_VALUE"""),3813)</f>
        <v>3813</v>
      </c>
      <c r="AF320" s="8">
        <f ca="1">IFERROR(__xludf.DUMMYFUNCTION("""COMPUTED_VALUE"""),3064)</f>
        <v>3064</v>
      </c>
      <c r="AG320" s="8">
        <f ca="1">IFERROR(__xludf.DUMMYFUNCTION("""COMPUTED_VALUE"""),3180)</f>
        <v>3180</v>
      </c>
      <c r="AH320" s="8">
        <f ca="1">IFERROR(__xludf.DUMMYFUNCTION("""COMPUTED_VALUE"""),3647)</f>
        <v>3647</v>
      </c>
      <c r="AI320" s="8">
        <f ca="1">IFERROR(__xludf.DUMMYFUNCTION("""COMPUTED_VALUE"""),2388)</f>
        <v>2388</v>
      </c>
      <c r="AJ320" s="8">
        <f ca="1">IFERROR(__xludf.DUMMYFUNCTION("""COMPUTED_VALUE"""),1542)</f>
        <v>1542</v>
      </c>
      <c r="AK320" s="8">
        <f ca="1">IFERROR(__xludf.DUMMYFUNCTION("""COMPUTED_VALUE"""),503)</f>
        <v>503</v>
      </c>
      <c r="AL320" s="8">
        <f ca="1">IFERROR(__xludf.DUMMYFUNCTION("""COMPUTED_VALUE"""),683)</f>
        <v>683</v>
      </c>
      <c r="AM320" s="8">
        <f ca="1">IFERROR(__xludf.DUMMYFUNCTION("""COMPUTED_VALUE"""),2356)</f>
        <v>2356</v>
      </c>
      <c r="AN320" s="8">
        <f ca="1">IFERROR(__xludf.DUMMYFUNCTION("""COMPUTED_VALUE"""),1541)</f>
        <v>1541</v>
      </c>
      <c r="AO320" s="8">
        <f ca="1">IFERROR(__xludf.DUMMYFUNCTION("""COMPUTED_VALUE"""),3046)</f>
        <v>3046</v>
      </c>
      <c r="AP320" s="8"/>
      <c r="AQ320" s="8"/>
      <c r="AR320" s="8"/>
      <c r="AS320" s="8"/>
      <c r="AT320" s="8"/>
      <c r="AU320" s="8"/>
      <c r="AV320" s="8"/>
      <c r="AW320" s="8"/>
      <c r="AX320" s="8"/>
      <c r="AY320" s="8"/>
    </row>
    <row r="321" spans="1:51" ht="13.2" x14ac:dyDescent="0.25">
      <c r="A321" s="12" t="str">
        <f ca="1">IFERROR(__xludf.DUMMYFUNCTION("""COMPUTED_VALUE"""),"         right Hindbrain")</f>
        <v xml:space="preserve">         right Hindbrain</v>
      </c>
      <c r="B321" s="12">
        <f ca="1">IFERROR(__xludf.DUMMYFUNCTION("""COMPUTED_VALUE"""),25045)</f>
        <v>25045</v>
      </c>
      <c r="C321" s="12">
        <f ca="1">IFERROR(__xludf.DUMMYFUNCTION("""COMPUTED_VALUE"""),52707)</f>
        <v>52707</v>
      </c>
      <c r="D321" s="12">
        <f ca="1">IFERROR(__xludf.DUMMYFUNCTION("""COMPUTED_VALUE"""),44881)</f>
        <v>44881</v>
      </c>
      <c r="E321" s="12">
        <f ca="1">IFERROR(__xludf.DUMMYFUNCTION("""COMPUTED_VALUE"""),40464)</f>
        <v>40464</v>
      </c>
      <c r="F321" s="12">
        <f ca="1">IFERROR(__xludf.DUMMYFUNCTION("""COMPUTED_VALUE"""),42926)</f>
        <v>42926</v>
      </c>
      <c r="G321" s="12">
        <f ca="1">IFERROR(__xludf.DUMMYFUNCTION("""COMPUTED_VALUE"""),19170)</f>
        <v>19170</v>
      </c>
      <c r="H321" s="12">
        <f ca="1">IFERROR(__xludf.DUMMYFUNCTION("""COMPUTED_VALUE"""),10782)</f>
        <v>10782</v>
      </c>
      <c r="I321" s="12">
        <f ca="1">IFERROR(__xludf.DUMMYFUNCTION("""COMPUTED_VALUE"""),13982)</f>
        <v>13982</v>
      </c>
      <c r="J321" s="12">
        <f ca="1">IFERROR(__xludf.DUMMYFUNCTION("""COMPUTED_VALUE"""),14361)</f>
        <v>14361</v>
      </c>
      <c r="K321" s="12">
        <f ca="1">IFERROR(__xludf.DUMMYFUNCTION("""COMPUTED_VALUE"""),29477)</f>
        <v>29477</v>
      </c>
      <c r="L321" s="12">
        <f ca="1">IFERROR(__xludf.DUMMYFUNCTION("""COMPUTED_VALUE"""),31118)</f>
        <v>31118</v>
      </c>
      <c r="M321" s="12">
        <f ca="1">IFERROR(__xludf.DUMMYFUNCTION("""COMPUTED_VALUE"""),60299)</f>
        <v>60299</v>
      </c>
      <c r="N321" s="12">
        <f ca="1">IFERROR(__xludf.DUMMYFUNCTION("""COMPUTED_VALUE"""),44966)</f>
        <v>44966</v>
      </c>
      <c r="O321" s="12">
        <f ca="1">IFERROR(__xludf.DUMMYFUNCTION("""COMPUTED_VALUE"""),50813)</f>
        <v>50813</v>
      </c>
      <c r="P321" s="12">
        <f ca="1">IFERROR(__xludf.DUMMYFUNCTION("""COMPUTED_VALUE"""),18920)</f>
        <v>18920</v>
      </c>
      <c r="Q321" s="12">
        <f ca="1">IFERROR(__xludf.DUMMYFUNCTION("""COMPUTED_VALUE"""),17076)</f>
        <v>17076</v>
      </c>
      <c r="R321" s="12">
        <f ca="1">IFERROR(__xludf.DUMMYFUNCTION("""COMPUTED_VALUE"""),15345)</f>
        <v>15345</v>
      </c>
      <c r="S321" s="12">
        <f ca="1">IFERROR(__xludf.DUMMYFUNCTION("""COMPUTED_VALUE"""),12452)</f>
        <v>12452</v>
      </c>
      <c r="T321" s="12">
        <f ca="1">IFERROR(__xludf.DUMMYFUNCTION("""COMPUTED_VALUE"""),16505)</f>
        <v>16505</v>
      </c>
      <c r="U321" s="12">
        <f ca="1">IFERROR(__xludf.DUMMYFUNCTION("""COMPUTED_VALUE"""),21612)</f>
        <v>21612</v>
      </c>
      <c r="V321" s="12">
        <f ca="1">IFERROR(__xludf.DUMMYFUNCTION("""COMPUTED_VALUE"""),31102)</f>
        <v>31102</v>
      </c>
      <c r="W321" s="12">
        <f ca="1">IFERROR(__xludf.DUMMYFUNCTION("""COMPUTED_VALUE"""),33555)</f>
        <v>33555</v>
      </c>
      <c r="X321" s="12">
        <f ca="1">IFERROR(__xludf.DUMMYFUNCTION("""COMPUTED_VALUE"""),91690)</f>
        <v>91690</v>
      </c>
      <c r="Y321" s="12">
        <f ca="1">IFERROR(__xludf.DUMMYFUNCTION("""COMPUTED_VALUE"""),28389)</f>
        <v>28389</v>
      </c>
      <c r="Z321" s="12">
        <f ca="1">IFERROR(__xludf.DUMMYFUNCTION("""COMPUTED_VALUE"""),41863)</f>
        <v>41863</v>
      </c>
      <c r="AA321" s="12">
        <f ca="1">IFERROR(__xludf.DUMMYFUNCTION("""COMPUTED_VALUE"""),35504)</f>
        <v>35504</v>
      </c>
      <c r="AB321" s="12">
        <f ca="1">IFERROR(__xludf.DUMMYFUNCTION("""COMPUTED_VALUE"""),12611)</f>
        <v>12611</v>
      </c>
      <c r="AC321" s="12">
        <f ca="1">IFERROR(__xludf.DUMMYFUNCTION("""COMPUTED_VALUE"""),16758)</f>
        <v>16758</v>
      </c>
      <c r="AD321" s="12">
        <f ca="1">IFERROR(__xludf.DUMMYFUNCTION("""COMPUTED_VALUE"""),32790)</f>
        <v>32790</v>
      </c>
      <c r="AE321" s="12">
        <f ca="1">IFERROR(__xludf.DUMMYFUNCTION("""COMPUTED_VALUE"""),50421)</f>
        <v>50421</v>
      </c>
      <c r="AF321" s="8">
        <f ca="1">IFERROR(__xludf.DUMMYFUNCTION("""COMPUTED_VALUE"""),31455)</f>
        <v>31455</v>
      </c>
      <c r="AG321" s="8">
        <f ca="1">IFERROR(__xludf.DUMMYFUNCTION("""COMPUTED_VALUE"""),25111)</f>
        <v>25111</v>
      </c>
      <c r="AH321" s="8">
        <f ca="1">IFERROR(__xludf.DUMMYFUNCTION("""COMPUTED_VALUE"""),23962)</f>
        <v>23962</v>
      </c>
      <c r="AI321" s="8">
        <f ca="1">IFERROR(__xludf.DUMMYFUNCTION("""COMPUTED_VALUE"""),30995)</f>
        <v>30995</v>
      </c>
      <c r="AJ321" s="8">
        <f ca="1">IFERROR(__xludf.DUMMYFUNCTION("""COMPUTED_VALUE"""),16390)</f>
        <v>16390</v>
      </c>
      <c r="AK321" s="8">
        <f ca="1">IFERROR(__xludf.DUMMYFUNCTION("""COMPUTED_VALUE"""),5988)</f>
        <v>5988</v>
      </c>
      <c r="AL321" s="8">
        <f ca="1">IFERROR(__xludf.DUMMYFUNCTION("""COMPUTED_VALUE"""),19154)</f>
        <v>19154</v>
      </c>
      <c r="AM321" s="8">
        <f ca="1">IFERROR(__xludf.DUMMYFUNCTION("""COMPUTED_VALUE"""),26705)</f>
        <v>26705</v>
      </c>
      <c r="AN321" s="8">
        <f ca="1">IFERROR(__xludf.DUMMYFUNCTION("""COMPUTED_VALUE"""),24980)</f>
        <v>24980</v>
      </c>
      <c r="AO321" s="8">
        <f ca="1">IFERROR(__xludf.DUMMYFUNCTION("""COMPUTED_VALUE"""),13522)</f>
        <v>13522</v>
      </c>
      <c r="AP321" s="8"/>
      <c r="AQ321" s="8"/>
      <c r="AR321" s="8"/>
      <c r="AS321" s="8"/>
      <c r="AT321" s="8"/>
      <c r="AU321" s="8"/>
      <c r="AV321" s="8"/>
      <c r="AW321" s="8"/>
      <c r="AX321" s="8"/>
      <c r="AY321" s="8"/>
    </row>
    <row r="322" spans="1:51" ht="13.2" x14ac:dyDescent="0.25">
      <c r="A322" s="12" t="str">
        <f ca="1">IFERROR(__xludf.DUMMYFUNCTION("""COMPUTED_VALUE"""),"            right Pons")</f>
        <v xml:space="preserve">            right Pons</v>
      </c>
      <c r="B322" s="12">
        <f ca="1">IFERROR(__xludf.DUMMYFUNCTION("""COMPUTED_VALUE"""),11560)</f>
        <v>11560</v>
      </c>
      <c r="C322" s="12">
        <f ca="1">IFERROR(__xludf.DUMMYFUNCTION("""COMPUTED_VALUE"""),31559)</f>
        <v>31559</v>
      </c>
      <c r="D322" s="12">
        <f ca="1">IFERROR(__xludf.DUMMYFUNCTION("""COMPUTED_VALUE"""),16080)</f>
        <v>16080</v>
      </c>
      <c r="E322" s="12">
        <f ca="1">IFERROR(__xludf.DUMMYFUNCTION("""COMPUTED_VALUE"""),20284)</f>
        <v>20284</v>
      </c>
      <c r="F322" s="12">
        <f ca="1">IFERROR(__xludf.DUMMYFUNCTION("""COMPUTED_VALUE"""),19554)</f>
        <v>19554</v>
      </c>
      <c r="G322" s="12">
        <f ca="1">IFERROR(__xludf.DUMMYFUNCTION("""COMPUTED_VALUE"""),10178)</f>
        <v>10178</v>
      </c>
      <c r="H322" s="12">
        <f ca="1">IFERROR(__xludf.DUMMYFUNCTION("""COMPUTED_VALUE"""),5355)</f>
        <v>5355</v>
      </c>
      <c r="I322" s="12">
        <f ca="1">IFERROR(__xludf.DUMMYFUNCTION("""COMPUTED_VALUE"""),6073)</f>
        <v>6073</v>
      </c>
      <c r="J322" s="12">
        <f ca="1">IFERROR(__xludf.DUMMYFUNCTION("""COMPUTED_VALUE"""),9960)</f>
        <v>9960</v>
      </c>
      <c r="K322" s="12">
        <f ca="1">IFERROR(__xludf.DUMMYFUNCTION("""COMPUTED_VALUE"""),17448)</f>
        <v>17448</v>
      </c>
      <c r="L322" s="12">
        <f ca="1">IFERROR(__xludf.DUMMYFUNCTION("""COMPUTED_VALUE"""),11125)</f>
        <v>11125</v>
      </c>
      <c r="M322" s="12">
        <f ca="1">IFERROR(__xludf.DUMMYFUNCTION("""COMPUTED_VALUE"""),32247)</f>
        <v>32247</v>
      </c>
      <c r="N322" s="12">
        <f ca="1">IFERROR(__xludf.DUMMYFUNCTION("""COMPUTED_VALUE"""),28346)</f>
        <v>28346</v>
      </c>
      <c r="O322" s="12">
        <f ca="1">IFERROR(__xludf.DUMMYFUNCTION("""COMPUTED_VALUE"""),32121)</f>
        <v>32121</v>
      </c>
      <c r="P322" s="12">
        <f ca="1">IFERROR(__xludf.DUMMYFUNCTION("""COMPUTED_VALUE"""),12505)</f>
        <v>12505</v>
      </c>
      <c r="Q322" s="12">
        <f ca="1">IFERROR(__xludf.DUMMYFUNCTION("""COMPUTED_VALUE"""),10654)</f>
        <v>10654</v>
      </c>
      <c r="R322" s="12">
        <f ca="1">IFERROR(__xludf.DUMMYFUNCTION("""COMPUTED_VALUE"""),10042)</f>
        <v>10042</v>
      </c>
      <c r="S322" s="12">
        <f ca="1">IFERROR(__xludf.DUMMYFUNCTION("""COMPUTED_VALUE"""),5658)</f>
        <v>5658</v>
      </c>
      <c r="T322" s="12">
        <f ca="1">IFERROR(__xludf.DUMMYFUNCTION("""COMPUTED_VALUE"""),5254)</f>
        <v>5254</v>
      </c>
      <c r="U322" s="12">
        <f ca="1">IFERROR(__xludf.DUMMYFUNCTION("""COMPUTED_VALUE"""),9477)</f>
        <v>9477</v>
      </c>
      <c r="V322" s="12">
        <f ca="1">IFERROR(__xludf.DUMMYFUNCTION("""COMPUTED_VALUE"""),16081)</f>
        <v>16081</v>
      </c>
      <c r="W322" s="12">
        <f ca="1">IFERROR(__xludf.DUMMYFUNCTION("""COMPUTED_VALUE"""),17658)</f>
        <v>17658</v>
      </c>
      <c r="X322" s="12">
        <f ca="1">IFERROR(__xludf.DUMMYFUNCTION("""COMPUTED_VALUE"""),42520)</f>
        <v>42520</v>
      </c>
      <c r="Y322" s="12">
        <f ca="1">IFERROR(__xludf.DUMMYFUNCTION("""COMPUTED_VALUE"""),14805)</f>
        <v>14805</v>
      </c>
      <c r="Z322" s="12">
        <f ca="1">IFERROR(__xludf.DUMMYFUNCTION("""COMPUTED_VALUE"""),20374)</f>
        <v>20374</v>
      </c>
      <c r="AA322" s="12">
        <f ca="1">IFERROR(__xludf.DUMMYFUNCTION("""COMPUTED_VALUE"""),12564)</f>
        <v>12564</v>
      </c>
      <c r="AB322" s="12">
        <f ca="1">IFERROR(__xludf.DUMMYFUNCTION("""COMPUTED_VALUE"""),4967)</f>
        <v>4967</v>
      </c>
      <c r="AC322" s="12">
        <f ca="1">IFERROR(__xludf.DUMMYFUNCTION("""COMPUTED_VALUE"""),7650)</f>
        <v>7650</v>
      </c>
      <c r="AD322" s="12">
        <f ca="1">IFERROR(__xludf.DUMMYFUNCTION("""COMPUTED_VALUE"""),15304)</f>
        <v>15304</v>
      </c>
      <c r="AE322" s="12">
        <f ca="1">IFERROR(__xludf.DUMMYFUNCTION("""COMPUTED_VALUE"""),27787)</f>
        <v>27787</v>
      </c>
      <c r="AF322" s="8">
        <f ca="1">IFERROR(__xludf.DUMMYFUNCTION("""COMPUTED_VALUE"""),14052)</f>
        <v>14052</v>
      </c>
      <c r="AG322" s="8">
        <f ca="1">IFERROR(__xludf.DUMMYFUNCTION("""COMPUTED_VALUE"""),11125)</f>
        <v>11125</v>
      </c>
      <c r="AH322" s="8">
        <f ca="1">IFERROR(__xludf.DUMMYFUNCTION("""COMPUTED_VALUE"""),16770)</f>
        <v>16770</v>
      </c>
      <c r="AI322" s="8">
        <f ca="1">IFERROR(__xludf.DUMMYFUNCTION("""COMPUTED_VALUE"""),10865)</f>
        <v>10865</v>
      </c>
      <c r="AJ322" s="8">
        <f ca="1">IFERROR(__xludf.DUMMYFUNCTION("""COMPUTED_VALUE"""),8639)</f>
        <v>8639</v>
      </c>
      <c r="AK322" s="8">
        <f ca="1">IFERROR(__xludf.DUMMYFUNCTION("""COMPUTED_VALUE"""),2046)</f>
        <v>2046</v>
      </c>
      <c r="AL322" s="8">
        <f ca="1">IFERROR(__xludf.DUMMYFUNCTION("""COMPUTED_VALUE"""),5978)</f>
        <v>5978</v>
      </c>
      <c r="AM322" s="8">
        <f ca="1">IFERROR(__xludf.DUMMYFUNCTION("""COMPUTED_VALUE"""),14661)</f>
        <v>14661</v>
      </c>
      <c r="AN322" s="8">
        <f ca="1">IFERROR(__xludf.DUMMYFUNCTION("""COMPUTED_VALUE"""),11159)</f>
        <v>11159</v>
      </c>
      <c r="AO322" s="8">
        <f ca="1">IFERROR(__xludf.DUMMYFUNCTION("""COMPUTED_VALUE"""),7227)</f>
        <v>7227</v>
      </c>
      <c r="AP322" s="8"/>
      <c r="AQ322" s="8"/>
      <c r="AR322" s="8"/>
      <c r="AS322" s="8"/>
      <c r="AT322" s="8"/>
      <c r="AU322" s="8"/>
      <c r="AV322" s="8"/>
      <c r="AW322" s="8"/>
      <c r="AX322" s="8"/>
      <c r="AY322" s="8"/>
    </row>
    <row r="323" spans="1:51" ht="13.2" x14ac:dyDescent="0.25">
      <c r="A323" s="12" t="str">
        <f ca="1">IFERROR(__xludf.DUMMYFUNCTION("""COMPUTED_VALUE"""),"               right Pons, sensory related")</f>
        <v xml:space="preserve">               right Pons, sensory related</v>
      </c>
      <c r="B323" s="12">
        <f ca="1">IFERROR(__xludf.DUMMYFUNCTION("""COMPUTED_VALUE"""),3038)</f>
        <v>3038</v>
      </c>
      <c r="C323" s="12">
        <f ca="1">IFERROR(__xludf.DUMMYFUNCTION("""COMPUTED_VALUE"""),5719)</f>
        <v>5719</v>
      </c>
      <c r="D323" s="12">
        <f ca="1">IFERROR(__xludf.DUMMYFUNCTION("""COMPUTED_VALUE"""),4413)</f>
        <v>4413</v>
      </c>
      <c r="E323" s="12">
        <f ca="1">IFERROR(__xludf.DUMMYFUNCTION("""COMPUTED_VALUE"""),3825)</f>
        <v>3825</v>
      </c>
      <c r="F323" s="12">
        <f ca="1">IFERROR(__xludf.DUMMYFUNCTION("""COMPUTED_VALUE"""),4627)</f>
        <v>4627</v>
      </c>
      <c r="G323" s="12">
        <f ca="1">IFERROR(__xludf.DUMMYFUNCTION("""COMPUTED_VALUE"""),3119)</f>
        <v>3119</v>
      </c>
      <c r="H323" s="12">
        <f ca="1">IFERROR(__xludf.DUMMYFUNCTION("""COMPUTED_VALUE"""),1011)</f>
        <v>1011</v>
      </c>
      <c r="I323" s="12">
        <f ca="1">IFERROR(__xludf.DUMMYFUNCTION("""COMPUTED_VALUE"""),1787)</f>
        <v>1787</v>
      </c>
      <c r="J323" s="12">
        <f ca="1">IFERROR(__xludf.DUMMYFUNCTION("""COMPUTED_VALUE"""),2847)</f>
        <v>2847</v>
      </c>
      <c r="K323" s="12">
        <f ca="1">IFERROR(__xludf.DUMMYFUNCTION("""COMPUTED_VALUE"""),4028)</f>
        <v>4028</v>
      </c>
      <c r="L323" s="12">
        <f ca="1">IFERROR(__xludf.DUMMYFUNCTION("""COMPUTED_VALUE"""),2087)</f>
        <v>2087</v>
      </c>
      <c r="M323" s="12">
        <f ca="1">IFERROR(__xludf.DUMMYFUNCTION("""COMPUTED_VALUE"""),6953)</f>
        <v>6953</v>
      </c>
      <c r="N323" s="12">
        <f ca="1">IFERROR(__xludf.DUMMYFUNCTION("""COMPUTED_VALUE"""),5699)</f>
        <v>5699</v>
      </c>
      <c r="O323" s="12">
        <f ca="1">IFERROR(__xludf.DUMMYFUNCTION("""COMPUTED_VALUE"""),5343)</f>
        <v>5343</v>
      </c>
      <c r="P323" s="12">
        <f ca="1">IFERROR(__xludf.DUMMYFUNCTION("""COMPUTED_VALUE"""),2615)</f>
        <v>2615</v>
      </c>
      <c r="Q323" s="12">
        <f ca="1">IFERROR(__xludf.DUMMYFUNCTION("""COMPUTED_VALUE"""),2504)</f>
        <v>2504</v>
      </c>
      <c r="R323" s="12">
        <f ca="1">IFERROR(__xludf.DUMMYFUNCTION("""COMPUTED_VALUE"""),1875)</f>
        <v>1875</v>
      </c>
      <c r="S323" s="12">
        <f ca="1">IFERROR(__xludf.DUMMYFUNCTION("""COMPUTED_VALUE"""),896)</f>
        <v>896</v>
      </c>
      <c r="T323" s="12">
        <f ca="1">IFERROR(__xludf.DUMMYFUNCTION("""COMPUTED_VALUE"""),618)</f>
        <v>618</v>
      </c>
      <c r="U323" s="12">
        <f ca="1">IFERROR(__xludf.DUMMYFUNCTION("""COMPUTED_VALUE"""),1366)</f>
        <v>1366</v>
      </c>
      <c r="V323" s="12">
        <f ca="1">IFERROR(__xludf.DUMMYFUNCTION("""COMPUTED_VALUE"""),3815)</f>
        <v>3815</v>
      </c>
      <c r="W323" s="12">
        <f ca="1">IFERROR(__xludf.DUMMYFUNCTION("""COMPUTED_VALUE"""),4735)</f>
        <v>4735</v>
      </c>
      <c r="X323" s="12">
        <f ca="1">IFERROR(__xludf.DUMMYFUNCTION("""COMPUTED_VALUE"""),6838)</f>
        <v>6838</v>
      </c>
      <c r="Y323" s="12">
        <f ca="1">IFERROR(__xludf.DUMMYFUNCTION("""COMPUTED_VALUE"""),2686)</f>
        <v>2686</v>
      </c>
      <c r="Z323" s="12">
        <f ca="1">IFERROR(__xludf.DUMMYFUNCTION("""COMPUTED_VALUE"""),4840)</f>
        <v>4840</v>
      </c>
      <c r="AA323" s="12">
        <f ca="1">IFERROR(__xludf.DUMMYFUNCTION("""COMPUTED_VALUE"""),2327)</f>
        <v>2327</v>
      </c>
      <c r="AB323" s="12">
        <f ca="1">IFERROR(__xludf.DUMMYFUNCTION("""COMPUTED_VALUE"""),308)</f>
        <v>308</v>
      </c>
      <c r="AC323" s="12">
        <f ca="1">IFERROR(__xludf.DUMMYFUNCTION("""COMPUTED_VALUE"""),1753)</f>
        <v>1753</v>
      </c>
      <c r="AD323" s="12">
        <f ca="1">IFERROR(__xludf.DUMMYFUNCTION("""COMPUTED_VALUE"""),1865)</f>
        <v>1865</v>
      </c>
      <c r="AE323" s="12">
        <f ca="1">IFERROR(__xludf.DUMMYFUNCTION("""COMPUTED_VALUE"""),3491)</f>
        <v>3491</v>
      </c>
      <c r="AF323" s="8">
        <f ca="1">IFERROR(__xludf.DUMMYFUNCTION("""COMPUTED_VALUE"""),1179)</f>
        <v>1179</v>
      </c>
      <c r="AG323" s="8">
        <f ca="1">IFERROR(__xludf.DUMMYFUNCTION("""COMPUTED_VALUE"""),794)</f>
        <v>794</v>
      </c>
      <c r="AH323" s="8">
        <f ca="1">IFERROR(__xludf.DUMMYFUNCTION("""COMPUTED_VALUE"""),4351)</f>
        <v>4351</v>
      </c>
      <c r="AI323" s="8">
        <f ca="1">IFERROR(__xludf.DUMMYFUNCTION("""COMPUTED_VALUE"""),2210)</f>
        <v>2210</v>
      </c>
      <c r="AJ323" s="8">
        <f ca="1">IFERROR(__xludf.DUMMYFUNCTION("""COMPUTED_VALUE"""),1699)</f>
        <v>1699</v>
      </c>
      <c r="AK323" s="8">
        <f ca="1">IFERROR(__xludf.DUMMYFUNCTION("""COMPUTED_VALUE"""),300)</f>
        <v>300</v>
      </c>
      <c r="AL323" s="8">
        <f ca="1">IFERROR(__xludf.DUMMYFUNCTION("""COMPUTED_VALUE"""),1452)</f>
        <v>1452</v>
      </c>
      <c r="AM323" s="8">
        <f ca="1">IFERROR(__xludf.DUMMYFUNCTION("""COMPUTED_VALUE"""),2716)</f>
        <v>2716</v>
      </c>
      <c r="AN323" s="8">
        <f ca="1">IFERROR(__xludf.DUMMYFUNCTION("""COMPUTED_VALUE"""),2617)</f>
        <v>2617</v>
      </c>
      <c r="AO323" s="8">
        <f ca="1">IFERROR(__xludf.DUMMYFUNCTION("""COMPUTED_VALUE"""),1104)</f>
        <v>1104</v>
      </c>
      <c r="AP323" s="8"/>
      <c r="AQ323" s="8"/>
      <c r="AR323" s="8"/>
      <c r="AS323" s="8"/>
      <c r="AT323" s="8"/>
      <c r="AU323" s="8"/>
      <c r="AV323" s="8"/>
      <c r="AW323" s="8"/>
      <c r="AX323" s="8"/>
      <c r="AY323" s="8"/>
    </row>
    <row r="324" spans="1:51" ht="13.2" x14ac:dyDescent="0.25">
      <c r="A324" s="12" t="str">
        <f ca="1">IFERROR(__xludf.DUMMYFUNCTION("""COMPUTED_VALUE"""),"               right Pons, motor related")</f>
        <v xml:space="preserve">               right Pons, motor related</v>
      </c>
      <c r="B324" s="12">
        <f ca="1">IFERROR(__xludf.DUMMYFUNCTION("""COMPUTED_VALUE"""),4739)</f>
        <v>4739</v>
      </c>
      <c r="C324" s="12">
        <f ca="1">IFERROR(__xludf.DUMMYFUNCTION("""COMPUTED_VALUE"""),13238)</f>
        <v>13238</v>
      </c>
      <c r="D324" s="12">
        <f ca="1">IFERROR(__xludf.DUMMYFUNCTION("""COMPUTED_VALUE"""),5586)</f>
        <v>5586</v>
      </c>
      <c r="E324" s="12">
        <f ca="1">IFERROR(__xludf.DUMMYFUNCTION("""COMPUTED_VALUE"""),8373)</f>
        <v>8373</v>
      </c>
      <c r="F324" s="12">
        <f ca="1">IFERROR(__xludf.DUMMYFUNCTION("""COMPUTED_VALUE"""),5678)</f>
        <v>5678</v>
      </c>
      <c r="G324" s="12">
        <f ca="1">IFERROR(__xludf.DUMMYFUNCTION("""COMPUTED_VALUE"""),3231)</f>
        <v>3231</v>
      </c>
      <c r="H324" s="12">
        <f ca="1">IFERROR(__xludf.DUMMYFUNCTION("""COMPUTED_VALUE"""),2276)</f>
        <v>2276</v>
      </c>
      <c r="I324" s="12">
        <f ca="1">IFERROR(__xludf.DUMMYFUNCTION("""COMPUTED_VALUE"""),2067)</f>
        <v>2067</v>
      </c>
      <c r="J324" s="12">
        <f ca="1">IFERROR(__xludf.DUMMYFUNCTION("""COMPUTED_VALUE"""),3348)</f>
        <v>3348</v>
      </c>
      <c r="K324" s="12">
        <f ca="1">IFERROR(__xludf.DUMMYFUNCTION("""COMPUTED_VALUE"""),7240)</f>
        <v>7240</v>
      </c>
      <c r="L324" s="12">
        <f ca="1">IFERROR(__xludf.DUMMYFUNCTION("""COMPUTED_VALUE"""),4256)</f>
        <v>4256</v>
      </c>
      <c r="M324" s="12">
        <f ca="1">IFERROR(__xludf.DUMMYFUNCTION("""COMPUTED_VALUE"""),14312)</f>
        <v>14312</v>
      </c>
      <c r="N324" s="12">
        <f ca="1">IFERROR(__xludf.DUMMYFUNCTION("""COMPUTED_VALUE"""),9082)</f>
        <v>9082</v>
      </c>
      <c r="O324" s="12">
        <f ca="1">IFERROR(__xludf.DUMMYFUNCTION("""COMPUTED_VALUE"""),15684)</f>
        <v>15684</v>
      </c>
      <c r="P324" s="12">
        <f ca="1">IFERROR(__xludf.DUMMYFUNCTION("""COMPUTED_VALUE"""),5892)</f>
        <v>5892</v>
      </c>
      <c r="Q324" s="12">
        <f ca="1">IFERROR(__xludf.DUMMYFUNCTION("""COMPUTED_VALUE"""),3871)</f>
        <v>3871</v>
      </c>
      <c r="R324" s="12">
        <f ca="1">IFERROR(__xludf.DUMMYFUNCTION("""COMPUTED_VALUE"""),5176)</f>
        <v>5176</v>
      </c>
      <c r="S324" s="12">
        <f ca="1">IFERROR(__xludf.DUMMYFUNCTION("""COMPUTED_VALUE"""),3252)</f>
        <v>3252</v>
      </c>
      <c r="T324" s="12">
        <f ca="1">IFERROR(__xludf.DUMMYFUNCTION("""COMPUTED_VALUE"""),2128)</f>
        <v>2128</v>
      </c>
      <c r="U324" s="12">
        <f ca="1">IFERROR(__xludf.DUMMYFUNCTION("""COMPUTED_VALUE"""),3959)</f>
        <v>3959</v>
      </c>
      <c r="V324" s="12">
        <f ca="1">IFERROR(__xludf.DUMMYFUNCTION("""COMPUTED_VALUE"""),7754)</f>
        <v>7754</v>
      </c>
      <c r="W324" s="12">
        <f ca="1">IFERROR(__xludf.DUMMYFUNCTION("""COMPUTED_VALUE"""),7016)</f>
        <v>7016</v>
      </c>
      <c r="X324" s="12">
        <f ca="1">IFERROR(__xludf.DUMMYFUNCTION("""COMPUTED_VALUE"""),16819)</f>
        <v>16819</v>
      </c>
      <c r="Y324" s="12">
        <f ca="1">IFERROR(__xludf.DUMMYFUNCTION("""COMPUTED_VALUE"""),5746)</f>
        <v>5746</v>
      </c>
      <c r="Z324" s="12">
        <f ca="1">IFERROR(__xludf.DUMMYFUNCTION("""COMPUTED_VALUE"""),5939)</f>
        <v>5939</v>
      </c>
      <c r="AA324" s="12">
        <f ca="1">IFERROR(__xludf.DUMMYFUNCTION("""COMPUTED_VALUE"""),5097)</f>
        <v>5097</v>
      </c>
      <c r="AB324" s="12">
        <f ca="1">IFERROR(__xludf.DUMMYFUNCTION("""COMPUTED_VALUE"""),2847)</f>
        <v>2847</v>
      </c>
      <c r="AC324" s="12">
        <f ca="1">IFERROR(__xludf.DUMMYFUNCTION("""COMPUTED_VALUE"""),2962)</f>
        <v>2962</v>
      </c>
      <c r="AD324" s="12">
        <f ca="1">IFERROR(__xludf.DUMMYFUNCTION("""COMPUTED_VALUE"""),7711)</f>
        <v>7711</v>
      </c>
      <c r="AE324" s="12">
        <f ca="1">IFERROR(__xludf.DUMMYFUNCTION("""COMPUTED_VALUE"""),15262)</f>
        <v>15262</v>
      </c>
      <c r="AF324" s="8">
        <f ca="1">IFERROR(__xludf.DUMMYFUNCTION("""COMPUTED_VALUE"""),8063)</f>
        <v>8063</v>
      </c>
      <c r="AG324" s="8">
        <f ca="1">IFERROR(__xludf.DUMMYFUNCTION("""COMPUTED_VALUE"""),5102)</f>
        <v>5102</v>
      </c>
      <c r="AH324" s="8">
        <f ca="1">IFERROR(__xludf.DUMMYFUNCTION("""COMPUTED_VALUE"""),6198)</f>
        <v>6198</v>
      </c>
      <c r="AI324" s="8">
        <f ca="1">IFERROR(__xludf.DUMMYFUNCTION("""COMPUTED_VALUE"""),3672)</f>
        <v>3672</v>
      </c>
      <c r="AJ324" s="8">
        <f ca="1">IFERROR(__xludf.DUMMYFUNCTION("""COMPUTED_VALUE"""),4098)</f>
        <v>4098</v>
      </c>
      <c r="AK324" s="8">
        <f ca="1">IFERROR(__xludf.DUMMYFUNCTION("""COMPUTED_VALUE"""),1088)</f>
        <v>1088</v>
      </c>
      <c r="AL324" s="8">
        <f ca="1">IFERROR(__xludf.DUMMYFUNCTION("""COMPUTED_VALUE"""),2200)</f>
        <v>2200</v>
      </c>
      <c r="AM324" s="8">
        <f ca="1">IFERROR(__xludf.DUMMYFUNCTION("""COMPUTED_VALUE"""),6214)</f>
        <v>6214</v>
      </c>
      <c r="AN324" s="8">
        <f ca="1">IFERROR(__xludf.DUMMYFUNCTION("""COMPUTED_VALUE"""),4847)</f>
        <v>4847</v>
      </c>
      <c r="AO324" s="8">
        <f ca="1">IFERROR(__xludf.DUMMYFUNCTION("""COMPUTED_VALUE"""),3220)</f>
        <v>3220</v>
      </c>
      <c r="AP324" s="8"/>
      <c r="AQ324" s="8"/>
      <c r="AR324" s="8"/>
      <c r="AS324" s="8"/>
      <c r="AT324" s="8"/>
      <c r="AU324" s="8"/>
      <c r="AV324" s="8"/>
      <c r="AW324" s="8"/>
      <c r="AX324" s="8"/>
      <c r="AY324" s="8"/>
    </row>
    <row r="325" spans="1:51" ht="13.2" x14ac:dyDescent="0.25">
      <c r="A325" s="12" t="str">
        <f ca="1">IFERROR(__xludf.DUMMYFUNCTION("""COMPUTED_VALUE"""),"               right Pons, behavioral state related")</f>
        <v xml:space="preserve">               right Pons, behavioral state related</v>
      </c>
      <c r="B325" s="12">
        <f ca="1">IFERROR(__xludf.DUMMYFUNCTION("""COMPUTED_VALUE"""),1800)</f>
        <v>1800</v>
      </c>
      <c r="C325" s="12">
        <f ca="1">IFERROR(__xludf.DUMMYFUNCTION("""COMPUTED_VALUE"""),7540)</f>
        <v>7540</v>
      </c>
      <c r="D325" s="12">
        <f ca="1">IFERROR(__xludf.DUMMYFUNCTION("""COMPUTED_VALUE"""),3228)</f>
        <v>3228</v>
      </c>
      <c r="E325" s="12">
        <f ca="1">IFERROR(__xludf.DUMMYFUNCTION("""COMPUTED_VALUE"""),3915)</f>
        <v>3915</v>
      </c>
      <c r="F325" s="12">
        <f ca="1">IFERROR(__xludf.DUMMYFUNCTION("""COMPUTED_VALUE"""),6148)</f>
        <v>6148</v>
      </c>
      <c r="G325" s="12">
        <f ca="1">IFERROR(__xludf.DUMMYFUNCTION("""COMPUTED_VALUE"""),2026)</f>
        <v>2026</v>
      </c>
      <c r="H325" s="12">
        <f ca="1">IFERROR(__xludf.DUMMYFUNCTION("""COMPUTED_VALUE"""),1258)</f>
        <v>1258</v>
      </c>
      <c r="I325" s="12">
        <f ca="1">IFERROR(__xludf.DUMMYFUNCTION("""COMPUTED_VALUE"""),1239)</f>
        <v>1239</v>
      </c>
      <c r="J325" s="12">
        <f ca="1">IFERROR(__xludf.DUMMYFUNCTION("""COMPUTED_VALUE"""),2151)</f>
        <v>2151</v>
      </c>
      <c r="K325" s="12">
        <f ca="1">IFERROR(__xludf.DUMMYFUNCTION("""COMPUTED_VALUE"""),3443)</f>
        <v>3443</v>
      </c>
      <c r="L325" s="12">
        <f ca="1">IFERROR(__xludf.DUMMYFUNCTION("""COMPUTED_VALUE"""),2483)</f>
        <v>2483</v>
      </c>
      <c r="M325" s="12">
        <f ca="1">IFERROR(__xludf.DUMMYFUNCTION("""COMPUTED_VALUE"""),5623)</f>
        <v>5623</v>
      </c>
      <c r="N325" s="12">
        <f ca="1">IFERROR(__xludf.DUMMYFUNCTION("""COMPUTED_VALUE"""),8106)</f>
        <v>8106</v>
      </c>
      <c r="O325" s="12">
        <f ca="1">IFERROR(__xludf.DUMMYFUNCTION("""COMPUTED_VALUE"""),5810)</f>
        <v>5810</v>
      </c>
      <c r="P325" s="12">
        <f ca="1">IFERROR(__xludf.DUMMYFUNCTION("""COMPUTED_VALUE"""),2005)</f>
        <v>2005</v>
      </c>
      <c r="Q325" s="12">
        <f ca="1">IFERROR(__xludf.DUMMYFUNCTION("""COMPUTED_VALUE"""),2669)</f>
        <v>2669</v>
      </c>
      <c r="R325" s="12">
        <f ca="1">IFERROR(__xludf.DUMMYFUNCTION("""COMPUTED_VALUE"""),1248)</f>
        <v>1248</v>
      </c>
      <c r="S325" s="12">
        <f ca="1">IFERROR(__xludf.DUMMYFUNCTION("""COMPUTED_VALUE"""),573)</f>
        <v>573</v>
      </c>
      <c r="T325" s="12">
        <f ca="1">IFERROR(__xludf.DUMMYFUNCTION("""COMPUTED_VALUE"""),1583)</f>
        <v>1583</v>
      </c>
      <c r="U325" s="12">
        <f ca="1">IFERROR(__xludf.DUMMYFUNCTION("""COMPUTED_VALUE"""),1869)</f>
        <v>1869</v>
      </c>
      <c r="V325" s="12">
        <f ca="1">IFERROR(__xludf.DUMMYFUNCTION("""COMPUTED_VALUE"""),1693)</f>
        <v>1693</v>
      </c>
      <c r="W325" s="12">
        <f ca="1">IFERROR(__xludf.DUMMYFUNCTION("""COMPUTED_VALUE"""),2427)</f>
        <v>2427</v>
      </c>
      <c r="X325" s="12">
        <f ca="1">IFERROR(__xludf.DUMMYFUNCTION("""COMPUTED_VALUE"""),10937)</f>
        <v>10937</v>
      </c>
      <c r="Y325" s="12">
        <f ca="1">IFERROR(__xludf.DUMMYFUNCTION("""COMPUTED_VALUE"""),3624)</f>
        <v>3624</v>
      </c>
      <c r="Z325" s="12">
        <f ca="1">IFERROR(__xludf.DUMMYFUNCTION("""COMPUTED_VALUE"""),6101)</f>
        <v>6101</v>
      </c>
      <c r="AA325" s="12">
        <f ca="1">IFERROR(__xludf.DUMMYFUNCTION("""COMPUTED_VALUE"""),2559)</f>
        <v>2559</v>
      </c>
      <c r="AB325" s="12">
        <f ca="1">IFERROR(__xludf.DUMMYFUNCTION("""COMPUTED_VALUE"""),1109)</f>
        <v>1109</v>
      </c>
      <c r="AC325" s="12">
        <f ca="1">IFERROR(__xludf.DUMMYFUNCTION("""COMPUTED_VALUE"""),1537)</f>
        <v>1537</v>
      </c>
      <c r="AD325" s="12">
        <f ca="1">IFERROR(__xludf.DUMMYFUNCTION("""COMPUTED_VALUE"""),2996)</f>
        <v>2996</v>
      </c>
      <c r="AE325" s="12">
        <f ca="1">IFERROR(__xludf.DUMMYFUNCTION("""COMPUTED_VALUE"""),5267)</f>
        <v>5267</v>
      </c>
      <c r="AF325" s="8">
        <f ca="1">IFERROR(__xludf.DUMMYFUNCTION("""COMPUTED_VALUE"""),2452)</f>
        <v>2452</v>
      </c>
      <c r="AG325" s="8">
        <f ca="1">IFERROR(__xludf.DUMMYFUNCTION("""COMPUTED_VALUE"""),3259)</f>
        <v>3259</v>
      </c>
      <c r="AH325" s="8">
        <f ca="1">IFERROR(__xludf.DUMMYFUNCTION("""COMPUTED_VALUE"""),3565)</f>
        <v>3565</v>
      </c>
      <c r="AI325" s="8">
        <f ca="1">IFERROR(__xludf.DUMMYFUNCTION("""COMPUTED_VALUE"""),3046)</f>
        <v>3046</v>
      </c>
      <c r="AJ325" s="8">
        <f ca="1">IFERROR(__xludf.DUMMYFUNCTION("""COMPUTED_VALUE"""),1594)</f>
        <v>1594</v>
      </c>
      <c r="AK325" s="8">
        <f ca="1">IFERROR(__xludf.DUMMYFUNCTION("""COMPUTED_VALUE"""),370)</f>
        <v>370</v>
      </c>
      <c r="AL325" s="8">
        <f ca="1">IFERROR(__xludf.DUMMYFUNCTION("""COMPUTED_VALUE"""),1301)</f>
        <v>1301</v>
      </c>
      <c r="AM325" s="8">
        <f ca="1">IFERROR(__xludf.DUMMYFUNCTION("""COMPUTED_VALUE"""),3300)</f>
        <v>3300</v>
      </c>
      <c r="AN325" s="8">
        <f ca="1">IFERROR(__xludf.DUMMYFUNCTION("""COMPUTED_VALUE"""),1751)</f>
        <v>1751</v>
      </c>
      <c r="AO325" s="8">
        <f ca="1">IFERROR(__xludf.DUMMYFUNCTION("""COMPUTED_VALUE"""),1522)</f>
        <v>1522</v>
      </c>
      <c r="AP325" s="8"/>
      <c r="AQ325" s="8"/>
      <c r="AR325" s="8"/>
      <c r="AS325" s="8"/>
      <c r="AT325" s="8"/>
      <c r="AU325" s="8"/>
      <c r="AV325" s="8"/>
      <c r="AW325" s="8"/>
      <c r="AX325" s="8"/>
      <c r="AY325" s="8"/>
    </row>
    <row r="326" spans="1:51" ht="13.2" x14ac:dyDescent="0.25">
      <c r="A326" s="12" t="str">
        <f ca="1">IFERROR(__xludf.DUMMYFUNCTION("""COMPUTED_VALUE"""),"            right Medulla")</f>
        <v xml:space="preserve">            right Medulla</v>
      </c>
      <c r="B326" s="12">
        <f ca="1">IFERROR(__xludf.DUMMYFUNCTION("""COMPUTED_VALUE"""),13485)</f>
        <v>13485</v>
      </c>
      <c r="C326" s="12">
        <f ca="1">IFERROR(__xludf.DUMMYFUNCTION("""COMPUTED_VALUE"""),21148)</f>
        <v>21148</v>
      </c>
      <c r="D326" s="12">
        <f ca="1">IFERROR(__xludf.DUMMYFUNCTION("""COMPUTED_VALUE"""),28801)</f>
        <v>28801</v>
      </c>
      <c r="E326" s="12">
        <f ca="1">IFERROR(__xludf.DUMMYFUNCTION("""COMPUTED_VALUE"""),20180)</f>
        <v>20180</v>
      </c>
      <c r="F326" s="12">
        <f ca="1">IFERROR(__xludf.DUMMYFUNCTION("""COMPUTED_VALUE"""),23372)</f>
        <v>23372</v>
      </c>
      <c r="G326" s="12">
        <f ca="1">IFERROR(__xludf.DUMMYFUNCTION("""COMPUTED_VALUE"""),8992)</f>
        <v>8992</v>
      </c>
      <c r="H326" s="12">
        <f ca="1">IFERROR(__xludf.DUMMYFUNCTION("""COMPUTED_VALUE"""),5427)</f>
        <v>5427</v>
      </c>
      <c r="I326" s="12">
        <f ca="1">IFERROR(__xludf.DUMMYFUNCTION("""COMPUTED_VALUE"""),7909)</f>
        <v>7909</v>
      </c>
      <c r="J326" s="12">
        <f ca="1">IFERROR(__xludf.DUMMYFUNCTION("""COMPUTED_VALUE"""),4401)</f>
        <v>4401</v>
      </c>
      <c r="K326" s="12">
        <f ca="1">IFERROR(__xludf.DUMMYFUNCTION("""COMPUTED_VALUE"""),12029)</f>
        <v>12029</v>
      </c>
      <c r="L326" s="12">
        <f ca="1">IFERROR(__xludf.DUMMYFUNCTION("""COMPUTED_VALUE"""),19993)</f>
        <v>19993</v>
      </c>
      <c r="M326" s="12">
        <f ca="1">IFERROR(__xludf.DUMMYFUNCTION("""COMPUTED_VALUE"""),28052)</f>
        <v>28052</v>
      </c>
      <c r="N326" s="12">
        <f ca="1">IFERROR(__xludf.DUMMYFUNCTION("""COMPUTED_VALUE"""),16620)</f>
        <v>16620</v>
      </c>
      <c r="O326" s="12">
        <f ca="1">IFERROR(__xludf.DUMMYFUNCTION("""COMPUTED_VALUE"""),18692)</f>
        <v>18692</v>
      </c>
      <c r="P326" s="12">
        <f ca="1">IFERROR(__xludf.DUMMYFUNCTION("""COMPUTED_VALUE"""),6415)</f>
        <v>6415</v>
      </c>
      <c r="Q326" s="12">
        <f ca="1">IFERROR(__xludf.DUMMYFUNCTION("""COMPUTED_VALUE"""),6422)</f>
        <v>6422</v>
      </c>
      <c r="R326" s="12">
        <f ca="1">IFERROR(__xludf.DUMMYFUNCTION("""COMPUTED_VALUE"""),5303)</f>
        <v>5303</v>
      </c>
      <c r="S326" s="12">
        <f ca="1">IFERROR(__xludf.DUMMYFUNCTION("""COMPUTED_VALUE"""),6794)</f>
        <v>6794</v>
      </c>
      <c r="T326" s="12">
        <f ca="1">IFERROR(__xludf.DUMMYFUNCTION("""COMPUTED_VALUE"""),11251)</f>
        <v>11251</v>
      </c>
      <c r="U326" s="12">
        <f ca="1">IFERROR(__xludf.DUMMYFUNCTION("""COMPUTED_VALUE"""),12135)</f>
        <v>12135</v>
      </c>
      <c r="V326" s="12">
        <f ca="1">IFERROR(__xludf.DUMMYFUNCTION("""COMPUTED_VALUE"""),15021)</f>
        <v>15021</v>
      </c>
      <c r="W326" s="12">
        <f ca="1">IFERROR(__xludf.DUMMYFUNCTION("""COMPUTED_VALUE"""),15897)</f>
        <v>15897</v>
      </c>
      <c r="X326" s="12">
        <f ca="1">IFERROR(__xludf.DUMMYFUNCTION("""COMPUTED_VALUE"""),49170)</f>
        <v>49170</v>
      </c>
      <c r="Y326" s="12">
        <f ca="1">IFERROR(__xludf.DUMMYFUNCTION("""COMPUTED_VALUE"""),13584)</f>
        <v>13584</v>
      </c>
      <c r="Z326" s="12">
        <f ca="1">IFERROR(__xludf.DUMMYFUNCTION("""COMPUTED_VALUE"""),21489)</f>
        <v>21489</v>
      </c>
      <c r="AA326" s="12">
        <f ca="1">IFERROR(__xludf.DUMMYFUNCTION("""COMPUTED_VALUE"""),22940)</f>
        <v>22940</v>
      </c>
      <c r="AB326" s="12">
        <f ca="1">IFERROR(__xludf.DUMMYFUNCTION("""COMPUTED_VALUE"""),7644)</f>
        <v>7644</v>
      </c>
      <c r="AC326" s="12">
        <f ca="1">IFERROR(__xludf.DUMMYFUNCTION("""COMPUTED_VALUE"""),9108)</f>
        <v>9108</v>
      </c>
      <c r="AD326" s="12">
        <f ca="1">IFERROR(__xludf.DUMMYFUNCTION("""COMPUTED_VALUE"""),17486)</f>
        <v>17486</v>
      </c>
      <c r="AE326" s="12">
        <f ca="1">IFERROR(__xludf.DUMMYFUNCTION("""COMPUTED_VALUE"""),22634)</f>
        <v>22634</v>
      </c>
      <c r="AF326" s="8">
        <f ca="1">IFERROR(__xludf.DUMMYFUNCTION("""COMPUTED_VALUE"""),17403)</f>
        <v>17403</v>
      </c>
      <c r="AG326" s="8">
        <f ca="1">IFERROR(__xludf.DUMMYFUNCTION("""COMPUTED_VALUE"""),13986)</f>
        <v>13986</v>
      </c>
      <c r="AH326" s="8">
        <f ca="1">IFERROR(__xludf.DUMMYFUNCTION("""COMPUTED_VALUE"""),7192)</f>
        <v>7192</v>
      </c>
      <c r="AI326" s="8">
        <f ca="1">IFERROR(__xludf.DUMMYFUNCTION("""COMPUTED_VALUE"""),20130)</f>
        <v>20130</v>
      </c>
      <c r="AJ326" s="8">
        <f ca="1">IFERROR(__xludf.DUMMYFUNCTION("""COMPUTED_VALUE"""),7751)</f>
        <v>7751</v>
      </c>
      <c r="AK326" s="8">
        <f ca="1">IFERROR(__xludf.DUMMYFUNCTION("""COMPUTED_VALUE"""),3942)</f>
        <v>3942</v>
      </c>
      <c r="AL326" s="8">
        <f ca="1">IFERROR(__xludf.DUMMYFUNCTION("""COMPUTED_VALUE"""),13176)</f>
        <v>13176</v>
      </c>
      <c r="AM326" s="8">
        <f ca="1">IFERROR(__xludf.DUMMYFUNCTION("""COMPUTED_VALUE"""),12044)</f>
        <v>12044</v>
      </c>
      <c r="AN326" s="8">
        <f ca="1">IFERROR(__xludf.DUMMYFUNCTION("""COMPUTED_VALUE"""),13821)</f>
        <v>13821</v>
      </c>
      <c r="AO326" s="8">
        <f ca="1">IFERROR(__xludf.DUMMYFUNCTION("""COMPUTED_VALUE"""),6295)</f>
        <v>6295</v>
      </c>
      <c r="AP326" s="8"/>
      <c r="AQ326" s="8"/>
      <c r="AR326" s="8"/>
      <c r="AS326" s="8"/>
      <c r="AT326" s="8"/>
      <c r="AU326" s="8"/>
      <c r="AV326" s="8"/>
      <c r="AW326" s="8"/>
      <c r="AX326" s="8"/>
      <c r="AY326" s="8"/>
    </row>
    <row r="327" spans="1:51" ht="13.2" x14ac:dyDescent="0.25">
      <c r="A327" s="12" t="str">
        <f ca="1">IFERROR(__xludf.DUMMYFUNCTION("""COMPUTED_VALUE"""),"               right Medulla, sensory related")</f>
        <v xml:space="preserve">               right Medulla, sensory related</v>
      </c>
      <c r="B327" s="12">
        <f ca="1">IFERROR(__xludf.DUMMYFUNCTION("""COMPUTED_VALUE"""),4600)</f>
        <v>4600</v>
      </c>
      <c r="C327" s="12">
        <f ca="1">IFERROR(__xludf.DUMMYFUNCTION("""COMPUTED_VALUE"""),5624)</f>
        <v>5624</v>
      </c>
      <c r="D327" s="12">
        <f ca="1">IFERROR(__xludf.DUMMYFUNCTION("""COMPUTED_VALUE"""),9514)</f>
        <v>9514</v>
      </c>
      <c r="E327" s="12">
        <f ca="1">IFERROR(__xludf.DUMMYFUNCTION("""COMPUTED_VALUE"""),6629)</f>
        <v>6629</v>
      </c>
      <c r="F327" s="12">
        <f ca="1">IFERROR(__xludf.DUMMYFUNCTION("""COMPUTED_VALUE"""),7657)</f>
        <v>7657</v>
      </c>
      <c r="G327" s="12">
        <f ca="1">IFERROR(__xludf.DUMMYFUNCTION("""COMPUTED_VALUE"""),3102)</f>
        <v>3102</v>
      </c>
      <c r="H327" s="12">
        <f ca="1">IFERROR(__xludf.DUMMYFUNCTION("""COMPUTED_VALUE"""),1470)</f>
        <v>1470</v>
      </c>
      <c r="I327" s="12">
        <f ca="1">IFERROR(__xludf.DUMMYFUNCTION("""COMPUTED_VALUE"""),3285)</f>
        <v>3285</v>
      </c>
      <c r="J327" s="12">
        <f ca="1">IFERROR(__xludf.DUMMYFUNCTION("""COMPUTED_VALUE"""),1151)</f>
        <v>1151</v>
      </c>
      <c r="K327" s="12">
        <f ca="1">IFERROR(__xludf.DUMMYFUNCTION("""COMPUTED_VALUE"""),4320)</f>
        <v>4320</v>
      </c>
      <c r="L327" s="12">
        <f ca="1">IFERROR(__xludf.DUMMYFUNCTION("""COMPUTED_VALUE"""),3579)</f>
        <v>3579</v>
      </c>
      <c r="M327" s="12">
        <f ca="1">IFERROR(__xludf.DUMMYFUNCTION("""COMPUTED_VALUE"""),6698)</f>
        <v>6698</v>
      </c>
      <c r="N327" s="12">
        <f ca="1">IFERROR(__xludf.DUMMYFUNCTION("""COMPUTED_VALUE"""),3523)</f>
        <v>3523</v>
      </c>
      <c r="O327" s="12">
        <f ca="1">IFERROR(__xludf.DUMMYFUNCTION("""COMPUTED_VALUE"""),4270)</f>
        <v>4270</v>
      </c>
      <c r="P327" s="12">
        <f ca="1">IFERROR(__xludf.DUMMYFUNCTION("""COMPUTED_VALUE"""),1412)</f>
        <v>1412</v>
      </c>
      <c r="Q327" s="12">
        <f ca="1">IFERROR(__xludf.DUMMYFUNCTION("""COMPUTED_VALUE"""),2098)</f>
        <v>2098</v>
      </c>
      <c r="R327" s="12">
        <f ca="1">IFERROR(__xludf.DUMMYFUNCTION("""COMPUTED_VALUE"""),1319)</f>
        <v>1319</v>
      </c>
      <c r="S327" s="12">
        <f ca="1">IFERROR(__xludf.DUMMYFUNCTION("""COMPUTED_VALUE"""),2013)</f>
        <v>2013</v>
      </c>
      <c r="T327" s="12">
        <f ca="1">IFERROR(__xludf.DUMMYFUNCTION("""COMPUTED_VALUE"""),2070)</f>
        <v>2070</v>
      </c>
      <c r="U327" s="12">
        <f ca="1">IFERROR(__xludf.DUMMYFUNCTION("""COMPUTED_VALUE"""),2003)</f>
        <v>2003</v>
      </c>
      <c r="V327" s="12">
        <f ca="1">IFERROR(__xludf.DUMMYFUNCTION("""COMPUTED_VALUE"""),3528)</f>
        <v>3528</v>
      </c>
      <c r="W327" s="12">
        <f ca="1">IFERROR(__xludf.DUMMYFUNCTION("""COMPUTED_VALUE"""),4996)</f>
        <v>4996</v>
      </c>
      <c r="X327" s="12">
        <f ca="1">IFERROR(__xludf.DUMMYFUNCTION("""COMPUTED_VALUE"""),12911)</f>
        <v>12911</v>
      </c>
      <c r="Y327" s="12">
        <f ca="1">IFERROR(__xludf.DUMMYFUNCTION("""COMPUTED_VALUE"""),2521)</f>
        <v>2521</v>
      </c>
      <c r="Z327" s="12">
        <f ca="1">IFERROR(__xludf.DUMMYFUNCTION("""COMPUTED_VALUE"""),8149)</f>
        <v>8149</v>
      </c>
      <c r="AA327" s="12">
        <f ca="1">IFERROR(__xludf.DUMMYFUNCTION("""COMPUTED_VALUE"""),6991)</f>
        <v>6991</v>
      </c>
      <c r="AB327" s="12">
        <f ca="1">IFERROR(__xludf.DUMMYFUNCTION("""COMPUTED_VALUE"""),2705)</f>
        <v>2705</v>
      </c>
      <c r="AC327" s="12">
        <f ca="1">IFERROR(__xludf.DUMMYFUNCTION("""COMPUTED_VALUE"""),1798)</f>
        <v>1798</v>
      </c>
      <c r="AD327" s="12">
        <f ca="1">IFERROR(__xludf.DUMMYFUNCTION("""COMPUTED_VALUE"""),2135)</f>
        <v>2135</v>
      </c>
      <c r="AE327" s="12">
        <f ca="1">IFERROR(__xludf.DUMMYFUNCTION("""COMPUTED_VALUE"""),4952)</f>
        <v>4952</v>
      </c>
      <c r="AF327" s="8">
        <f ca="1">IFERROR(__xludf.DUMMYFUNCTION("""COMPUTED_VALUE"""),6720)</f>
        <v>6720</v>
      </c>
      <c r="AG327" s="8">
        <f ca="1">IFERROR(__xludf.DUMMYFUNCTION("""COMPUTED_VALUE"""),4005)</f>
        <v>4005</v>
      </c>
      <c r="AH327" s="8">
        <f ca="1">IFERROR(__xludf.DUMMYFUNCTION("""COMPUTED_VALUE"""),611)</f>
        <v>611</v>
      </c>
      <c r="AI327" s="8">
        <f ca="1">IFERROR(__xludf.DUMMYFUNCTION("""COMPUTED_VALUE"""),5668)</f>
        <v>5668</v>
      </c>
      <c r="AJ327" s="8">
        <f ca="1">IFERROR(__xludf.DUMMYFUNCTION("""COMPUTED_VALUE"""),2537)</f>
        <v>2537</v>
      </c>
      <c r="AK327" s="8">
        <f ca="1">IFERROR(__xludf.DUMMYFUNCTION("""COMPUTED_VALUE"""),1129)</f>
        <v>1129</v>
      </c>
      <c r="AL327" s="8">
        <f ca="1">IFERROR(__xludf.DUMMYFUNCTION("""COMPUTED_VALUE"""),4120)</f>
        <v>4120</v>
      </c>
      <c r="AM327" s="8">
        <f ca="1">IFERROR(__xludf.DUMMYFUNCTION("""COMPUTED_VALUE"""),4700)</f>
        <v>4700</v>
      </c>
      <c r="AN327" s="8">
        <f ca="1">IFERROR(__xludf.DUMMYFUNCTION("""COMPUTED_VALUE"""),3229)</f>
        <v>3229</v>
      </c>
      <c r="AO327" s="8">
        <f ca="1">IFERROR(__xludf.DUMMYFUNCTION("""COMPUTED_VALUE"""),1315)</f>
        <v>1315</v>
      </c>
      <c r="AP327" s="8"/>
      <c r="AQ327" s="8"/>
      <c r="AR327" s="8"/>
      <c r="AS327" s="8"/>
      <c r="AT327" s="8"/>
      <c r="AU327" s="8"/>
      <c r="AV327" s="8"/>
      <c r="AW327" s="8"/>
      <c r="AX327" s="8"/>
      <c r="AY327" s="8"/>
    </row>
    <row r="328" spans="1:51" ht="13.2" x14ac:dyDescent="0.25">
      <c r="A328" s="12" t="str">
        <f ca="1">IFERROR(__xludf.DUMMYFUNCTION("""COMPUTED_VALUE"""),"               right Medulla, motor related")</f>
        <v xml:space="preserve">               right Medulla, motor related</v>
      </c>
      <c r="B328" s="12">
        <f ca="1">IFERROR(__xludf.DUMMYFUNCTION("""COMPUTED_VALUE"""),7339)</f>
        <v>7339</v>
      </c>
      <c r="C328" s="12">
        <f ca="1">IFERROR(__xludf.DUMMYFUNCTION("""COMPUTED_VALUE"""),13575)</f>
        <v>13575</v>
      </c>
      <c r="D328" s="12">
        <f ca="1">IFERROR(__xludf.DUMMYFUNCTION("""COMPUTED_VALUE"""),15633)</f>
        <v>15633</v>
      </c>
      <c r="E328" s="12">
        <f ca="1">IFERROR(__xludf.DUMMYFUNCTION("""COMPUTED_VALUE"""),11595)</f>
        <v>11595</v>
      </c>
      <c r="F328" s="12">
        <f ca="1">IFERROR(__xludf.DUMMYFUNCTION("""COMPUTED_VALUE"""),13926)</f>
        <v>13926</v>
      </c>
      <c r="G328" s="12">
        <f ca="1">IFERROR(__xludf.DUMMYFUNCTION("""COMPUTED_VALUE"""),5134)</f>
        <v>5134</v>
      </c>
      <c r="H328" s="12">
        <f ca="1">IFERROR(__xludf.DUMMYFUNCTION("""COMPUTED_VALUE"""),3559)</f>
        <v>3559</v>
      </c>
      <c r="I328" s="12">
        <f ca="1">IFERROR(__xludf.DUMMYFUNCTION("""COMPUTED_VALUE"""),4086)</f>
        <v>4086</v>
      </c>
      <c r="J328" s="12">
        <f ca="1">IFERROR(__xludf.DUMMYFUNCTION("""COMPUTED_VALUE"""),2620)</f>
        <v>2620</v>
      </c>
      <c r="K328" s="12">
        <f ca="1">IFERROR(__xludf.DUMMYFUNCTION("""COMPUTED_VALUE"""),6791)</f>
        <v>6791</v>
      </c>
      <c r="L328" s="12">
        <f ca="1">IFERROR(__xludf.DUMMYFUNCTION("""COMPUTED_VALUE"""),14014)</f>
        <v>14014</v>
      </c>
      <c r="M328" s="12">
        <f ca="1">IFERROR(__xludf.DUMMYFUNCTION("""COMPUTED_VALUE"""),18615)</f>
        <v>18615</v>
      </c>
      <c r="N328" s="12">
        <f ca="1">IFERROR(__xludf.DUMMYFUNCTION("""COMPUTED_VALUE"""),10531)</f>
        <v>10531</v>
      </c>
      <c r="O328" s="12">
        <f ca="1">IFERROR(__xludf.DUMMYFUNCTION("""COMPUTED_VALUE"""),12286)</f>
        <v>12286</v>
      </c>
      <c r="P328" s="12">
        <f ca="1">IFERROR(__xludf.DUMMYFUNCTION("""COMPUTED_VALUE"""),4052)</f>
        <v>4052</v>
      </c>
      <c r="Q328" s="12">
        <f ca="1">IFERROR(__xludf.DUMMYFUNCTION("""COMPUTED_VALUE"""),3817)</f>
        <v>3817</v>
      </c>
      <c r="R328" s="12">
        <f ca="1">IFERROR(__xludf.DUMMYFUNCTION("""COMPUTED_VALUE"""),2859)</f>
        <v>2859</v>
      </c>
      <c r="S328" s="12">
        <f ca="1">IFERROR(__xludf.DUMMYFUNCTION("""COMPUTED_VALUE"""),3914)</f>
        <v>3914</v>
      </c>
      <c r="T328" s="12">
        <f ca="1">IFERROR(__xludf.DUMMYFUNCTION("""COMPUTED_VALUE"""),7989)</f>
        <v>7989</v>
      </c>
      <c r="U328" s="12">
        <f ca="1">IFERROR(__xludf.DUMMYFUNCTION("""COMPUTED_VALUE"""),8585)</f>
        <v>8585</v>
      </c>
      <c r="V328" s="12">
        <f ca="1">IFERROR(__xludf.DUMMYFUNCTION("""COMPUTED_VALUE"""),9716)</f>
        <v>9716</v>
      </c>
      <c r="W328" s="12">
        <f ca="1">IFERROR(__xludf.DUMMYFUNCTION("""COMPUTED_VALUE"""),8845)</f>
        <v>8845</v>
      </c>
      <c r="X328" s="12">
        <f ca="1">IFERROR(__xludf.DUMMYFUNCTION("""COMPUTED_VALUE"""),28662)</f>
        <v>28662</v>
      </c>
      <c r="Y328" s="12">
        <f ca="1">IFERROR(__xludf.DUMMYFUNCTION("""COMPUTED_VALUE"""),8648)</f>
        <v>8648</v>
      </c>
      <c r="Z328" s="12">
        <f ca="1">IFERROR(__xludf.DUMMYFUNCTION("""COMPUTED_VALUE"""),10368)</f>
        <v>10368</v>
      </c>
      <c r="AA328" s="12">
        <f ca="1">IFERROR(__xludf.DUMMYFUNCTION("""COMPUTED_VALUE"""),13354)</f>
        <v>13354</v>
      </c>
      <c r="AB328" s="12">
        <f ca="1">IFERROR(__xludf.DUMMYFUNCTION("""COMPUTED_VALUE"""),3815)</f>
        <v>3815</v>
      </c>
      <c r="AC328" s="12">
        <f ca="1">IFERROR(__xludf.DUMMYFUNCTION("""COMPUTED_VALUE"""),6030)</f>
        <v>6030</v>
      </c>
      <c r="AD328" s="12">
        <f ca="1">IFERROR(__xludf.DUMMYFUNCTION("""COMPUTED_VALUE"""),13202)</f>
        <v>13202</v>
      </c>
      <c r="AE328" s="12">
        <f ca="1">IFERROR(__xludf.DUMMYFUNCTION("""COMPUTED_VALUE"""),14815)</f>
        <v>14815</v>
      </c>
      <c r="AF328" s="8">
        <f ca="1">IFERROR(__xludf.DUMMYFUNCTION("""COMPUTED_VALUE"""),8453)</f>
        <v>8453</v>
      </c>
      <c r="AG328" s="8">
        <f ca="1">IFERROR(__xludf.DUMMYFUNCTION("""COMPUTED_VALUE"""),8848)</f>
        <v>8848</v>
      </c>
      <c r="AH328" s="8">
        <f ca="1">IFERROR(__xludf.DUMMYFUNCTION("""COMPUTED_VALUE"""),5816)</f>
        <v>5816</v>
      </c>
      <c r="AI328" s="8">
        <f ca="1">IFERROR(__xludf.DUMMYFUNCTION("""COMPUTED_VALUE"""),10786)</f>
        <v>10786</v>
      </c>
      <c r="AJ328" s="8">
        <f ca="1">IFERROR(__xludf.DUMMYFUNCTION("""COMPUTED_VALUE"""),4253)</f>
        <v>4253</v>
      </c>
      <c r="AK328" s="8">
        <f ca="1">IFERROR(__xludf.DUMMYFUNCTION("""COMPUTED_VALUE"""),2253)</f>
        <v>2253</v>
      </c>
      <c r="AL328" s="8">
        <f ca="1">IFERROR(__xludf.DUMMYFUNCTION("""COMPUTED_VALUE"""),7868)</f>
        <v>7868</v>
      </c>
      <c r="AM328" s="8">
        <f ca="1">IFERROR(__xludf.DUMMYFUNCTION("""COMPUTED_VALUE"""),6082)</f>
        <v>6082</v>
      </c>
      <c r="AN328" s="8">
        <f ca="1">IFERROR(__xludf.DUMMYFUNCTION("""COMPUTED_VALUE"""),9004)</f>
        <v>9004</v>
      </c>
      <c r="AO328" s="8">
        <f ca="1">IFERROR(__xludf.DUMMYFUNCTION("""COMPUTED_VALUE"""),3895)</f>
        <v>3895</v>
      </c>
      <c r="AP328" s="8"/>
      <c r="AQ328" s="8"/>
      <c r="AR328" s="8"/>
      <c r="AS328" s="8"/>
      <c r="AT328" s="8"/>
      <c r="AU328" s="8"/>
      <c r="AV328" s="8"/>
      <c r="AW328" s="8"/>
      <c r="AX328" s="8"/>
      <c r="AY328" s="8"/>
    </row>
    <row r="329" spans="1:51" ht="13.2" x14ac:dyDescent="0.25">
      <c r="A329" s="12" t="str">
        <f ca="1">IFERROR(__xludf.DUMMYFUNCTION("""COMPUTED_VALUE"""),"      right Cerebellum")</f>
        <v xml:space="preserve">      right Cerebellum</v>
      </c>
      <c r="B329" s="12">
        <f ca="1">IFERROR(__xludf.DUMMYFUNCTION("""COMPUTED_VALUE"""),6266)</f>
        <v>6266</v>
      </c>
      <c r="C329" s="12">
        <f ca="1">IFERROR(__xludf.DUMMYFUNCTION("""COMPUTED_VALUE"""),11334)</f>
        <v>11334</v>
      </c>
      <c r="D329" s="12">
        <f ca="1">IFERROR(__xludf.DUMMYFUNCTION("""COMPUTED_VALUE"""),15918)</f>
        <v>15918</v>
      </c>
      <c r="E329" s="12">
        <f ca="1">IFERROR(__xludf.DUMMYFUNCTION("""COMPUTED_VALUE"""),1544)</f>
        <v>1544</v>
      </c>
      <c r="F329" s="12">
        <f ca="1">IFERROR(__xludf.DUMMYFUNCTION("""COMPUTED_VALUE"""),9212)</f>
        <v>9212</v>
      </c>
      <c r="G329" s="12">
        <f ca="1">IFERROR(__xludf.DUMMYFUNCTION("""COMPUTED_VALUE"""),5076)</f>
        <v>5076</v>
      </c>
      <c r="H329" s="12">
        <f ca="1">IFERROR(__xludf.DUMMYFUNCTION("""COMPUTED_VALUE"""),2314)</f>
        <v>2314</v>
      </c>
      <c r="I329" s="12">
        <f ca="1">IFERROR(__xludf.DUMMYFUNCTION("""COMPUTED_VALUE"""),2312)</f>
        <v>2312</v>
      </c>
      <c r="J329" s="12">
        <f ca="1">IFERROR(__xludf.DUMMYFUNCTION("""COMPUTED_VALUE"""),7674)</f>
        <v>7674</v>
      </c>
      <c r="K329" s="12">
        <f ca="1">IFERROR(__xludf.DUMMYFUNCTION("""COMPUTED_VALUE"""),7326)</f>
        <v>7326</v>
      </c>
      <c r="L329" s="12">
        <f ca="1">IFERROR(__xludf.DUMMYFUNCTION("""COMPUTED_VALUE"""),8494)</f>
        <v>8494</v>
      </c>
      <c r="M329" s="12">
        <f ca="1">IFERROR(__xludf.DUMMYFUNCTION("""COMPUTED_VALUE"""),25832)</f>
        <v>25832</v>
      </c>
      <c r="N329" s="12">
        <f ca="1">IFERROR(__xludf.DUMMYFUNCTION("""COMPUTED_VALUE"""),42606)</f>
        <v>42606</v>
      </c>
      <c r="O329" s="12">
        <f ca="1">IFERROR(__xludf.DUMMYFUNCTION("""COMPUTED_VALUE"""),13852)</f>
        <v>13852</v>
      </c>
      <c r="P329" s="12">
        <f ca="1">IFERROR(__xludf.DUMMYFUNCTION("""COMPUTED_VALUE"""),5585)</f>
        <v>5585</v>
      </c>
      <c r="Q329" s="12">
        <f ca="1">IFERROR(__xludf.DUMMYFUNCTION("""COMPUTED_VALUE"""),4706)</f>
        <v>4706</v>
      </c>
      <c r="R329" s="12">
        <f ca="1">IFERROR(__xludf.DUMMYFUNCTION("""COMPUTED_VALUE"""),10535)</f>
        <v>10535</v>
      </c>
      <c r="S329" s="12">
        <f ca="1">IFERROR(__xludf.DUMMYFUNCTION("""COMPUTED_VALUE"""),2037)</f>
        <v>2037</v>
      </c>
      <c r="T329" s="12">
        <f ca="1">IFERROR(__xludf.DUMMYFUNCTION("""COMPUTED_VALUE"""),15758)</f>
        <v>15758</v>
      </c>
      <c r="U329" s="12">
        <f ca="1">IFERROR(__xludf.DUMMYFUNCTION("""COMPUTED_VALUE"""),10658)</f>
        <v>10658</v>
      </c>
      <c r="V329" s="12">
        <f ca="1">IFERROR(__xludf.DUMMYFUNCTION("""COMPUTED_VALUE"""),10874)</f>
        <v>10874</v>
      </c>
      <c r="W329" s="12">
        <f ca="1">IFERROR(__xludf.DUMMYFUNCTION("""COMPUTED_VALUE"""),10930)</f>
        <v>10930</v>
      </c>
      <c r="X329" s="12">
        <f ca="1">IFERROR(__xludf.DUMMYFUNCTION("""COMPUTED_VALUE"""),56700)</f>
        <v>56700</v>
      </c>
      <c r="Y329" s="12">
        <f ca="1">IFERROR(__xludf.DUMMYFUNCTION("""COMPUTED_VALUE"""),20340)</f>
        <v>20340</v>
      </c>
      <c r="Z329" s="12">
        <f ca="1">IFERROR(__xludf.DUMMYFUNCTION("""COMPUTED_VALUE"""),34082)</f>
        <v>34082</v>
      </c>
      <c r="AA329" s="12">
        <f ca="1">IFERROR(__xludf.DUMMYFUNCTION("""COMPUTED_VALUE"""),11917)</f>
        <v>11917</v>
      </c>
      <c r="AB329" s="12">
        <f ca="1">IFERROR(__xludf.DUMMYFUNCTION("""COMPUTED_VALUE"""),12544)</f>
        <v>12544</v>
      </c>
      <c r="AC329" s="12">
        <f ca="1">IFERROR(__xludf.DUMMYFUNCTION("""COMPUTED_VALUE"""),7020)</f>
        <v>7020</v>
      </c>
      <c r="AD329" s="12">
        <f ca="1">IFERROR(__xludf.DUMMYFUNCTION("""COMPUTED_VALUE"""),7809)</f>
        <v>7809</v>
      </c>
      <c r="AE329" s="12">
        <f ca="1">IFERROR(__xludf.DUMMYFUNCTION("""COMPUTED_VALUE"""),7680)</f>
        <v>7680</v>
      </c>
      <c r="AF329" s="8">
        <f ca="1">IFERROR(__xludf.DUMMYFUNCTION("""COMPUTED_VALUE"""),29457)</f>
        <v>29457</v>
      </c>
      <c r="AG329" s="8">
        <f ca="1">IFERROR(__xludf.DUMMYFUNCTION("""COMPUTED_VALUE"""),3785)</f>
        <v>3785</v>
      </c>
      <c r="AH329" s="8">
        <f ca="1">IFERROR(__xludf.DUMMYFUNCTION("""COMPUTED_VALUE"""),10690)</f>
        <v>10690</v>
      </c>
      <c r="AI329" s="8">
        <f ca="1">IFERROR(__xludf.DUMMYFUNCTION("""COMPUTED_VALUE"""),26750)</f>
        <v>26750</v>
      </c>
      <c r="AJ329" s="8">
        <f ca="1">IFERROR(__xludf.DUMMYFUNCTION("""COMPUTED_VALUE"""),5014)</f>
        <v>5014</v>
      </c>
      <c r="AK329" s="8">
        <f ca="1">IFERROR(__xludf.DUMMYFUNCTION("""COMPUTED_VALUE"""),3298)</f>
        <v>3298</v>
      </c>
      <c r="AL329" s="8">
        <f ca="1">IFERROR(__xludf.DUMMYFUNCTION("""COMPUTED_VALUE"""),4011)</f>
        <v>4011</v>
      </c>
      <c r="AM329" s="8">
        <f ca="1">IFERROR(__xludf.DUMMYFUNCTION("""COMPUTED_VALUE"""),6634)</f>
        <v>6634</v>
      </c>
      <c r="AN329" s="8">
        <f ca="1">IFERROR(__xludf.DUMMYFUNCTION("""COMPUTED_VALUE"""),8232)</f>
        <v>8232</v>
      </c>
      <c r="AO329" s="8">
        <f ca="1">IFERROR(__xludf.DUMMYFUNCTION("""COMPUTED_VALUE"""),3884)</f>
        <v>3884</v>
      </c>
      <c r="AP329" s="8"/>
      <c r="AQ329" s="8"/>
      <c r="AR329" s="8"/>
      <c r="AS329" s="8"/>
      <c r="AT329" s="8"/>
      <c r="AU329" s="8"/>
      <c r="AV329" s="8"/>
      <c r="AW329" s="8"/>
      <c r="AX329" s="8"/>
      <c r="AY329" s="8"/>
    </row>
    <row r="330" spans="1:51" ht="13.2" x14ac:dyDescent="0.25">
      <c r="A330" s="12" t="str">
        <f ca="1">IFERROR(__xludf.DUMMYFUNCTION("""COMPUTED_VALUE"""),"         right Cerebellar cortex")</f>
        <v xml:space="preserve">         right Cerebellar cortex</v>
      </c>
      <c r="B330" s="12">
        <f ca="1">IFERROR(__xludf.DUMMYFUNCTION("""COMPUTED_VALUE"""),6066)</f>
        <v>6066</v>
      </c>
      <c r="C330" s="12">
        <f ca="1">IFERROR(__xludf.DUMMYFUNCTION("""COMPUTED_VALUE"""),10780)</f>
        <v>10780</v>
      </c>
      <c r="D330" s="12">
        <f ca="1">IFERROR(__xludf.DUMMYFUNCTION("""COMPUTED_VALUE"""),15584)</f>
        <v>15584</v>
      </c>
      <c r="E330" s="12">
        <f ca="1">IFERROR(__xludf.DUMMYFUNCTION("""COMPUTED_VALUE"""),1377)</f>
        <v>1377</v>
      </c>
      <c r="F330" s="12">
        <f ca="1">IFERROR(__xludf.DUMMYFUNCTION("""COMPUTED_VALUE"""),8502)</f>
        <v>8502</v>
      </c>
      <c r="G330" s="12">
        <f ca="1">IFERROR(__xludf.DUMMYFUNCTION("""COMPUTED_VALUE"""),4777)</f>
        <v>4777</v>
      </c>
      <c r="H330" s="12">
        <f ca="1">IFERROR(__xludf.DUMMYFUNCTION("""COMPUTED_VALUE"""),2116)</f>
        <v>2116</v>
      </c>
      <c r="I330" s="12">
        <f ca="1">IFERROR(__xludf.DUMMYFUNCTION("""COMPUTED_VALUE"""),2165)</f>
        <v>2165</v>
      </c>
      <c r="J330" s="12">
        <f ca="1">IFERROR(__xludf.DUMMYFUNCTION("""COMPUTED_VALUE"""),7072)</f>
        <v>7072</v>
      </c>
      <c r="K330" s="12">
        <f ca="1">IFERROR(__xludf.DUMMYFUNCTION("""COMPUTED_VALUE"""),7166)</f>
        <v>7166</v>
      </c>
      <c r="L330" s="12">
        <f ca="1">IFERROR(__xludf.DUMMYFUNCTION("""COMPUTED_VALUE"""),8206)</f>
        <v>8206</v>
      </c>
      <c r="M330" s="12">
        <f ca="1">IFERROR(__xludf.DUMMYFUNCTION("""COMPUTED_VALUE"""),25276)</f>
        <v>25276</v>
      </c>
      <c r="N330" s="12">
        <f ca="1">IFERROR(__xludf.DUMMYFUNCTION("""COMPUTED_VALUE"""),39476)</f>
        <v>39476</v>
      </c>
      <c r="O330" s="12">
        <f ca="1">IFERROR(__xludf.DUMMYFUNCTION("""COMPUTED_VALUE"""),13580)</f>
        <v>13580</v>
      </c>
      <c r="P330" s="12">
        <f ca="1">IFERROR(__xludf.DUMMYFUNCTION("""COMPUTED_VALUE"""),5212)</f>
        <v>5212</v>
      </c>
      <c r="Q330" s="12">
        <f ca="1">IFERROR(__xludf.DUMMYFUNCTION("""COMPUTED_VALUE"""),4347)</f>
        <v>4347</v>
      </c>
      <c r="R330" s="12">
        <f ca="1">IFERROR(__xludf.DUMMYFUNCTION("""COMPUTED_VALUE"""),10428)</f>
        <v>10428</v>
      </c>
      <c r="S330" s="12">
        <f ca="1">IFERROR(__xludf.DUMMYFUNCTION("""COMPUTED_VALUE"""),1959)</f>
        <v>1959</v>
      </c>
      <c r="T330" s="12">
        <f ca="1">IFERROR(__xludf.DUMMYFUNCTION("""COMPUTED_VALUE"""),15399)</f>
        <v>15399</v>
      </c>
      <c r="U330" s="12">
        <f ca="1">IFERROR(__xludf.DUMMYFUNCTION("""COMPUTED_VALUE"""),10412)</f>
        <v>10412</v>
      </c>
      <c r="V330" s="12">
        <f ca="1">IFERROR(__xludf.DUMMYFUNCTION("""COMPUTED_VALUE"""),10628)</f>
        <v>10628</v>
      </c>
      <c r="W330" s="12">
        <f ca="1">IFERROR(__xludf.DUMMYFUNCTION("""COMPUTED_VALUE"""),10386)</f>
        <v>10386</v>
      </c>
      <c r="X330" s="12">
        <f ca="1">IFERROR(__xludf.DUMMYFUNCTION("""COMPUTED_VALUE"""),54204)</f>
        <v>54204</v>
      </c>
      <c r="Y330" s="12">
        <f ca="1">IFERROR(__xludf.DUMMYFUNCTION("""COMPUTED_VALUE"""),19541)</f>
        <v>19541</v>
      </c>
      <c r="Z330" s="12">
        <f ca="1">IFERROR(__xludf.DUMMYFUNCTION("""COMPUTED_VALUE"""),33409)</f>
        <v>33409</v>
      </c>
      <c r="AA330" s="12">
        <f ca="1">IFERROR(__xludf.DUMMYFUNCTION("""COMPUTED_VALUE"""),11397)</f>
        <v>11397</v>
      </c>
      <c r="AB330" s="12">
        <f ca="1">IFERROR(__xludf.DUMMYFUNCTION("""COMPUTED_VALUE"""),12353)</f>
        <v>12353</v>
      </c>
      <c r="AC330" s="12">
        <f ca="1">IFERROR(__xludf.DUMMYFUNCTION("""COMPUTED_VALUE"""),6843)</f>
        <v>6843</v>
      </c>
      <c r="AD330" s="12">
        <f ca="1">IFERROR(__xludf.DUMMYFUNCTION("""COMPUTED_VALUE"""),7606)</f>
        <v>7606</v>
      </c>
      <c r="AE330" s="12">
        <f ca="1">IFERROR(__xludf.DUMMYFUNCTION("""COMPUTED_VALUE"""),7257)</f>
        <v>7257</v>
      </c>
      <c r="AF330" s="8">
        <f ca="1">IFERROR(__xludf.DUMMYFUNCTION("""COMPUTED_VALUE"""),27162)</f>
        <v>27162</v>
      </c>
      <c r="AG330" s="8">
        <f ca="1">IFERROR(__xludf.DUMMYFUNCTION("""COMPUTED_VALUE"""),3722)</f>
        <v>3722</v>
      </c>
      <c r="AH330" s="8">
        <f ca="1">IFERROR(__xludf.DUMMYFUNCTION("""COMPUTED_VALUE"""),10418)</f>
        <v>10418</v>
      </c>
      <c r="AI330" s="8">
        <f ca="1">IFERROR(__xludf.DUMMYFUNCTION("""COMPUTED_VALUE"""),25835)</f>
        <v>25835</v>
      </c>
      <c r="AJ330" s="8">
        <f ca="1">IFERROR(__xludf.DUMMYFUNCTION("""COMPUTED_VALUE"""),4887)</f>
        <v>4887</v>
      </c>
      <c r="AK330" s="8">
        <f ca="1">IFERROR(__xludf.DUMMYFUNCTION("""COMPUTED_VALUE"""),3196)</f>
        <v>3196</v>
      </c>
      <c r="AL330" s="8">
        <f ca="1">IFERROR(__xludf.DUMMYFUNCTION("""COMPUTED_VALUE"""),3837)</f>
        <v>3837</v>
      </c>
      <c r="AM330" s="8">
        <f ca="1">IFERROR(__xludf.DUMMYFUNCTION("""COMPUTED_VALUE"""),6507)</f>
        <v>6507</v>
      </c>
      <c r="AN330" s="8">
        <f ca="1">IFERROR(__xludf.DUMMYFUNCTION("""COMPUTED_VALUE"""),7743)</f>
        <v>7743</v>
      </c>
      <c r="AO330" s="8">
        <f ca="1">IFERROR(__xludf.DUMMYFUNCTION("""COMPUTED_VALUE"""),3753)</f>
        <v>3753</v>
      </c>
      <c r="AP330" s="8"/>
      <c r="AQ330" s="8"/>
      <c r="AR330" s="8"/>
      <c r="AS330" s="8"/>
      <c r="AT330" s="8"/>
      <c r="AU330" s="8"/>
      <c r="AV330" s="8"/>
      <c r="AW330" s="8"/>
      <c r="AX330" s="8"/>
      <c r="AY330" s="8"/>
    </row>
    <row r="331" spans="1:51" ht="13.2" x14ac:dyDescent="0.25">
      <c r="A331" s="12" t="str">
        <f ca="1">IFERROR(__xludf.DUMMYFUNCTION("""COMPUTED_VALUE"""),"            right Vermal regions")</f>
        <v xml:space="preserve">            right Vermal regions</v>
      </c>
      <c r="B331" s="12">
        <f ca="1">IFERROR(__xludf.DUMMYFUNCTION("""COMPUTED_VALUE"""),1563)</f>
        <v>1563</v>
      </c>
      <c r="C331" s="12">
        <f ca="1">IFERROR(__xludf.DUMMYFUNCTION("""COMPUTED_VALUE"""),5297)</f>
        <v>5297</v>
      </c>
      <c r="D331" s="12">
        <f ca="1">IFERROR(__xludf.DUMMYFUNCTION("""COMPUTED_VALUE"""),9659)</f>
        <v>9659</v>
      </c>
      <c r="E331" s="12">
        <f ca="1">IFERROR(__xludf.DUMMYFUNCTION("""COMPUTED_VALUE"""),559)</f>
        <v>559</v>
      </c>
      <c r="F331" s="12">
        <f ca="1">IFERROR(__xludf.DUMMYFUNCTION("""COMPUTED_VALUE"""),4744)</f>
        <v>4744</v>
      </c>
      <c r="G331" s="12">
        <f ca="1">IFERROR(__xludf.DUMMYFUNCTION("""COMPUTED_VALUE"""),3029)</f>
        <v>3029</v>
      </c>
      <c r="H331" s="12">
        <f ca="1">IFERROR(__xludf.DUMMYFUNCTION("""COMPUTED_VALUE"""),1184)</f>
        <v>1184</v>
      </c>
      <c r="I331" s="12">
        <f ca="1">IFERROR(__xludf.DUMMYFUNCTION("""COMPUTED_VALUE"""),983)</f>
        <v>983</v>
      </c>
      <c r="J331" s="12">
        <f ca="1">IFERROR(__xludf.DUMMYFUNCTION("""COMPUTED_VALUE"""),4438)</f>
        <v>4438</v>
      </c>
      <c r="K331" s="12">
        <f ca="1">IFERROR(__xludf.DUMMYFUNCTION("""COMPUTED_VALUE"""),3926)</f>
        <v>3926</v>
      </c>
      <c r="L331" s="12">
        <f ca="1">IFERROR(__xludf.DUMMYFUNCTION("""COMPUTED_VALUE"""),4327)</f>
        <v>4327</v>
      </c>
      <c r="M331" s="12">
        <f ca="1">IFERROR(__xludf.DUMMYFUNCTION("""COMPUTED_VALUE"""),13445)</f>
        <v>13445</v>
      </c>
      <c r="N331" s="12">
        <f ca="1">IFERROR(__xludf.DUMMYFUNCTION("""COMPUTED_VALUE"""),16799)</f>
        <v>16799</v>
      </c>
      <c r="O331" s="12">
        <f ca="1">IFERROR(__xludf.DUMMYFUNCTION("""COMPUTED_VALUE"""),5399)</f>
        <v>5399</v>
      </c>
      <c r="P331" s="12">
        <f ca="1">IFERROR(__xludf.DUMMYFUNCTION("""COMPUTED_VALUE"""),3616)</f>
        <v>3616</v>
      </c>
      <c r="Q331" s="12">
        <f ca="1">IFERROR(__xludf.DUMMYFUNCTION("""COMPUTED_VALUE"""),3399)</f>
        <v>3399</v>
      </c>
      <c r="R331" s="12">
        <f ca="1">IFERROR(__xludf.DUMMYFUNCTION("""COMPUTED_VALUE"""),2861)</f>
        <v>2861</v>
      </c>
      <c r="S331" s="12">
        <f ca="1">IFERROR(__xludf.DUMMYFUNCTION("""COMPUTED_VALUE"""),474)</f>
        <v>474</v>
      </c>
      <c r="T331" s="12">
        <f ca="1">IFERROR(__xludf.DUMMYFUNCTION("""COMPUTED_VALUE"""),11208)</f>
        <v>11208</v>
      </c>
      <c r="U331" s="12">
        <f ca="1">IFERROR(__xludf.DUMMYFUNCTION("""COMPUTED_VALUE"""),3687)</f>
        <v>3687</v>
      </c>
      <c r="V331" s="12">
        <f ca="1">IFERROR(__xludf.DUMMYFUNCTION("""COMPUTED_VALUE"""),3767)</f>
        <v>3767</v>
      </c>
      <c r="W331" s="12">
        <f ca="1">IFERROR(__xludf.DUMMYFUNCTION("""COMPUTED_VALUE"""),5104)</f>
        <v>5104</v>
      </c>
      <c r="X331" s="12">
        <f ca="1">IFERROR(__xludf.DUMMYFUNCTION("""COMPUTED_VALUE"""),21214)</f>
        <v>21214</v>
      </c>
      <c r="Y331" s="12">
        <f ca="1">IFERROR(__xludf.DUMMYFUNCTION("""COMPUTED_VALUE"""),12998)</f>
        <v>12998</v>
      </c>
      <c r="Z331" s="12">
        <f ca="1">IFERROR(__xludf.DUMMYFUNCTION("""COMPUTED_VALUE"""),7749)</f>
        <v>7749</v>
      </c>
      <c r="AA331" s="12">
        <f ca="1">IFERROR(__xludf.DUMMYFUNCTION("""COMPUTED_VALUE"""),5130)</f>
        <v>5130</v>
      </c>
      <c r="AB331" s="12">
        <f ca="1">IFERROR(__xludf.DUMMYFUNCTION("""COMPUTED_VALUE"""),8682)</f>
        <v>8682</v>
      </c>
      <c r="AC331" s="12">
        <f ca="1">IFERROR(__xludf.DUMMYFUNCTION("""COMPUTED_VALUE"""),2714)</f>
        <v>2714</v>
      </c>
      <c r="AD331" s="12">
        <f ca="1">IFERROR(__xludf.DUMMYFUNCTION("""COMPUTED_VALUE"""),3073)</f>
        <v>3073</v>
      </c>
      <c r="AE331" s="12">
        <f ca="1">IFERROR(__xludf.DUMMYFUNCTION("""COMPUTED_VALUE"""),1568)</f>
        <v>1568</v>
      </c>
      <c r="AF331" s="8">
        <f ca="1">IFERROR(__xludf.DUMMYFUNCTION("""COMPUTED_VALUE"""),18705)</f>
        <v>18705</v>
      </c>
      <c r="AG331" s="8">
        <f ca="1">IFERROR(__xludf.DUMMYFUNCTION("""COMPUTED_VALUE"""),952)</f>
        <v>952</v>
      </c>
      <c r="AH331" s="8">
        <f ca="1">IFERROR(__xludf.DUMMYFUNCTION("""COMPUTED_VALUE"""),5037)</f>
        <v>5037</v>
      </c>
      <c r="AI331" s="8">
        <f ca="1">IFERROR(__xludf.DUMMYFUNCTION("""COMPUTED_VALUE"""),16525)</f>
        <v>16525</v>
      </c>
      <c r="AJ331" s="8">
        <f ca="1">IFERROR(__xludf.DUMMYFUNCTION("""COMPUTED_VALUE"""),1309)</f>
        <v>1309</v>
      </c>
      <c r="AK331" s="8">
        <f ca="1">IFERROR(__xludf.DUMMYFUNCTION("""COMPUTED_VALUE"""),1288)</f>
        <v>1288</v>
      </c>
      <c r="AL331" s="8">
        <f ca="1">IFERROR(__xludf.DUMMYFUNCTION("""COMPUTED_VALUE"""),1374)</f>
        <v>1374</v>
      </c>
      <c r="AM331" s="8">
        <f ca="1">IFERROR(__xludf.DUMMYFUNCTION("""COMPUTED_VALUE"""),1641)</f>
        <v>1641</v>
      </c>
      <c r="AN331" s="8">
        <f ca="1">IFERROR(__xludf.DUMMYFUNCTION("""COMPUTED_VALUE"""),3047)</f>
        <v>3047</v>
      </c>
      <c r="AO331" s="8">
        <f ca="1">IFERROR(__xludf.DUMMYFUNCTION("""COMPUTED_VALUE"""),1250)</f>
        <v>1250</v>
      </c>
      <c r="AP331" s="8"/>
      <c r="AQ331" s="8"/>
      <c r="AR331" s="8"/>
      <c r="AS331" s="8"/>
      <c r="AT331" s="8"/>
      <c r="AU331" s="8"/>
      <c r="AV331" s="8"/>
      <c r="AW331" s="8"/>
      <c r="AX331" s="8"/>
      <c r="AY331" s="8"/>
    </row>
    <row r="332" spans="1:51" ht="13.2" x14ac:dyDescent="0.25">
      <c r="A332" s="12" t="str">
        <f ca="1">IFERROR(__xludf.DUMMYFUNCTION("""COMPUTED_VALUE"""),"            right Hemispheric regions")</f>
        <v xml:space="preserve">            right Hemispheric regions</v>
      </c>
      <c r="B332" s="12">
        <f ca="1">IFERROR(__xludf.DUMMYFUNCTION("""COMPUTED_VALUE"""),4503)</f>
        <v>4503</v>
      </c>
      <c r="C332" s="12">
        <f ca="1">IFERROR(__xludf.DUMMYFUNCTION("""COMPUTED_VALUE"""),5483)</f>
        <v>5483</v>
      </c>
      <c r="D332" s="12">
        <f ca="1">IFERROR(__xludf.DUMMYFUNCTION("""COMPUTED_VALUE"""),5925)</f>
        <v>5925</v>
      </c>
      <c r="E332" s="12">
        <f ca="1">IFERROR(__xludf.DUMMYFUNCTION("""COMPUTED_VALUE"""),818)</f>
        <v>818</v>
      </c>
      <c r="F332" s="12">
        <f ca="1">IFERROR(__xludf.DUMMYFUNCTION("""COMPUTED_VALUE"""),3758)</f>
        <v>3758</v>
      </c>
      <c r="G332" s="12">
        <f ca="1">IFERROR(__xludf.DUMMYFUNCTION("""COMPUTED_VALUE"""),1748)</f>
        <v>1748</v>
      </c>
      <c r="H332" s="12">
        <f ca="1">IFERROR(__xludf.DUMMYFUNCTION("""COMPUTED_VALUE"""),932)</f>
        <v>932</v>
      </c>
      <c r="I332" s="12">
        <f ca="1">IFERROR(__xludf.DUMMYFUNCTION("""COMPUTED_VALUE"""),1182)</f>
        <v>1182</v>
      </c>
      <c r="J332" s="12">
        <f ca="1">IFERROR(__xludf.DUMMYFUNCTION("""COMPUTED_VALUE"""),2634)</f>
        <v>2634</v>
      </c>
      <c r="K332" s="12">
        <f ca="1">IFERROR(__xludf.DUMMYFUNCTION("""COMPUTED_VALUE"""),3240)</f>
        <v>3240</v>
      </c>
      <c r="L332" s="12">
        <f ca="1">IFERROR(__xludf.DUMMYFUNCTION("""COMPUTED_VALUE"""),3879)</f>
        <v>3879</v>
      </c>
      <c r="M332" s="12">
        <f ca="1">IFERROR(__xludf.DUMMYFUNCTION("""COMPUTED_VALUE"""),11831)</f>
        <v>11831</v>
      </c>
      <c r="N332" s="12">
        <f ca="1">IFERROR(__xludf.DUMMYFUNCTION("""COMPUTED_VALUE"""),22677)</f>
        <v>22677</v>
      </c>
      <c r="O332" s="12">
        <f ca="1">IFERROR(__xludf.DUMMYFUNCTION("""COMPUTED_VALUE"""),8181)</f>
        <v>8181</v>
      </c>
      <c r="P332" s="12">
        <f ca="1">IFERROR(__xludf.DUMMYFUNCTION("""COMPUTED_VALUE"""),1596)</f>
        <v>1596</v>
      </c>
      <c r="Q332" s="12">
        <f ca="1">IFERROR(__xludf.DUMMYFUNCTION("""COMPUTED_VALUE"""),948)</f>
        <v>948</v>
      </c>
      <c r="R332" s="12">
        <f ca="1">IFERROR(__xludf.DUMMYFUNCTION("""COMPUTED_VALUE"""),7567)</f>
        <v>7567</v>
      </c>
      <c r="S332" s="12">
        <f ca="1">IFERROR(__xludf.DUMMYFUNCTION("""COMPUTED_VALUE"""),1485)</f>
        <v>1485</v>
      </c>
      <c r="T332" s="12">
        <f ca="1">IFERROR(__xludf.DUMMYFUNCTION("""COMPUTED_VALUE"""),4191)</f>
        <v>4191</v>
      </c>
      <c r="U332" s="12">
        <f ca="1">IFERROR(__xludf.DUMMYFUNCTION("""COMPUTED_VALUE"""),6725)</f>
        <v>6725</v>
      </c>
      <c r="V332" s="12">
        <f ca="1">IFERROR(__xludf.DUMMYFUNCTION("""COMPUTED_VALUE"""),6861)</f>
        <v>6861</v>
      </c>
      <c r="W332" s="12">
        <f ca="1">IFERROR(__xludf.DUMMYFUNCTION("""COMPUTED_VALUE"""),5282)</f>
        <v>5282</v>
      </c>
      <c r="X332" s="12">
        <f ca="1">IFERROR(__xludf.DUMMYFUNCTION("""COMPUTED_VALUE"""),32990)</f>
        <v>32990</v>
      </c>
      <c r="Y332" s="12">
        <f ca="1">IFERROR(__xludf.DUMMYFUNCTION("""COMPUTED_VALUE"""),6543)</f>
        <v>6543</v>
      </c>
      <c r="Z332" s="12">
        <f ca="1">IFERROR(__xludf.DUMMYFUNCTION("""COMPUTED_VALUE"""),25660)</f>
        <v>25660</v>
      </c>
      <c r="AA332" s="12">
        <f ca="1">IFERROR(__xludf.DUMMYFUNCTION("""COMPUTED_VALUE"""),6267)</f>
        <v>6267</v>
      </c>
      <c r="AB332" s="12">
        <f ca="1">IFERROR(__xludf.DUMMYFUNCTION("""COMPUTED_VALUE"""),3671)</f>
        <v>3671</v>
      </c>
      <c r="AC332" s="12">
        <f ca="1">IFERROR(__xludf.DUMMYFUNCTION("""COMPUTED_VALUE"""),4129)</f>
        <v>4129</v>
      </c>
      <c r="AD332" s="12">
        <f ca="1">IFERROR(__xludf.DUMMYFUNCTION("""COMPUTED_VALUE"""),4533)</f>
        <v>4533</v>
      </c>
      <c r="AE332" s="12">
        <f ca="1">IFERROR(__xludf.DUMMYFUNCTION("""COMPUTED_VALUE"""),5689)</f>
        <v>5689</v>
      </c>
      <c r="AF332" s="8">
        <f ca="1">IFERROR(__xludf.DUMMYFUNCTION("""COMPUTED_VALUE"""),8457)</f>
        <v>8457</v>
      </c>
      <c r="AG332" s="8">
        <f ca="1">IFERROR(__xludf.DUMMYFUNCTION("""COMPUTED_VALUE"""),2770)</f>
        <v>2770</v>
      </c>
      <c r="AH332" s="8">
        <f ca="1">IFERROR(__xludf.DUMMYFUNCTION("""COMPUTED_VALUE"""),5381)</f>
        <v>5381</v>
      </c>
      <c r="AI332" s="8">
        <f ca="1">IFERROR(__xludf.DUMMYFUNCTION("""COMPUTED_VALUE"""),9310)</f>
        <v>9310</v>
      </c>
      <c r="AJ332" s="8">
        <f ca="1">IFERROR(__xludf.DUMMYFUNCTION("""COMPUTED_VALUE"""),3578)</f>
        <v>3578</v>
      </c>
      <c r="AK332" s="8">
        <f ca="1">IFERROR(__xludf.DUMMYFUNCTION("""COMPUTED_VALUE"""),1908)</f>
        <v>1908</v>
      </c>
      <c r="AL332" s="8">
        <f ca="1">IFERROR(__xludf.DUMMYFUNCTION("""COMPUTED_VALUE"""),2463)</f>
        <v>2463</v>
      </c>
      <c r="AM332" s="8">
        <f ca="1">IFERROR(__xludf.DUMMYFUNCTION("""COMPUTED_VALUE"""),4866)</f>
        <v>4866</v>
      </c>
      <c r="AN332" s="8">
        <f ca="1">IFERROR(__xludf.DUMMYFUNCTION("""COMPUTED_VALUE"""),4696)</f>
        <v>4696</v>
      </c>
      <c r="AO332" s="8">
        <f ca="1">IFERROR(__xludf.DUMMYFUNCTION("""COMPUTED_VALUE"""),2503)</f>
        <v>2503</v>
      </c>
      <c r="AP332" s="8"/>
      <c r="AQ332" s="8"/>
      <c r="AR332" s="8"/>
      <c r="AS332" s="8"/>
      <c r="AT332" s="8"/>
      <c r="AU332" s="8"/>
      <c r="AV332" s="8"/>
      <c r="AW332" s="8"/>
      <c r="AX332" s="8"/>
      <c r="AY332" s="8"/>
    </row>
    <row r="333" spans="1:51" ht="13.2" x14ac:dyDescent="0.25">
      <c r="A333" s="12" t="str">
        <f ca="1">IFERROR(__xludf.DUMMYFUNCTION("""COMPUTED_VALUE"""),"         right Cerebellar nuclei")</f>
        <v xml:space="preserve">         right Cerebellar nuclei</v>
      </c>
      <c r="B333" s="12">
        <f ca="1">IFERROR(__xludf.DUMMYFUNCTION("""COMPUTED_VALUE"""),40)</f>
        <v>40</v>
      </c>
      <c r="C333" s="12">
        <f ca="1">IFERROR(__xludf.DUMMYFUNCTION("""COMPUTED_VALUE"""),242)</f>
        <v>242</v>
      </c>
      <c r="D333" s="12">
        <f ca="1">IFERROR(__xludf.DUMMYFUNCTION("""COMPUTED_VALUE"""),94)</f>
        <v>94</v>
      </c>
      <c r="E333" s="12">
        <f ca="1">IFERROR(__xludf.DUMMYFUNCTION("""COMPUTED_VALUE"""),27)</f>
        <v>27</v>
      </c>
      <c r="F333" s="12">
        <f ca="1">IFERROR(__xludf.DUMMYFUNCTION("""COMPUTED_VALUE"""),410)</f>
        <v>410</v>
      </c>
      <c r="G333" s="12">
        <f ca="1">IFERROR(__xludf.DUMMYFUNCTION("""COMPUTED_VALUE"""),56)</f>
        <v>56</v>
      </c>
      <c r="H333" s="12">
        <f ca="1">IFERROR(__xludf.DUMMYFUNCTION("""COMPUTED_VALUE"""),100)</f>
        <v>100</v>
      </c>
      <c r="I333" s="12">
        <f ca="1">IFERROR(__xludf.DUMMYFUNCTION("""COMPUTED_VALUE"""),30)</f>
        <v>30</v>
      </c>
      <c r="J333" s="12">
        <f ca="1">IFERROR(__xludf.DUMMYFUNCTION("""COMPUTED_VALUE"""),142)</f>
        <v>142</v>
      </c>
      <c r="K333" s="12">
        <f ca="1">IFERROR(__xludf.DUMMYFUNCTION("""COMPUTED_VALUE"""),86)</f>
        <v>86</v>
      </c>
      <c r="L333" s="12">
        <f ca="1">IFERROR(__xludf.DUMMYFUNCTION("""COMPUTED_VALUE"""),169)</f>
        <v>169</v>
      </c>
      <c r="M333" s="12">
        <f ca="1">IFERROR(__xludf.DUMMYFUNCTION("""COMPUTED_VALUE"""),203)</f>
        <v>203</v>
      </c>
      <c r="N333" s="12">
        <f ca="1">IFERROR(__xludf.DUMMYFUNCTION("""COMPUTED_VALUE"""),1963)</f>
        <v>1963</v>
      </c>
      <c r="O333" s="12">
        <f ca="1">IFERROR(__xludf.DUMMYFUNCTION("""COMPUTED_VALUE"""),59)</f>
        <v>59</v>
      </c>
      <c r="P333" s="12">
        <f ca="1">IFERROR(__xludf.DUMMYFUNCTION("""COMPUTED_VALUE"""),53)</f>
        <v>53</v>
      </c>
      <c r="Q333" s="12">
        <f ca="1">IFERROR(__xludf.DUMMYFUNCTION("""COMPUTED_VALUE"""),152)</f>
        <v>152</v>
      </c>
      <c r="R333" s="12">
        <f ca="1">IFERROR(__xludf.DUMMYFUNCTION("""COMPUTED_VALUE"""),22)</f>
        <v>22</v>
      </c>
      <c r="S333" s="12">
        <f ca="1">IFERROR(__xludf.DUMMYFUNCTION("""COMPUTED_VALUE"""),13)</f>
        <v>13</v>
      </c>
      <c r="T333" s="12">
        <f ca="1">IFERROR(__xludf.DUMMYFUNCTION("""COMPUTED_VALUE"""),52)</f>
        <v>52</v>
      </c>
      <c r="U333" s="12">
        <f ca="1">IFERROR(__xludf.DUMMYFUNCTION("""COMPUTED_VALUE"""),65)</f>
        <v>65</v>
      </c>
      <c r="V333" s="12">
        <f ca="1">IFERROR(__xludf.DUMMYFUNCTION("""COMPUTED_VALUE"""),165)</f>
        <v>165</v>
      </c>
      <c r="W333" s="12">
        <f ca="1">IFERROR(__xludf.DUMMYFUNCTION("""COMPUTED_VALUE"""),110)</f>
        <v>110</v>
      </c>
      <c r="X333" s="12">
        <f ca="1">IFERROR(__xludf.DUMMYFUNCTION("""COMPUTED_VALUE"""),1685)</f>
        <v>1685</v>
      </c>
      <c r="Y333" s="12">
        <f ca="1">IFERROR(__xludf.DUMMYFUNCTION("""COMPUTED_VALUE"""),389)</f>
        <v>389</v>
      </c>
      <c r="Z333" s="12">
        <f ca="1">IFERROR(__xludf.DUMMYFUNCTION("""COMPUTED_VALUE"""),133)</f>
        <v>133</v>
      </c>
      <c r="AA333" s="12">
        <f ca="1">IFERROR(__xludf.DUMMYFUNCTION("""COMPUTED_VALUE"""),338)</f>
        <v>338</v>
      </c>
      <c r="AB333" s="12">
        <f ca="1">IFERROR(__xludf.DUMMYFUNCTION("""COMPUTED_VALUE"""),48)</f>
        <v>48</v>
      </c>
      <c r="AC333" s="12">
        <f ca="1">IFERROR(__xludf.DUMMYFUNCTION("""COMPUTED_VALUE"""),43)</f>
        <v>43</v>
      </c>
      <c r="AD333" s="12">
        <f ca="1">IFERROR(__xludf.DUMMYFUNCTION("""COMPUTED_VALUE"""),134)</f>
        <v>134</v>
      </c>
      <c r="AE333" s="12">
        <f ca="1">IFERROR(__xludf.DUMMYFUNCTION("""COMPUTED_VALUE"""),210)</f>
        <v>210</v>
      </c>
      <c r="AF333" s="8">
        <f ca="1">IFERROR(__xludf.DUMMYFUNCTION("""COMPUTED_VALUE"""),1193)</f>
        <v>1193</v>
      </c>
      <c r="AG333" s="8">
        <f ca="1">IFERROR(__xludf.DUMMYFUNCTION("""COMPUTED_VALUE"""),32)</f>
        <v>32</v>
      </c>
      <c r="AH333" s="8">
        <f ca="1">IFERROR(__xludf.DUMMYFUNCTION("""COMPUTED_VALUE"""),165)</f>
        <v>165</v>
      </c>
      <c r="AI333" s="8">
        <f ca="1">IFERROR(__xludf.DUMMYFUNCTION("""COMPUTED_VALUE"""),388)</f>
        <v>388</v>
      </c>
      <c r="AJ333" s="8">
        <f ca="1">IFERROR(__xludf.DUMMYFUNCTION("""COMPUTED_VALUE"""),45)</f>
        <v>45</v>
      </c>
      <c r="AK333" s="8">
        <f ca="1">IFERROR(__xludf.DUMMYFUNCTION("""COMPUTED_VALUE"""),47)</f>
        <v>47</v>
      </c>
      <c r="AL333" s="8">
        <f ca="1">IFERROR(__xludf.DUMMYFUNCTION("""COMPUTED_VALUE"""),66)</f>
        <v>66</v>
      </c>
      <c r="AM333" s="8">
        <f ca="1">IFERROR(__xludf.DUMMYFUNCTION("""COMPUTED_VALUE"""),54)</f>
        <v>54</v>
      </c>
      <c r="AN333" s="8">
        <f ca="1">IFERROR(__xludf.DUMMYFUNCTION("""COMPUTED_VALUE"""),118)</f>
        <v>118</v>
      </c>
      <c r="AO333" s="8">
        <f ca="1">IFERROR(__xludf.DUMMYFUNCTION("""COMPUTED_VALUE"""),71)</f>
        <v>71</v>
      </c>
      <c r="AP333" s="8"/>
      <c r="AQ333" s="8"/>
      <c r="AR333" s="8"/>
      <c r="AS333" s="8"/>
      <c r="AT333" s="8"/>
      <c r="AU333" s="8"/>
      <c r="AV333" s="8"/>
      <c r="AW333" s="8"/>
      <c r="AX333" s="8"/>
      <c r="AY333" s="8"/>
    </row>
    <row r="334" spans="1:51" ht="13.2" x14ac:dyDescent="0.25">
      <c r="A334" s="12" t="str">
        <f ca="1">IFERROR(__xludf.DUMMYFUNCTION("""COMPUTED_VALUE"""),"         right hypothalamus related")</f>
        <v xml:space="preserve">         right hypothalamus related</v>
      </c>
      <c r="B334" s="12">
        <f ca="1">IFERROR(__xludf.DUMMYFUNCTION("""COMPUTED_VALUE"""),798)</f>
        <v>798</v>
      </c>
      <c r="C334" s="12">
        <f ca="1">IFERROR(__xludf.DUMMYFUNCTION("""COMPUTED_VALUE"""),1510)</f>
        <v>1510</v>
      </c>
      <c r="D334" s="12">
        <f ca="1">IFERROR(__xludf.DUMMYFUNCTION("""COMPUTED_VALUE"""),1483)</f>
        <v>1483</v>
      </c>
      <c r="E334" s="12">
        <f ca="1">IFERROR(__xludf.DUMMYFUNCTION("""COMPUTED_VALUE"""),1317)</f>
        <v>1317</v>
      </c>
      <c r="F334" s="12">
        <f ca="1">IFERROR(__xludf.DUMMYFUNCTION("""COMPUTED_VALUE"""),2003)</f>
        <v>2003</v>
      </c>
      <c r="G334" s="12">
        <f ca="1">IFERROR(__xludf.DUMMYFUNCTION("""COMPUTED_VALUE"""),703)</f>
        <v>703</v>
      </c>
      <c r="H334" s="12">
        <f ca="1">IFERROR(__xludf.DUMMYFUNCTION("""COMPUTED_VALUE"""),979)</f>
        <v>979</v>
      </c>
      <c r="I334" s="12">
        <f ca="1">IFERROR(__xludf.DUMMYFUNCTION("""COMPUTED_VALUE"""),757)</f>
        <v>757</v>
      </c>
      <c r="J334" s="12">
        <f ca="1">IFERROR(__xludf.DUMMYFUNCTION("""COMPUTED_VALUE"""),1074)</f>
        <v>1074</v>
      </c>
      <c r="K334" s="12">
        <f ca="1">IFERROR(__xludf.DUMMYFUNCTION("""COMPUTED_VALUE"""),1339)</f>
        <v>1339</v>
      </c>
      <c r="L334" s="12">
        <f ca="1">IFERROR(__xludf.DUMMYFUNCTION("""COMPUTED_VALUE"""),1136)</f>
        <v>1136</v>
      </c>
      <c r="M334" s="12">
        <f ca="1">IFERROR(__xludf.DUMMYFUNCTION("""COMPUTED_VALUE"""),1397)</f>
        <v>1397</v>
      </c>
      <c r="N334" s="12">
        <f ca="1">IFERROR(__xludf.DUMMYFUNCTION("""COMPUTED_VALUE"""),6110)</f>
        <v>6110</v>
      </c>
      <c r="O334" s="12">
        <f ca="1">IFERROR(__xludf.DUMMYFUNCTION("""COMPUTED_VALUE"""),958)</f>
        <v>958</v>
      </c>
      <c r="P334" s="12">
        <f ca="1">IFERROR(__xludf.DUMMYFUNCTION("""COMPUTED_VALUE"""),1094)</f>
        <v>1094</v>
      </c>
      <c r="Q334" s="12">
        <f ca="1">IFERROR(__xludf.DUMMYFUNCTION("""COMPUTED_VALUE"""),1102)</f>
        <v>1102</v>
      </c>
      <c r="R334" s="12">
        <f ca="1">IFERROR(__xludf.DUMMYFUNCTION("""COMPUTED_VALUE"""),742)</f>
        <v>742</v>
      </c>
      <c r="S334" s="12">
        <f ca="1">IFERROR(__xludf.DUMMYFUNCTION("""COMPUTED_VALUE"""),247)</f>
        <v>247</v>
      </c>
      <c r="T334" s="12">
        <f ca="1">IFERROR(__xludf.DUMMYFUNCTION("""COMPUTED_VALUE"""),878)</f>
        <v>878</v>
      </c>
      <c r="U334" s="12">
        <f ca="1">IFERROR(__xludf.DUMMYFUNCTION("""COMPUTED_VALUE"""),1014)</f>
        <v>1014</v>
      </c>
      <c r="V334" s="12">
        <f ca="1">IFERROR(__xludf.DUMMYFUNCTION("""COMPUTED_VALUE"""),1187)</f>
        <v>1187</v>
      </c>
      <c r="W334" s="12">
        <f ca="1">IFERROR(__xludf.DUMMYFUNCTION("""COMPUTED_VALUE"""),1571)</f>
        <v>1571</v>
      </c>
      <c r="X334" s="12">
        <f ca="1">IFERROR(__xludf.DUMMYFUNCTION("""COMPUTED_VALUE"""),2995)</f>
        <v>2995</v>
      </c>
      <c r="Y334" s="12">
        <f ca="1">IFERROR(__xludf.DUMMYFUNCTION("""COMPUTED_VALUE"""),1399)</f>
        <v>1399</v>
      </c>
      <c r="Z334" s="12">
        <f ca="1">IFERROR(__xludf.DUMMYFUNCTION("""COMPUTED_VALUE"""),3068)</f>
        <v>3068</v>
      </c>
      <c r="AA334" s="12">
        <f ca="1">IFERROR(__xludf.DUMMYFUNCTION("""COMPUTED_VALUE"""),2334)</f>
        <v>2334</v>
      </c>
      <c r="AB334" s="12">
        <f ca="1">IFERROR(__xludf.DUMMYFUNCTION("""COMPUTED_VALUE"""),1613)</f>
        <v>1613</v>
      </c>
      <c r="AC334" s="12">
        <f ca="1">IFERROR(__xludf.DUMMYFUNCTION("""COMPUTED_VALUE"""),1023)</f>
        <v>1023</v>
      </c>
      <c r="AD334" s="12">
        <f ca="1">IFERROR(__xludf.DUMMYFUNCTION("""COMPUTED_VALUE"""),966)</f>
        <v>966</v>
      </c>
      <c r="AE334" s="12">
        <f ca="1">IFERROR(__xludf.DUMMYFUNCTION("""COMPUTED_VALUE"""),1802)</f>
        <v>1802</v>
      </c>
      <c r="AF334" s="8">
        <f ca="1">IFERROR(__xludf.DUMMYFUNCTION("""COMPUTED_VALUE"""),2237)</f>
        <v>2237</v>
      </c>
      <c r="AG334" s="8">
        <f ca="1">IFERROR(__xludf.DUMMYFUNCTION("""COMPUTED_VALUE"""),1093)</f>
        <v>1093</v>
      </c>
      <c r="AH334" s="8">
        <f ca="1">IFERROR(__xludf.DUMMYFUNCTION("""COMPUTED_VALUE"""),1990)</f>
        <v>1990</v>
      </c>
      <c r="AI334" s="8">
        <f ca="1">IFERROR(__xludf.DUMMYFUNCTION("""COMPUTED_VALUE"""),1898)</f>
        <v>1898</v>
      </c>
      <c r="AJ334" s="8">
        <f ca="1">IFERROR(__xludf.DUMMYFUNCTION("""COMPUTED_VALUE"""),1410)</f>
        <v>1410</v>
      </c>
      <c r="AK334" s="8">
        <f ca="1">IFERROR(__xludf.DUMMYFUNCTION("""COMPUTED_VALUE"""),754)</f>
        <v>754</v>
      </c>
      <c r="AL334" s="8">
        <f ca="1">IFERROR(__xludf.DUMMYFUNCTION("""COMPUTED_VALUE"""),1611)</f>
        <v>1611</v>
      </c>
      <c r="AM334" s="8">
        <f ca="1">IFERROR(__xludf.DUMMYFUNCTION("""COMPUTED_VALUE"""),1026)</f>
        <v>1026</v>
      </c>
      <c r="AN334" s="8">
        <f ca="1">IFERROR(__xludf.DUMMYFUNCTION("""COMPUTED_VALUE"""),800)</f>
        <v>800</v>
      </c>
      <c r="AO334" s="8">
        <f ca="1">IFERROR(__xludf.DUMMYFUNCTION("""COMPUTED_VALUE"""),899)</f>
        <v>899</v>
      </c>
      <c r="AP334" s="8"/>
      <c r="AQ334" s="8"/>
      <c r="AR334" s="8"/>
      <c r="AS334" s="8"/>
      <c r="AT334" s="8"/>
      <c r="AU334" s="8"/>
      <c r="AV334" s="8"/>
      <c r="AW334" s="8"/>
      <c r="AX334" s="8"/>
      <c r="AY334" s="8"/>
    </row>
    <row r="335" spans="1:51" ht="13.2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</row>
    <row r="336" spans="1:51" ht="13.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</row>
    <row r="337" spans="1:51" ht="13.2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</row>
    <row r="338" spans="1:51" ht="13.2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</row>
    <row r="339" spans="1:51" ht="13.2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</row>
    <row r="340" spans="1:51" ht="13.2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</row>
    <row r="341" spans="1:51" ht="13.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</row>
    <row r="342" spans="1:51" ht="13.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</row>
    <row r="343" spans="1:51" ht="13.2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</row>
    <row r="344" spans="1:51" ht="13.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</row>
    <row r="345" spans="1:51" ht="13.2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</row>
    <row r="346" spans="1:51" ht="13.2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</row>
    <row r="347" spans="1:51" ht="13.2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</row>
    <row r="348" spans="1:51" ht="13.2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</row>
    <row r="349" spans="1:51" ht="13.2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</row>
    <row r="350" spans="1:51" ht="13.2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</row>
    <row r="351" spans="1:51" ht="13.2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</row>
    <row r="352" spans="1:51" ht="13.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</row>
    <row r="353" spans="1:51" ht="13.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</row>
    <row r="354" spans="1:51" ht="13.2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</row>
    <row r="355" spans="1:51" ht="13.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</row>
    <row r="356" spans="1:51" ht="13.2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</row>
    <row r="357" spans="1:51" ht="13.2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</row>
    <row r="358" spans="1:51" ht="13.2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</row>
    <row r="359" spans="1:51" ht="13.2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</row>
    <row r="360" spans="1:51" ht="13.2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</row>
    <row r="361" spans="1:51" ht="13.2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</row>
    <row r="362" spans="1:51" ht="13.2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</row>
    <row r="363" spans="1:51" ht="13.2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</row>
    <row r="364" spans="1:51" ht="13.2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</row>
    <row r="365" spans="1:51" ht="13.2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</row>
    <row r="366" spans="1:51" ht="13.2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</row>
    <row r="367" spans="1:51" ht="13.2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</row>
    <row r="368" spans="1:51" ht="13.2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</row>
    <row r="369" spans="1:51" ht="13.2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</row>
    <row r="370" spans="1:51" ht="13.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</row>
    <row r="371" spans="1:51" ht="13.2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</row>
    <row r="372" spans="1:51" ht="13.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</row>
    <row r="373" spans="1:51" ht="13.2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</row>
    <row r="374" spans="1:51" ht="13.2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</row>
    <row r="375" spans="1:51" ht="13.2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</row>
    <row r="376" spans="1:51" ht="13.2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</row>
    <row r="377" spans="1:51" ht="13.2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</row>
    <row r="378" spans="1:51" ht="13.2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</row>
    <row r="379" spans="1:51" ht="13.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</row>
    <row r="380" spans="1:51" ht="13.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</row>
    <row r="381" spans="1:51" ht="13.2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</row>
    <row r="382" spans="1:51" ht="13.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</row>
    <row r="383" spans="1:51" ht="13.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</row>
    <row r="384" spans="1:51" ht="13.2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</row>
    <row r="385" spans="1:51" ht="13.2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</row>
    <row r="386" spans="1:51" ht="13.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</row>
    <row r="387" spans="1:51" ht="13.2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</row>
    <row r="388" spans="1:51" ht="13.2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</row>
    <row r="389" spans="1:51" ht="13.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</row>
    <row r="390" spans="1:51" ht="13.2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</row>
    <row r="391" spans="1:51" ht="13.2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</row>
    <row r="392" spans="1:51" ht="13.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</row>
    <row r="393" spans="1:51" ht="13.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</row>
    <row r="394" spans="1:51" ht="13.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</row>
    <row r="395" spans="1:51" ht="13.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</row>
    <row r="396" spans="1:51" ht="13.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</row>
    <row r="397" spans="1:51" ht="13.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</row>
    <row r="398" spans="1:51" ht="13.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</row>
    <row r="399" spans="1:51" ht="13.2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</row>
    <row r="400" spans="1:51" ht="13.2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</row>
    <row r="401" spans="1:51" ht="13.2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</row>
    <row r="402" spans="1:51" ht="13.2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</row>
    <row r="403" spans="1:51" ht="13.2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</row>
    <row r="404" spans="1:51" ht="13.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</row>
    <row r="405" spans="1:51" ht="13.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</row>
    <row r="406" spans="1:51" ht="13.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</row>
    <row r="407" spans="1:51" ht="13.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</row>
    <row r="408" spans="1:51" ht="13.2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</row>
    <row r="409" spans="1:51" ht="13.2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</row>
    <row r="410" spans="1:51" ht="13.2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</row>
    <row r="411" spans="1:51" ht="13.2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</row>
    <row r="412" spans="1:51" ht="13.2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</row>
    <row r="413" spans="1:51" ht="13.2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</row>
    <row r="414" spans="1:51" ht="13.2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</row>
    <row r="415" spans="1:51" ht="13.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</row>
    <row r="416" spans="1:51" ht="13.2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</row>
    <row r="417" spans="1:51" ht="13.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</row>
    <row r="418" spans="1:51" ht="13.2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</row>
    <row r="419" spans="1:51" ht="13.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</row>
    <row r="420" spans="1:51" ht="13.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</row>
    <row r="421" spans="1:51" ht="13.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</row>
    <row r="422" spans="1:51" ht="13.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</row>
    <row r="423" spans="1:51" ht="13.2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</row>
    <row r="424" spans="1:51" ht="13.2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</row>
    <row r="425" spans="1:51" ht="13.2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</row>
    <row r="426" spans="1:51" ht="13.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</row>
    <row r="427" spans="1:51" ht="13.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</row>
    <row r="428" spans="1:51" ht="13.2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</row>
    <row r="429" spans="1:51" ht="13.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</row>
    <row r="430" spans="1:51" ht="13.2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</row>
    <row r="431" spans="1:51" ht="13.2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</row>
    <row r="432" spans="1:51" ht="13.2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</row>
    <row r="433" spans="1:51" ht="13.2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</row>
    <row r="434" spans="1:51" ht="13.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</row>
    <row r="435" spans="1:51" ht="13.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</row>
    <row r="436" spans="1:51" ht="13.2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</row>
    <row r="437" spans="1:51" ht="13.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</row>
    <row r="438" spans="1:51" ht="13.2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</row>
    <row r="439" spans="1:51" ht="13.2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</row>
    <row r="440" spans="1:51" ht="13.2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</row>
    <row r="441" spans="1:51" ht="13.2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</row>
    <row r="442" spans="1:51" ht="13.2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</row>
    <row r="443" spans="1:51" ht="13.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</row>
    <row r="444" spans="1:51" ht="13.2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</row>
    <row r="445" spans="1:51" ht="13.2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</row>
    <row r="446" spans="1:51" ht="13.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</row>
    <row r="447" spans="1:51" ht="13.2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</row>
    <row r="448" spans="1:51" ht="13.2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</row>
    <row r="449" spans="1:51" ht="13.2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</row>
    <row r="450" spans="1:51" ht="13.2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</row>
    <row r="451" spans="1:51" ht="13.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</row>
    <row r="452" spans="1:51" ht="13.2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</row>
    <row r="453" spans="1:51" ht="13.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</row>
    <row r="454" spans="1:51" ht="13.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</row>
    <row r="455" spans="1:51" ht="13.2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</row>
    <row r="456" spans="1:51" ht="13.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</row>
    <row r="457" spans="1:51" ht="13.2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</row>
    <row r="458" spans="1:51" ht="13.2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</row>
    <row r="459" spans="1:51" ht="13.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</row>
    <row r="460" spans="1:51" ht="13.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</row>
    <row r="461" spans="1:51" ht="13.2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</row>
    <row r="462" spans="1:51" ht="13.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</row>
    <row r="463" spans="1:51" ht="13.2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</row>
    <row r="464" spans="1:51" ht="13.2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</row>
    <row r="465" spans="1:51" ht="13.2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</row>
    <row r="466" spans="1:51" ht="13.2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</row>
    <row r="467" spans="1:51" ht="13.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</row>
    <row r="468" spans="1:51" ht="13.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</row>
    <row r="469" spans="1:51" ht="13.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</row>
    <row r="470" spans="1:51" ht="13.2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</row>
    <row r="471" spans="1:51" ht="13.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</row>
    <row r="472" spans="1:51" ht="13.2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</row>
    <row r="473" spans="1:51" ht="13.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</row>
    <row r="474" spans="1:51" ht="13.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</row>
    <row r="475" spans="1:51" ht="13.2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</row>
    <row r="476" spans="1:51" ht="13.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</row>
    <row r="477" spans="1:51" ht="13.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</row>
    <row r="478" spans="1:51" ht="13.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</row>
    <row r="479" spans="1:51" ht="13.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</row>
    <row r="480" spans="1:51" ht="13.2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</row>
    <row r="481" spans="1:51" ht="13.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</row>
    <row r="482" spans="1:51" ht="13.2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</row>
    <row r="483" spans="1:51" ht="13.2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</row>
    <row r="484" spans="1:51" ht="13.2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</row>
    <row r="485" spans="1:51" ht="13.2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</row>
    <row r="486" spans="1:51" ht="13.2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</row>
    <row r="487" spans="1:51" ht="13.2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</row>
    <row r="488" spans="1:51" ht="13.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</row>
    <row r="489" spans="1:51" ht="13.2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</row>
    <row r="490" spans="1:51" ht="13.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</row>
    <row r="491" spans="1:51" ht="13.2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</row>
    <row r="492" spans="1:51" ht="13.2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</row>
    <row r="493" spans="1:51" ht="13.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</row>
    <row r="494" spans="1:51" ht="13.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</row>
    <row r="495" spans="1:51" ht="13.2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</row>
    <row r="496" spans="1:51" ht="13.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</row>
    <row r="497" spans="1:51" ht="13.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</row>
    <row r="498" spans="1:51" ht="13.2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</row>
    <row r="499" spans="1:51" ht="13.2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</row>
    <row r="500" spans="1:51" ht="13.2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</row>
    <row r="501" spans="1:51" ht="13.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</row>
    <row r="502" spans="1:51" ht="13.2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</row>
    <row r="503" spans="1:51" ht="13.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</row>
    <row r="504" spans="1:51" ht="13.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</row>
    <row r="505" spans="1:51" ht="13.2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</row>
    <row r="506" spans="1:51" ht="13.2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</row>
    <row r="507" spans="1:51" ht="13.2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</row>
    <row r="508" spans="1:51" ht="13.2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</row>
    <row r="509" spans="1:51" ht="13.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</row>
    <row r="510" spans="1:51" ht="13.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</row>
    <row r="511" spans="1:51" ht="13.2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</row>
    <row r="512" spans="1:51" ht="13.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</row>
    <row r="513" spans="1:51" ht="13.2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</row>
    <row r="514" spans="1:51" ht="13.2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</row>
    <row r="515" spans="1:51" ht="13.2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</row>
    <row r="516" spans="1:51" ht="13.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</row>
    <row r="517" spans="1:51" ht="13.2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</row>
    <row r="518" spans="1:51" ht="13.2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</row>
    <row r="519" spans="1:51" ht="13.2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</row>
    <row r="520" spans="1:51" ht="13.2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</row>
    <row r="521" spans="1:51" ht="13.2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</row>
    <row r="522" spans="1:51" ht="13.2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</row>
    <row r="523" spans="1:51" ht="13.2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</row>
    <row r="524" spans="1:51" ht="13.2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</row>
    <row r="525" spans="1:51" ht="13.2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</row>
    <row r="526" spans="1:51" ht="13.2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</row>
    <row r="527" spans="1:51" ht="13.2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</row>
    <row r="528" spans="1:51" ht="13.2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</row>
    <row r="529" spans="1:51" ht="13.2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</row>
    <row r="530" spans="1:51" ht="13.2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</row>
    <row r="531" spans="1:51" ht="13.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</row>
    <row r="532" spans="1:51" ht="13.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</row>
    <row r="533" spans="1:51" ht="13.2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</row>
    <row r="534" spans="1:51" ht="13.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</row>
    <row r="535" spans="1:51" ht="13.2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</row>
    <row r="536" spans="1:51" ht="13.2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</row>
    <row r="537" spans="1:51" ht="13.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</row>
    <row r="538" spans="1:51" ht="13.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</row>
    <row r="539" spans="1:51" ht="13.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</row>
    <row r="540" spans="1:51" ht="13.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</row>
    <row r="541" spans="1:51" ht="13.2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</row>
    <row r="542" spans="1:51" ht="13.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</row>
    <row r="543" spans="1:51" ht="13.2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</row>
    <row r="544" spans="1:51" ht="13.2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</row>
    <row r="545" spans="1:51" ht="13.2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</row>
    <row r="546" spans="1:51" ht="13.2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</row>
    <row r="547" spans="1:51" ht="13.2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</row>
    <row r="548" spans="1:51" ht="13.2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</row>
    <row r="549" spans="1:51" ht="13.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</row>
    <row r="550" spans="1:51" ht="13.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</row>
    <row r="551" spans="1:51" ht="13.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</row>
    <row r="552" spans="1:51" ht="13.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</row>
    <row r="553" spans="1:51" ht="13.2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</row>
    <row r="554" spans="1:51" ht="13.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</row>
    <row r="555" spans="1:51" ht="13.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</row>
    <row r="556" spans="1:51" ht="13.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</row>
    <row r="557" spans="1:51" ht="13.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</row>
    <row r="558" spans="1:51" ht="13.2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</row>
    <row r="559" spans="1:51" ht="13.2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</row>
    <row r="560" spans="1:51" ht="13.2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</row>
    <row r="561" spans="1:51" ht="13.2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</row>
    <row r="562" spans="1:51" ht="13.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</row>
    <row r="563" spans="1:51" ht="13.2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</row>
    <row r="564" spans="1:51" ht="13.2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</row>
    <row r="565" spans="1:51" ht="13.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</row>
    <row r="566" spans="1:51" ht="13.2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</row>
    <row r="567" spans="1:51" ht="13.2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</row>
    <row r="568" spans="1:51" ht="13.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</row>
    <row r="569" spans="1:51" ht="13.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</row>
    <row r="570" spans="1:51" ht="13.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</row>
    <row r="571" spans="1:51" ht="13.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</row>
    <row r="572" spans="1:51" ht="13.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</row>
    <row r="573" spans="1:51" ht="13.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</row>
    <row r="574" spans="1:51" ht="13.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</row>
    <row r="575" spans="1:51" ht="13.2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</row>
    <row r="576" spans="1:51" ht="13.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</row>
    <row r="577" spans="1:51" ht="13.2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</row>
    <row r="578" spans="1:51" ht="13.2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</row>
    <row r="579" spans="1:51" ht="13.2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</row>
    <row r="580" spans="1:51" ht="13.2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</row>
    <row r="581" spans="1:51" ht="13.2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</row>
    <row r="582" spans="1:51" ht="13.2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</row>
    <row r="583" spans="1:51" ht="13.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</row>
    <row r="584" spans="1:51" ht="13.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</row>
    <row r="585" spans="1:51" ht="13.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</row>
    <row r="586" spans="1:51" ht="13.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</row>
    <row r="587" spans="1:51" ht="13.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</row>
    <row r="588" spans="1:51" ht="13.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</row>
    <row r="589" spans="1:51" ht="13.2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</row>
    <row r="590" spans="1:51" ht="13.2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</row>
    <row r="591" spans="1:51" ht="13.2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</row>
    <row r="592" spans="1:51" ht="13.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</row>
    <row r="593" spans="1:51" ht="13.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</row>
    <row r="594" spans="1:51" ht="13.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</row>
    <row r="595" spans="1:51" ht="13.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</row>
    <row r="596" spans="1:51" ht="13.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</row>
    <row r="597" spans="1:51" ht="13.2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</row>
    <row r="598" spans="1:51" ht="13.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</row>
    <row r="599" spans="1:51" ht="13.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</row>
    <row r="600" spans="1:51" ht="13.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</row>
    <row r="601" spans="1:51" ht="13.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</row>
    <row r="602" spans="1:51" ht="13.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</row>
    <row r="603" spans="1:51" ht="13.2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</row>
    <row r="604" spans="1:51" ht="13.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</row>
    <row r="605" spans="1:51" ht="13.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</row>
    <row r="606" spans="1:51" ht="13.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</row>
    <row r="607" spans="1:51" ht="13.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</row>
    <row r="608" spans="1:51" ht="13.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</row>
    <row r="609" spans="1:51" ht="13.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</row>
    <row r="610" spans="1:51" ht="13.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</row>
    <row r="611" spans="1:51" ht="13.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</row>
    <row r="612" spans="1:51" ht="13.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</row>
    <row r="613" spans="1:51" ht="13.2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</row>
    <row r="614" spans="1:51" ht="13.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</row>
    <row r="615" spans="1:51" ht="13.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</row>
    <row r="616" spans="1:51" ht="13.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</row>
    <row r="617" spans="1:51" ht="13.2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</row>
    <row r="618" spans="1:51" ht="13.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</row>
    <row r="619" spans="1:51" ht="13.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</row>
    <row r="620" spans="1:51" ht="13.2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</row>
    <row r="621" spans="1:51" ht="13.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</row>
    <row r="622" spans="1:51" ht="13.2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</row>
    <row r="623" spans="1:51" ht="13.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</row>
    <row r="624" spans="1:51" ht="13.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</row>
    <row r="625" spans="1:51" ht="13.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</row>
    <row r="626" spans="1:51" ht="13.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</row>
    <row r="627" spans="1:51" ht="13.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</row>
    <row r="628" spans="1:51" ht="13.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</row>
    <row r="629" spans="1:51" ht="13.2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</row>
    <row r="630" spans="1:51" ht="13.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</row>
    <row r="631" spans="1:51" ht="13.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</row>
    <row r="632" spans="1:51" ht="13.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</row>
    <row r="633" spans="1:51" ht="13.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</row>
    <row r="634" spans="1:51" ht="13.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</row>
    <row r="635" spans="1:51" ht="13.2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</row>
    <row r="636" spans="1:51" ht="13.2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</row>
    <row r="637" spans="1:51" ht="13.2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</row>
    <row r="638" spans="1:51" ht="13.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</row>
    <row r="639" spans="1:51" ht="13.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</row>
    <row r="640" spans="1:51" ht="13.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</row>
    <row r="641" spans="1:51" ht="13.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</row>
    <row r="642" spans="1:51" ht="13.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</row>
    <row r="643" spans="1:51" ht="13.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</row>
    <row r="644" spans="1:51" ht="13.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</row>
    <row r="645" spans="1:51" ht="13.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</row>
    <row r="646" spans="1:51" ht="13.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</row>
    <row r="647" spans="1:51" ht="13.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</row>
    <row r="648" spans="1:51" ht="13.2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</row>
    <row r="649" spans="1:51" ht="13.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</row>
    <row r="650" spans="1:51" ht="13.2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</row>
    <row r="651" spans="1:51" ht="13.2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</row>
    <row r="652" spans="1:51" ht="13.2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</row>
    <row r="653" spans="1:51" ht="13.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</row>
    <row r="654" spans="1:51" ht="13.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</row>
    <row r="655" spans="1:51" ht="13.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</row>
    <row r="656" spans="1:51" ht="13.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</row>
    <row r="657" spans="1:51" ht="13.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</row>
    <row r="658" spans="1:51" ht="13.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</row>
    <row r="659" spans="1:51" ht="13.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</row>
    <row r="660" spans="1:51" ht="13.2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</row>
    <row r="661" spans="1:51" ht="13.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</row>
    <row r="662" spans="1:51" ht="13.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</row>
    <row r="663" spans="1:51" ht="13.2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</row>
    <row r="664" spans="1:51" ht="13.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</row>
    <row r="665" spans="1:51" ht="13.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</row>
    <row r="666" spans="1:51" ht="13.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</row>
    <row r="667" spans="1:51" ht="13.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</row>
    <row r="668" spans="1:51" ht="13.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</row>
    <row r="669" spans="1:51" ht="13.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</row>
    <row r="670" spans="1:51" ht="13.2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</row>
    <row r="671" spans="1:51" ht="13.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</row>
    <row r="672" spans="1:51" ht="13.2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</row>
    <row r="673" spans="1:51" ht="13.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</row>
    <row r="674" spans="1:51" ht="13.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</row>
    <row r="675" spans="1:51" ht="13.2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</row>
    <row r="676" spans="1:51" ht="13.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</row>
    <row r="677" spans="1:51" ht="13.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</row>
    <row r="678" spans="1:51" ht="13.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</row>
    <row r="679" spans="1:51" ht="13.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</row>
    <row r="680" spans="1:51" ht="13.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</row>
    <row r="681" spans="1:51" ht="13.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</row>
    <row r="682" spans="1:51" ht="13.2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</row>
    <row r="683" spans="1:51" ht="13.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</row>
    <row r="684" spans="1:51" ht="13.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</row>
    <row r="685" spans="1:51" ht="13.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</row>
    <row r="686" spans="1:51" ht="13.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</row>
    <row r="687" spans="1:51" ht="13.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</row>
    <row r="688" spans="1:51" ht="13.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</row>
    <row r="689" spans="1:51" ht="13.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</row>
    <row r="690" spans="1:51" ht="13.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</row>
    <row r="691" spans="1:51" ht="13.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</row>
    <row r="692" spans="1:51" ht="13.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</row>
    <row r="693" spans="1:51" ht="13.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</row>
    <row r="694" spans="1:51" ht="13.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</row>
    <row r="695" spans="1:51" ht="13.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</row>
    <row r="696" spans="1:51" ht="13.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</row>
    <row r="697" spans="1:51" ht="13.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</row>
    <row r="698" spans="1:51" ht="13.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</row>
    <row r="699" spans="1:51" ht="13.2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</row>
    <row r="700" spans="1:51" ht="13.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</row>
    <row r="701" spans="1:51" ht="13.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</row>
    <row r="702" spans="1:51" ht="13.2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</row>
    <row r="703" spans="1:51" ht="13.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</row>
    <row r="704" spans="1:51" ht="13.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</row>
    <row r="705" spans="1:51" ht="13.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</row>
    <row r="706" spans="1:51" ht="13.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</row>
    <row r="707" spans="1:51" ht="13.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</row>
    <row r="708" spans="1:51" ht="13.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</row>
    <row r="709" spans="1:51" ht="13.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</row>
    <row r="710" spans="1:51" ht="13.2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</row>
    <row r="711" spans="1:51" ht="13.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</row>
    <row r="712" spans="1:51" ht="13.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</row>
    <row r="713" spans="1:51" ht="13.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</row>
    <row r="714" spans="1:51" ht="13.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</row>
    <row r="715" spans="1:51" ht="13.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</row>
    <row r="716" spans="1:51" ht="13.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</row>
    <row r="717" spans="1:51" ht="13.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</row>
    <row r="718" spans="1:51" ht="13.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</row>
    <row r="719" spans="1:51" ht="13.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</row>
    <row r="720" spans="1:51" ht="13.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</row>
    <row r="721" spans="1:51" ht="13.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</row>
    <row r="722" spans="1:51" ht="13.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</row>
    <row r="723" spans="1:51" ht="13.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</row>
    <row r="724" spans="1:51" ht="13.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</row>
    <row r="725" spans="1:51" ht="13.2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</row>
    <row r="726" spans="1:51" ht="13.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</row>
    <row r="727" spans="1:51" ht="13.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</row>
    <row r="728" spans="1:51" ht="13.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</row>
    <row r="729" spans="1:51" ht="13.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</row>
    <row r="730" spans="1:51" ht="13.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</row>
    <row r="731" spans="1:51" ht="13.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</row>
    <row r="732" spans="1:51" ht="13.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</row>
    <row r="733" spans="1:51" ht="13.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</row>
    <row r="734" spans="1:51" ht="13.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</row>
    <row r="735" spans="1:51" ht="13.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</row>
    <row r="736" spans="1:51" ht="13.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</row>
    <row r="737" spans="1:51" ht="13.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</row>
    <row r="738" spans="1:51" ht="13.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</row>
    <row r="739" spans="1:51" ht="13.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</row>
    <row r="740" spans="1:51" ht="13.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</row>
    <row r="741" spans="1:51" ht="13.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</row>
    <row r="742" spans="1:51" ht="13.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</row>
    <row r="743" spans="1:51" ht="13.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</row>
    <row r="744" spans="1:51" ht="13.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</row>
    <row r="745" spans="1:51" ht="13.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</row>
    <row r="746" spans="1:51" ht="13.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</row>
    <row r="747" spans="1:51" ht="13.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</row>
    <row r="748" spans="1:51" ht="13.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</row>
    <row r="749" spans="1:51" ht="13.2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</row>
    <row r="750" spans="1:51" ht="13.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</row>
    <row r="751" spans="1:51" ht="13.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</row>
    <row r="752" spans="1:51" ht="13.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</row>
    <row r="753" spans="1:51" ht="13.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</row>
    <row r="754" spans="1:51" ht="13.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</row>
    <row r="755" spans="1:51" ht="13.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</row>
    <row r="756" spans="1:51" ht="13.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</row>
    <row r="757" spans="1:51" ht="13.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</row>
    <row r="758" spans="1:51" ht="13.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</row>
    <row r="759" spans="1:51" ht="13.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</row>
    <row r="760" spans="1:51" ht="13.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</row>
    <row r="761" spans="1:51" ht="13.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</row>
    <row r="762" spans="1:51" ht="13.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</row>
    <row r="763" spans="1:51" ht="13.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</row>
    <row r="764" spans="1:51" ht="13.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</row>
    <row r="765" spans="1:51" ht="13.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</row>
    <row r="766" spans="1:51" ht="13.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</row>
    <row r="767" spans="1:51" ht="13.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</row>
    <row r="768" spans="1:51" ht="13.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</row>
    <row r="769" spans="1:51" ht="13.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</row>
    <row r="770" spans="1:51" ht="13.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</row>
    <row r="771" spans="1:51" ht="13.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</row>
    <row r="772" spans="1:51" ht="13.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</row>
    <row r="773" spans="1:51" ht="13.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</row>
    <row r="774" spans="1:51" ht="13.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</row>
    <row r="775" spans="1:51" ht="13.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</row>
    <row r="776" spans="1:51" ht="13.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</row>
    <row r="777" spans="1:51" ht="13.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</row>
    <row r="778" spans="1:51" ht="13.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</row>
    <row r="779" spans="1:51" ht="13.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</row>
    <row r="780" spans="1:51" ht="13.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</row>
    <row r="781" spans="1:51" ht="13.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</row>
    <row r="782" spans="1:51" ht="13.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</row>
    <row r="783" spans="1:51" ht="13.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</row>
    <row r="784" spans="1:51" ht="13.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</row>
    <row r="785" spans="1:51" ht="13.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</row>
    <row r="786" spans="1:51" ht="13.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</row>
    <row r="787" spans="1:51" ht="13.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</row>
    <row r="788" spans="1:51" ht="13.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</row>
    <row r="789" spans="1:51" ht="13.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</row>
    <row r="790" spans="1:51" ht="13.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</row>
    <row r="791" spans="1:51" ht="13.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</row>
    <row r="792" spans="1:51" ht="13.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</row>
    <row r="793" spans="1:51" ht="13.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</row>
    <row r="794" spans="1:51" ht="13.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</row>
    <row r="795" spans="1:51" ht="13.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</row>
    <row r="796" spans="1:51" ht="13.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</row>
    <row r="797" spans="1:51" ht="13.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</row>
    <row r="798" spans="1:51" ht="13.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</row>
    <row r="799" spans="1:51" ht="13.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</row>
    <row r="800" spans="1:51" ht="13.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</row>
    <row r="801" spans="1:51" ht="13.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</row>
    <row r="802" spans="1:51" ht="13.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</row>
    <row r="803" spans="1:51" ht="13.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</row>
    <row r="804" spans="1:51" ht="13.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</row>
    <row r="805" spans="1:51" ht="13.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</row>
    <row r="806" spans="1:51" ht="13.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</row>
    <row r="807" spans="1:51" ht="13.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</row>
    <row r="808" spans="1:51" ht="13.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</row>
    <row r="809" spans="1:51" ht="13.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</row>
    <row r="810" spans="1:51" ht="13.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</row>
    <row r="811" spans="1:51" ht="13.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</row>
    <row r="812" spans="1:51" ht="13.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</row>
    <row r="813" spans="1:51" ht="13.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</row>
    <row r="814" spans="1:51" ht="13.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</row>
    <row r="815" spans="1:51" ht="13.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</row>
    <row r="816" spans="1:51" ht="13.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</row>
    <row r="817" spans="1:51" ht="13.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</row>
    <row r="818" spans="1:51" ht="13.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</row>
    <row r="819" spans="1:51" ht="13.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</row>
    <row r="820" spans="1:51" ht="13.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</row>
    <row r="821" spans="1:51" ht="13.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</row>
    <row r="822" spans="1:51" ht="13.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</row>
    <row r="823" spans="1:51" ht="13.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</row>
    <row r="824" spans="1:51" ht="13.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</row>
    <row r="825" spans="1:51" ht="13.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</row>
    <row r="826" spans="1:51" ht="13.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</row>
    <row r="827" spans="1:51" ht="13.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</row>
    <row r="828" spans="1:51" ht="13.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</row>
    <row r="829" spans="1:51" ht="13.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</row>
    <row r="830" spans="1:51" ht="13.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</row>
    <row r="831" spans="1:51" ht="13.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</row>
    <row r="832" spans="1:51" ht="13.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</row>
    <row r="833" spans="1:51" ht="13.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</row>
    <row r="834" spans="1:51" ht="13.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</row>
    <row r="835" spans="1:51" ht="13.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</row>
    <row r="836" spans="1:51" ht="13.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</row>
    <row r="837" spans="1:51" ht="13.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</row>
    <row r="838" spans="1:51" ht="13.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</row>
    <row r="839" spans="1:51" ht="13.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</row>
    <row r="840" spans="1:51" ht="13.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</row>
    <row r="841" spans="1:51" ht="13.2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</row>
    <row r="842" spans="1:51" ht="13.2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</row>
    <row r="843" spans="1:51" ht="13.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</row>
    <row r="844" spans="1:51" ht="13.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</row>
    <row r="845" spans="1:51" ht="13.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</row>
    <row r="846" spans="1:51" ht="13.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</row>
    <row r="847" spans="1:51" ht="13.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</row>
    <row r="848" spans="1:51" ht="13.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</row>
    <row r="849" spans="1:51" ht="13.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</row>
    <row r="850" spans="1:51" ht="13.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</row>
    <row r="851" spans="1:51" ht="13.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</row>
    <row r="852" spans="1:51" ht="13.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</row>
    <row r="853" spans="1:51" ht="13.2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</row>
    <row r="854" spans="1:51" ht="13.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</row>
    <row r="855" spans="1:51" ht="13.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</row>
    <row r="856" spans="1:51" ht="13.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</row>
    <row r="857" spans="1:51" ht="13.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</row>
    <row r="858" spans="1:51" ht="13.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</row>
    <row r="859" spans="1:51" ht="13.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</row>
    <row r="860" spans="1:51" ht="13.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</row>
    <row r="861" spans="1:51" ht="13.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</row>
    <row r="862" spans="1:51" ht="13.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</row>
    <row r="863" spans="1:51" ht="13.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</row>
    <row r="864" spans="1:51" ht="13.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</row>
    <row r="865" spans="1:51" ht="13.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</row>
    <row r="866" spans="1:51" ht="13.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</row>
    <row r="867" spans="1:51" ht="13.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</row>
    <row r="868" spans="1:51" ht="13.2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</row>
    <row r="869" spans="1:51" ht="13.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</row>
    <row r="870" spans="1:51" ht="13.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</row>
    <row r="871" spans="1:51" ht="13.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</row>
    <row r="872" spans="1:51" ht="13.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</row>
    <row r="873" spans="1:51" ht="13.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</row>
    <row r="874" spans="1:51" ht="13.2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</row>
    <row r="875" spans="1:51" ht="13.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</row>
    <row r="876" spans="1:51" ht="13.2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</row>
    <row r="877" spans="1:51" ht="13.2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</row>
    <row r="878" spans="1:51" ht="13.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</row>
    <row r="879" spans="1:51" ht="13.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</row>
    <row r="880" spans="1:51" ht="13.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</row>
    <row r="881" spans="1:51" ht="13.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</row>
    <row r="882" spans="1:51" ht="13.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</row>
    <row r="883" spans="1:51" ht="13.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</row>
    <row r="884" spans="1:51" ht="13.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</row>
    <row r="885" spans="1:51" ht="13.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</row>
    <row r="886" spans="1:51" ht="13.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</row>
    <row r="887" spans="1:51" ht="13.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</row>
    <row r="888" spans="1:51" ht="13.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</row>
    <row r="889" spans="1:51" ht="13.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</row>
    <row r="890" spans="1:51" ht="13.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</row>
    <row r="891" spans="1:51" ht="13.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</row>
    <row r="892" spans="1:51" ht="13.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</row>
    <row r="893" spans="1:51" ht="13.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</row>
    <row r="894" spans="1:51" ht="13.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</row>
    <row r="895" spans="1:51" ht="13.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</row>
    <row r="896" spans="1:51" ht="13.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</row>
    <row r="897" spans="1:51" ht="13.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</row>
    <row r="898" spans="1:51" ht="13.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</row>
    <row r="899" spans="1:51" ht="13.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</row>
    <row r="900" spans="1:51" ht="13.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</row>
    <row r="901" spans="1:51" ht="13.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</row>
    <row r="902" spans="1:51" ht="13.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</row>
    <row r="903" spans="1:51" ht="13.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</row>
    <row r="904" spans="1:51" ht="13.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</row>
    <row r="905" spans="1:51" ht="13.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</row>
    <row r="906" spans="1:51" ht="13.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</row>
    <row r="907" spans="1:51" ht="13.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</row>
    <row r="908" spans="1:51" ht="13.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</row>
    <row r="909" spans="1:51" ht="13.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</row>
    <row r="910" spans="1:51" ht="13.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</row>
    <row r="911" spans="1:51" ht="13.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</row>
    <row r="912" spans="1:51" ht="13.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</row>
    <row r="913" spans="1:51" ht="13.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</row>
    <row r="914" spans="1:51" ht="13.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</row>
    <row r="915" spans="1:51" ht="13.2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</row>
    <row r="916" spans="1:51" ht="13.2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</row>
    <row r="917" spans="1:51" ht="13.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</row>
    <row r="918" spans="1:51" ht="13.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</row>
    <row r="919" spans="1:51" ht="13.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</row>
    <row r="920" spans="1:51" ht="13.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</row>
    <row r="921" spans="1:51" ht="13.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</row>
    <row r="922" spans="1:51" ht="13.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</row>
    <row r="923" spans="1:51" ht="13.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</row>
    <row r="924" spans="1:51" ht="13.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</row>
    <row r="925" spans="1:51" ht="13.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</row>
    <row r="926" spans="1:51" ht="13.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</row>
    <row r="927" spans="1:51" ht="13.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</row>
    <row r="928" spans="1:51" ht="13.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</row>
    <row r="929" spans="1:51" ht="13.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</row>
    <row r="930" spans="1:51" ht="13.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</row>
    <row r="931" spans="1:51" ht="13.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</row>
    <row r="932" spans="1:51" ht="13.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</row>
    <row r="933" spans="1:51" ht="13.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</row>
    <row r="934" spans="1:51" ht="13.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</row>
    <row r="935" spans="1:51" ht="13.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</row>
    <row r="936" spans="1:51" ht="13.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</row>
    <row r="937" spans="1:51" ht="13.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</row>
    <row r="938" spans="1:51" ht="13.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</row>
    <row r="939" spans="1:51" ht="13.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</row>
    <row r="940" spans="1:51" ht="13.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</row>
    <row r="941" spans="1:51" ht="13.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</row>
    <row r="942" spans="1:51" ht="13.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</row>
    <row r="943" spans="1:51" ht="13.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</row>
    <row r="944" spans="1:51" ht="13.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</row>
    <row r="945" spans="1:51" ht="13.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</row>
    <row r="946" spans="1:51" ht="13.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</row>
    <row r="947" spans="1:51" ht="13.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</row>
    <row r="948" spans="1:51" ht="13.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</row>
    <row r="949" spans="1:51" ht="13.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</row>
    <row r="950" spans="1:51" ht="13.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</row>
    <row r="951" spans="1:51" ht="13.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</row>
    <row r="952" spans="1:51" ht="13.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</row>
    <row r="953" spans="1:51" ht="13.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</row>
    <row r="954" spans="1:51" ht="13.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</row>
    <row r="955" spans="1:51" ht="13.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</row>
    <row r="956" spans="1:51" ht="13.2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</row>
    <row r="957" spans="1:51" ht="13.2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</row>
    <row r="958" spans="1:51" ht="13.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</row>
    <row r="959" spans="1:51" ht="13.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</row>
    <row r="960" spans="1:51" ht="13.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</row>
    <row r="961" spans="1:51" ht="13.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</row>
    <row r="962" spans="1:51" ht="13.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</row>
    <row r="963" spans="1:51" ht="13.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</row>
    <row r="964" spans="1:51" ht="13.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</row>
    <row r="965" spans="1:51" ht="13.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</row>
    <row r="966" spans="1:51" ht="13.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</row>
    <row r="967" spans="1:51" ht="13.2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</row>
    <row r="968" spans="1:51" ht="13.2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</row>
    <row r="969" spans="1:51" ht="13.2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</row>
    <row r="970" spans="1:51" ht="13.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</row>
    <row r="971" spans="1:51" ht="13.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</row>
    <row r="972" spans="1:51" ht="13.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</row>
    <row r="973" spans="1:51" ht="13.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</row>
    <row r="974" spans="1:51" ht="13.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</row>
    <row r="975" spans="1:51" ht="13.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</row>
    <row r="976" spans="1:51" ht="13.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</row>
    <row r="977" spans="1:51" ht="13.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</row>
    <row r="978" spans="1:51" ht="13.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</row>
    <row r="979" spans="1:51" ht="13.2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</row>
    <row r="980" spans="1:51" ht="13.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</row>
    <row r="981" spans="1:51" ht="13.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</row>
    <row r="982" spans="1:51" ht="13.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</row>
    <row r="983" spans="1:51" ht="13.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</row>
    <row r="984" spans="1:51" ht="13.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</row>
    <row r="985" spans="1:51" ht="13.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</row>
    <row r="986" spans="1:51" ht="13.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</row>
    <row r="987" spans="1:51" ht="13.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</row>
    <row r="988" spans="1:51" ht="13.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</row>
    <row r="989" spans="1:51" ht="13.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</row>
    <row r="990" spans="1:51" ht="13.2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</row>
    <row r="991" spans="1:51" ht="13.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</row>
    <row r="992" spans="1:51" ht="13.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</row>
    <row r="993" spans="1:51" ht="13.2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</row>
    <row r="994" spans="1:51" ht="13.2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</row>
    <row r="995" spans="1:51" ht="13.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</row>
    <row r="996" spans="1:51" ht="13.2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</row>
    <row r="997" spans="1:51" ht="13.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</row>
    <row r="998" spans="1:51" ht="13.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</row>
    <row r="999" spans="1:51" ht="13.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</row>
    <row r="1000" spans="1:51" ht="13.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</row>
    <row r="1001" spans="1:51" ht="13.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</row>
    <row r="1002" spans="1:51" ht="13.2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</row>
    <row r="1003" spans="1:51" ht="13.2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</row>
    <row r="1004" spans="1:51" ht="13.2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</row>
    <row r="1005" spans="1:51" ht="13.2" x14ac:dyDescent="0.2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</row>
    <row r="1006" spans="1:51" ht="13.2" x14ac:dyDescent="0.2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</row>
    <row r="1007" spans="1:51" ht="13.2" x14ac:dyDescent="0.2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</row>
    <row r="1008" spans="1:51" ht="13.2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</row>
    <row r="1009" spans="1:51" ht="13.2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</row>
    <row r="1010" spans="1:51" ht="13.2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</row>
    <row r="1011" spans="1:51" ht="13.2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</row>
    <row r="1012" spans="1:51" ht="13.2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</row>
    <row r="1013" spans="1:51" ht="13.2" x14ac:dyDescent="0.2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</row>
    <row r="1014" spans="1:51" ht="13.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</row>
    <row r="1015" spans="1:51" ht="13.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</row>
    <row r="1016" spans="1:51" ht="13.2" x14ac:dyDescent="0.2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</row>
    <row r="1017" spans="1:51" ht="13.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</row>
    <row r="1018" spans="1:51" ht="13.2" x14ac:dyDescent="0.2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</row>
    <row r="1019" spans="1:51" ht="13.2" x14ac:dyDescent="0.2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</row>
    <row r="1020" spans="1:51" ht="13.2" x14ac:dyDescent="0.2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</row>
    <row r="1021" spans="1:51" ht="13.2" x14ac:dyDescent="0.2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</row>
    <row r="1022" spans="1:51" ht="13.2" x14ac:dyDescent="0.2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</row>
    <row r="1023" spans="1:51" ht="13.2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</row>
    <row r="1024" spans="1:51" ht="13.2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</row>
    <row r="1025" spans="1:51" ht="13.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</row>
    <row r="1026" spans="1:51" ht="13.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</row>
    <row r="1027" spans="1:51" ht="13.2" x14ac:dyDescent="0.2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</row>
    <row r="1028" spans="1:51" ht="13.2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</row>
    <row r="1029" spans="1:51" ht="13.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</row>
    <row r="1030" spans="1:51" ht="13.2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</row>
    <row r="1031" spans="1:51" ht="13.2" x14ac:dyDescent="0.25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</row>
    <row r="1032" spans="1:51" ht="13.2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</row>
    <row r="1033" spans="1:51" ht="13.2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</row>
    <row r="1034" spans="1:51" ht="13.2" x14ac:dyDescent="0.2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</row>
    <row r="1035" spans="1:51" ht="13.2" x14ac:dyDescent="0.2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</row>
    <row r="1036" spans="1:51" ht="13.2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</row>
    <row r="1037" spans="1:51" ht="13.2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</row>
    <row r="1038" spans="1:51" ht="13.2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</row>
    <row r="1039" spans="1:51" ht="13.2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</row>
    <row r="1040" spans="1:51" ht="13.2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</row>
    <row r="1041" spans="1:51" ht="13.2" x14ac:dyDescent="0.2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</row>
    <row r="1042" spans="1:51" ht="13.2" x14ac:dyDescent="0.25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</row>
    <row r="1043" spans="1:51" ht="13.2" x14ac:dyDescent="0.2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</row>
    <row r="1044" spans="1:51" ht="13.2" x14ac:dyDescent="0.25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</row>
    <row r="1045" spans="1:51" ht="13.2" x14ac:dyDescent="0.2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</row>
    <row r="1046" spans="1:51" ht="13.2" x14ac:dyDescent="0.25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</row>
    <row r="1047" spans="1:51" ht="13.2" x14ac:dyDescent="0.25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</row>
    <row r="1048" spans="1:51" ht="13.2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</row>
    <row r="1049" spans="1:51" ht="13.2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</row>
    <row r="1050" spans="1:51" ht="13.2" x14ac:dyDescent="0.2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</row>
    <row r="1051" spans="1:51" ht="13.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</row>
    <row r="1052" spans="1:51" ht="13.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</row>
    <row r="1053" spans="1:51" ht="13.2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</row>
    <row r="1054" spans="1:51" ht="13.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</row>
    <row r="1055" spans="1:51" ht="13.2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</row>
    <row r="1056" spans="1:51" ht="13.2" x14ac:dyDescent="0.25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</row>
    <row r="1057" spans="1:51" ht="13.2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</row>
    <row r="1058" spans="1:51" ht="13.2" x14ac:dyDescent="0.2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</row>
    <row r="1059" spans="1:51" ht="13.2" x14ac:dyDescent="0.2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</row>
    <row r="1060" spans="1:51" ht="13.2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</row>
    <row r="1061" spans="1:51" ht="13.2" x14ac:dyDescent="0.2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</row>
    <row r="1062" spans="1:51" ht="13.2" x14ac:dyDescent="0.25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</row>
    <row r="1063" spans="1:51" ht="13.2" x14ac:dyDescent="0.2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</row>
    <row r="1064" spans="1:51" ht="13.2" x14ac:dyDescent="0.25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</row>
    <row r="1065" spans="1:51" ht="13.2" x14ac:dyDescent="0.2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</row>
    <row r="1066" spans="1:51" ht="13.2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</row>
    <row r="1067" spans="1:51" ht="13.2" x14ac:dyDescent="0.25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</row>
    <row r="1068" spans="1:51" ht="13.2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</row>
    <row r="1069" spans="1:51" ht="13.2" x14ac:dyDescent="0.25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</row>
    <row r="1070" spans="1:51" ht="13.2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</row>
    <row r="1071" spans="1:51" ht="13.2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</row>
    <row r="1072" spans="1:51" ht="13.2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</row>
    <row r="1073" spans="1:51" ht="13.2" x14ac:dyDescent="0.2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</row>
    <row r="1074" spans="1:51" ht="13.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</row>
    <row r="1075" spans="1:51" ht="13.2" x14ac:dyDescent="0.2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</row>
    <row r="1076" spans="1:51" ht="13.2" x14ac:dyDescent="0.2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</row>
    <row r="1077" spans="1:51" ht="13.2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</row>
    <row r="1078" spans="1:51" ht="13.2" x14ac:dyDescent="0.2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</row>
    <row r="1079" spans="1:51" ht="13.2" x14ac:dyDescent="0.2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</row>
    <row r="1080" spans="1:51" ht="13.2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</row>
    <row r="1081" spans="1:51" ht="13.2" x14ac:dyDescent="0.2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</row>
    <row r="1082" spans="1:51" ht="13.2" x14ac:dyDescent="0.2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</row>
    <row r="1083" spans="1:51" ht="13.2" x14ac:dyDescent="0.2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</row>
    <row r="1084" spans="1:51" ht="13.2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</row>
    <row r="1085" spans="1:51" ht="13.2" x14ac:dyDescent="0.2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</row>
    <row r="1086" spans="1:51" ht="13.2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</row>
    <row r="1087" spans="1:51" ht="13.2" x14ac:dyDescent="0.25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</row>
    <row r="1088" spans="1:51" ht="13.2" x14ac:dyDescent="0.2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</row>
    <row r="1089" spans="1:51" ht="13.2" x14ac:dyDescent="0.25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</row>
    <row r="1090" spans="1:51" ht="13.2" x14ac:dyDescent="0.25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</row>
    <row r="1091" spans="1:51" ht="13.2" x14ac:dyDescent="0.25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</row>
    <row r="1092" spans="1:51" ht="13.2" x14ac:dyDescent="0.2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</row>
    <row r="1093" spans="1:51" ht="13.2" x14ac:dyDescent="0.2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</row>
    <row r="1094" spans="1:51" ht="13.2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</row>
    <row r="1095" spans="1:51" ht="13.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</row>
    <row r="1096" spans="1:51" ht="13.2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</row>
    <row r="1097" spans="1:51" ht="13.2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</row>
    <row r="1098" spans="1:51" ht="13.2" x14ac:dyDescent="0.2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</row>
    <row r="1099" spans="1:51" ht="13.2" x14ac:dyDescent="0.25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</row>
    <row r="1100" spans="1:51" ht="13.2" x14ac:dyDescent="0.25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</row>
    <row r="1101" spans="1:51" ht="13.2" x14ac:dyDescent="0.25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</row>
    <row r="1102" spans="1:51" ht="13.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</row>
    <row r="1103" spans="1:51" ht="13.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</row>
    <row r="1104" spans="1:51" ht="13.2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</row>
    <row r="1105" spans="1:51" ht="13.2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</row>
    <row r="1106" spans="1:51" ht="13.2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</row>
    <row r="1107" spans="1:51" ht="13.2" x14ac:dyDescent="0.2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</row>
    <row r="1108" spans="1:51" ht="13.2" x14ac:dyDescent="0.2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</row>
    <row r="1109" spans="1:51" ht="13.2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</row>
    <row r="1110" spans="1:51" ht="13.2" x14ac:dyDescent="0.2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</row>
    <row r="1111" spans="1:51" ht="13.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</row>
    <row r="1112" spans="1:51" ht="13.2" x14ac:dyDescent="0.25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</row>
    <row r="1113" spans="1:51" ht="13.2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</row>
    <row r="1114" spans="1:51" ht="13.2" x14ac:dyDescent="0.25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</row>
    <row r="1115" spans="1:51" ht="13.2" x14ac:dyDescent="0.2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</row>
    <row r="1116" spans="1:51" ht="13.2" x14ac:dyDescent="0.2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</row>
    <row r="1117" spans="1:51" ht="13.2" x14ac:dyDescent="0.25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</row>
    <row r="1118" spans="1:51" ht="13.2" x14ac:dyDescent="0.25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</row>
    <row r="1119" spans="1:51" ht="13.2" x14ac:dyDescent="0.25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</row>
    <row r="1120" spans="1:51" ht="13.2" x14ac:dyDescent="0.2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</row>
    <row r="1121" spans="1:51" ht="13.2" x14ac:dyDescent="0.2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</row>
    <row r="1122" spans="1:51" ht="13.2" x14ac:dyDescent="0.25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</row>
    <row r="1123" spans="1:51" ht="13.2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</row>
    <row r="1124" spans="1:51" ht="13.2" x14ac:dyDescent="0.2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</row>
    <row r="1125" spans="1:51" ht="13.2" x14ac:dyDescent="0.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</row>
    <row r="1126" spans="1:51" ht="13.2" x14ac:dyDescent="0.25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</row>
    <row r="1127" spans="1:51" ht="13.2" x14ac:dyDescent="0.25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</row>
    <row r="1128" spans="1:51" ht="13.2" x14ac:dyDescent="0.2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</row>
    <row r="1129" spans="1:51" ht="13.2" x14ac:dyDescent="0.2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</row>
    <row r="1130" spans="1:51" ht="13.2" x14ac:dyDescent="0.2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</row>
    <row r="1131" spans="1:51" ht="13.2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</row>
    <row r="1132" spans="1:51" ht="13.2" x14ac:dyDescent="0.25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</row>
    <row r="1133" spans="1:51" ht="13.2" x14ac:dyDescent="0.25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</row>
    <row r="1134" spans="1:51" ht="13.2" x14ac:dyDescent="0.25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</row>
    <row r="1135" spans="1:51" ht="13.2" x14ac:dyDescent="0.2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</row>
    <row r="1136" spans="1:51" ht="13.2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</row>
    <row r="1137" spans="1:51" ht="13.2" x14ac:dyDescent="0.25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</row>
    <row r="1138" spans="1:51" ht="13.2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</row>
    <row r="1139" spans="1:51" ht="13.2" x14ac:dyDescent="0.2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</row>
    <row r="1140" spans="1:51" ht="13.2" x14ac:dyDescent="0.2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</row>
    <row r="1141" spans="1:51" ht="13.2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</row>
    <row r="1142" spans="1:51" ht="13.2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</row>
    <row r="1143" spans="1:51" ht="13.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</row>
    <row r="1144" spans="1:51" ht="13.2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</row>
    <row r="1145" spans="1:51" ht="13.2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</row>
    <row r="1146" spans="1:51" ht="13.2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</row>
    <row r="1147" spans="1:51" ht="13.2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</row>
    <row r="1148" spans="1:51" ht="13.2" x14ac:dyDescent="0.25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</row>
    <row r="1149" spans="1:51" ht="13.2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</row>
    <row r="1150" spans="1:51" ht="13.2" x14ac:dyDescent="0.2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</row>
    <row r="1151" spans="1:51" ht="13.2" x14ac:dyDescent="0.2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</row>
    <row r="1152" spans="1:51" ht="13.2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</row>
    <row r="1153" spans="1:51" ht="13.2" x14ac:dyDescent="0.25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</row>
    <row r="1154" spans="1:51" ht="13.2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</row>
    <row r="1155" spans="1:51" ht="13.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</row>
    <row r="1156" spans="1:51" ht="13.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</row>
    <row r="1157" spans="1:51" ht="13.2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</row>
    <row r="1158" spans="1:51" ht="13.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</row>
    <row r="1159" spans="1:51" ht="13.2" x14ac:dyDescent="0.2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</row>
    <row r="1160" spans="1:51" ht="13.2" x14ac:dyDescent="0.25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</row>
    <row r="1161" spans="1:51" ht="13.2" x14ac:dyDescent="0.25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</row>
    <row r="1162" spans="1:51" ht="13.2" x14ac:dyDescent="0.25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</row>
    <row r="1163" spans="1:51" ht="13.2" x14ac:dyDescent="0.2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</row>
    <row r="1164" spans="1:51" ht="13.2" x14ac:dyDescent="0.25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</row>
    <row r="1165" spans="1:51" ht="13.2" x14ac:dyDescent="0.2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</row>
    <row r="1166" spans="1:51" ht="13.2" x14ac:dyDescent="0.2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</row>
    <row r="1167" spans="1:51" ht="13.2" x14ac:dyDescent="0.25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</row>
    <row r="1168" spans="1:51" ht="13.2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</row>
    <row r="1169" spans="1:51" ht="13.2" x14ac:dyDescent="0.2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</row>
    <row r="1170" spans="1:51" ht="13.2" x14ac:dyDescent="0.2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</row>
    <row r="1171" spans="1:51" ht="13.2" x14ac:dyDescent="0.25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</row>
    <row r="1172" spans="1:51" ht="13.2" x14ac:dyDescent="0.2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</row>
    <row r="1173" spans="1:51" ht="13.2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</row>
    <row r="1174" spans="1:51" ht="13.2" x14ac:dyDescent="0.2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</row>
    <row r="1175" spans="1:51" ht="13.2" x14ac:dyDescent="0.2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</row>
    <row r="1176" spans="1:51" ht="13.2" x14ac:dyDescent="0.2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</row>
    <row r="1177" spans="1:51" ht="13.2" x14ac:dyDescent="0.25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</row>
    <row r="1178" spans="1:51" ht="13.2" x14ac:dyDescent="0.25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</row>
    <row r="1179" spans="1:51" ht="13.2" x14ac:dyDescent="0.25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</row>
    <row r="1180" spans="1:51" ht="13.2" x14ac:dyDescent="0.25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</row>
    <row r="1181" spans="1:51" ht="13.2" x14ac:dyDescent="0.2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</row>
    <row r="1182" spans="1:51" ht="13.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</row>
    <row r="1183" spans="1:51" ht="13.2" x14ac:dyDescent="0.25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</row>
    <row r="1184" spans="1:51" ht="13.2" x14ac:dyDescent="0.25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</row>
    <row r="1185" spans="1:51" ht="13.2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</row>
    <row r="1186" spans="1:51" ht="13.2" x14ac:dyDescent="0.2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</row>
    <row r="1187" spans="1:51" ht="13.2" x14ac:dyDescent="0.25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</row>
    <row r="1188" spans="1:51" ht="13.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</row>
    <row r="1189" spans="1:51" ht="13.2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</row>
    <row r="1190" spans="1:51" ht="13.2" x14ac:dyDescent="0.25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</row>
    <row r="1191" spans="1:51" ht="13.2" x14ac:dyDescent="0.25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</row>
    <row r="1192" spans="1:51" ht="13.2" x14ac:dyDescent="0.25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</row>
    <row r="1193" spans="1:51" ht="13.2" x14ac:dyDescent="0.25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</row>
    <row r="1194" spans="1:51" ht="13.2" x14ac:dyDescent="0.25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</row>
    <row r="1195" spans="1:51" ht="13.2" x14ac:dyDescent="0.2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</row>
    <row r="1196" spans="1:51" ht="13.2" x14ac:dyDescent="0.25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</row>
    <row r="1197" spans="1:51" ht="13.2" x14ac:dyDescent="0.2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</row>
    <row r="1198" spans="1:51" ht="13.2" x14ac:dyDescent="0.25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</row>
    <row r="1199" spans="1:51" ht="13.2" x14ac:dyDescent="0.2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</row>
    <row r="1200" spans="1:51" ht="13.2" x14ac:dyDescent="0.2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</row>
    <row r="1201" spans="1:51" ht="13.2" x14ac:dyDescent="0.25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</row>
    <row r="1202" spans="1:51" ht="13.2" x14ac:dyDescent="0.25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</row>
    <row r="1203" spans="1:51" ht="13.2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</row>
    <row r="1204" spans="1:51" ht="13.2" x14ac:dyDescent="0.2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</row>
    <row r="1205" spans="1:51" ht="13.2" x14ac:dyDescent="0.2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</row>
    <row r="1206" spans="1:51" ht="13.2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</row>
    <row r="1207" spans="1:51" ht="13.2" x14ac:dyDescent="0.25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</row>
    <row r="1208" spans="1:51" ht="13.2" x14ac:dyDescent="0.2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</row>
    <row r="1209" spans="1:51" ht="13.2" x14ac:dyDescent="0.25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</row>
    <row r="1210" spans="1:51" ht="13.2" x14ac:dyDescent="0.25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</row>
    <row r="1211" spans="1:51" ht="13.2" x14ac:dyDescent="0.25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</row>
    <row r="1212" spans="1:51" ht="13.2" x14ac:dyDescent="0.25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</row>
    <row r="1213" spans="1:51" ht="13.2" x14ac:dyDescent="0.25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</row>
    <row r="1214" spans="1:51" ht="13.2" x14ac:dyDescent="0.25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</row>
    <row r="1215" spans="1:51" ht="13.2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</row>
    <row r="1216" spans="1:51" ht="13.2" x14ac:dyDescent="0.2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</row>
    <row r="1217" spans="1:51" ht="13.2" x14ac:dyDescent="0.25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</row>
    <row r="1218" spans="1:51" ht="13.2" x14ac:dyDescent="0.2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</row>
    <row r="1219" spans="1:51" ht="13.2" x14ac:dyDescent="0.25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</row>
    <row r="1220" spans="1:51" ht="13.2" x14ac:dyDescent="0.25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</row>
    <row r="1221" spans="1:51" ht="13.2" x14ac:dyDescent="0.2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</row>
    <row r="1222" spans="1:51" ht="13.2" x14ac:dyDescent="0.25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</row>
    <row r="1223" spans="1:51" ht="13.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</row>
    <row r="1224" spans="1:51" ht="13.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</row>
    <row r="1225" spans="1:51" ht="13.2" x14ac:dyDescent="0.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</row>
    <row r="1226" spans="1:51" ht="13.2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</row>
    <row r="1227" spans="1:51" ht="13.2" x14ac:dyDescent="0.25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</row>
    <row r="1228" spans="1:51" ht="13.2" x14ac:dyDescent="0.25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</row>
    <row r="1229" spans="1:51" ht="13.2" x14ac:dyDescent="0.25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</row>
    <row r="1230" spans="1:51" ht="13.2" x14ac:dyDescent="0.2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</row>
    <row r="1231" spans="1:51" ht="13.2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</row>
    <row r="1232" spans="1:51" ht="13.2" x14ac:dyDescent="0.25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</row>
    <row r="1233" spans="1:51" ht="13.2" x14ac:dyDescent="0.25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</row>
    <row r="1234" spans="1:51" ht="13.2" x14ac:dyDescent="0.2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</row>
    <row r="1235" spans="1:51" ht="13.2" x14ac:dyDescent="0.2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</row>
    <row r="1236" spans="1:51" ht="13.2" x14ac:dyDescent="0.25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</row>
    <row r="1237" spans="1:51" ht="13.2" x14ac:dyDescent="0.2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</row>
    <row r="1238" spans="1:51" ht="13.2" x14ac:dyDescent="0.25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</row>
    <row r="1239" spans="1:51" ht="13.2" x14ac:dyDescent="0.25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</row>
    <row r="1240" spans="1:51" ht="13.2" x14ac:dyDescent="0.2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</row>
    <row r="1241" spans="1:51" ht="13.2" x14ac:dyDescent="0.2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</row>
    <row r="1242" spans="1:51" ht="13.2" x14ac:dyDescent="0.2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</row>
    <row r="1243" spans="1:51" ht="13.2" x14ac:dyDescent="0.25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</row>
    <row r="1244" spans="1:51" ht="13.2" x14ac:dyDescent="0.25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</row>
    <row r="1245" spans="1:51" ht="13.2" x14ac:dyDescent="0.2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</row>
    <row r="1246" spans="1:51" ht="13.2" x14ac:dyDescent="0.25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</row>
    <row r="1247" spans="1:51" ht="13.2" x14ac:dyDescent="0.25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</row>
    <row r="1248" spans="1:51" ht="13.2" x14ac:dyDescent="0.25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</row>
    <row r="1249" spans="1:51" ht="13.2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</row>
    <row r="1250" spans="1:51" ht="13.2" x14ac:dyDescent="0.2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</row>
    <row r="1251" spans="1:51" ht="13.2" x14ac:dyDescent="0.25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</row>
    <row r="1252" spans="1:51" ht="13.2" x14ac:dyDescent="0.2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</row>
    <row r="1253" spans="1:51" ht="13.2" x14ac:dyDescent="0.25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</row>
    <row r="1254" spans="1:51" ht="13.2" x14ac:dyDescent="0.25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</row>
    <row r="1255" spans="1:51" ht="13.2" x14ac:dyDescent="0.2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</row>
    <row r="1256" spans="1:51" ht="13.2" x14ac:dyDescent="0.25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</row>
    <row r="1257" spans="1:51" ht="13.2" x14ac:dyDescent="0.25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</row>
    <row r="1258" spans="1:51" ht="13.2" x14ac:dyDescent="0.25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</row>
    <row r="1259" spans="1:51" ht="13.2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</row>
    <row r="1260" spans="1:51" ht="13.2" x14ac:dyDescent="0.25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</row>
    <row r="1261" spans="1:51" ht="13.2" x14ac:dyDescent="0.2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</row>
    <row r="1262" spans="1:51" ht="13.2" x14ac:dyDescent="0.2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</row>
    <row r="1263" spans="1:51" ht="13.2" x14ac:dyDescent="0.2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</row>
    <row r="1264" spans="1:51" ht="13.2" x14ac:dyDescent="0.25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</row>
    <row r="1265" spans="1:51" ht="13.2" x14ac:dyDescent="0.2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</row>
    <row r="1266" spans="1:51" ht="13.2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</row>
    <row r="1267" spans="1:51" ht="13.2" x14ac:dyDescent="0.25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</row>
    <row r="1268" spans="1:51" ht="13.2" x14ac:dyDescent="0.25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</row>
    <row r="1269" spans="1:51" ht="13.2" x14ac:dyDescent="0.25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</row>
    <row r="1270" spans="1:51" ht="13.2" x14ac:dyDescent="0.25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</row>
    <row r="1271" spans="1:51" ht="13.2" x14ac:dyDescent="0.25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</row>
    <row r="1272" spans="1:51" ht="13.2" x14ac:dyDescent="0.25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</row>
    <row r="1273" spans="1:51" ht="13.2" x14ac:dyDescent="0.25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</row>
    <row r="1274" spans="1:51" ht="13.2" x14ac:dyDescent="0.25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</row>
    <row r="1275" spans="1:51" ht="13.2" x14ac:dyDescent="0.2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</row>
    <row r="1276" spans="1:51" ht="13.2" x14ac:dyDescent="0.25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</row>
    <row r="1277" spans="1:51" ht="13.2" x14ac:dyDescent="0.25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</row>
    <row r="1278" spans="1:51" ht="13.2" x14ac:dyDescent="0.2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</row>
    <row r="1279" spans="1:51" ht="13.2" x14ac:dyDescent="0.2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</row>
    <row r="1280" spans="1:51" ht="13.2" x14ac:dyDescent="0.25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</row>
    <row r="1281" spans="1:51" ht="13.2" x14ac:dyDescent="0.2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</row>
    <row r="1282" spans="1:51" ht="13.2" x14ac:dyDescent="0.2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</row>
    <row r="1283" spans="1:51" ht="13.2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</row>
    <row r="1284" spans="1:51" ht="13.2" x14ac:dyDescent="0.25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</row>
    <row r="1285" spans="1:51" ht="13.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</row>
    <row r="1286" spans="1:51" ht="13.2" x14ac:dyDescent="0.25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</row>
    <row r="1287" spans="1:51" ht="13.2" x14ac:dyDescent="0.2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</row>
    <row r="1288" spans="1:51" ht="13.2" x14ac:dyDescent="0.25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</row>
    <row r="1289" spans="1:51" ht="13.2" x14ac:dyDescent="0.25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</row>
    <row r="1290" spans="1:51" ht="13.2" x14ac:dyDescent="0.25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</row>
    <row r="1291" spans="1:51" ht="13.2" x14ac:dyDescent="0.2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</row>
    <row r="1292" spans="1:51" ht="13.2" x14ac:dyDescent="0.2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</row>
    <row r="1293" spans="1:51" ht="13.2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</row>
    <row r="1294" spans="1:51" ht="13.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</row>
    <row r="1295" spans="1:51" ht="13.2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</row>
    <row r="1296" spans="1:51" ht="13.2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</row>
    <row r="1297" spans="1:51" ht="13.2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</row>
    <row r="1298" spans="1:51" ht="13.2" x14ac:dyDescent="0.2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</row>
    <row r="1299" spans="1:51" ht="13.2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</row>
    <row r="1300" spans="1:51" ht="13.2" x14ac:dyDescent="0.2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</row>
    <row r="1301" spans="1:51" ht="13.2" x14ac:dyDescent="0.25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</row>
    <row r="1302" spans="1:51" ht="13.2" x14ac:dyDescent="0.2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</row>
    <row r="1303" spans="1:51" ht="13.2" x14ac:dyDescent="0.25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</row>
    <row r="1304" spans="1:51" ht="13.2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</row>
    <row r="1305" spans="1:51" ht="13.2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</row>
    <row r="1306" spans="1:51" ht="13.2" x14ac:dyDescent="0.2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</row>
    <row r="1307" spans="1:51" ht="13.2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</row>
    <row r="1308" spans="1:51" ht="13.2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</row>
    <row r="1309" spans="1:51" ht="13.2" x14ac:dyDescent="0.25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</row>
    <row r="1310" spans="1:51" ht="13.2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</row>
    <row r="1311" spans="1:51" ht="13.2" x14ac:dyDescent="0.2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</row>
    <row r="1312" spans="1:51" ht="13.2" x14ac:dyDescent="0.2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</row>
    <row r="1313" spans="1:51" ht="13.2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</row>
    <row r="1314" spans="1:51" ht="13.2" x14ac:dyDescent="0.25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</row>
    <row r="1315" spans="1:51" ht="13.2" x14ac:dyDescent="0.25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</row>
    <row r="1316" spans="1:51" ht="13.2" x14ac:dyDescent="0.25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</row>
    <row r="1317" spans="1:51" ht="13.2" x14ac:dyDescent="0.25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</row>
    <row r="1318" spans="1:51" ht="13.2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</row>
    <row r="1319" spans="1:51" ht="13.2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</row>
    <row r="1320" spans="1:51" ht="13.2" x14ac:dyDescent="0.25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</row>
    <row r="1321" spans="1:51" ht="13.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</row>
    <row r="1322" spans="1:51" ht="13.2" x14ac:dyDescent="0.25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</row>
    <row r="1323" spans="1:51" ht="13.2" x14ac:dyDescent="0.25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</row>
    <row r="1324" spans="1:51" ht="13.2" x14ac:dyDescent="0.25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</row>
    <row r="1325" spans="1:51" ht="13.2" x14ac:dyDescent="0.25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</row>
    <row r="1326" spans="1:51" ht="13.2" x14ac:dyDescent="0.25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</row>
    <row r="1327" spans="1:51" ht="13.2" x14ac:dyDescent="0.25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</row>
    <row r="1328" spans="1:51" ht="13.2" x14ac:dyDescent="0.25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</row>
    <row r="1329" spans="1:51" ht="13.2" x14ac:dyDescent="0.25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</row>
    <row r="1330" spans="1:51" ht="13.2" x14ac:dyDescent="0.25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</row>
    <row r="1331" spans="1:51" ht="13.2" x14ac:dyDescent="0.25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</row>
    <row r="1332" spans="1:51" ht="13.2" x14ac:dyDescent="0.2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</row>
    <row r="1333" spans="1:51" ht="13.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</row>
    <row r="1334" spans="1:51" ht="13.2" x14ac:dyDescent="0.25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</row>
    <row r="1335" spans="1:51" ht="13.2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</row>
    <row r="1336" spans="1:51" ht="13.2" x14ac:dyDescent="0.25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</row>
    <row r="1337" spans="1:51" ht="13.2" x14ac:dyDescent="0.25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</row>
    <row r="1338" spans="1:51" ht="13.2" x14ac:dyDescent="0.25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</row>
    <row r="1339" spans="1:51" ht="13.2" x14ac:dyDescent="0.25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</row>
    <row r="1340" spans="1:51" ht="13.2" x14ac:dyDescent="0.25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</row>
    <row r="1341" spans="1:51" ht="13.2" x14ac:dyDescent="0.25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</row>
    <row r="1342" spans="1:51" ht="13.2" x14ac:dyDescent="0.25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</row>
    <row r="1343" spans="1:51" ht="13.2" x14ac:dyDescent="0.25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</row>
    <row r="1344" spans="1:51" ht="13.2" x14ac:dyDescent="0.25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</row>
    <row r="1345" spans="1:51" ht="13.2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</row>
    <row r="1346" spans="1:51" ht="13.2" x14ac:dyDescent="0.25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</row>
    <row r="1347" spans="1:51" ht="13.2" x14ac:dyDescent="0.25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</row>
    <row r="1348" spans="1:51" ht="13.2" x14ac:dyDescent="0.25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</row>
    <row r="1349" spans="1:51" ht="13.2" x14ac:dyDescent="0.25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</row>
    <row r="1350" spans="1:51" ht="13.2" x14ac:dyDescent="0.25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</row>
    <row r="1351" spans="1:51" ht="13.2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</row>
    <row r="1352" spans="1:51" ht="13.2" x14ac:dyDescent="0.25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</row>
    <row r="1353" spans="1:51" ht="13.2" x14ac:dyDescent="0.25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</row>
    <row r="1354" spans="1:51" ht="13.2" x14ac:dyDescent="0.25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</row>
    <row r="1355" spans="1:51" ht="13.2" x14ac:dyDescent="0.25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</row>
    <row r="1356" spans="1:51" ht="13.2" x14ac:dyDescent="0.25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</row>
    <row r="1357" spans="1:51" ht="13.2" x14ac:dyDescent="0.25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</row>
    <row r="1358" spans="1:51" ht="13.2" x14ac:dyDescent="0.25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</row>
    <row r="1359" spans="1:51" ht="13.2" x14ac:dyDescent="0.25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</row>
    <row r="1360" spans="1:51" ht="13.2" x14ac:dyDescent="0.25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</row>
    <row r="1361" spans="1:51" ht="13.2" x14ac:dyDescent="0.25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</row>
    <row r="1362" spans="1:51" ht="13.2" x14ac:dyDescent="0.25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</row>
    <row r="1363" spans="1:51" ht="13.2" x14ac:dyDescent="0.25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</row>
    <row r="1364" spans="1:51" ht="13.2" x14ac:dyDescent="0.25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</row>
    <row r="1365" spans="1:51" ht="13.2" x14ac:dyDescent="0.25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</row>
    <row r="1366" spans="1:51" ht="13.2" x14ac:dyDescent="0.25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</row>
    <row r="1367" spans="1:51" ht="13.2" x14ac:dyDescent="0.25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</row>
    <row r="1368" spans="1:51" ht="13.2" x14ac:dyDescent="0.25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</row>
    <row r="1369" spans="1:51" ht="13.2" x14ac:dyDescent="0.25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</row>
    <row r="1370" spans="1:51" ht="13.2" x14ac:dyDescent="0.25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</row>
    <row r="1371" spans="1:51" ht="13.2" x14ac:dyDescent="0.25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</row>
    <row r="1372" spans="1:51" ht="13.2" x14ac:dyDescent="0.2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</row>
    <row r="1373" spans="1:51" ht="13.2" x14ac:dyDescent="0.2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</row>
    <row r="1374" spans="1:51" ht="13.2" x14ac:dyDescent="0.25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</row>
    <row r="1375" spans="1:51" ht="13.2" x14ac:dyDescent="0.25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</row>
    <row r="1376" spans="1:51" ht="13.2" x14ac:dyDescent="0.25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</row>
    <row r="1377" spans="1:51" ht="13.2" x14ac:dyDescent="0.25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</row>
    <row r="1378" spans="1:51" ht="13.2" x14ac:dyDescent="0.25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</row>
    <row r="1379" spans="1:51" ht="13.2" x14ac:dyDescent="0.25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</row>
    <row r="1380" spans="1:51" ht="13.2" x14ac:dyDescent="0.25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</row>
    <row r="1381" spans="1:51" ht="13.2" x14ac:dyDescent="0.25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</row>
    <row r="1382" spans="1:51" ht="13.2" x14ac:dyDescent="0.25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</row>
    <row r="1383" spans="1:51" ht="13.2" x14ac:dyDescent="0.25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</row>
    <row r="1384" spans="1:51" ht="13.2" x14ac:dyDescent="0.25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</row>
    <row r="1385" spans="1:51" ht="13.2" x14ac:dyDescent="0.25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</row>
    <row r="1386" spans="1:51" ht="13.2" x14ac:dyDescent="0.25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</row>
    <row r="1387" spans="1:51" ht="13.2" x14ac:dyDescent="0.25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</row>
    <row r="1388" spans="1:51" ht="13.2" x14ac:dyDescent="0.25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</row>
    <row r="1389" spans="1:51" ht="13.2" x14ac:dyDescent="0.25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</row>
    <row r="1390" spans="1:51" ht="13.2" x14ac:dyDescent="0.25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</row>
    <row r="1391" spans="1:51" ht="13.2" x14ac:dyDescent="0.25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</row>
    <row r="1392" spans="1:51" ht="13.2" x14ac:dyDescent="0.25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</row>
    <row r="1393" spans="1:51" ht="13.2" x14ac:dyDescent="0.25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</row>
    <row r="1394" spans="1:51" ht="13.2" x14ac:dyDescent="0.25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</row>
    <row r="1395" spans="1:51" ht="13.2" x14ac:dyDescent="0.25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</row>
    <row r="1396" spans="1:51" ht="13.2" x14ac:dyDescent="0.25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</row>
    <row r="1397" spans="1:51" ht="13.2" x14ac:dyDescent="0.25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</row>
    <row r="1398" spans="1:51" ht="13.2" x14ac:dyDescent="0.25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</row>
    <row r="1399" spans="1:51" ht="13.2" x14ac:dyDescent="0.25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</row>
    <row r="1400" spans="1:51" ht="13.2" x14ac:dyDescent="0.25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</row>
    <row r="1401" spans="1:51" ht="13.2" x14ac:dyDescent="0.25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</row>
    <row r="1402" spans="1:51" ht="13.2" x14ac:dyDescent="0.25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</row>
    <row r="1403" spans="1:51" ht="13.2" x14ac:dyDescent="0.25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</row>
    <row r="1404" spans="1:51" ht="13.2" x14ac:dyDescent="0.25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</row>
    <row r="1405" spans="1:51" ht="13.2" x14ac:dyDescent="0.25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</row>
    <row r="1406" spans="1:51" ht="13.2" x14ac:dyDescent="0.25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</row>
    <row r="1407" spans="1:51" ht="13.2" x14ac:dyDescent="0.25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</row>
    <row r="1408" spans="1:51" ht="13.2" x14ac:dyDescent="0.25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</row>
    <row r="1409" spans="1:51" ht="13.2" x14ac:dyDescent="0.25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</row>
    <row r="1410" spans="1:51" ht="13.2" x14ac:dyDescent="0.2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</row>
    <row r="1411" spans="1:51" ht="13.2" x14ac:dyDescent="0.2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</row>
    <row r="1412" spans="1:51" ht="13.2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</row>
    <row r="1413" spans="1:51" ht="13.2" x14ac:dyDescent="0.25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</row>
    <row r="1414" spans="1:51" ht="13.2" x14ac:dyDescent="0.2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</row>
    <row r="1415" spans="1:51" ht="13.2" x14ac:dyDescent="0.25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</row>
    <row r="1416" spans="1:51" ht="13.2" x14ac:dyDescent="0.25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</row>
    <row r="1417" spans="1:51" ht="13.2" x14ac:dyDescent="0.25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</row>
    <row r="1418" spans="1:51" ht="13.2" x14ac:dyDescent="0.25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</row>
    <row r="1419" spans="1:51" ht="13.2" x14ac:dyDescent="0.25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</row>
    <row r="1420" spans="1:51" ht="13.2" x14ac:dyDescent="0.25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</row>
    <row r="1421" spans="1:51" ht="13.2" x14ac:dyDescent="0.25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</row>
    <row r="1422" spans="1:51" ht="13.2" x14ac:dyDescent="0.25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</row>
    <row r="1423" spans="1:51" ht="13.2" x14ac:dyDescent="0.25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</row>
    <row r="1424" spans="1:51" ht="13.2" x14ac:dyDescent="0.25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</row>
    <row r="1425" spans="1:51" ht="13.2" x14ac:dyDescent="0.25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</row>
    <row r="1426" spans="1:51" ht="13.2" x14ac:dyDescent="0.25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</row>
    <row r="1427" spans="1:51" ht="13.2" x14ac:dyDescent="0.25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</row>
    <row r="1428" spans="1:51" ht="13.2" x14ac:dyDescent="0.25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</row>
    <row r="1429" spans="1:51" ht="13.2" x14ac:dyDescent="0.25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</row>
    <row r="1430" spans="1:51" ht="13.2" x14ac:dyDescent="0.25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</row>
    <row r="1431" spans="1:51" ht="13.2" x14ac:dyDescent="0.2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</row>
    <row r="1432" spans="1:51" ht="13.2" x14ac:dyDescent="0.25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</row>
    <row r="1433" spans="1:51" ht="13.2" x14ac:dyDescent="0.25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</row>
    <row r="1434" spans="1:51" ht="13.2" x14ac:dyDescent="0.25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</row>
    <row r="1435" spans="1:51" ht="13.2" x14ac:dyDescent="0.25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</row>
    <row r="1436" spans="1:51" ht="13.2" x14ac:dyDescent="0.25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</row>
    <row r="1437" spans="1:51" ht="13.2" x14ac:dyDescent="0.25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</row>
    <row r="1438" spans="1:51" ht="13.2" x14ac:dyDescent="0.25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</row>
    <row r="1439" spans="1:51" ht="13.2" x14ac:dyDescent="0.25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</row>
    <row r="1440" spans="1:51" ht="13.2" x14ac:dyDescent="0.25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</row>
    <row r="1441" spans="1:51" ht="13.2" x14ac:dyDescent="0.25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</row>
    <row r="1442" spans="1:51" ht="13.2" x14ac:dyDescent="0.25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</row>
    <row r="1443" spans="1:51" ht="13.2" x14ac:dyDescent="0.25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</row>
    <row r="1444" spans="1:51" ht="13.2" x14ac:dyDescent="0.25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</row>
    <row r="1445" spans="1:51" ht="13.2" x14ac:dyDescent="0.25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</row>
    <row r="1446" spans="1:51" ht="13.2" x14ac:dyDescent="0.25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</row>
    <row r="1447" spans="1:51" ht="13.2" x14ac:dyDescent="0.25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</row>
    <row r="1448" spans="1:51" ht="13.2" x14ac:dyDescent="0.25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</row>
    <row r="1449" spans="1:51" ht="13.2" x14ac:dyDescent="0.25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</row>
    <row r="1450" spans="1:51" ht="13.2" x14ac:dyDescent="0.25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</row>
    <row r="1451" spans="1:51" ht="13.2" x14ac:dyDescent="0.25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</row>
    <row r="1452" spans="1:51" ht="13.2" x14ac:dyDescent="0.25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</row>
    <row r="1453" spans="1:51" ht="13.2" x14ac:dyDescent="0.25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</row>
    <row r="1454" spans="1:51" ht="13.2" x14ac:dyDescent="0.25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</row>
    <row r="1455" spans="1:51" ht="13.2" x14ac:dyDescent="0.25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</row>
    <row r="1456" spans="1:51" ht="13.2" x14ac:dyDescent="0.25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</row>
    <row r="1457" spans="1:51" ht="13.2" x14ac:dyDescent="0.25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</row>
    <row r="1458" spans="1:51" ht="13.2" x14ac:dyDescent="0.25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</row>
    <row r="1459" spans="1:51" ht="13.2" x14ac:dyDescent="0.25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</row>
    <row r="1460" spans="1:51" ht="13.2" x14ac:dyDescent="0.25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</row>
    <row r="1461" spans="1:51" ht="13.2" x14ac:dyDescent="0.25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</row>
    <row r="1462" spans="1:51" ht="13.2" x14ac:dyDescent="0.25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</row>
    <row r="1463" spans="1:51" ht="13.2" x14ac:dyDescent="0.25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</row>
    <row r="1464" spans="1:51" ht="13.2" x14ac:dyDescent="0.25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</row>
    <row r="1465" spans="1:51" ht="13.2" x14ac:dyDescent="0.25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</row>
    <row r="1466" spans="1:51" ht="13.2" x14ac:dyDescent="0.25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</row>
    <row r="1467" spans="1:51" ht="13.2" x14ac:dyDescent="0.25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</row>
    <row r="1468" spans="1:51" ht="13.2" x14ac:dyDescent="0.25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</row>
    <row r="1469" spans="1:51" ht="13.2" x14ac:dyDescent="0.25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</row>
    <row r="1470" spans="1:51" ht="13.2" x14ac:dyDescent="0.25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</row>
    <row r="1471" spans="1:51" ht="13.2" x14ac:dyDescent="0.25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</row>
    <row r="1472" spans="1:51" ht="13.2" x14ac:dyDescent="0.25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</row>
    <row r="1473" spans="1:51" ht="13.2" x14ac:dyDescent="0.2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</row>
    <row r="1474" spans="1:51" ht="13.2" x14ac:dyDescent="0.25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</row>
    <row r="1475" spans="1:51" ht="13.2" x14ac:dyDescent="0.25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</row>
    <row r="1476" spans="1:51" ht="13.2" x14ac:dyDescent="0.25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</row>
    <row r="1477" spans="1:51" ht="13.2" x14ac:dyDescent="0.25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</row>
    <row r="1478" spans="1:51" ht="13.2" x14ac:dyDescent="0.25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</row>
    <row r="1479" spans="1:51" ht="13.2" x14ac:dyDescent="0.25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</row>
    <row r="1480" spans="1:51" ht="13.2" x14ac:dyDescent="0.25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</row>
    <row r="1481" spans="1:51" ht="13.2" x14ac:dyDescent="0.25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</row>
    <row r="1482" spans="1:51" ht="13.2" x14ac:dyDescent="0.25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</row>
    <row r="1483" spans="1:51" ht="13.2" x14ac:dyDescent="0.25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</row>
    <row r="1484" spans="1:51" ht="13.2" x14ac:dyDescent="0.25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</row>
    <row r="1485" spans="1:51" ht="13.2" x14ac:dyDescent="0.25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</row>
    <row r="1486" spans="1:51" ht="13.2" x14ac:dyDescent="0.25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</row>
    <row r="1487" spans="1:51" ht="13.2" x14ac:dyDescent="0.25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</row>
    <row r="1488" spans="1:51" ht="13.2" x14ac:dyDescent="0.25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</row>
    <row r="1489" spans="1:51" ht="13.2" x14ac:dyDescent="0.25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</row>
    <row r="1490" spans="1:51" ht="13.2" x14ac:dyDescent="0.25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</row>
    <row r="1491" spans="1:51" ht="13.2" x14ac:dyDescent="0.25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</row>
    <row r="1492" spans="1:51" ht="13.2" x14ac:dyDescent="0.25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</row>
    <row r="1493" spans="1:51" ht="13.2" x14ac:dyDescent="0.25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</row>
    <row r="1494" spans="1:51" ht="13.2" x14ac:dyDescent="0.25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</row>
    <row r="1495" spans="1:51" ht="13.2" x14ac:dyDescent="0.25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</row>
    <row r="1496" spans="1:51" ht="13.2" x14ac:dyDescent="0.25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</row>
    <row r="1497" spans="1:51" ht="13.2" x14ac:dyDescent="0.25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</row>
    <row r="1498" spans="1:51" ht="13.2" x14ac:dyDescent="0.25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</row>
    <row r="1499" spans="1:51" ht="13.2" x14ac:dyDescent="0.25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</row>
    <row r="1500" spans="1:51" ht="13.2" x14ac:dyDescent="0.25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</row>
    <row r="1501" spans="1:51" ht="13.2" x14ac:dyDescent="0.25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</row>
    <row r="1502" spans="1:51" ht="13.2" x14ac:dyDescent="0.25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</row>
    <row r="1503" spans="1:51" ht="13.2" x14ac:dyDescent="0.25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</row>
    <row r="1504" spans="1:51" ht="13.2" x14ac:dyDescent="0.25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</row>
    <row r="1505" spans="1:51" ht="13.2" x14ac:dyDescent="0.25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</row>
    <row r="1506" spans="1:51" ht="13.2" x14ac:dyDescent="0.25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</row>
    <row r="1507" spans="1:51" ht="13.2" x14ac:dyDescent="0.25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</row>
    <row r="1508" spans="1:51" ht="13.2" x14ac:dyDescent="0.25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</row>
    <row r="1509" spans="1:51" ht="13.2" x14ac:dyDescent="0.25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</row>
    <row r="1510" spans="1:51" ht="13.2" x14ac:dyDescent="0.25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</row>
    <row r="1511" spans="1:51" ht="13.2" x14ac:dyDescent="0.25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</row>
    <row r="1512" spans="1:51" ht="13.2" x14ac:dyDescent="0.25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</row>
    <row r="1513" spans="1:51" ht="13.2" x14ac:dyDescent="0.25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</row>
    <row r="1514" spans="1:51" ht="13.2" x14ac:dyDescent="0.25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</row>
    <row r="1515" spans="1:51" ht="13.2" x14ac:dyDescent="0.25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</row>
    <row r="1516" spans="1:51" ht="13.2" x14ac:dyDescent="0.25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</row>
    <row r="1517" spans="1:51" ht="13.2" x14ac:dyDescent="0.25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</row>
    <row r="1518" spans="1:51" ht="13.2" x14ac:dyDescent="0.25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</row>
    <row r="1519" spans="1:51" ht="13.2" x14ac:dyDescent="0.25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</row>
    <row r="1520" spans="1:51" ht="13.2" x14ac:dyDescent="0.25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</row>
    <row r="1521" spans="1:51" ht="13.2" x14ac:dyDescent="0.25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</row>
    <row r="1522" spans="1:51" ht="13.2" x14ac:dyDescent="0.25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</row>
    <row r="1523" spans="1:51" ht="13.2" x14ac:dyDescent="0.25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</row>
    <row r="1524" spans="1:51" ht="13.2" x14ac:dyDescent="0.25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</row>
    <row r="1525" spans="1:51" ht="13.2" x14ac:dyDescent="0.25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</row>
    <row r="1526" spans="1:51" ht="13.2" x14ac:dyDescent="0.25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</row>
    <row r="1527" spans="1:51" ht="13.2" x14ac:dyDescent="0.25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</row>
    <row r="1528" spans="1:51" ht="13.2" x14ac:dyDescent="0.25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</row>
    <row r="1529" spans="1:51" ht="13.2" x14ac:dyDescent="0.25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</row>
    <row r="1530" spans="1:51" ht="13.2" x14ac:dyDescent="0.25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</row>
    <row r="1531" spans="1:51" ht="13.2" x14ac:dyDescent="0.25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</row>
    <row r="1532" spans="1:51" ht="13.2" x14ac:dyDescent="0.25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</row>
    <row r="1533" spans="1:51" ht="13.2" x14ac:dyDescent="0.25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</row>
    <row r="1534" spans="1:51" ht="13.2" x14ac:dyDescent="0.25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</row>
    <row r="1535" spans="1:51" ht="13.2" x14ac:dyDescent="0.25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</row>
    <row r="1536" spans="1:51" ht="13.2" x14ac:dyDescent="0.25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</row>
    <row r="1537" spans="1:51" ht="13.2" x14ac:dyDescent="0.25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</row>
    <row r="1538" spans="1:51" ht="13.2" x14ac:dyDescent="0.25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</row>
    <row r="1539" spans="1:51" ht="13.2" x14ac:dyDescent="0.25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</row>
    <row r="1540" spans="1:51" ht="13.2" x14ac:dyDescent="0.25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</row>
    <row r="1541" spans="1:51" ht="13.2" x14ac:dyDescent="0.25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</row>
    <row r="1542" spans="1:51" ht="13.2" x14ac:dyDescent="0.25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</row>
    <row r="1543" spans="1:51" ht="13.2" x14ac:dyDescent="0.25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</row>
    <row r="1544" spans="1:51" ht="13.2" x14ac:dyDescent="0.25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</row>
    <row r="1545" spans="1:51" ht="13.2" x14ac:dyDescent="0.25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</row>
    <row r="1546" spans="1:51" ht="13.2" x14ac:dyDescent="0.25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</row>
    <row r="1547" spans="1:51" ht="13.2" x14ac:dyDescent="0.25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</row>
    <row r="1548" spans="1:51" ht="13.2" x14ac:dyDescent="0.25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</row>
    <row r="1549" spans="1:51" ht="13.2" x14ac:dyDescent="0.25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</row>
    <row r="1550" spans="1:51" ht="13.2" x14ac:dyDescent="0.25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</row>
    <row r="1551" spans="1:51" ht="13.2" x14ac:dyDescent="0.25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</row>
    <row r="1552" spans="1:51" ht="13.2" x14ac:dyDescent="0.25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</row>
    <row r="1553" spans="1:51" ht="13.2" x14ac:dyDescent="0.25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</row>
    <row r="1554" spans="1:51" ht="13.2" x14ac:dyDescent="0.25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</row>
    <row r="1555" spans="1:51" ht="13.2" x14ac:dyDescent="0.25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</row>
    <row r="1556" spans="1:51" ht="13.2" x14ac:dyDescent="0.25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</row>
    <row r="1557" spans="1:51" ht="13.2" x14ac:dyDescent="0.25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</row>
    <row r="1558" spans="1:51" ht="13.2" x14ac:dyDescent="0.25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</row>
    <row r="1559" spans="1:51" ht="13.2" x14ac:dyDescent="0.25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</row>
    <row r="1560" spans="1:51" ht="13.2" x14ac:dyDescent="0.25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</row>
    <row r="1561" spans="1:51" ht="13.2" x14ac:dyDescent="0.25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</row>
    <row r="1562" spans="1:51" ht="13.2" x14ac:dyDescent="0.25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</row>
    <row r="1563" spans="1:51" ht="13.2" x14ac:dyDescent="0.25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</row>
    <row r="1564" spans="1:51" ht="13.2" x14ac:dyDescent="0.25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</row>
    <row r="1565" spans="1:51" ht="13.2" x14ac:dyDescent="0.25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</row>
    <row r="1566" spans="1:51" ht="13.2" x14ac:dyDescent="0.25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</row>
    <row r="1567" spans="1:51" ht="13.2" x14ac:dyDescent="0.25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</row>
    <row r="1568" spans="1:51" ht="13.2" x14ac:dyDescent="0.25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</row>
    <row r="1569" spans="1:51" ht="13.2" x14ac:dyDescent="0.25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</row>
    <row r="1570" spans="1:51" ht="13.2" x14ac:dyDescent="0.25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</row>
    <row r="1571" spans="1:51" ht="13.2" x14ac:dyDescent="0.25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</row>
    <row r="1572" spans="1:51" ht="13.2" x14ac:dyDescent="0.25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</row>
    <row r="1573" spans="1:51" ht="13.2" x14ac:dyDescent="0.25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</row>
    <row r="1574" spans="1:51" ht="13.2" x14ac:dyDescent="0.25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</row>
    <row r="1575" spans="1:51" ht="13.2" x14ac:dyDescent="0.25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</row>
    <row r="1576" spans="1:51" ht="13.2" x14ac:dyDescent="0.25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</row>
    <row r="1577" spans="1:51" ht="13.2" x14ac:dyDescent="0.25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</row>
    <row r="1578" spans="1:51" ht="13.2" x14ac:dyDescent="0.25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</row>
    <row r="1579" spans="1:51" ht="13.2" x14ac:dyDescent="0.25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</row>
    <row r="1580" spans="1:51" ht="13.2" x14ac:dyDescent="0.25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</row>
    <row r="1581" spans="1:51" ht="13.2" x14ac:dyDescent="0.25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</row>
    <row r="1582" spans="1:51" ht="13.2" x14ac:dyDescent="0.25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</row>
    <row r="1583" spans="1:51" ht="13.2" x14ac:dyDescent="0.25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</row>
    <row r="1584" spans="1:51" ht="13.2" x14ac:dyDescent="0.25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</row>
    <row r="1585" spans="1:51" ht="13.2" x14ac:dyDescent="0.25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</row>
    <row r="1586" spans="1:51" ht="13.2" x14ac:dyDescent="0.25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</row>
    <row r="1587" spans="1:51" ht="13.2" x14ac:dyDescent="0.25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</row>
    <row r="1588" spans="1:51" ht="13.2" x14ac:dyDescent="0.25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</row>
    <row r="1589" spans="1:51" ht="13.2" x14ac:dyDescent="0.25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</row>
    <row r="1590" spans="1:51" ht="13.2" x14ac:dyDescent="0.25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</row>
    <row r="1591" spans="1:51" ht="13.2" x14ac:dyDescent="0.25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</row>
    <row r="1592" spans="1:51" ht="13.2" x14ac:dyDescent="0.25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</row>
    <row r="1593" spans="1:51" ht="13.2" x14ac:dyDescent="0.25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</row>
    <row r="1594" spans="1:51" ht="13.2" x14ac:dyDescent="0.25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</row>
    <row r="1595" spans="1:51" ht="13.2" x14ac:dyDescent="0.25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</row>
    <row r="1596" spans="1:51" ht="13.2" x14ac:dyDescent="0.25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</row>
    <row r="1597" spans="1:51" ht="13.2" x14ac:dyDescent="0.25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</row>
    <row r="1598" spans="1:51" ht="13.2" x14ac:dyDescent="0.25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</row>
    <row r="1599" spans="1:51" ht="13.2" x14ac:dyDescent="0.25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</row>
    <row r="1600" spans="1:51" ht="13.2" x14ac:dyDescent="0.25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</row>
    <row r="1601" spans="1:51" ht="13.2" x14ac:dyDescent="0.25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</row>
    <row r="1602" spans="1:51" ht="13.2" x14ac:dyDescent="0.25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</row>
    <row r="1603" spans="1:51" ht="13.2" x14ac:dyDescent="0.25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</row>
    <row r="1604" spans="1:51" ht="13.2" x14ac:dyDescent="0.25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</row>
    <row r="1605" spans="1:51" ht="13.2" x14ac:dyDescent="0.25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</row>
    <row r="1606" spans="1:51" ht="13.2" x14ac:dyDescent="0.25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</row>
    <row r="1607" spans="1:51" ht="13.2" x14ac:dyDescent="0.25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</row>
    <row r="1608" spans="1:51" ht="13.2" x14ac:dyDescent="0.25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</row>
    <row r="1609" spans="1:51" ht="13.2" x14ac:dyDescent="0.25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</row>
    <row r="1610" spans="1:51" ht="13.2" x14ac:dyDescent="0.25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</row>
    <row r="1611" spans="1:51" ht="13.2" x14ac:dyDescent="0.25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</row>
    <row r="1612" spans="1:51" ht="13.2" x14ac:dyDescent="0.25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</row>
    <row r="1613" spans="1:51" ht="13.2" x14ac:dyDescent="0.25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</row>
    <row r="1614" spans="1:51" ht="13.2" x14ac:dyDescent="0.25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</row>
    <row r="1615" spans="1:51" ht="13.2" x14ac:dyDescent="0.25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</row>
    <row r="1616" spans="1:51" ht="13.2" x14ac:dyDescent="0.25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</row>
    <row r="1617" spans="1:51" ht="13.2" x14ac:dyDescent="0.25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</row>
    <row r="1618" spans="1:51" ht="13.2" x14ac:dyDescent="0.25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</row>
    <row r="1619" spans="1:51" ht="13.2" x14ac:dyDescent="0.25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</row>
    <row r="1620" spans="1:51" ht="13.2" x14ac:dyDescent="0.25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</row>
    <row r="1621" spans="1:51" ht="13.2" x14ac:dyDescent="0.25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</row>
    <row r="1622" spans="1:51" ht="13.2" x14ac:dyDescent="0.25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</row>
    <row r="1623" spans="1:51" ht="13.2" x14ac:dyDescent="0.25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</row>
    <row r="1624" spans="1:51" ht="13.2" x14ac:dyDescent="0.25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</row>
    <row r="1625" spans="1:51" ht="13.2" x14ac:dyDescent="0.25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</row>
    <row r="1626" spans="1:51" ht="13.2" x14ac:dyDescent="0.25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</row>
    <row r="1627" spans="1:51" ht="13.2" x14ac:dyDescent="0.25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</row>
    <row r="1628" spans="1:51" ht="13.2" x14ac:dyDescent="0.25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</row>
    <row r="1629" spans="1:51" ht="13.2" x14ac:dyDescent="0.25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</row>
    <row r="1630" spans="1:51" ht="13.2" x14ac:dyDescent="0.25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</row>
    <row r="1631" spans="1:51" ht="13.2" x14ac:dyDescent="0.25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</row>
    <row r="1632" spans="1:51" ht="13.2" x14ac:dyDescent="0.25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</row>
    <row r="1633" spans="1:51" ht="13.2" x14ac:dyDescent="0.25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</row>
    <row r="1634" spans="1:51" ht="13.2" x14ac:dyDescent="0.25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</row>
    <row r="1635" spans="1:51" ht="13.2" x14ac:dyDescent="0.25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</row>
    <row r="1636" spans="1:51" ht="13.2" x14ac:dyDescent="0.25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</row>
    <row r="1637" spans="1:51" ht="13.2" x14ac:dyDescent="0.25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</row>
    <row r="1638" spans="1:51" ht="13.2" x14ac:dyDescent="0.25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</row>
    <row r="1639" spans="1:51" ht="13.2" x14ac:dyDescent="0.25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</row>
    <row r="1640" spans="1:51" ht="13.2" x14ac:dyDescent="0.25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8"/>
      <c r="AG1640" s="8"/>
      <c r="AH1640" s="8"/>
      <c r="AI1640" s="8"/>
      <c r="AJ1640" s="8"/>
      <c r="AK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</row>
    <row r="1641" spans="1:51" ht="13.2" x14ac:dyDescent="0.25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8"/>
      <c r="AG1641" s="8"/>
      <c r="AH1641" s="8"/>
      <c r="AI1641" s="8"/>
      <c r="AJ1641" s="8"/>
      <c r="AK1641" s="8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</row>
    <row r="1642" spans="1:51" ht="13.2" x14ac:dyDescent="0.25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8"/>
      <c r="AG1642" s="8"/>
      <c r="AH1642" s="8"/>
      <c r="AI1642" s="8"/>
      <c r="AJ1642" s="8"/>
      <c r="AK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</row>
    <row r="1643" spans="1:51" ht="13.2" x14ac:dyDescent="0.25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8"/>
      <c r="AG1643" s="8"/>
      <c r="AH1643" s="8"/>
      <c r="AI1643" s="8"/>
      <c r="AJ1643" s="8"/>
      <c r="AK1643" s="8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</row>
    <row r="1644" spans="1:51" ht="13.2" x14ac:dyDescent="0.25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8"/>
      <c r="AG1644" s="8"/>
      <c r="AH1644" s="8"/>
      <c r="AI1644" s="8"/>
      <c r="AJ1644" s="8"/>
      <c r="AK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</row>
    <row r="1645" spans="1:51" ht="13.2" x14ac:dyDescent="0.25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8"/>
      <c r="AG1645" s="8"/>
      <c r="AH1645" s="8"/>
      <c r="AI1645" s="8"/>
      <c r="AJ1645" s="8"/>
      <c r="AK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</row>
    <row r="1646" spans="1:51" ht="13.2" x14ac:dyDescent="0.25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8"/>
      <c r="AG1646" s="8"/>
      <c r="AH1646" s="8"/>
      <c r="AI1646" s="8"/>
      <c r="AJ1646" s="8"/>
      <c r="AK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</row>
    <row r="1647" spans="1:51" ht="13.2" x14ac:dyDescent="0.25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8"/>
      <c r="AG1647" s="8"/>
      <c r="AH1647" s="8"/>
      <c r="AI1647" s="8"/>
      <c r="AJ1647" s="8"/>
      <c r="AK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</row>
    <row r="1648" spans="1:51" ht="13.2" x14ac:dyDescent="0.25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8"/>
      <c r="AG1648" s="8"/>
      <c r="AH1648" s="8"/>
      <c r="AI1648" s="8"/>
      <c r="AJ1648" s="8"/>
      <c r="AK1648" s="8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</row>
    <row r="1649" spans="1:51" ht="13.2" x14ac:dyDescent="0.25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</row>
    <row r="1650" spans="1:51" ht="13.2" x14ac:dyDescent="0.25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8"/>
      <c r="AG1650" s="8"/>
      <c r="AH1650" s="8"/>
      <c r="AI1650" s="8"/>
      <c r="AJ1650" s="8"/>
      <c r="AK1650" s="8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</row>
    <row r="1651" spans="1:51" ht="13.2" x14ac:dyDescent="0.25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8"/>
      <c r="AG1651" s="8"/>
      <c r="AH1651" s="8"/>
      <c r="AI1651" s="8"/>
      <c r="AJ1651" s="8"/>
      <c r="AK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</row>
    <row r="1652" spans="1:51" ht="13.2" x14ac:dyDescent="0.25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8"/>
      <c r="AG1652" s="8"/>
      <c r="AH1652" s="8"/>
      <c r="AI1652" s="8"/>
      <c r="AJ1652" s="8"/>
      <c r="AK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</row>
    <row r="1653" spans="1:51" ht="13.2" x14ac:dyDescent="0.25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8"/>
      <c r="AG1653" s="8"/>
      <c r="AH1653" s="8"/>
      <c r="AI1653" s="8"/>
      <c r="AJ1653" s="8"/>
      <c r="AK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</row>
    <row r="1654" spans="1:51" ht="13.2" x14ac:dyDescent="0.25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8"/>
      <c r="AG1654" s="8"/>
      <c r="AH1654" s="8"/>
      <c r="AI1654" s="8"/>
      <c r="AJ1654" s="8"/>
      <c r="AK1654" s="8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</row>
    <row r="1655" spans="1:51" ht="13.2" x14ac:dyDescent="0.25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8"/>
      <c r="AG1655" s="8"/>
      <c r="AH1655" s="8"/>
      <c r="AI1655" s="8"/>
      <c r="AJ1655" s="8"/>
      <c r="AK1655" s="8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</row>
    <row r="1656" spans="1:51" ht="13.2" x14ac:dyDescent="0.25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8"/>
      <c r="AG1656" s="8"/>
      <c r="AH1656" s="8"/>
      <c r="AI1656" s="8"/>
      <c r="AJ1656" s="8"/>
      <c r="AK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</row>
    <row r="1657" spans="1:51" ht="13.2" x14ac:dyDescent="0.25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8"/>
      <c r="AG1657" s="8"/>
      <c r="AH1657" s="8"/>
      <c r="AI1657" s="8"/>
      <c r="AJ1657" s="8"/>
      <c r="AK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</row>
    <row r="1658" spans="1:51" ht="13.2" x14ac:dyDescent="0.25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8"/>
      <c r="AG1658" s="8"/>
      <c r="AH1658" s="8"/>
      <c r="AI1658" s="8"/>
      <c r="AJ1658" s="8"/>
      <c r="AK1658" s="8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</row>
    <row r="1659" spans="1:51" ht="13.2" x14ac:dyDescent="0.25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8"/>
      <c r="AG1659" s="8"/>
      <c r="AH1659" s="8"/>
      <c r="AI1659" s="8"/>
      <c r="AJ1659" s="8"/>
      <c r="AK1659" s="8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</row>
    <row r="1660" spans="1:51" ht="13.2" x14ac:dyDescent="0.25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8"/>
      <c r="AG1660" s="8"/>
      <c r="AH1660" s="8"/>
      <c r="AI1660" s="8"/>
      <c r="AJ1660" s="8"/>
      <c r="AK1660" s="8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</row>
    <row r="1661" spans="1:51" ht="13.2" x14ac:dyDescent="0.25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8"/>
      <c r="AG1661" s="8"/>
      <c r="AH1661" s="8"/>
      <c r="AI1661" s="8"/>
      <c r="AJ1661" s="8"/>
      <c r="AK1661" s="8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</row>
    <row r="1662" spans="1:51" ht="13.2" x14ac:dyDescent="0.25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8"/>
      <c r="AG1662" s="8"/>
      <c r="AH1662" s="8"/>
      <c r="AI1662" s="8"/>
      <c r="AJ1662" s="8"/>
      <c r="AK1662" s="8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</row>
    <row r="1663" spans="1:51" ht="13.2" x14ac:dyDescent="0.25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8"/>
      <c r="AG1663" s="8"/>
      <c r="AH1663" s="8"/>
      <c r="AI1663" s="8"/>
      <c r="AJ1663" s="8"/>
      <c r="AK1663" s="8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</row>
    <row r="1664" spans="1:51" ht="13.2" x14ac:dyDescent="0.25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8"/>
      <c r="AG1664" s="8"/>
      <c r="AH1664" s="8"/>
      <c r="AI1664" s="8"/>
      <c r="AJ1664" s="8"/>
      <c r="AK1664" s="8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</row>
    <row r="1665" spans="1:51" ht="13.2" x14ac:dyDescent="0.25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8"/>
      <c r="AG1665" s="8"/>
      <c r="AH1665" s="8"/>
      <c r="AI1665" s="8"/>
      <c r="AJ1665" s="8"/>
      <c r="AK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</row>
    <row r="1666" spans="1:51" ht="13.2" x14ac:dyDescent="0.25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8"/>
      <c r="AG1666" s="8"/>
      <c r="AH1666" s="8"/>
      <c r="AI1666" s="8"/>
      <c r="AJ1666" s="8"/>
      <c r="AK1666" s="8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</row>
    <row r="1667" spans="1:51" ht="13.2" x14ac:dyDescent="0.25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8"/>
      <c r="AG1667" s="8"/>
      <c r="AH1667" s="8"/>
      <c r="AI1667" s="8"/>
      <c r="AJ1667" s="8"/>
      <c r="AK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</row>
    <row r="1668" spans="1:51" ht="13.2" x14ac:dyDescent="0.25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8"/>
      <c r="AG1668" s="8"/>
      <c r="AH1668" s="8"/>
      <c r="AI1668" s="8"/>
      <c r="AJ1668" s="8"/>
      <c r="AK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</row>
    <row r="1669" spans="1:51" ht="13.2" x14ac:dyDescent="0.25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8"/>
      <c r="AG1669" s="8"/>
      <c r="AH1669" s="8"/>
      <c r="AI1669" s="8"/>
      <c r="AJ1669" s="8"/>
      <c r="AK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</row>
    <row r="1670" spans="1:51" ht="13.2" x14ac:dyDescent="0.25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</row>
    <row r="1671" spans="1:51" ht="13.2" x14ac:dyDescent="0.25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8"/>
      <c r="AG1671" s="8"/>
      <c r="AH1671" s="8"/>
      <c r="AI1671" s="8"/>
      <c r="AJ1671" s="8"/>
      <c r="AK1671" s="8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</row>
    <row r="1672" spans="1:51" ht="13.2" x14ac:dyDescent="0.25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8"/>
      <c r="AG1672" s="8"/>
      <c r="AH1672" s="8"/>
      <c r="AI1672" s="8"/>
      <c r="AJ1672" s="8"/>
      <c r="AK1672" s="8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</row>
    <row r="1673" spans="1:51" ht="13.2" x14ac:dyDescent="0.25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</row>
    <row r="1674" spans="1:51" ht="13.2" x14ac:dyDescent="0.25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8"/>
      <c r="AG1674" s="8"/>
      <c r="AH1674" s="8"/>
      <c r="AI1674" s="8"/>
      <c r="AJ1674" s="8"/>
      <c r="AK1674" s="8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</row>
    <row r="1675" spans="1:51" ht="13.2" x14ac:dyDescent="0.25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</row>
    <row r="1676" spans="1:51" ht="13.2" x14ac:dyDescent="0.25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</row>
    <row r="1677" spans="1:51" ht="13.2" x14ac:dyDescent="0.25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</row>
    <row r="1678" spans="1:51" ht="13.2" x14ac:dyDescent="0.25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8"/>
      <c r="AG1678" s="8"/>
      <c r="AH1678" s="8"/>
      <c r="AI1678" s="8"/>
      <c r="AJ1678" s="8"/>
      <c r="AK1678" s="8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</row>
    <row r="1679" spans="1:51" ht="13.2" x14ac:dyDescent="0.25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8"/>
      <c r="AG1679" s="8"/>
      <c r="AH1679" s="8"/>
      <c r="AI1679" s="8"/>
      <c r="AJ1679" s="8"/>
      <c r="AK1679" s="8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</row>
    <row r="1680" spans="1:51" ht="13.2" x14ac:dyDescent="0.25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8"/>
      <c r="AG1680" s="8"/>
      <c r="AH1680" s="8"/>
      <c r="AI1680" s="8"/>
      <c r="AJ1680" s="8"/>
      <c r="AK1680" s="8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</row>
    <row r="1681" spans="1:51" ht="13.2" x14ac:dyDescent="0.25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</row>
    <row r="1682" spans="1:51" ht="13.2" x14ac:dyDescent="0.25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8"/>
      <c r="AG1682" s="8"/>
      <c r="AH1682" s="8"/>
      <c r="AI1682" s="8"/>
      <c r="AJ1682" s="8"/>
      <c r="AK1682" s="8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</row>
    <row r="1683" spans="1:51" ht="13.2" x14ac:dyDescent="0.25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8"/>
      <c r="AG1683" s="8"/>
      <c r="AH1683" s="8"/>
      <c r="AI1683" s="8"/>
      <c r="AJ1683" s="8"/>
      <c r="AK1683" s="8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</row>
    <row r="1684" spans="1:51" ht="13.2" x14ac:dyDescent="0.25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8"/>
      <c r="AG1684" s="8"/>
      <c r="AH1684" s="8"/>
      <c r="AI1684" s="8"/>
      <c r="AJ1684" s="8"/>
      <c r="AK1684" s="8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</row>
    <row r="1685" spans="1:51" ht="13.2" x14ac:dyDescent="0.25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8"/>
      <c r="AG1685" s="8"/>
      <c r="AH1685" s="8"/>
      <c r="AI1685" s="8"/>
      <c r="AJ1685" s="8"/>
      <c r="AK1685" s="8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</row>
    <row r="1686" spans="1:51" ht="13.2" x14ac:dyDescent="0.25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8"/>
      <c r="AG1686" s="8"/>
      <c r="AH1686" s="8"/>
      <c r="AI1686" s="8"/>
      <c r="AJ1686" s="8"/>
      <c r="AK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</row>
    <row r="1687" spans="1:51" ht="13.2" x14ac:dyDescent="0.25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8"/>
      <c r="AG1687" s="8"/>
      <c r="AH1687" s="8"/>
      <c r="AI1687" s="8"/>
      <c r="AJ1687" s="8"/>
      <c r="AK1687" s="8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</row>
    <row r="1688" spans="1:51" ht="13.2" x14ac:dyDescent="0.25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</row>
    <row r="1689" spans="1:51" ht="13.2" x14ac:dyDescent="0.25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</row>
    <row r="1690" spans="1:51" ht="13.2" x14ac:dyDescent="0.25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8"/>
      <c r="AG1690" s="8"/>
      <c r="AH1690" s="8"/>
      <c r="AI1690" s="8"/>
      <c r="AJ1690" s="8"/>
      <c r="AK1690" s="8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</row>
    <row r="1691" spans="1:51" ht="13.2" x14ac:dyDescent="0.25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</row>
    <row r="1692" spans="1:51" ht="13.2" x14ac:dyDescent="0.25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8"/>
      <c r="AG1692" s="8"/>
      <c r="AH1692" s="8"/>
      <c r="AI1692" s="8"/>
      <c r="AJ1692" s="8"/>
      <c r="AK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</row>
    <row r="1693" spans="1:51" ht="13.2" x14ac:dyDescent="0.25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8"/>
      <c r="AG1693" s="8"/>
      <c r="AH1693" s="8"/>
      <c r="AI1693" s="8"/>
      <c r="AJ1693" s="8"/>
      <c r="AK1693" s="8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</row>
    <row r="1694" spans="1:51" ht="13.2" x14ac:dyDescent="0.25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8"/>
      <c r="AG1694" s="8"/>
      <c r="AH1694" s="8"/>
      <c r="AI1694" s="8"/>
      <c r="AJ1694" s="8"/>
      <c r="AK1694" s="8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</row>
    <row r="1695" spans="1:51" ht="13.2" x14ac:dyDescent="0.25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8"/>
      <c r="AG1695" s="8"/>
      <c r="AH1695" s="8"/>
      <c r="AI1695" s="8"/>
      <c r="AJ1695" s="8"/>
      <c r="AK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</row>
    <row r="1696" spans="1:51" ht="13.2" x14ac:dyDescent="0.25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8"/>
      <c r="AG1696" s="8"/>
      <c r="AH1696" s="8"/>
      <c r="AI1696" s="8"/>
      <c r="AJ1696" s="8"/>
      <c r="AK1696" s="8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</row>
    <row r="1697" spans="1:51" ht="13.2" x14ac:dyDescent="0.25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8"/>
      <c r="AG1697" s="8"/>
      <c r="AH1697" s="8"/>
      <c r="AI1697" s="8"/>
      <c r="AJ1697" s="8"/>
      <c r="AK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</row>
    <row r="1698" spans="1:51" ht="13.2" x14ac:dyDescent="0.25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8"/>
      <c r="AG1698" s="8"/>
      <c r="AH1698" s="8"/>
      <c r="AI1698" s="8"/>
      <c r="AJ1698" s="8"/>
      <c r="AK1698" s="8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</row>
    <row r="1699" spans="1:51" ht="13.2" x14ac:dyDescent="0.25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8"/>
      <c r="AG1699" s="8"/>
      <c r="AH1699" s="8"/>
      <c r="AI1699" s="8"/>
      <c r="AJ1699" s="8"/>
      <c r="AK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</row>
    <row r="1700" spans="1:51" ht="13.2" x14ac:dyDescent="0.25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8"/>
      <c r="AG1700" s="8"/>
      <c r="AH1700" s="8"/>
      <c r="AI1700" s="8"/>
      <c r="AJ1700" s="8"/>
      <c r="AK1700" s="8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</row>
    <row r="1701" spans="1:51" ht="13.2" x14ac:dyDescent="0.25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8"/>
      <c r="AG1701" s="8"/>
      <c r="AH1701" s="8"/>
      <c r="AI1701" s="8"/>
      <c r="AJ1701" s="8"/>
      <c r="AK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</row>
    <row r="1702" spans="1:51" ht="13.2" x14ac:dyDescent="0.25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8"/>
      <c r="AG1702" s="8"/>
      <c r="AH1702" s="8"/>
      <c r="AI1702" s="8"/>
      <c r="AJ1702" s="8"/>
      <c r="AK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</row>
    <row r="1703" spans="1:51" ht="13.2" x14ac:dyDescent="0.25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8"/>
      <c r="AG1703" s="8"/>
      <c r="AH1703" s="8"/>
      <c r="AI1703" s="8"/>
      <c r="AJ1703" s="8"/>
      <c r="AK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</row>
    <row r="1704" spans="1:51" ht="13.2" x14ac:dyDescent="0.25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8"/>
      <c r="AG1704" s="8"/>
      <c r="AH1704" s="8"/>
      <c r="AI1704" s="8"/>
      <c r="AJ1704" s="8"/>
      <c r="AK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</row>
    <row r="1705" spans="1:51" ht="13.2" x14ac:dyDescent="0.25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8"/>
      <c r="AG1705" s="8"/>
      <c r="AH1705" s="8"/>
      <c r="AI1705" s="8"/>
      <c r="AJ1705" s="8"/>
      <c r="AK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</row>
    <row r="1706" spans="1:51" ht="13.2" x14ac:dyDescent="0.25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8"/>
      <c r="AG1706" s="8"/>
      <c r="AH1706" s="8"/>
      <c r="AI1706" s="8"/>
      <c r="AJ1706" s="8"/>
      <c r="AK1706" s="8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</row>
    <row r="1707" spans="1:51" ht="13.2" x14ac:dyDescent="0.25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8"/>
      <c r="AG1707" s="8"/>
      <c r="AH1707" s="8"/>
      <c r="AI1707" s="8"/>
      <c r="AJ1707" s="8"/>
      <c r="AK1707" s="8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</row>
    <row r="1708" spans="1:51" ht="13.2" x14ac:dyDescent="0.25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8"/>
      <c r="AG1708" s="8"/>
      <c r="AH1708" s="8"/>
      <c r="AI1708" s="8"/>
      <c r="AJ1708" s="8"/>
      <c r="AK1708" s="8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</row>
    <row r="1709" spans="1:51" ht="13.2" x14ac:dyDescent="0.25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</row>
    <row r="1710" spans="1:51" ht="13.2" x14ac:dyDescent="0.25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</row>
    <row r="1711" spans="1:51" ht="13.2" x14ac:dyDescent="0.25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8"/>
      <c r="AG1711" s="8"/>
      <c r="AH1711" s="8"/>
      <c r="AI1711" s="8"/>
      <c r="AJ1711" s="8"/>
      <c r="AK1711" s="8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</row>
    <row r="1712" spans="1:51" ht="13.2" x14ac:dyDescent="0.25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8"/>
      <c r="AG1712" s="8"/>
      <c r="AH1712" s="8"/>
      <c r="AI1712" s="8"/>
      <c r="AJ1712" s="8"/>
      <c r="AK1712" s="8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</row>
    <row r="1713" spans="1:51" ht="13.2" x14ac:dyDescent="0.25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8"/>
      <c r="AG1713" s="8"/>
      <c r="AH1713" s="8"/>
      <c r="AI1713" s="8"/>
      <c r="AJ1713" s="8"/>
      <c r="AK1713" s="8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</row>
    <row r="1714" spans="1:51" ht="13.2" x14ac:dyDescent="0.25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8"/>
      <c r="AG1714" s="8"/>
      <c r="AH1714" s="8"/>
      <c r="AI1714" s="8"/>
      <c r="AJ1714" s="8"/>
      <c r="AK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</row>
    <row r="1715" spans="1:51" ht="13.2" x14ac:dyDescent="0.25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8"/>
      <c r="AG1715" s="8"/>
      <c r="AH1715" s="8"/>
      <c r="AI1715" s="8"/>
      <c r="AJ1715" s="8"/>
      <c r="AK1715" s="8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</row>
    <row r="1716" spans="1:51" ht="13.2" x14ac:dyDescent="0.25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</row>
    <row r="1717" spans="1:51" ht="13.2" x14ac:dyDescent="0.25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8"/>
      <c r="AG1717" s="8"/>
      <c r="AH1717" s="8"/>
      <c r="AI1717" s="8"/>
      <c r="AJ1717" s="8"/>
      <c r="AK1717" s="8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</row>
    <row r="1718" spans="1:51" ht="13.2" x14ac:dyDescent="0.25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8"/>
      <c r="AG1718" s="8"/>
      <c r="AH1718" s="8"/>
      <c r="AI1718" s="8"/>
      <c r="AJ1718" s="8"/>
      <c r="AK1718" s="8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</row>
    <row r="1719" spans="1:51" ht="13.2" x14ac:dyDescent="0.25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8"/>
      <c r="AG1719" s="8"/>
      <c r="AH1719" s="8"/>
      <c r="AI1719" s="8"/>
      <c r="AJ1719" s="8"/>
      <c r="AK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</row>
    <row r="1720" spans="1:51" ht="13.2" x14ac:dyDescent="0.25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8"/>
      <c r="AG1720" s="8"/>
      <c r="AH1720" s="8"/>
      <c r="AI1720" s="8"/>
      <c r="AJ1720" s="8"/>
      <c r="AK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</row>
    <row r="1721" spans="1:51" ht="13.2" x14ac:dyDescent="0.25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8"/>
      <c r="AG1721" s="8"/>
      <c r="AH1721" s="8"/>
      <c r="AI1721" s="8"/>
      <c r="AJ1721" s="8"/>
      <c r="AK1721" s="8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</row>
    <row r="1722" spans="1:51" ht="13.2" x14ac:dyDescent="0.25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8"/>
      <c r="AG1722" s="8"/>
      <c r="AH1722" s="8"/>
      <c r="AI1722" s="8"/>
      <c r="AJ1722" s="8"/>
      <c r="AK1722" s="8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</row>
    <row r="1723" spans="1:51" ht="13.2" x14ac:dyDescent="0.25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8"/>
      <c r="AG1723" s="8"/>
      <c r="AH1723" s="8"/>
      <c r="AI1723" s="8"/>
      <c r="AJ1723" s="8"/>
      <c r="AK1723" s="8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</row>
    <row r="1724" spans="1:51" ht="13.2" x14ac:dyDescent="0.25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8"/>
      <c r="AG1724" s="8"/>
      <c r="AH1724" s="8"/>
      <c r="AI1724" s="8"/>
      <c r="AJ1724" s="8"/>
      <c r="AK1724" s="8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</row>
    <row r="1725" spans="1:51" ht="13.2" x14ac:dyDescent="0.25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8"/>
      <c r="AG1725" s="8"/>
      <c r="AH1725" s="8"/>
      <c r="AI1725" s="8"/>
      <c r="AJ1725" s="8"/>
      <c r="AK1725" s="8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</row>
    <row r="1726" spans="1:51" ht="13.2" x14ac:dyDescent="0.25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8"/>
      <c r="AG1726" s="8"/>
      <c r="AH1726" s="8"/>
      <c r="AI1726" s="8"/>
      <c r="AJ1726" s="8"/>
      <c r="AK1726" s="8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</row>
    <row r="1727" spans="1:51" ht="13.2" x14ac:dyDescent="0.25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8"/>
      <c r="AG1727" s="8"/>
      <c r="AH1727" s="8"/>
      <c r="AI1727" s="8"/>
      <c r="AJ1727" s="8"/>
      <c r="AK1727" s="8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</row>
    <row r="1728" spans="1:51" ht="13.2" x14ac:dyDescent="0.25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8"/>
      <c r="AG1728" s="8"/>
      <c r="AH1728" s="8"/>
      <c r="AI1728" s="8"/>
      <c r="AJ1728" s="8"/>
      <c r="AK1728" s="8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</row>
    <row r="1729" spans="1:51" ht="13.2" x14ac:dyDescent="0.25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8"/>
      <c r="AG1729" s="8"/>
      <c r="AH1729" s="8"/>
      <c r="AI1729" s="8"/>
      <c r="AJ1729" s="8"/>
      <c r="AK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</row>
    <row r="1730" spans="1:51" ht="13.2" x14ac:dyDescent="0.25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8"/>
      <c r="AG1730" s="8"/>
      <c r="AH1730" s="8"/>
      <c r="AI1730" s="8"/>
      <c r="AJ1730" s="8"/>
      <c r="AK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</row>
    <row r="1731" spans="1:51" ht="13.2" x14ac:dyDescent="0.25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8"/>
      <c r="AG1731" s="8"/>
      <c r="AH1731" s="8"/>
      <c r="AI1731" s="8"/>
      <c r="AJ1731" s="8"/>
      <c r="AK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</row>
    <row r="1732" spans="1:51" ht="13.2" x14ac:dyDescent="0.25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8"/>
      <c r="AG1732" s="8"/>
      <c r="AH1732" s="8"/>
      <c r="AI1732" s="8"/>
      <c r="AJ1732" s="8"/>
      <c r="AK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</row>
    <row r="1733" spans="1:51" ht="13.2" x14ac:dyDescent="0.25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8"/>
      <c r="AG1733" s="8"/>
      <c r="AH1733" s="8"/>
      <c r="AI1733" s="8"/>
      <c r="AJ1733" s="8"/>
      <c r="AK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</row>
    <row r="1734" spans="1:51" ht="13.2" x14ac:dyDescent="0.25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8"/>
      <c r="AG1734" s="8"/>
      <c r="AH1734" s="8"/>
      <c r="AI1734" s="8"/>
      <c r="AJ1734" s="8"/>
      <c r="AK1734" s="8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</row>
    <row r="1735" spans="1:51" ht="13.2" x14ac:dyDescent="0.25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8"/>
      <c r="AG1735" s="8"/>
      <c r="AH1735" s="8"/>
      <c r="AI1735" s="8"/>
      <c r="AJ1735" s="8"/>
      <c r="AK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</row>
    <row r="1736" spans="1:51" ht="13.2" x14ac:dyDescent="0.25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8"/>
      <c r="AG1736" s="8"/>
      <c r="AH1736" s="8"/>
      <c r="AI1736" s="8"/>
      <c r="AJ1736" s="8"/>
      <c r="AK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</row>
    <row r="1737" spans="1:51" ht="13.2" x14ac:dyDescent="0.25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8"/>
      <c r="AG1737" s="8"/>
      <c r="AH1737" s="8"/>
      <c r="AI1737" s="8"/>
      <c r="AJ1737" s="8"/>
      <c r="AK1737" s="8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</row>
    <row r="1738" spans="1:51" ht="13.2" x14ac:dyDescent="0.25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8"/>
      <c r="AG1738" s="8"/>
      <c r="AH1738" s="8"/>
      <c r="AI1738" s="8"/>
      <c r="AJ1738" s="8"/>
      <c r="AK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</row>
    <row r="1739" spans="1:51" ht="13.2" x14ac:dyDescent="0.25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8"/>
      <c r="AG1739" s="8"/>
      <c r="AH1739" s="8"/>
      <c r="AI1739" s="8"/>
      <c r="AJ1739" s="8"/>
      <c r="AK1739" s="8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</row>
    <row r="1740" spans="1:51" ht="13.2" x14ac:dyDescent="0.25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8"/>
      <c r="AG1740" s="8"/>
      <c r="AH1740" s="8"/>
      <c r="AI1740" s="8"/>
      <c r="AJ1740" s="8"/>
      <c r="AK1740" s="8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</row>
    <row r="1741" spans="1:51" ht="13.2" x14ac:dyDescent="0.25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8"/>
      <c r="AG1741" s="8"/>
      <c r="AH1741" s="8"/>
      <c r="AI1741" s="8"/>
      <c r="AJ1741" s="8"/>
      <c r="AK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</row>
    <row r="1742" spans="1:51" ht="13.2" x14ac:dyDescent="0.25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8"/>
      <c r="AG1742" s="8"/>
      <c r="AH1742" s="8"/>
      <c r="AI1742" s="8"/>
      <c r="AJ1742" s="8"/>
      <c r="AK1742" s="8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</row>
    <row r="1743" spans="1:51" ht="13.2" x14ac:dyDescent="0.25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</row>
    <row r="1744" spans="1:51" ht="13.2" x14ac:dyDescent="0.25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8"/>
      <c r="AG1744" s="8"/>
      <c r="AH1744" s="8"/>
      <c r="AI1744" s="8"/>
      <c r="AJ1744" s="8"/>
      <c r="AK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</row>
    <row r="1745" spans="1:51" ht="13.2" x14ac:dyDescent="0.25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8"/>
      <c r="AG1745" s="8"/>
      <c r="AH1745" s="8"/>
      <c r="AI1745" s="8"/>
      <c r="AJ1745" s="8"/>
      <c r="AK1745" s="8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</row>
    <row r="1746" spans="1:51" ht="13.2" x14ac:dyDescent="0.25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8"/>
      <c r="AG1746" s="8"/>
      <c r="AH1746" s="8"/>
      <c r="AI1746" s="8"/>
      <c r="AJ1746" s="8"/>
      <c r="AK1746" s="8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</row>
    <row r="1747" spans="1:51" ht="13.2" x14ac:dyDescent="0.25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8"/>
      <c r="AG1747" s="8"/>
      <c r="AH1747" s="8"/>
      <c r="AI1747" s="8"/>
      <c r="AJ1747" s="8"/>
      <c r="AK1747" s="8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</row>
    <row r="1748" spans="1:51" ht="13.2" x14ac:dyDescent="0.25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8"/>
      <c r="AG1748" s="8"/>
      <c r="AH1748" s="8"/>
      <c r="AI1748" s="8"/>
      <c r="AJ1748" s="8"/>
      <c r="AK1748" s="8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</row>
    <row r="1749" spans="1:51" ht="13.2" x14ac:dyDescent="0.25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8"/>
      <c r="AG1749" s="8"/>
      <c r="AH1749" s="8"/>
      <c r="AI1749" s="8"/>
      <c r="AJ1749" s="8"/>
      <c r="AK1749" s="8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</row>
    <row r="1750" spans="1:51" ht="13.2" x14ac:dyDescent="0.25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8"/>
      <c r="AG1750" s="8"/>
      <c r="AH1750" s="8"/>
      <c r="AI1750" s="8"/>
      <c r="AJ1750" s="8"/>
      <c r="AK1750" s="8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</row>
    <row r="1751" spans="1:51" ht="13.2" x14ac:dyDescent="0.25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8"/>
      <c r="AG1751" s="8"/>
      <c r="AH1751" s="8"/>
      <c r="AI1751" s="8"/>
      <c r="AJ1751" s="8"/>
      <c r="AK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</row>
    <row r="1752" spans="1:51" ht="13.2" x14ac:dyDescent="0.25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</row>
    <row r="1753" spans="1:51" ht="13.2" x14ac:dyDescent="0.25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8"/>
      <c r="AG1753" s="8"/>
      <c r="AH1753" s="8"/>
      <c r="AI1753" s="8"/>
      <c r="AJ1753" s="8"/>
      <c r="AK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</row>
    <row r="1754" spans="1:51" ht="13.2" x14ac:dyDescent="0.25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8"/>
      <c r="AG1754" s="8"/>
      <c r="AH1754" s="8"/>
      <c r="AI1754" s="8"/>
      <c r="AJ1754" s="8"/>
      <c r="AK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</row>
    <row r="1755" spans="1:51" ht="13.2" x14ac:dyDescent="0.25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8"/>
      <c r="AG1755" s="8"/>
      <c r="AH1755" s="8"/>
      <c r="AI1755" s="8"/>
      <c r="AJ1755" s="8"/>
      <c r="AK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</row>
    <row r="1756" spans="1:51" ht="13.2" x14ac:dyDescent="0.25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8"/>
      <c r="AG1756" s="8"/>
      <c r="AH1756" s="8"/>
      <c r="AI1756" s="8"/>
      <c r="AJ1756" s="8"/>
      <c r="AK1756" s="8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</row>
    <row r="1757" spans="1:51" ht="13.2" x14ac:dyDescent="0.25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8"/>
      <c r="AG1757" s="8"/>
      <c r="AH1757" s="8"/>
      <c r="AI1757" s="8"/>
      <c r="AJ1757" s="8"/>
      <c r="AK1757" s="8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</row>
    <row r="1758" spans="1:51" ht="13.2" x14ac:dyDescent="0.25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8"/>
      <c r="AG1758" s="8"/>
      <c r="AH1758" s="8"/>
      <c r="AI1758" s="8"/>
      <c r="AJ1758" s="8"/>
      <c r="AK1758" s="8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</row>
    <row r="1759" spans="1:51" ht="13.2" x14ac:dyDescent="0.25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8"/>
      <c r="AG1759" s="8"/>
      <c r="AH1759" s="8"/>
      <c r="AI1759" s="8"/>
      <c r="AJ1759" s="8"/>
      <c r="AK1759" s="8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</row>
    <row r="1760" spans="1:51" ht="13.2" x14ac:dyDescent="0.25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8"/>
      <c r="AG1760" s="8"/>
      <c r="AH1760" s="8"/>
      <c r="AI1760" s="8"/>
      <c r="AJ1760" s="8"/>
      <c r="AK1760" s="8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</row>
    <row r="1761" spans="1:51" ht="13.2" x14ac:dyDescent="0.25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8"/>
      <c r="AG1761" s="8"/>
      <c r="AH1761" s="8"/>
      <c r="AI1761" s="8"/>
      <c r="AJ1761" s="8"/>
      <c r="AK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</row>
    <row r="1762" spans="1:51" ht="13.2" x14ac:dyDescent="0.25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8"/>
      <c r="AG1762" s="8"/>
      <c r="AH1762" s="8"/>
      <c r="AI1762" s="8"/>
      <c r="AJ1762" s="8"/>
      <c r="AK1762" s="8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</row>
    <row r="1763" spans="1:51" ht="13.2" x14ac:dyDescent="0.25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8"/>
      <c r="AG1763" s="8"/>
      <c r="AH1763" s="8"/>
      <c r="AI1763" s="8"/>
      <c r="AJ1763" s="8"/>
      <c r="AK1763" s="8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</row>
    <row r="1764" spans="1:51" ht="13.2" x14ac:dyDescent="0.25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8"/>
      <c r="AG1764" s="8"/>
      <c r="AH1764" s="8"/>
      <c r="AI1764" s="8"/>
      <c r="AJ1764" s="8"/>
      <c r="AK1764" s="8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</row>
    <row r="1765" spans="1:51" ht="13.2" x14ac:dyDescent="0.25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8"/>
      <c r="AG1765" s="8"/>
      <c r="AH1765" s="8"/>
      <c r="AI1765" s="8"/>
      <c r="AJ1765" s="8"/>
      <c r="AK1765" s="8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</row>
    <row r="1766" spans="1:51" ht="13.2" x14ac:dyDescent="0.25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8"/>
      <c r="AG1766" s="8"/>
      <c r="AH1766" s="8"/>
      <c r="AI1766" s="8"/>
      <c r="AJ1766" s="8"/>
      <c r="AK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</row>
    <row r="1767" spans="1:51" ht="13.2" x14ac:dyDescent="0.25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8"/>
      <c r="AG1767" s="8"/>
      <c r="AH1767" s="8"/>
      <c r="AI1767" s="8"/>
      <c r="AJ1767" s="8"/>
      <c r="AK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</row>
    <row r="1768" spans="1:51" ht="13.2" x14ac:dyDescent="0.25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8"/>
      <c r="AG1768" s="8"/>
      <c r="AH1768" s="8"/>
      <c r="AI1768" s="8"/>
      <c r="AJ1768" s="8"/>
      <c r="AK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</row>
    <row r="1769" spans="1:51" ht="13.2" x14ac:dyDescent="0.25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8"/>
      <c r="AG1769" s="8"/>
      <c r="AH1769" s="8"/>
      <c r="AI1769" s="8"/>
      <c r="AJ1769" s="8"/>
      <c r="AK1769" s="8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</row>
    <row r="1770" spans="1:51" ht="13.2" x14ac:dyDescent="0.25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8"/>
      <c r="AG1770" s="8"/>
      <c r="AH1770" s="8"/>
      <c r="AI1770" s="8"/>
      <c r="AJ1770" s="8"/>
      <c r="AK1770" s="8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</row>
    <row r="1771" spans="1:51" ht="13.2" x14ac:dyDescent="0.25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8"/>
      <c r="AG1771" s="8"/>
      <c r="AH1771" s="8"/>
      <c r="AI1771" s="8"/>
      <c r="AJ1771" s="8"/>
      <c r="AK1771" s="8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</row>
    <row r="1772" spans="1:51" ht="13.2" x14ac:dyDescent="0.25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8"/>
      <c r="AG1772" s="8"/>
      <c r="AH1772" s="8"/>
      <c r="AI1772" s="8"/>
      <c r="AJ1772" s="8"/>
      <c r="AK1772" s="8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</row>
    <row r="1773" spans="1:51" ht="13.2" x14ac:dyDescent="0.25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8"/>
      <c r="AG1773" s="8"/>
      <c r="AH1773" s="8"/>
      <c r="AI1773" s="8"/>
      <c r="AJ1773" s="8"/>
      <c r="AK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</row>
    <row r="1774" spans="1:51" ht="13.2" x14ac:dyDescent="0.25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8"/>
      <c r="AG1774" s="8"/>
      <c r="AH1774" s="8"/>
      <c r="AI1774" s="8"/>
      <c r="AJ1774" s="8"/>
      <c r="AK1774" s="8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</row>
    <row r="1775" spans="1:51" ht="13.2" x14ac:dyDescent="0.25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8"/>
      <c r="AG1775" s="8"/>
      <c r="AH1775" s="8"/>
      <c r="AI1775" s="8"/>
      <c r="AJ1775" s="8"/>
      <c r="AK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</row>
    <row r="1776" spans="1:51" ht="13.2" x14ac:dyDescent="0.25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8"/>
      <c r="AG1776" s="8"/>
      <c r="AH1776" s="8"/>
      <c r="AI1776" s="8"/>
      <c r="AJ1776" s="8"/>
      <c r="AK1776" s="8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</row>
    <row r="1777" spans="1:51" ht="13.2" x14ac:dyDescent="0.25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8"/>
      <c r="AG1777" s="8"/>
      <c r="AH1777" s="8"/>
      <c r="AI1777" s="8"/>
      <c r="AJ1777" s="8"/>
      <c r="AK1777" s="8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</row>
    <row r="1778" spans="1:51" ht="13.2" x14ac:dyDescent="0.25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8"/>
      <c r="AG1778" s="8"/>
      <c r="AH1778" s="8"/>
      <c r="AI1778" s="8"/>
      <c r="AJ1778" s="8"/>
      <c r="AK1778" s="8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</row>
    <row r="1779" spans="1:51" ht="13.2" x14ac:dyDescent="0.25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8"/>
      <c r="AG1779" s="8"/>
      <c r="AH1779" s="8"/>
      <c r="AI1779" s="8"/>
      <c r="AJ1779" s="8"/>
      <c r="AK1779" s="8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</row>
    <row r="1780" spans="1:51" ht="13.2" x14ac:dyDescent="0.25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8"/>
      <c r="AG1780" s="8"/>
      <c r="AH1780" s="8"/>
      <c r="AI1780" s="8"/>
      <c r="AJ1780" s="8"/>
      <c r="AK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</row>
    <row r="1781" spans="1:51" ht="13.2" x14ac:dyDescent="0.25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8"/>
      <c r="AG1781" s="8"/>
      <c r="AH1781" s="8"/>
      <c r="AI1781" s="8"/>
      <c r="AJ1781" s="8"/>
      <c r="AK1781" s="8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</row>
    <row r="1782" spans="1:51" ht="13.2" x14ac:dyDescent="0.25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8"/>
      <c r="AG1782" s="8"/>
      <c r="AH1782" s="8"/>
      <c r="AI1782" s="8"/>
      <c r="AJ1782" s="8"/>
      <c r="AK1782" s="8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</row>
    <row r="1783" spans="1:51" ht="13.2" x14ac:dyDescent="0.25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8"/>
      <c r="AG1783" s="8"/>
      <c r="AH1783" s="8"/>
      <c r="AI1783" s="8"/>
      <c r="AJ1783" s="8"/>
      <c r="AK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</row>
    <row r="1784" spans="1:51" ht="13.2" x14ac:dyDescent="0.25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8"/>
      <c r="AG1784" s="8"/>
      <c r="AH1784" s="8"/>
      <c r="AI1784" s="8"/>
      <c r="AJ1784" s="8"/>
      <c r="AK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</row>
    <row r="1785" spans="1:51" ht="13.2" x14ac:dyDescent="0.25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8"/>
      <c r="AG1785" s="8"/>
      <c r="AH1785" s="8"/>
      <c r="AI1785" s="8"/>
      <c r="AJ1785" s="8"/>
      <c r="AK1785" s="8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</row>
    <row r="1786" spans="1:51" ht="13.2" x14ac:dyDescent="0.25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8"/>
      <c r="AG1786" s="8"/>
      <c r="AH1786" s="8"/>
      <c r="AI1786" s="8"/>
      <c r="AJ1786" s="8"/>
      <c r="AK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</row>
    <row r="1787" spans="1:51" ht="13.2" x14ac:dyDescent="0.25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8"/>
      <c r="AG1787" s="8"/>
      <c r="AH1787" s="8"/>
      <c r="AI1787" s="8"/>
      <c r="AJ1787" s="8"/>
      <c r="AK1787" s="8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</row>
    <row r="1788" spans="1:51" ht="13.2" x14ac:dyDescent="0.25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8"/>
      <c r="AG1788" s="8"/>
      <c r="AH1788" s="8"/>
      <c r="AI1788" s="8"/>
      <c r="AJ1788" s="8"/>
      <c r="AK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</row>
    <row r="1789" spans="1:51" ht="13.2" x14ac:dyDescent="0.25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8"/>
      <c r="AG1789" s="8"/>
      <c r="AH1789" s="8"/>
      <c r="AI1789" s="8"/>
      <c r="AJ1789" s="8"/>
      <c r="AK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</row>
    <row r="1790" spans="1:51" ht="13.2" x14ac:dyDescent="0.25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8"/>
      <c r="AG1790" s="8"/>
      <c r="AH1790" s="8"/>
      <c r="AI1790" s="8"/>
      <c r="AJ1790" s="8"/>
      <c r="AK1790" s="8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</row>
    <row r="1791" spans="1:51" ht="13.2" x14ac:dyDescent="0.25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8"/>
      <c r="AG1791" s="8"/>
      <c r="AH1791" s="8"/>
      <c r="AI1791" s="8"/>
      <c r="AJ1791" s="8"/>
      <c r="AK1791" s="8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</row>
    <row r="1792" spans="1:51" ht="13.2" x14ac:dyDescent="0.25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</row>
    <row r="1793" spans="1:51" ht="13.2" x14ac:dyDescent="0.25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</row>
    <row r="1794" spans="1:51" ht="13.2" x14ac:dyDescent="0.25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</row>
    <row r="1795" spans="1:51" ht="13.2" x14ac:dyDescent="0.25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8"/>
      <c r="AG1795" s="8"/>
      <c r="AH1795" s="8"/>
      <c r="AI1795" s="8"/>
      <c r="AJ1795" s="8"/>
      <c r="AK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</row>
    <row r="1796" spans="1:51" ht="13.2" x14ac:dyDescent="0.25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8"/>
      <c r="AG1796" s="8"/>
      <c r="AH1796" s="8"/>
      <c r="AI1796" s="8"/>
      <c r="AJ1796" s="8"/>
      <c r="AK1796" s="8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</row>
    <row r="1797" spans="1:51" ht="13.2" x14ac:dyDescent="0.25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8"/>
      <c r="AG1797" s="8"/>
      <c r="AH1797" s="8"/>
      <c r="AI1797" s="8"/>
      <c r="AJ1797" s="8"/>
      <c r="AK1797" s="8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</row>
    <row r="1798" spans="1:51" ht="13.2" x14ac:dyDescent="0.25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8"/>
      <c r="AG1798" s="8"/>
      <c r="AH1798" s="8"/>
      <c r="AI1798" s="8"/>
      <c r="AJ1798" s="8"/>
      <c r="AK1798" s="8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</row>
    <row r="1799" spans="1:51" ht="13.2" x14ac:dyDescent="0.25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8"/>
      <c r="AG1799" s="8"/>
      <c r="AH1799" s="8"/>
      <c r="AI1799" s="8"/>
      <c r="AJ1799" s="8"/>
      <c r="AK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</row>
    <row r="1800" spans="1:51" ht="13.2" x14ac:dyDescent="0.25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8"/>
      <c r="AG1800" s="8"/>
      <c r="AH1800" s="8"/>
      <c r="AI1800" s="8"/>
      <c r="AJ1800" s="8"/>
      <c r="AK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</row>
    <row r="1801" spans="1:51" ht="13.2" x14ac:dyDescent="0.25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8"/>
      <c r="AG1801" s="8"/>
      <c r="AH1801" s="8"/>
      <c r="AI1801" s="8"/>
      <c r="AJ1801" s="8"/>
      <c r="AK1801" s="8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</row>
    <row r="1802" spans="1:51" ht="13.2" x14ac:dyDescent="0.25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</row>
    <row r="1803" spans="1:51" ht="13.2" x14ac:dyDescent="0.25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</row>
    <row r="1804" spans="1:51" ht="13.2" x14ac:dyDescent="0.25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</row>
    <row r="1805" spans="1:51" ht="13.2" x14ac:dyDescent="0.25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</row>
    <row r="1806" spans="1:51" ht="13.2" x14ac:dyDescent="0.25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</row>
    <row r="1807" spans="1:51" ht="13.2" x14ac:dyDescent="0.25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</row>
    <row r="1808" spans="1:51" ht="13.2" x14ac:dyDescent="0.25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</row>
    <row r="1809" spans="1:51" ht="13.2" x14ac:dyDescent="0.25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</row>
    <row r="1810" spans="1:51" ht="13.2" x14ac:dyDescent="0.25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</row>
    <row r="1811" spans="1:51" ht="13.2" x14ac:dyDescent="0.25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</row>
    <row r="1812" spans="1:51" ht="13.2" x14ac:dyDescent="0.25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</row>
    <row r="1813" spans="1:51" ht="13.2" x14ac:dyDescent="0.25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</row>
    <row r="1814" spans="1:51" ht="13.2" x14ac:dyDescent="0.25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</row>
    <row r="1815" spans="1:51" ht="13.2" x14ac:dyDescent="0.25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</row>
    <row r="1816" spans="1:51" ht="13.2" x14ac:dyDescent="0.25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</row>
    <row r="1817" spans="1:51" ht="13.2" x14ac:dyDescent="0.25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</row>
    <row r="1818" spans="1:51" ht="13.2" x14ac:dyDescent="0.25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</row>
    <row r="1819" spans="1:51" ht="13.2" x14ac:dyDescent="0.25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8"/>
      <c r="AG1819" s="8"/>
      <c r="AH1819" s="8"/>
      <c r="AI1819" s="8"/>
      <c r="AJ1819" s="8"/>
      <c r="AK1819" s="8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</row>
    <row r="1820" spans="1:51" ht="13.2" x14ac:dyDescent="0.25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</row>
    <row r="1821" spans="1:51" ht="13.2" x14ac:dyDescent="0.25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</row>
    <row r="1822" spans="1:51" ht="13.2" x14ac:dyDescent="0.25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</row>
    <row r="1823" spans="1:51" ht="13.2" x14ac:dyDescent="0.25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</row>
    <row r="1824" spans="1:51" ht="13.2" x14ac:dyDescent="0.25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</row>
    <row r="1825" spans="1:51" ht="13.2" x14ac:dyDescent="0.25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8"/>
      <c r="AG1825" s="8"/>
      <c r="AH1825" s="8"/>
      <c r="AI1825" s="8"/>
      <c r="AJ1825" s="8"/>
      <c r="AK1825" s="8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</row>
    <row r="1826" spans="1:51" ht="13.2" x14ac:dyDescent="0.25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</row>
    <row r="1827" spans="1:51" ht="13.2" x14ac:dyDescent="0.25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</row>
    <row r="1828" spans="1:51" ht="13.2" x14ac:dyDescent="0.25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</row>
    <row r="1829" spans="1:51" ht="13.2" x14ac:dyDescent="0.25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</row>
    <row r="1830" spans="1:51" ht="13.2" x14ac:dyDescent="0.25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</row>
    <row r="1831" spans="1:51" ht="13.2" x14ac:dyDescent="0.25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</row>
    <row r="1832" spans="1:51" ht="13.2" x14ac:dyDescent="0.25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8"/>
      <c r="AG1832" s="8"/>
      <c r="AH1832" s="8"/>
      <c r="AI1832" s="8"/>
      <c r="AJ1832" s="8"/>
      <c r="AK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</row>
    <row r="1833" spans="1:51" ht="13.2" x14ac:dyDescent="0.25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</row>
    <row r="1834" spans="1:51" ht="13.2" x14ac:dyDescent="0.25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</row>
    <row r="1835" spans="1:51" ht="13.2" x14ac:dyDescent="0.25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</row>
    <row r="1836" spans="1:51" ht="13.2" x14ac:dyDescent="0.25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</row>
    <row r="1837" spans="1:51" ht="13.2" x14ac:dyDescent="0.25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</row>
    <row r="1838" spans="1:51" ht="13.2" x14ac:dyDescent="0.25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</row>
    <row r="1839" spans="1:51" ht="13.2" x14ac:dyDescent="0.25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</row>
    <row r="1840" spans="1:51" ht="13.2" x14ac:dyDescent="0.25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</row>
    <row r="1841" spans="1:51" ht="13.2" x14ac:dyDescent="0.25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8"/>
      <c r="AG1841" s="8"/>
      <c r="AH1841" s="8"/>
      <c r="AI1841" s="8"/>
      <c r="AJ1841" s="8"/>
      <c r="AK1841" s="8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</row>
    <row r="1842" spans="1:51" ht="13.2" x14ac:dyDescent="0.25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</row>
    <row r="1843" spans="1:51" ht="13.2" x14ac:dyDescent="0.25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</row>
    <row r="1844" spans="1:51" ht="13.2" x14ac:dyDescent="0.25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</row>
    <row r="1845" spans="1:51" ht="13.2" x14ac:dyDescent="0.25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</row>
    <row r="1846" spans="1:51" ht="13.2" x14ac:dyDescent="0.25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8"/>
      <c r="AG1846" s="8"/>
      <c r="AH1846" s="8"/>
      <c r="AI1846" s="8"/>
      <c r="AJ1846" s="8"/>
      <c r="AK1846" s="8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</row>
    <row r="1847" spans="1:51" ht="13.2" x14ac:dyDescent="0.25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8"/>
      <c r="AG1847" s="8"/>
      <c r="AH1847" s="8"/>
      <c r="AI1847" s="8"/>
      <c r="AJ1847" s="8"/>
      <c r="AK1847" s="8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</row>
    <row r="1848" spans="1:51" ht="13.2" x14ac:dyDescent="0.25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</row>
    <row r="1849" spans="1:51" ht="13.2" x14ac:dyDescent="0.25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</row>
    <row r="1850" spans="1:51" ht="13.2" x14ac:dyDescent="0.25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</row>
    <row r="1851" spans="1:51" ht="13.2" x14ac:dyDescent="0.25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</row>
    <row r="1852" spans="1:51" ht="13.2" x14ac:dyDescent="0.25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</row>
    <row r="1853" spans="1:51" ht="13.2" x14ac:dyDescent="0.25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8"/>
      <c r="AG1853" s="8"/>
      <c r="AH1853" s="8"/>
      <c r="AI1853" s="8"/>
      <c r="AJ1853" s="8"/>
      <c r="AK1853" s="8"/>
      <c r="AL1853" s="8"/>
      <c r="AM1853" s="8"/>
      <c r="AN1853" s="8"/>
      <c r="AO1853" s="8"/>
      <c r="AP1853" s="8"/>
      <c r="AQ1853" s="8"/>
      <c r="AR1853" s="8"/>
      <c r="AS1853" s="8"/>
      <c r="AT1853" s="8"/>
      <c r="AU1853" s="8"/>
      <c r="AV1853" s="8"/>
      <c r="AW1853" s="8"/>
      <c r="AX1853" s="8"/>
      <c r="AY1853" s="8"/>
    </row>
    <row r="1854" spans="1:51" ht="13.2" x14ac:dyDescent="0.25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8"/>
      <c r="AG1854" s="8"/>
      <c r="AH1854" s="8"/>
      <c r="AI1854" s="8"/>
      <c r="AJ1854" s="8"/>
      <c r="AK1854" s="8"/>
      <c r="AL1854" s="8"/>
      <c r="AM1854" s="8"/>
      <c r="AN1854" s="8"/>
      <c r="AO1854" s="8"/>
      <c r="AP1854" s="8"/>
      <c r="AQ1854" s="8"/>
      <c r="AR1854" s="8"/>
      <c r="AS1854" s="8"/>
      <c r="AT1854" s="8"/>
      <c r="AU1854" s="8"/>
      <c r="AV1854" s="8"/>
      <c r="AW1854" s="8"/>
      <c r="AX1854" s="8"/>
      <c r="AY1854" s="8"/>
    </row>
    <row r="1855" spans="1:51" ht="13.2" x14ac:dyDescent="0.25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8"/>
      <c r="AG1855" s="8"/>
      <c r="AH1855" s="8"/>
      <c r="AI1855" s="8"/>
      <c r="AJ1855" s="8"/>
      <c r="AK1855" s="8"/>
      <c r="AL1855" s="8"/>
      <c r="AM1855" s="8"/>
      <c r="AN1855" s="8"/>
      <c r="AO1855" s="8"/>
      <c r="AP1855" s="8"/>
      <c r="AQ1855" s="8"/>
      <c r="AR1855" s="8"/>
      <c r="AS1855" s="8"/>
      <c r="AT1855" s="8"/>
      <c r="AU1855" s="8"/>
      <c r="AV1855" s="8"/>
      <c r="AW1855" s="8"/>
      <c r="AX1855" s="8"/>
      <c r="AY1855" s="8"/>
    </row>
    <row r="1856" spans="1:51" ht="13.2" x14ac:dyDescent="0.25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8"/>
      <c r="AG1856" s="8"/>
      <c r="AH1856" s="8"/>
      <c r="AI1856" s="8"/>
      <c r="AJ1856" s="8"/>
      <c r="AK1856" s="8"/>
      <c r="AL1856" s="8"/>
      <c r="AM1856" s="8"/>
      <c r="AN1856" s="8"/>
      <c r="AO1856" s="8"/>
      <c r="AP1856" s="8"/>
      <c r="AQ1856" s="8"/>
      <c r="AR1856" s="8"/>
      <c r="AS1856" s="8"/>
      <c r="AT1856" s="8"/>
      <c r="AU1856" s="8"/>
      <c r="AV1856" s="8"/>
      <c r="AW1856" s="8"/>
      <c r="AX1856" s="8"/>
      <c r="AY1856" s="8"/>
    </row>
    <row r="1857" spans="1:51" ht="13.2" x14ac:dyDescent="0.25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8"/>
      <c r="AG1857" s="8"/>
      <c r="AH1857" s="8"/>
      <c r="AI1857" s="8"/>
      <c r="AJ1857" s="8"/>
      <c r="AK1857" s="8"/>
      <c r="AL1857" s="8"/>
      <c r="AM1857" s="8"/>
      <c r="AN1857" s="8"/>
      <c r="AO1857" s="8"/>
      <c r="AP1857" s="8"/>
      <c r="AQ1857" s="8"/>
      <c r="AR1857" s="8"/>
      <c r="AS1857" s="8"/>
      <c r="AT1857" s="8"/>
      <c r="AU1857" s="8"/>
      <c r="AV1857" s="8"/>
      <c r="AW1857" s="8"/>
      <c r="AX1857" s="8"/>
      <c r="AY1857" s="8"/>
    </row>
    <row r="1858" spans="1:51" ht="13.2" x14ac:dyDescent="0.25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8"/>
      <c r="AG1858" s="8"/>
      <c r="AH1858" s="8"/>
      <c r="AI1858" s="8"/>
      <c r="AJ1858" s="8"/>
      <c r="AK1858" s="8"/>
      <c r="AL1858" s="8"/>
      <c r="AM1858" s="8"/>
      <c r="AN1858" s="8"/>
      <c r="AO1858" s="8"/>
      <c r="AP1858" s="8"/>
      <c r="AQ1858" s="8"/>
      <c r="AR1858" s="8"/>
      <c r="AS1858" s="8"/>
      <c r="AT1858" s="8"/>
      <c r="AU1858" s="8"/>
      <c r="AV1858" s="8"/>
      <c r="AW1858" s="8"/>
      <c r="AX1858" s="8"/>
      <c r="AY1858" s="8"/>
    </row>
    <row r="1859" spans="1:51" ht="13.2" x14ac:dyDescent="0.25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8"/>
      <c r="AG1859" s="8"/>
      <c r="AH1859" s="8"/>
      <c r="AI1859" s="8"/>
      <c r="AJ1859" s="8"/>
      <c r="AK1859" s="8"/>
      <c r="AL1859" s="8"/>
      <c r="AM1859" s="8"/>
      <c r="AN1859" s="8"/>
      <c r="AO1859" s="8"/>
      <c r="AP1859" s="8"/>
      <c r="AQ1859" s="8"/>
      <c r="AR1859" s="8"/>
      <c r="AS1859" s="8"/>
      <c r="AT1859" s="8"/>
      <c r="AU1859" s="8"/>
      <c r="AV1859" s="8"/>
      <c r="AW1859" s="8"/>
      <c r="AX1859" s="8"/>
      <c r="AY1859" s="8"/>
    </row>
    <row r="1860" spans="1:51" ht="13.2" x14ac:dyDescent="0.25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8"/>
      <c r="AG1860" s="8"/>
      <c r="AH1860" s="8"/>
      <c r="AI1860" s="8"/>
      <c r="AJ1860" s="8"/>
      <c r="AK1860" s="8"/>
      <c r="AL1860" s="8"/>
      <c r="AM1860" s="8"/>
      <c r="AN1860" s="8"/>
      <c r="AO1860" s="8"/>
      <c r="AP1860" s="8"/>
      <c r="AQ1860" s="8"/>
      <c r="AR1860" s="8"/>
      <c r="AS1860" s="8"/>
      <c r="AT1860" s="8"/>
      <c r="AU1860" s="8"/>
      <c r="AV1860" s="8"/>
      <c r="AW1860" s="8"/>
      <c r="AX1860" s="8"/>
      <c r="AY1860" s="8"/>
    </row>
    <row r="1861" spans="1:51" ht="13.2" x14ac:dyDescent="0.25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8"/>
      <c r="AG1861" s="8"/>
      <c r="AH1861" s="8"/>
      <c r="AI1861" s="8"/>
      <c r="AJ1861" s="8"/>
      <c r="AK1861" s="8"/>
      <c r="AL1861" s="8"/>
      <c r="AM1861" s="8"/>
      <c r="AN1861" s="8"/>
      <c r="AO1861" s="8"/>
      <c r="AP1861" s="8"/>
      <c r="AQ1861" s="8"/>
      <c r="AR1861" s="8"/>
      <c r="AS1861" s="8"/>
      <c r="AT1861" s="8"/>
      <c r="AU1861" s="8"/>
      <c r="AV1861" s="8"/>
      <c r="AW1861" s="8"/>
      <c r="AX1861" s="8"/>
      <c r="AY1861" s="8"/>
    </row>
    <row r="1862" spans="1:51" ht="13.2" x14ac:dyDescent="0.25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8"/>
      <c r="AG1862" s="8"/>
      <c r="AH1862" s="8"/>
      <c r="AI1862" s="8"/>
      <c r="AJ1862" s="8"/>
      <c r="AK1862" s="8"/>
      <c r="AL1862" s="8"/>
      <c r="AM1862" s="8"/>
      <c r="AN1862" s="8"/>
      <c r="AO1862" s="8"/>
      <c r="AP1862" s="8"/>
      <c r="AQ1862" s="8"/>
      <c r="AR1862" s="8"/>
      <c r="AS1862" s="8"/>
      <c r="AT1862" s="8"/>
      <c r="AU1862" s="8"/>
      <c r="AV1862" s="8"/>
      <c r="AW1862" s="8"/>
      <c r="AX1862" s="8"/>
      <c r="AY1862" s="8"/>
    </row>
    <row r="1863" spans="1:51" ht="13.2" x14ac:dyDescent="0.25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8"/>
      <c r="AG1863" s="8"/>
      <c r="AH1863" s="8"/>
      <c r="AI1863" s="8"/>
      <c r="AJ1863" s="8"/>
      <c r="AK1863" s="8"/>
      <c r="AL1863" s="8"/>
      <c r="AM1863" s="8"/>
      <c r="AN1863" s="8"/>
      <c r="AO1863" s="8"/>
      <c r="AP1863" s="8"/>
      <c r="AQ1863" s="8"/>
      <c r="AR1863" s="8"/>
      <c r="AS1863" s="8"/>
      <c r="AT1863" s="8"/>
      <c r="AU1863" s="8"/>
      <c r="AV1863" s="8"/>
      <c r="AW1863" s="8"/>
      <c r="AX1863" s="8"/>
      <c r="AY1863" s="8"/>
    </row>
    <row r="1864" spans="1:51" ht="13.2" x14ac:dyDescent="0.25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8"/>
      <c r="AG1864" s="8"/>
      <c r="AH1864" s="8"/>
      <c r="AI1864" s="8"/>
      <c r="AJ1864" s="8"/>
      <c r="AK1864" s="8"/>
      <c r="AL1864" s="8"/>
      <c r="AM1864" s="8"/>
      <c r="AN1864" s="8"/>
      <c r="AO1864" s="8"/>
      <c r="AP1864" s="8"/>
      <c r="AQ1864" s="8"/>
      <c r="AR1864" s="8"/>
      <c r="AS1864" s="8"/>
      <c r="AT1864" s="8"/>
      <c r="AU1864" s="8"/>
      <c r="AV1864" s="8"/>
      <c r="AW1864" s="8"/>
      <c r="AX1864" s="8"/>
      <c r="AY1864" s="8"/>
    </row>
    <row r="1865" spans="1:51" ht="13.2" x14ac:dyDescent="0.25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8"/>
      <c r="AG1865" s="8"/>
      <c r="AH1865" s="8"/>
      <c r="AI1865" s="8"/>
      <c r="AJ1865" s="8"/>
      <c r="AK1865" s="8"/>
      <c r="AL1865" s="8"/>
      <c r="AM1865" s="8"/>
      <c r="AN1865" s="8"/>
      <c r="AO1865" s="8"/>
      <c r="AP1865" s="8"/>
      <c r="AQ1865" s="8"/>
      <c r="AR1865" s="8"/>
      <c r="AS1865" s="8"/>
      <c r="AT1865" s="8"/>
      <c r="AU1865" s="8"/>
      <c r="AV1865" s="8"/>
      <c r="AW1865" s="8"/>
      <c r="AX1865" s="8"/>
      <c r="AY1865" s="8"/>
    </row>
    <row r="1866" spans="1:51" ht="13.2" x14ac:dyDescent="0.25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8"/>
      <c r="AG1866" s="8"/>
      <c r="AH1866" s="8"/>
      <c r="AI1866" s="8"/>
      <c r="AJ1866" s="8"/>
      <c r="AK1866" s="8"/>
      <c r="AL1866" s="8"/>
      <c r="AM1866" s="8"/>
      <c r="AN1866" s="8"/>
      <c r="AO1866" s="8"/>
      <c r="AP1866" s="8"/>
      <c r="AQ1866" s="8"/>
      <c r="AR1866" s="8"/>
      <c r="AS1866" s="8"/>
      <c r="AT1866" s="8"/>
      <c r="AU1866" s="8"/>
      <c r="AV1866" s="8"/>
      <c r="AW1866" s="8"/>
      <c r="AX1866" s="8"/>
      <c r="AY1866" s="8"/>
    </row>
    <row r="1867" spans="1:51" ht="13.2" x14ac:dyDescent="0.25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8"/>
      <c r="AG1867" s="8"/>
      <c r="AH1867" s="8"/>
      <c r="AI1867" s="8"/>
      <c r="AJ1867" s="8"/>
      <c r="AK1867" s="8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Y1867" s="8"/>
    </row>
    <row r="1868" spans="1:51" ht="13.2" x14ac:dyDescent="0.25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8"/>
      <c r="AG1868" s="8"/>
      <c r="AH1868" s="8"/>
      <c r="AI1868" s="8"/>
      <c r="AJ1868" s="8"/>
      <c r="AK1868" s="8"/>
      <c r="AL1868" s="8"/>
      <c r="AM1868" s="8"/>
      <c r="AN1868" s="8"/>
      <c r="AO1868" s="8"/>
      <c r="AP1868" s="8"/>
      <c r="AQ1868" s="8"/>
      <c r="AR1868" s="8"/>
      <c r="AS1868" s="8"/>
      <c r="AT1868" s="8"/>
      <c r="AU1868" s="8"/>
      <c r="AV1868" s="8"/>
      <c r="AW1868" s="8"/>
      <c r="AX1868" s="8"/>
      <c r="AY1868" s="8"/>
    </row>
    <row r="1869" spans="1:51" ht="13.2" x14ac:dyDescent="0.25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8"/>
      <c r="AG1869" s="8"/>
      <c r="AH1869" s="8"/>
      <c r="AI1869" s="8"/>
      <c r="AJ1869" s="8"/>
      <c r="AK1869" s="8"/>
      <c r="AL1869" s="8"/>
      <c r="AM1869" s="8"/>
      <c r="AN1869" s="8"/>
      <c r="AO1869" s="8"/>
      <c r="AP1869" s="8"/>
      <c r="AQ1869" s="8"/>
      <c r="AR1869" s="8"/>
      <c r="AS1869" s="8"/>
      <c r="AT1869" s="8"/>
      <c r="AU1869" s="8"/>
      <c r="AV1869" s="8"/>
      <c r="AW1869" s="8"/>
      <c r="AX1869" s="8"/>
      <c r="AY1869" s="8"/>
    </row>
    <row r="1870" spans="1:51" ht="13.2" x14ac:dyDescent="0.25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8"/>
      <c r="AG1870" s="8"/>
      <c r="AH1870" s="8"/>
      <c r="AI1870" s="8"/>
      <c r="AJ1870" s="8"/>
      <c r="AK1870" s="8"/>
      <c r="AL1870" s="8"/>
      <c r="AM1870" s="8"/>
      <c r="AN1870" s="8"/>
      <c r="AO1870" s="8"/>
      <c r="AP1870" s="8"/>
      <c r="AQ1870" s="8"/>
      <c r="AR1870" s="8"/>
      <c r="AS1870" s="8"/>
      <c r="AT1870" s="8"/>
      <c r="AU1870" s="8"/>
      <c r="AV1870" s="8"/>
      <c r="AW1870" s="8"/>
      <c r="AX1870" s="8"/>
      <c r="AY1870" s="8"/>
    </row>
    <row r="1871" spans="1:51" ht="13.2" x14ac:dyDescent="0.25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8"/>
      <c r="AG1871" s="8"/>
      <c r="AH1871" s="8"/>
      <c r="AI1871" s="8"/>
      <c r="AJ1871" s="8"/>
      <c r="AK1871" s="8"/>
      <c r="AL1871" s="8"/>
      <c r="AM1871" s="8"/>
      <c r="AN1871" s="8"/>
      <c r="AO1871" s="8"/>
      <c r="AP1871" s="8"/>
      <c r="AQ1871" s="8"/>
      <c r="AR1871" s="8"/>
      <c r="AS1871" s="8"/>
      <c r="AT1871" s="8"/>
      <c r="AU1871" s="8"/>
      <c r="AV1871" s="8"/>
      <c r="AW1871" s="8"/>
      <c r="AX1871" s="8"/>
      <c r="AY1871" s="8"/>
    </row>
    <row r="1872" spans="1:51" ht="13.2" x14ac:dyDescent="0.25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8"/>
      <c r="AG1872" s="8"/>
      <c r="AH1872" s="8"/>
      <c r="AI1872" s="8"/>
      <c r="AJ1872" s="8"/>
      <c r="AK1872" s="8"/>
      <c r="AL1872" s="8"/>
      <c r="AM1872" s="8"/>
      <c r="AN1872" s="8"/>
      <c r="AO1872" s="8"/>
      <c r="AP1872" s="8"/>
      <c r="AQ1872" s="8"/>
      <c r="AR1872" s="8"/>
      <c r="AS1872" s="8"/>
      <c r="AT1872" s="8"/>
      <c r="AU1872" s="8"/>
      <c r="AV1872" s="8"/>
      <c r="AW1872" s="8"/>
      <c r="AX1872" s="8"/>
      <c r="AY1872" s="8"/>
    </row>
    <row r="1873" spans="1:51" ht="13.2" x14ac:dyDescent="0.25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8"/>
      <c r="AG1873" s="8"/>
      <c r="AH1873" s="8"/>
      <c r="AI1873" s="8"/>
      <c r="AJ1873" s="8"/>
      <c r="AK1873" s="8"/>
      <c r="AL1873" s="8"/>
      <c r="AM1873" s="8"/>
      <c r="AN1873" s="8"/>
      <c r="AO1873" s="8"/>
      <c r="AP1873" s="8"/>
      <c r="AQ1873" s="8"/>
      <c r="AR1873" s="8"/>
      <c r="AS1873" s="8"/>
      <c r="AT1873" s="8"/>
      <c r="AU1873" s="8"/>
      <c r="AV1873" s="8"/>
      <c r="AW1873" s="8"/>
      <c r="AX1873" s="8"/>
      <c r="AY1873" s="8"/>
    </row>
    <row r="1874" spans="1:51" ht="13.2" x14ac:dyDescent="0.25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8"/>
      <c r="AG1874" s="8"/>
      <c r="AH1874" s="8"/>
      <c r="AI1874" s="8"/>
      <c r="AJ1874" s="8"/>
      <c r="AK1874" s="8"/>
      <c r="AL1874" s="8"/>
      <c r="AM1874" s="8"/>
      <c r="AN1874" s="8"/>
      <c r="AO1874" s="8"/>
      <c r="AP1874" s="8"/>
      <c r="AQ1874" s="8"/>
      <c r="AR1874" s="8"/>
      <c r="AS1874" s="8"/>
      <c r="AT1874" s="8"/>
      <c r="AU1874" s="8"/>
      <c r="AV1874" s="8"/>
      <c r="AW1874" s="8"/>
      <c r="AX1874" s="8"/>
      <c r="AY1874" s="8"/>
    </row>
    <row r="1875" spans="1:51" ht="13.2" x14ac:dyDescent="0.25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8"/>
      <c r="AG1875" s="8"/>
      <c r="AH1875" s="8"/>
      <c r="AI1875" s="8"/>
      <c r="AJ1875" s="8"/>
      <c r="AK1875" s="8"/>
      <c r="AL1875" s="8"/>
      <c r="AM1875" s="8"/>
      <c r="AN1875" s="8"/>
      <c r="AO1875" s="8"/>
      <c r="AP1875" s="8"/>
      <c r="AQ1875" s="8"/>
      <c r="AR1875" s="8"/>
      <c r="AS1875" s="8"/>
      <c r="AT1875" s="8"/>
      <c r="AU1875" s="8"/>
      <c r="AV1875" s="8"/>
      <c r="AW1875" s="8"/>
      <c r="AX1875" s="8"/>
      <c r="AY1875" s="8"/>
    </row>
    <row r="1876" spans="1:51" ht="13.2" x14ac:dyDescent="0.25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8"/>
      <c r="AG1876" s="8"/>
      <c r="AH1876" s="8"/>
      <c r="AI1876" s="8"/>
      <c r="AJ1876" s="8"/>
      <c r="AK1876" s="8"/>
      <c r="AL1876" s="8"/>
      <c r="AM1876" s="8"/>
      <c r="AN1876" s="8"/>
      <c r="AO1876" s="8"/>
      <c r="AP1876" s="8"/>
      <c r="AQ1876" s="8"/>
      <c r="AR1876" s="8"/>
      <c r="AS1876" s="8"/>
      <c r="AT1876" s="8"/>
      <c r="AU1876" s="8"/>
      <c r="AV1876" s="8"/>
      <c r="AW1876" s="8"/>
      <c r="AX1876" s="8"/>
      <c r="AY1876" s="8"/>
    </row>
    <row r="1877" spans="1:51" ht="13.2" x14ac:dyDescent="0.25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8"/>
      <c r="AG1877" s="8"/>
      <c r="AH1877" s="8"/>
      <c r="AI1877" s="8"/>
      <c r="AJ1877" s="8"/>
      <c r="AK1877" s="8"/>
      <c r="AL1877" s="8"/>
      <c r="AM1877" s="8"/>
      <c r="AN1877" s="8"/>
      <c r="AO1877" s="8"/>
      <c r="AP1877" s="8"/>
      <c r="AQ1877" s="8"/>
      <c r="AR1877" s="8"/>
      <c r="AS1877" s="8"/>
      <c r="AT1877" s="8"/>
      <c r="AU1877" s="8"/>
      <c r="AV1877" s="8"/>
      <c r="AW1877" s="8"/>
      <c r="AX1877" s="8"/>
      <c r="AY1877" s="8"/>
    </row>
    <row r="1878" spans="1:51" ht="13.2" x14ac:dyDescent="0.25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8"/>
      <c r="AG1878" s="8"/>
      <c r="AH1878" s="8"/>
      <c r="AI1878" s="8"/>
      <c r="AJ1878" s="8"/>
      <c r="AK1878" s="8"/>
      <c r="AL1878" s="8"/>
      <c r="AM1878" s="8"/>
      <c r="AN1878" s="8"/>
      <c r="AO1878" s="8"/>
      <c r="AP1878" s="8"/>
      <c r="AQ1878" s="8"/>
      <c r="AR1878" s="8"/>
      <c r="AS1878" s="8"/>
      <c r="AT1878" s="8"/>
      <c r="AU1878" s="8"/>
      <c r="AV1878" s="8"/>
      <c r="AW1878" s="8"/>
      <c r="AX1878" s="8"/>
      <c r="AY1878" s="8"/>
    </row>
    <row r="1879" spans="1:51" ht="13.2" x14ac:dyDescent="0.25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8"/>
      <c r="AG1879" s="8"/>
      <c r="AH1879" s="8"/>
      <c r="AI1879" s="8"/>
      <c r="AJ1879" s="8"/>
      <c r="AK1879" s="8"/>
      <c r="AL1879" s="8"/>
      <c r="AM1879" s="8"/>
      <c r="AN1879" s="8"/>
      <c r="AO1879" s="8"/>
      <c r="AP1879" s="8"/>
      <c r="AQ1879" s="8"/>
      <c r="AR1879" s="8"/>
      <c r="AS1879" s="8"/>
      <c r="AT1879" s="8"/>
      <c r="AU1879" s="8"/>
      <c r="AV1879" s="8"/>
      <c r="AW1879" s="8"/>
      <c r="AX1879" s="8"/>
      <c r="AY1879" s="8"/>
    </row>
    <row r="1880" spans="1:51" ht="13.2" x14ac:dyDescent="0.25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8"/>
      <c r="AG1880" s="8"/>
      <c r="AH1880" s="8"/>
      <c r="AI1880" s="8"/>
      <c r="AJ1880" s="8"/>
      <c r="AK1880" s="8"/>
      <c r="AL1880" s="8"/>
      <c r="AM1880" s="8"/>
      <c r="AN1880" s="8"/>
      <c r="AO1880" s="8"/>
      <c r="AP1880" s="8"/>
      <c r="AQ1880" s="8"/>
      <c r="AR1880" s="8"/>
      <c r="AS1880" s="8"/>
      <c r="AT1880" s="8"/>
      <c r="AU1880" s="8"/>
      <c r="AV1880" s="8"/>
      <c r="AW1880" s="8"/>
      <c r="AX1880" s="8"/>
      <c r="AY1880" s="8"/>
    </row>
    <row r="1881" spans="1:51" ht="13.2" x14ac:dyDescent="0.25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/>
      <c r="AV1881" s="8"/>
      <c r="AW1881" s="8"/>
      <c r="AX1881" s="8"/>
      <c r="AY1881" s="8"/>
    </row>
    <row r="1882" spans="1:51" ht="13.2" x14ac:dyDescent="0.25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8"/>
      <c r="AG1882" s="8"/>
      <c r="AH1882" s="8"/>
      <c r="AI1882" s="8"/>
      <c r="AJ1882" s="8"/>
      <c r="AK1882" s="8"/>
      <c r="AL1882" s="8"/>
      <c r="AM1882" s="8"/>
      <c r="AN1882" s="8"/>
      <c r="AO1882" s="8"/>
      <c r="AP1882" s="8"/>
      <c r="AQ1882" s="8"/>
      <c r="AR1882" s="8"/>
      <c r="AS1882" s="8"/>
      <c r="AT1882" s="8"/>
      <c r="AU1882" s="8"/>
      <c r="AV1882" s="8"/>
      <c r="AW1882" s="8"/>
      <c r="AX1882" s="8"/>
      <c r="AY1882" s="8"/>
    </row>
    <row r="1883" spans="1:51" ht="13.2" x14ac:dyDescent="0.25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8"/>
      <c r="AG1883" s="8"/>
      <c r="AH1883" s="8"/>
      <c r="AI1883" s="8"/>
      <c r="AJ1883" s="8"/>
      <c r="AK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Y1883" s="8"/>
    </row>
    <row r="1884" spans="1:51" ht="13.2" x14ac:dyDescent="0.25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8"/>
      <c r="AG1884" s="8"/>
      <c r="AH1884" s="8"/>
      <c r="AI1884" s="8"/>
      <c r="AJ1884" s="8"/>
      <c r="AK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Y1884" s="8"/>
    </row>
    <row r="1885" spans="1:51" ht="13.2" x14ac:dyDescent="0.25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8"/>
      <c r="AG1885" s="8"/>
      <c r="AH1885" s="8"/>
      <c r="AI1885" s="8"/>
      <c r="AJ1885" s="8"/>
      <c r="AK1885" s="8"/>
      <c r="AL1885" s="8"/>
      <c r="AM1885" s="8"/>
      <c r="AN1885" s="8"/>
      <c r="AO1885" s="8"/>
      <c r="AP1885" s="8"/>
      <c r="AQ1885" s="8"/>
      <c r="AR1885" s="8"/>
      <c r="AS1885" s="8"/>
      <c r="AT1885" s="8"/>
      <c r="AU1885" s="8"/>
      <c r="AV1885" s="8"/>
      <c r="AW1885" s="8"/>
      <c r="AX1885" s="8"/>
      <c r="AY1885" s="8"/>
    </row>
    <row r="1886" spans="1:51" ht="13.2" x14ac:dyDescent="0.25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8"/>
      <c r="AG1886" s="8"/>
      <c r="AH1886" s="8"/>
      <c r="AI1886" s="8"/>
      <c r="AJ1886" s="8"/>
      <c r="AK1886" s="8"/>
      <c r="AL1886" s="8"/>
      <c r="AM1886" s="8"/>
      <c r="AN1886" s="8"/>
      <c r="AO1886" s="8"/>
      <c r="AP1886" s="8"/>
      <c r="AQ1886" s="8"/>
      <c r="AR1886" s="8"/>
      <c r="AS1886" s="8"/>
      <c r="AT1886" s="8"/>
      <c r="AU1886" s="8"/>
      <c r="AV1886" s="8"/>
      <c r="AW1886" s="8"/>
      <c r="AX1886" s="8"/>
      <c r="AY1886" s="8"/>
    </row>
    <row r="1887" spans="1:51" ht="13.2" x14ac:dyDescent="0.25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8"/>
      <c r="AG1887" s="8"/>
      <c r="AH1887" s="8"/>
      <c r="AI1887" s="8"/>
      <c r="AJ1887" s="8"/>
      <c r="AK1887" s="8"/>
      <c r="AL1887" s="8"/>
      <c r="AM1887" s="8"/>
      <c r="AN1887" s="8"/>
      <c r="AO1887" s="8"/>
      <c r="AP1887" s="8"/>
      <c r="AQ1887" s="8"/>
      <c r="AR1887" s="8"/>
      <c r="AS1887" s="8"/>
      <c r="AT1887" s="8"/>
      <c r="AU1887" s="8"/>
      <c r="AV1887" s="8"/>
      <c r="AW1887" s="8"/>
      <c r="AX1887" s="8"/>
      <c r="AY1887" s="8"/>
    </row>
    <row r="1888" spans="1:51" ht="13.2" x14ac:dyDescent="0.25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8"/>
      <c r="AG1888" s="8"/>
      <c r="AH1888" s="8"/>
      <c r="AI1888" s="8"/>
      <c r="AJ1888" s="8"/>
      <c r="AK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/>
      <c r="AV1888" s="8"/>
      <c r="AW1888" s="8"/>
      <c r="AX1888" s="8"/>
      <c r="AY1888" s="8"/>
    </row>
    <row r="1889" spans="1:51" ht="13.2" x14ac:dyDescent="0.25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8"/>
      <c r="AG1889" s="8"/>
      <c r="AH1889" s="8"/>
      <c r="AI1889" s="8"/>
      <c r="AJ1889" s="8"/>
      <c r="AK1889" s="8"/>
      <c r="AL1889" s="8"/>
      <c r="AM1889" s="8"/>
      <c r="AN1889" s="8"/>
      <c r="AO1889" s="8"/>
      <c r="AP1889" s="8"/>
      <c r="AQ1889" s="8"/>
      <c r="AR1889" s="8"/>
      <c r="AS1889" s="8"/>
      <c r="AT1889" s="8"/>
      <c r="AU1889" s="8"/>
      <c r="AV1889" s="8"/>
      <c r="AW1889" s="8"/>
      <c r="AX1889" s="8"/>
      <c r="AY1889" s="8"/>
    </row>
    <row r="1890" spans="1:51" ht="13.2" x14ac:dyDescent="0.25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8"/>
      <c r="AG1890" s="8"/>
      <c r="AH1890" s="8"/>
      <c r="AI1890" s="8"/>
      <c r="AJ1890" s="8"/>
      <c r="AK1890" s="8"/>
      <c r="AL1890" s="8"/>
      <c r="AM1890" s="8"/>
      <c r="AN1890" s="8"/>
      <c r="AO1890" s="8"/>
      <c r="AP1890" s="8"/>
      <c r="AQ1890" s="8"/>
      <c r="AR1890" s="8"/>
      <c r="AS1890" s="8"/>
      <c r="AT1890" s="8"/>
      <c r="AU1890" s="8"/>
      <c r="AV1890" s="8"/>
      <c r="AW1890" s="8"/>
      <c r="AX1890" s="8"/>
      <c r="AY1890" s="8"/>
    </row>
    <row r="1891" spans="1:51" ht="13.2" x14ac:dyDescent="0.25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8"/>
      <c r="AG1891" s="8"/>
      <c r="AH1891" s="8"/>
      <c r="AI1891" s="8"/>
      <c r="AJ1891" s="8"/>
      <c r="AK1891" s="8"/>
      <c r="AL1891" s="8"/>
      <c r="AM1891" s="8"/>
      <c r="AN1891" s="8"/>
      <c r="AO1891" s="8"/>
      <c r="AP1891" s="8"/>
      <c r="AQ1891" s="8"/>
      <c r="AR1891" s="8"/>
      <c r="AS1891" s="8"/>
      <c r="AT1891" s="8"/>
      <c r="AU1891" s="8"/>
      <c r="AV1891" s="8"/>
      <c r="AW1891" s="8"/>
      <c r="AX1891" s="8"/>
      <c r="AY1891" s="8"/>
    </row>
    <row r="1892" spans="1:51" ht="13.2" x14ac:dyDescent="0.25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8"/>
      <c r="AG1892" s="8"/>
      <c r="AH1892" s="8"/>
      <c r="AI1892" s="8"/>
      <c r="AJ1892" s="8"/>
      <c r="AK1892" s="8"/>
      <c r="AL1892" s="8"/>
      <c r="AM1892" s="8"/>
      <c r="AN1892" s="8"/>
      <c r="AO1892" s="8"/>
      <c r="AP1892" s="8"/>
      <c r="AQ1892" s="8"/>
      <c r="AR1892" s="8"/>
      <c r="AS1892" s="8"/>
      <c r="AT1892" s="8"/>
      <c r="AU1892" s="8"/>
      <c r="AV1892" s="8"/>
      <c r="AW1892" s="8"/>
      <c r="AX1892" s="8"/>
      <c r="AY1892" s="8"/>
    </row>
    <row r="1893" spans="1:51" ht="13.2" x14ac:dyDescent="0.25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8"/>
      <c r="AG1893" s="8"/>
      <c r="AH1893" s="8"/>
      <c r="AI1893" s="8"/>
      <c r="AJ1893" s="8"/>
      <c r="AK1893" s="8"/>
      <c r="AL1893" s="8"/>
      <c r="AM1893" s="8"/>
      <c r="AN1893" s="8"/>
      <c r="AO1893" s="8"/>
      <c r="AP1893" s="8"/>
      <c r="AQ1893" s="8"/>
      <c r="AR1893" s="8"/>
      <c r="AS1893" s="8"/>
      <c r="AT1893" s="8"/>
      <c r="AU1893" s="8"/>
      <c r="AV1893" s="8"/>
      <c r="AW1893" s="8"/>
      <c r="AX1893" s="8"/>
      <c r="AY1893" s="8"/>
    </row>
    <row r="1894" spans="1:51" ht="13.2" x14ac:dyDescent="0.25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8"/>
      <c r="AG1894" s="8"/>
      <c r="AH1894" s="8"/>
      <c r="AI1894" s="8"/>
      <c r="AJ1894" s="8"/>
      <c r="AK1894" s="8"/>
      <c r="AL1894" s="8"/>
      <c r="AM1894" s="8"/>
      <c r="AN1894" s="8"/>
      <c r="AO1894" s="8"/>
      <c r="AP1894" s="8"/>
      <c r="AQ1894" s="8"/>
      <c r="AR1894" s="8"/>
      <c r="AS1894" s="8"/>
      <c r="AT1894" s="8"/>
      <c r="AU1894" s="8"/>
      <c r="AV1894" s="8"/>
      <c r="AW1894" s="8"/>
      <c r="AX1894" s="8"/>
      <c r="AY1894" s="8"/>
    </row>
    <row r="1895" spans="1:51" ht="13.2" x14ac:dyDescent="0.25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8"/>
      <c r="AG1895" s="8"/>
      <c r="AH1895" s="8"/>
      <c r="AI1895" s="8"/>
      <c r="AJ1895" s="8"/>
      <c r="AK1895" s="8"/>
      <c r="AL1895" s="8"/>
      <c r="AM1895" s="8"/>
      <c r="AN1895" s="8"/>
      <c r="AO1895" s="8"/>
      <c r="AP1895" s="8"/>
      <c r="AQ1895" s="8"/>
      <c r="AR1895" s="8"/>
      <c r="AS1895" s="8"/>
      <c r="AT1895" s="8"/>
      <c r="AU1895" s="8"/>
      <c r="AV1895" s="8"/>
      <c r="AW1895" s="8"/>
      <c r="AX1895" s="8"/>
      <c r="AY1895" s="8"/>
    </row>
    <row r="1896" spans="1:51" ht="13.2" x14ac:dyDescent="0.25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8"/>
      <c r="AG1896" s="8"/>
      <c r="AH1896" s="8"/>
      <c r="AI1896" s="8"/>
      <c r="AJ1896" s="8"/>
      <c r="AK1896" s="8"/>
      <c r="AL1896" s="8"/>
      <c r="AM1896" s="8"/>
      <c r="AN1896" s="8"/>
      <c r="AO1896" s="8"/>
      <c r="AP1896" s="8"/>
      <c r="AQ1896" s="8"/>
      <c r="AR1896" s="8"/>
      <c r="AS1896" s="8"/>
      <c r="AT1896" s="8"/>
      <c r="AU1896" s="8"/>
      <c r="AV1896" s="8"/>
      <c r="AW1896" s="8"/>
      <c r="AX1896" s="8"/>
      <c r="AY1896" s="8"/>
    </row>
    <row r="1897" spans="1:51" ht="13.2" x14ac:dyDescent="0.25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8"/>
      <c r="AG1897" s="8"/>
      <c r="AH1897" s="8"/>
      <c r="AI1897" s="8"/>
      <c r="AJ1897" s="8"/>
      <c r="AK1897" s="8"/>
      <c r="AL1897" s="8"/>
      <c r="AM1897" s="8"/>
      <c r="AN1897" s="8"/>
      <c r="AO1897" s="8"/>
      <c r="AP1897" s="8"/>
      <c r="AQ1897" s="8"/>
      <c r="AR1897" s="8"/>
      <c r="AS1897" s="8"/>
      <c r="AT1897" s="8"/>
      <c r="AU1897" s="8"/>
      <c r="AV1897" s="8"/>
      <c r="AW1897" s="8"/>
      <c r="AX1897" s="8"/>
      <c r="AY1897" s="8"/>
    </row>
    <row r="1898" spans="1:51" ht="13.2" x14ac:dyDescent="0.25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8"/>
      <c r="AG1898" s="8"/>
      <c r="AH1898" s="8"/>
      <c r="AI1898" s="8"/>
      <c r="AJ1898" s="8"/>
      <c r="AK1898" s="8"/>
      <c r="AL1898" s="8"/>
      <c r="AM1898" s="8"/>
      <c r="AN1898" s="8"/>
      <c r="AO1898" s="8"/>
      <c r="AP1898" s="8"/>
      <c r="AQ1898" s="8"/>
      <c r="AR1898" s="8"/>
      <c r="AS1898" s="8"/>
      <c r="AT1898" s="8"/>
      <c r="AU1898" s="8"/>
      <c r="AV1898" s="8"/>
      <c r="AW1898" s="8"/>
      <c r="AX1898" s="8"/>
      <c r="AY1898" s="8"/>
    </row>
    <row r="1899" spans="1:51" ht="13.2" x14ac:dyDescent="0.25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8"/>
      <c r="AG1899" s="8"/>
      <c r="AH1899" s="8"/>
      <c r="AI1899" s="8"/>
      <c r="AJ1899" s="8"/>
      <c r="AK1899" s="8"/>
      <c r="AL1899" s="8"/>
      <c r="AM1899" s="8"/>
      <c r="AN1899" s="8"/>
      <c r="AO1899" s="8"/>
      <c r="AP1899" s="8"/>
      <c r="AQ1899" s="8"/>
      <c r="AR1899" s="8"/>
      <c r="AS1899" s="8"/>
      <c r="AT1899" s="8"/>
      <c r="AU1899" s="8"/>
      <c r="AV1899" s="8"/>
      <c r="AW1899" s="8"/>
      <c r="AX1899" s="8"/>
      <c r="AY1899" s="8"/>
    </row>
    <row r="1900" spans="1:51" ht="13.2" x14ac:dyDescent="0.25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8"/>
      <c r="AG1900" s="8"/>
      <c r="AH1900" s="8"/>
      <c r="AI1900" s="8"/>
      <c r="AJ1900" s="8"/>
      <c r="AK1900" s="8"/>
      <c r="AL1900" s="8"/>
      <c r="AM1900" s="8"/>
      <c r="AN1900" s="8"/>
      <c r="AO1900" s="8"/>
      <c r="AP1900" s="8"/>
      <c r="AQ1900" s="8"/>
      <c r="AR1900" s="8"/>
      <c r="AS1900" s="8"/>
      <c r="AT1900" s="8"/>
      <c r="AU1900" s="8"/>
      <c r="AV1900" s="8"/>
      <c r="AW1900" s="8"/>
      <c r="AX1900" s="8"/>
      <c r="AY1900" s="8"/>
    </row>
    <row r="1901" spans="1:51" ht="13.2" x14ac:dyDescent="0.25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8"/>
      <c r="AG1901" s="8"/>
      <c r="AH1901" s="8"/>
      <c r="AI1901" s="8"/>
      <c r="AJ1901" s="8"/>
      <c r="AK1901" s="8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Y1901" s="8"/>
    </row>
    <row r="1902" spans="1:51" ht="13.2" x14ac:dyDescent="0.25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8"/>
      <c r="AG1902" s="8"/>
      <c r="AH1902" s="8"/>
      <c r="AI1902" s="8"/>
      <c r="AJ1902" s="8"/>
      <c r="AK1902" s="8"/>
      <c r="AL1902" s="8"/>
      <c r="AM1902" s="8"/>
      <c r="AN1902" s="8"/>
      <c r="AO1902" s="8"/>
      <c r="AP1902" s="8"/>
      <c r="AQ1902" s="8"/>
      <c r="AR1902" s="8"/>
      <c r="AS1902" s="8"/>
      <c r="AT1902" s="8"/>
      <c r="AU1902" s="8"/>
      <c r="AV1902" s="8"/>
      <c r="AW1902" s="8"/>
      <c r="AX1902" s="8"/>
      <c r="AY1902" s="8"/>
    </row>
    <row r="1903" spans="1:51" ht="13.2" x14ac:dyDescent="0.25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8"/>
      <c r="AG1903" s="8"/>
      <c r="AH1903" s="8"/>
      <c r="AI1903" s="8"/>
      <c r="AJ1903" s="8"/>
      <c r="AK1903" s="8"/>
      <c r="AL1903" s="8"/>
      <c r="AM1903" s="8"/>
      <c r="AN1903" s="8"/>
      <c r="AO1903" s="8"/>
      <c r="AP1903" s="8"/>
      <c r="AQ1903" s="8"/>
      <c r="AR1903" s="8"/>
      <c r="AS1903" s="8"/>
      <c r="AT1903" s="8"/>
      <c r="AU1903" s="8"/>
      <c r="AV1903" s="8"/>
      <c r="AW1903" s="8"/>
      <c r="AX1903" s="8"/>
      <c r="AY1903" s="8"/>
    </row>
    <row r="1904" spans="1:51" ht="13.2" x14ac:dyDescent="0.25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8"/>
      <c r="AG1904" s="8"/>
      <c r="AH1904" s="8"/>
      <c r="AI1904" s="8"/>
      <c r="AJ1904" s="8"/>
      <c r="AK1904" s="8"/>
      <c r="AL1904" s="8"/>
      <c r="AM1904" s="8"/>
      <c r="AN1904" s="8"/>
      <c r="AO1904" s="8"/>
      <c r="AP1904" s="8"/>
      <c r="AQ1904" s="8"/>
      <c r="AR1904" s="8"/>
      <c r="AS1904" s="8"/>
      <c r="AT1904" s="8"/>
      <c r="AU1904" s="8"/>
      <c r="AV1904" s="8"/>
      <c r="AW1904" s="8"/>
      <c r="AX1904" s="8"/>
      <c r="AY1904" s="8"/>
    </row>
    <row r="1905" spans="1:51" ht="13.2" x14ac:dyDescent="0.25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8"/>
      <c r="AG1905" s="8"/>
      <c r="AH1905" s="8"/>
      <c r="AI1905" s="8"/>
      <c r="AJ1905" s="8"/>
      <c r="AK1905" s="8"/>
      <c r="AL1905" s="8"/>
      <c r="AM1905" s="8"/>
      <c r="AN1905" s="8"/>
      <c r="AO1905" s="8"/>
      <c r="AP1905" s="8"/>
      <c r="AQ1905" s="8"/>
      <c r="AR1905" s="8"/>
      <c r="AS1905" s="8"/>
      <c r="AT1905" s="8"/>
      <c r="AU1905" s="8"/>
      <c r="AV1905" s="8"/>
      <c r="AW1905" s="8"/>
      <c r="AX1905" s="8"/>
      <c r="AY1905" s="8"/>
    </row>
    <row r="1906" spans="1:51" ht="13.2" x14ac:dyDescent="0.25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8"/>
      <c r="AG1906" s="8"/>
      <c r="AH1906" s="8"/>
      <c r="AI1906" s="8"/>
      <c r="AJ1906" s="8"/>
      <c r="AK1906" s="8"/>
      <c r="AL1906" s="8"/>
      <c r="AM1906" s="8"/>
      <c r="AN1906" s="8"/>
      <c r="AO1906" s="8"/>
      <c r="AP1906" s="8"/>
      <c r="AQ1906" s="8"/>
      <c r="AR1906" s="8"/>
      <c r="AS1906" s="8"/>
      <c r="AT1906" s="8"/>
      <c r="AU1906" s="8"/>
      <c r="AV1906" s="8"/>
      <c r="AW1906" s="8"/>
      <c r="AX1906" s="8"/>
      <c r="AY1906" s="8"/>
    </row>
    <row r="1907" spans="1:51" ht="13.2" x14ac:dyDescent="0.25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8"/>
      <c r="AG1907" s="8"/>
      <c r="AH1907" s="8"/>
      <c r="AI1907" s="8"/>
      <c r="AJ1907" s="8"/>
      <c r="AK1907" s="8"/>
      <c r="AL1907" s="8"/>
      <c r="AM1907" s="8"/>
      <c r="AN1907" s="8"/>
      <c r="AO1907" s="8"/>
      <c r="AP1907" s="8"/>
      <c r="AQ1907" s="8"/>
      <c r="AR1907" s="8"/>
      <c r="AS1907" s="8"/>
      <c r="AT1907" s="8"/>
      <c r="AU1907" s="8"/>
      <c r="AV1907" s="8"/>
      <c r="AW1907" s="8"/>
      <c r="AX1907" s="8"/>
      <c r="AY1907" s="8"/>
    </row>
    <row r="1908" spans="1:51" ht="13.2" x14ac:dyDescent="0.25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8"/>
      <c r="AG1908" s="8"/>
      <c r="AH1908" s="8"/>
      <c r="AI1908" s="8"/>
      <c r="AJ1908" s="8"/>
      <c r="AK1908" s="8"/>
      <c r="AL1908" s="8"/>
      <c r="AM1908" s="8"/>
      <c r="AN1908" s="8"/>
      <c r="AO1908" s="8"/>
      <c r="AP1908" s="8"/>
      <c r="AQ1908" s="8"/>
      <c r="AR1908" s="8"/>
      <c r="AS1908" s="8"/>
      <c r="AT1908" s="8"/>
      <c r="AU1908" s="8"/>
      <c r="AV1908" s="8"/>
      <c r="AW1908" s="8"/>
      <c r="AX1908" s="8"/>
      <c r="AY1908" s="8"/>
    </row>
    <row r="1909" spans="1:51" ht="13.2" x14ac:dyDescent="0.25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8"/>
      <c r="AG1909" s="8"/>
      <c r="AH1909" s="8"/>
      <c r="AI1909" s="8"/>
      <c r="AJ1909" s="8"/>
      <c r="AK1909" s="8"/>
      <c r="AL1909" s="8"/>
      <c r="AM1909" s="8"/>
      <c r="AN1909" s="8"/>
      <c r="AO1909" s="8"/>
      <c r="AP1909" s="8"/>
      <c r="AQ1909" s="8"/>
      <c r="AR1909" s="8"/>
      <c r="AS1909" s="8"/>
      <c r="AT1909" s="8"/>
      <c r="AU1909" s="8"/>
      <c r="AV1909" s="8"/>
      <c r="AW1909" s="8"/>
      <c r="AX1909" s="8"/>
      <c r="AY1909" s="8"/>
    </row>
    <row r="1910" spans="1:51" ht="13.2" x14ac:dyDescent="0.25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8"/>
      <c r="AG1910" s="8"/>
      <c r="AH1910" s="8"/>
      <c r="AI1910" s="8"/>
      <c r="AJ1910" s="8"/>
      <c r="AK1910" s="8"/>
      <c r="AL1910" s="8"/>
      <c r="AM1910" s="8"/>
      <c r="AN1910" s="8"/>
      <c r="AO1910" s="8"/>
      <c r="AP1910" s="8"/>
      <c r="AQ1910" s="8"/>
      <c r="AR1910" s="8"/>
      <c r="AS1910" s="8"/>
      <c r="AT1910" s="8"/>
      <c r="AU1910" s="8"/>
      <c r="AV1910" s="8"/>
      <c r="AW1910" s="8"/>
      <c r="AX1910" s="8"/>
      <c r="AY1910" s="8"/>
    </row>
    <row r="1911" spans="1:51" ht="13.2" x14ac:dyDescent="0.25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8"/>
      <c r="AG1911" s="8"/>
      <c r="AH1911" s="8"/>
      <c r="AI1911" s="8"/>
      <c r="AJ1911" s="8"/>
      <c r="AK1911" s="8"/>
      <c r="AL1911" s="8"/>
      <c r="AM1911" s="8"/>
      <c r="AN1911" s="8"/>
      <c r="AO1911" s="8"/>
      <c r="AP1911" s="8"/>
      <c r="AQ1911" s="8"/>
      <c r="AR1911" s="8"/>
      <c r="AS1911" s="8"/>
      <c r="AT1911" s="8"/>
      <c r="AU1911" s="8"/>
      <c r="AV1911" s="8"/>
      <c r="AW1911" s="8"/>
      <c r="AX1911" s="8"/>
      <c r="AY1911" s="8"/>
    </row>
    <row r="1912" spans="1:51" ht="13.2" x14ac:dyDescent="0.25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8"/>
      <c r="AG1912" s="8"/>
      <c r="AH1912" s="8"/>
      <c r="AI1912" s="8"/>
      <c r="AJ1912" s="8"/>
      <c r="AK1912" s="8"/>
      <c r="AL1912" s="8"/>
      <c r="AM1912" s="8"/>
      <c r="AN1912" s="8"/>
      <c r="AO1912" s="8"/>
      <c r="AP1912" s="8"/>
      <c r="AQ1912" s="8"/>
      <c r="AR1912" s="8"/>
      <c r="AS1912" s="8"/>
      <c r="AT1912" s="8"/>
      <c r="AU1912" s="8"/>
      <c r="AV1912" s="8"/>
      <c r="AW1912" s="8"/>
      <c r="AX1912" s="8"/>
      <c r="AY1912" s="8"/>
    </row>
    <row r="1913" spans="1:51" ht="13.2" x14ac:dyDescent="0.25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8"/>
      <c r="AG1913" s="8"/>
      <c r="AH1913" s="8"/>
      <c r="AI1913" s="8"/>
      <c r="AJ1913" s="8"/>
      <c r="AK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Y1913" s="8"/>
    </row>
    <row r="1914" spans="1:51" ht="13.2" x14ac:dyDescent="0.25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8"/>
      <c r="AG1914" s="8"/>
      <c r="AH1914" s="8"/>
      <c r="AI1914" s="8"/>
      <c r="AJ1914" s="8"/>
      <c r="AK1914" s="8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Y1914" s="8"/>
    </row>
    <row r="1915" spans="1:51" ht="13.2" x14ac:dyDescent="0.25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8"/>
      <c r="AG1915" s="8"/>
      <c r="AH1915" s="8"/>
      <c r="AI1915" s="8"/>
      <c r="AJ1915" s="8"/>
      <c r="AK1915" s="8"/>
      <c r="AL1915" s="8"/>
      <c r="AM1915" s="8"/>
      <c r="AN1915" s="8"/>
      <c r="AO1915" s="8"/>
      <c r="AP1915" s="8"/>
      <c r="AQ1915" s="8"/>
      <c r="AR1915" s="8"/>
      <c r="AS1915" s="8"/>
      <c r="AT1915" s="8"/>
      <c r="AU1915" s="8"/>
      <c r="AV1915" s="8"/>
      <c r="AW1915" s="8"/>
      <c r="AX1915" s="8"/>
      <c r="AY1915" s="8"/>
    </row>
    <row r="1916" spans="1:51" ht="13.2" x14ac:dyDescent="0.25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8"/>
      <c r="AG1916" s="8"/>
      <c r="AH1916" s="8"/>
      <c r="AI1916" s="8"/>
      <c r="AJ1916" s="8"/>
      <c r="AK1916" s="8"/>
      <c r="AL1916" s="8"/>
      <c r="AM1916" s="8"/>
      <c r="AN1916" s="8"/>
      <c r="AO1916" s="8"/>
      <c r="AP1916" s="8"/>
      <c r="AQ1916" s="8"/>
      <c r="AR1916" s="8"/>
      <c r="AS1916" s="8"/>
      <c r="AT1916" s="8"/>
      <c r="AU1916" s="8"/>
      <c r="AV1916" s="8"/>
      <c r="AW1916" s="8"/>
      <c r="AX1916" s="8"/>
      <c r="AY1916" s="8"/>
    </row>
    <row r="1917" spans="1:51" ht="13.2" x14ac:dyDescent="0.25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8"/>
      <c r="AG1917" s="8"/>
      <c r="AH1917" s="8"/>
      <c r="AI1917" s="8"/>
      <c r="AJ1917" s="8"/>
      <c r="AK1917" s="8"/>
      <c r="AL1917" s="8"/>
      <c r="AM1917" s="8"/>
      <c r="AN1917" s="8"/>
      <c r="AO1917" s="8"/>
      <c r="AP1917" s="8"/>
      <c r="AQ1917" s="8"/>
      <c r="AR1917" s="8"/>
      <c r="AS1917" s="8"/>
      <c r="AT1917" s="8"/>
      <c r="AU1917" s="8"/>
      <c r="AV1917" s="8"/>
      <c r="AW1917" s="8"/>
      <c r="AX1917" s="8"/>
      <c r="AY1917" s="8"/>
    </row>
    <row r="1918" spans="1:51" ht="13.2" x14ac:dyDescent="0.25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8"/>
      <c r="AG1918" s="8"/>
      <c r="AH1918" s="8"/>
      <c r="AI1918" s="8"/>
      <c r="AJ1918" s="8"/>
      <c r="AK1918" s="8"/>
      <c r="AL1918" s="8"/>
      <c r="AM1918" s="8"/>
      <c r="AN1918" s="8"/>
      <c r="AO1918" s="8"/>
      <c r="AP1918" s="8"/>
      <c r="AQ1918" s="8"/>
      <c r="AR1918" s="8"/>
      <c r="AS1918" s="8"/>
      <c r="AT1918" s="8"/>
      <c r="AU1918" s="8"/>
      <c r="AV1918" s="8"/>
      <c r="AW1918" s="8"/>
      <c r="AX1918" s="8"/>
      <c r="AY1918" s="8"/>
    </row>
    <row r="1919" spans="1:51" ht="13.2" x14ac:dyDescent="0.25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8"/>
      <c r="AG1919" s="8"/>
      <c r="AH1919" s="8"/>
      <c r="AI1919" s="8"/>
      <c r="AJ1919" s="8"/>
      <c r="AK1919" s="8"/>
      <c r="AL1919" s="8"/>
      <c r="AM1919" s="8"/>
      <c r="AN1919" s="8"/>
      <c r="AO1919" s="8"/>
      <c r="AP1919" s="8"/>
      <c r="AQ1919" s="8"/>
      <c r="AR1919" s="8"/>
      <c r="AS1919" s="8"/>
      <c r="AT1919" s="8"/>
      <c r="AU1919" s="8"/>
      <c r="AV1919" s="8"/>
      <c r="AW1919" s="8"/>
      <c r="AX1919" s="8"/>
      <c r="AY1919" s="8"/>
    </row>
    <row r="1920" spans="1:51" ht="13.2" x14ac:dyDescent="0.25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8"/>
      <c r="AG1920" s="8"/>
      <c r="AH1920" s="8"/>
      <c r="AI1920" s="8"/>
      <c r="AJ1920" s="8"/>
      <c r="AK1920" s="8"/>
      <c r="AL1920" s="8"/>
      <c r="AM1920" s="8"/>
      <c r="AN1920" s="8"/>
      <c r="AO1920" s="8"/>
      <c r="AP1920" s="8"/>
      <c r="AQ1920" s="8"/>
      <c r="AR1920" s="8"/>
      <c r="AS1920" s="8"/>
      <c r="AT1920" s="8"/>
      <c r="AU1920" s="8"/>
      <c r="AV1920" s="8"/>
      <c r="AW1920" s="8"/>
      <c r="AX1920" s="8"/>
      <c r="AY1920" s="8"/>
    </row>
    <row r="1921" spans="1:51" ht="13.2" x14ac:dyDescent="0.25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8"/>
      <c r="AG1921" s="8"/>
      <c r="AH1921" s="8"/>
      <c r="AI1921" s="8"/>
      <c r="AJ1921" s="8"/>
      <c r="AK1921" s="8"/>
      <c r="AL1921" s="8"/>
      <c r="AM1921" s="8"/>
      <c r="AN1921" s="8"/>
      <c r="AO1921" s="8"/>
      <c r="AP1921" s="8"/>
      <c r="AQ1921" s="8"/>
      <c r="AR1921" s="8"/>
      <c r="AS1921" s="8"/>
      <c r="AT1921" s="8"/>
      <c r="AU1921" s="8"/>
      <c r="AV1921" s="8"/>
      <c r="AW1921" s="8"/>
      <c r="AX1921" s="8"/>
      <c r="AY1921" s="8"/>
    </row>
    <row r="1922" spans="1:51" ht="13.2" x14ac:dyDescent="0.25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8"/>
      <c r="AG1922" s="8"/>
      <c r="AH1922" s="8"/>
      <c r="AI1922" s="8"/>
      <c r="AJ1922" s="8"/>
      <c r="AK1922" s="8"/>
      <c r="AL1922" s="8"/>
      <c r="AM1922" s="8"/>
      <c r="AN1922" s="8"/>
      <c r="AO1922" s="8"/>
      <c r="AP1922" s="8"/>
      <c r="AQ1922" s="8"/>
      <c r="AR1922" s="8"/>
      <c r="AS1922" s="8"/>
      <c r="AT1922" s="8"/>
      <c r="AU1922" s="8"/>
      <c r="AV1922" s="8"/>
      <c r="AW1922" s="8"/>
      <c r="AX1922" s="8"/>
      <c r="AY1922" s="8"/>
    </row>
    <row r="1923" spans="1:51" ht="13.2" x14ac:dyDescent="0.25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8"/>
      <c r="AG1923" s="8"/>
      <c r="AH1923" s="8"/>
      <c r="AI1923" s="8"/>
      <c r="AJ1923" s="8"/>
      <c r="AK1923" s="8"/>
      <c r="AL1923" s="8"/>
      <c r="AM1923" s="8"/>
      <c r="AN1923" s="8"/>
      <c r="AO1923" s="8"/>
      <c r="AP1923" s="8"/>
      <c r="AQ1923" s="8"/>
      <c r="AR1923" s="8"/>
      <c r="AS1923" s="8"/>
      <c r="AT1923" s="8"/>
      <c r="AU1923" s="8"/>
      <c r="AV1923" s="8"/>
      <c r="AW1923" s="8"/>
      <c r="AX1923" s="8"/>
      <c r="AY1923" s="8"/>
    </row>
    <row r="1924" spans="1:51" ht="13.2" x14ac:dyDescent="0.25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8"/>
      <c r="AG1924" s="8"/>
      <c r="AH1924" s="8"/>
      <c r="AI1924" s="8"/>
      <c r="AJ1924" s="8"/>
      <c r="AK1924" s="8"/>
      <c r="AL1924" s="8"/>
      <c r="AM1924" s="8"/>
      <c r="AN1924" s="8"/>
      <c r="AO1924" s="8"/>
      <c r="AP1924" s="8"/>
      <c r="AQ1924" s="8"/>
      <c r="AR1924" s="8"/>
      <c r="AS1924" s="8"/>
      <c r="AT1924" s="8"/>
      <c r="AU1924" s="8"/>
      <c r="AV1924" s="8"/>
      <c r="AW1924" s="8"/>
      <c r="AX1924" s="8"/>
      <c r="AY1924" s="8"/>
    </row>
    <row r="1925" spans="1:51" ht="13.2" x14ac:dyDescent="0.25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8"/>
      <c r="AG1925" s="8"/>
      <c r="AH1925" s="8"/>
      <c r="AI1925" s="8"/>
      <c r="AJ1925" s="8"/>
      <c r="AK1925" s="8"/>
      <c r="AL1925" s="8"/>
      <c r="AM1925" s="8"/>
      <c r="AN1925" s="8"/>
      <c r="AO1925" s="8"/>
      <c r="AP1925" s="8"/>
      <c r="AQ1925" s="8"/>
      <c r="AR1925" s="8"/>
      <c r="AS1925" s="8"/>
      <c r="AT1925" s="8"/>
      <c r="AU1925" s="8"/>
      <c r="AV1925" s="8"/>
      <c r="AW1925" s="8"/>
      <c r="AX1925" s="8"/>
      <c r="AY1925" s="8"/>
    </row>
    <row r="1926" spans="1:51" ht="13.2" x14ac:dyDescent="0.25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8"/>
      <c r="AG1926" s="8"/>
      <c r="AH1926" s="8"/>
      <c r="AI1926" s="8"/>
      <c r="AJ1926" s="8"/>
      <c r="AK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Y1926" s="8"/>
    </row>
    <row r="1927" spans="1:51" ht="13.2" x14ac:dyDescent="0.25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8"/>
      <c r="AG1927" s="8"/>
      <c r="AH1927" s="8"/>
      <c r="AI1927" s="8"/>
      <c r="AJ1927" s="8"/>
      <c r="AK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Y1927" s="8"/>
    </row>
    <row r="1928" spans="1:51" ht="13.2" x14ac:dyDescent="0.25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8"/>
      <c r="AG1928" s="8"/>
      <c r="AH1928" s="8"/>
      <c r="AI1928" s="8"/>
      <c r="AJ1928" s="8"/>
      <c r="AK1928" s="8"/>
      <c r="AL1928" s="8"/>
      <c r="AM1928" s="8"/>
      <c r="AN1928" s="8"/>
      <c r="AO1928" s="8"/>
      <c r="AP1928" s="8"/>
      <c r="AQ1928" s="8"/>
      <c r="AR1928" s="8"/>
      <c r="AS1928" s="8"/>
      <c r="AT1928" s="8"/>
      <c r="AU1928" s="8"/>
      <c r="AV1928" s="8"/>
      <c r="AW1928" s="8"/>
      <c r="AX1928" s="8"/>
      <c r="AY1928" s="8"/>
    </row>
    <row r="1929" spans="1:51" ht="13.2" x14ac:dyDescent="0.25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8"/>
      <c r="AG1929" s="8"/>
      <c r="AH1929" s="8"/>
      <c r="AI1929" s="8"/>
      <c r="AJ1929" s="8"/>
      <c r="AK1929" s="8"/>
      <c r="AL1929" s="8"/>
      <c r="AM1929" s="8"/>
      <c r="AN1929" s="8"/>
      <c r="AO1929" s="8"/>
      <c r="AP1929" s="8"/>
      <c r="AQ1929" s="8"/>
      <c r="AR1929" s="8"/>
      <c r="AS1929" s="8"/>
      <c r="AT1929" s="8"/>
      <c r="AU1929" s="8"/>
      <c r="AV1929" s="8"/>
      <c r="AW1929" s="8"/>
      <c r="AX1929" s="8"/>
      <c r="AY1929" s="8"/>
    </row>
    <row r="1930" spans="1:51" ht="13.2" x14ac:dyDescent="0.25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8"/>
      <c r="AG1930" s="8"/>
      <c r="AH1930" s="8"/>
      <c r="AI1930" s="8"/>
      <c r="AJ1930" s="8"/>
      <c r="AK1930" s="8"/>
      <c r="AL1930" s="8"/>
      <c r="AM1930" s="8"/>
      <c r="AN1930" s="8"/>
      <c r="AO1930" s="8"/>
      <c r="AP1930" s="8"/>
      <c r="AQ1930" s="8"/>
      <c r="AR1930" s="8"/>
      <c r="AS1930" s="8"/>
      <c r="AT1930" s="8"/>
      <c r="AU1930" s="8"/>
      <c r="AV1930" s="8"/>
      <c r="AW1930" s="8"/>
      <c r="AX1930" s="8"/>
      <c r="AY1930" s="8"/>
    </row>
    <row r="1931" spans="1:51" ht="13.2" x14ac:dyDescent="0.25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8"/>
      <c r="AG1931" s="8"/>
      <c r="AH1931" s="8"/>
      <c r="AI1931" s="8"/>
      <c r="AJ1931" s="8"/>
      <c r="AK1931" s="8"/>
      <c r="AL1931" s="8"/>
      <c r="AM1931" s="8"/>
      <c r="AN1931" s="8"/>
      <c r="AO1931" s="8"/>
      <c r="AP1931" s="8"/>
      <c r="AQ1931" s="8"/>
      <c r="AR1931" s="8"/>
      <c r="AS1931" s="8"/>
      <c r="AT1931" s="8"/>
      <c r="AU1931" s="8"/>
      <c r="AV1931" s="8"/>
      <c r="AW1931" s="8"/>
      <c r="AX1931" s="8"/>
      <c r="AY1931" s="8"/>
    </row>
    <row r="1932" spans="1:51" ht="13.2" x14ac:dyDescent="0.25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8"/>
      <c r="AG1932" s="8"/>
      <c r="AH1932" s="8"/>
      <c r="AI1932" s="8"/>
      <c r="AJ1932" s="8"/>
      <c r="AK1932" s="8"/>
      <c r="AL1932" s="8"/>
      <c r="AM1932" s="8"/>
      <c r="AN1932" s="8"/>
      <c r="AO1932" s="8"/>
      <c r="AP1932" s="8"/>
      <c r="AQ1932" s="8"/>
      <c r="AR1932" s="8"/>
      <c r="AS1932" s="8"/>
      <c r="AT1932" s="8"/>
      <c r="AU1932" s="8"/>
      <c r="AV1932" s="8"/>
      <c r="AW1932" s="8"/>
      <c r="AX1932" s="8"/>
      <c r="AY1932" s="8"/>
    </row>
    <row r="1933" spans="1:51" ht="13.2" x14ac:dyDescent="0.25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8"/>
      <c r="AG1933" s="8"/>
      <c r="AH1933" s="8"/>
      <c r="AI1933" s="8"/>
      <c r="AJ1933" s="8"/>
      <c r="AK1933" s="8"/>
      <c r="AL1933" s="8"/>
      <c r="AM1933" s="8"/>
      <c r="AN1933" s="8"/>
      <c r="AO1933" s="8"/>
      <c r="AP1933" s="8"/>
      <c r="AQ1933" s="8"/>
      <c r="AR1933" s="8"/>
      <c r="AS1933" s="8"/>
      <c r="AT1933" s="8"/>
      <c r="AU1933" s="8"/>
      <c r="AV1933" s="8"/>
      <c r="AW1933" s="8"/>
      <c r="AX1933" s="8"/>
      <c r="AY1933" s="8"/>
    </row>
    <row r="1934" spans="1:51" ht="13.2" x14ac:dyDescent="0.25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8"/>
      <c r="AG1934" s="8"/>
      <c r="AH1934" s="8"/>
      <c r="AI1934" s="8"/>
      <c r="AJ1934" s="8"/>
      <c r="AK1934" s="8"/>
      <c r="AL1934" s="8"/>
      <c r="AM1934" s="8"/>
      <c r="AN1934" s="8"/>
      <c r="AO1934" s="8"/>
      <c r="AP1934" s="8"/>
      <c r="AQ1934" s="8"/>
      <c r="AR1934" s="8"/>
      <c r="AS1934" s="8"/>
      <c r="AT1934" s="8"/>
      <c r="AU1934" s="8"/>
      <c r="AV1934" s="8"/>
      <c r="AW1934" s="8"/>
      <c r="AX1934" s="8"/>
      <c r="AY1934" s="8"/>
    </row>
    <row r="1935" spans="1:51" ht="13.2" x14ac:dyDescent="0.25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8"/>
      <c r="AG1935" s="8"/>
      <c r="AH1935" s="8"/>
      <c r="AI1935" s="8"/>
      <c r="AJ1935" s="8"/>
      <c r="AK1935" s="8"/>
      <c r="AL1935" s="8"/>
      <c r="AM1935" s="8"/>
      <c r="AN1935" s="8"/>
      <c r="AO1935" s="8"/>
      <c r="AP1935" s="8"/>
      <c r="AQ1935" s="8"/>
      <c r="AR1935" s="8"/>
      <c r="AS1935" s="8"/>
      <c r="AT1935" s="8"/>
      <c r="AU1935" s="8"/>
      <c r="AV1935" s="8"/>
      <c r="AW1935" s="8"/>
      <c r="AX1935" s="8"/>
      <c r="AY1935" s="8"/>
    </row>
    <row r="1936" spans="1:51" ht="13.2" x14ac:dyDescent="0.25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8"/>
      <c r="AG1936" s="8"/>
      <c r="AH1936" s="8"/>
      <c r="AI1936" s="8"/>
      <c r="AJ1936" s="8"/>
      <c r="AK1936" s="8"/>
      <c r="AL1936" s="8"/>
      <c r="AM1936" s="8"/>
      <c r="AN1936" s="8"/>
      <c r="AO1936" s="8"/>
      <c r="AP1936" s="8"/>
      <c r="AQ1936" s="8"/>
      <c r="AR1936" s="8"/>
      <c r="AS1936" s="8"/>
      <c r="AT1936" s="8"/>
      <c r="AU1936" s="8"/>
      <c r="AV1936" s="8"/>
      <c r="AW1936" s="8"/>
      <c r="AX1936" s="8"/>
      <c r="AY1936" s="8"/>
    </row>
    <row r="1937" spans="1:51" ht="13.2" x14ac:dyDescent="0.25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8"/>
      <c r="AG1937" s="8"/>
      <c r="AH1937" s="8"/>
      <c r="AI1937" s="8"/>
      <c r="AJ1937" s="8"/>
      <c r="AK1937" s="8"/>
      <c r="AL1937" s="8"/>
      <c r="AM1937" s="8"/>
      <c r="AN1937" s="8"/>
      <c r="AO1937" s="8"/>
      <c r="AP1937" s="8"/>
      <c r="AQ1937" s="8"/>
      <c r="AR1937" s="8"/>
      <c r="AS1937" s="8"/>
      <c r="AT1937" s="8"/>
      <c r="AU1937" s="8"/>
      <c r="AV1937" s="8"/>
      <c r="AW1937" s="8"/>
      <c r="AX1937" s="8"/>
      <c r="AY1937" s="8"/>
    </row>
    <row r="1938" spans="1:51" ht="13.2" x14ac:dyDescent="0.25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8"/>
      <c r="AG1938" s="8"/>
      <c r="AH1938" s="8"/>
      <c r="AI1938" s="8"/>
      <c r="AJ1938" s="8"/>
      <c r="AK1938" s="8"/>
      <c r="AL1938" s="8"/>
      <c r="AM1938" s="8"/>
      <c r="AN1938" s="8"/>
      <c r="AO1938" s="8"/>
      <c r="AP1938" s="8"/>
      <c r="AQ1938" s="8"/>
      <c r="AR1938" s="8"/>
      <c r="AS1938" s="8"/>
      <c r="AT1938" s="8"/>
      <c r="AU1938" s="8"/>
      <c r="AV1938" s="8"/>
      <c r="AW1938" s="8"/>
      <c r="AX1938" s="8"/>
      <c r="AY1938" s="8"/>
    </row>
    <row r="1939" spans="1:51" ht="13.2" x14ac:dyDescent="0.25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8"/>
      <c r="AG1939" s="8"/>
      <c r="AH1939" s="8"/>
      <c r="AI1939" s="8"/>
      <c r="AJ1939" s="8"/>
      <c r="AK1939" s="8"/>
      <c r="AL1939" s="8"/>
      <c r="AM1939" s="8"/>
      <c r="AN1939" s="8"/>
      <c r="AO1939" s="8"/>
      <c r="AP1939" s="8"/>
      <c r="AQ1939" s="8"/>
      <c r="AR1939" s="8"/>
      <c r="AS1939" s="8"/>
      <c r="AT1939" s="8"/>
      <c r="AU1939" s="8"/>
      <c r="AV1939" s="8"/>
      <c r="AW1939" s="8"/>
      <c r="AX1939" s="8"/>
      <c r="AY1939" s="8"/>
    </row>
    <row r="1940" spans="1:51" ht="13.2" x14ac:dyDescent="0.25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8"/>
      <c r="AG1940" s="8"/>
      <c r="AH1940" s="8"/>
      <c r="AI1940" s="8"/>
      <c r="AJ1940" s="8"/>
      <c r="AK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Y1940" s="8"/>
    </row>
    <row r="1941" spans="1:51" ht="13.2" x14ac:dyDescent="0.25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8"/>
      <c r="AG1941" s="8"/>
      <c r="AH1941" s="8"/>
      <c r="AI1941" s="8"/>
      <c r="AJ1941" s="8"/>
      <c r="AK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Y1941" s="8"/>
    </row>
    <row r="1942" spans="1:51" ht="13.2" x14ac:dyDescent="0.25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8"/>
      <c r="AG1942" s="8"/>
      <c r="AH1942" s="8"/>
      <c r="AI1942" s="8"/>
      <c r="AJ1942" s="8"/>
      <c r="AK1942" s="8"/>
      <c r="AL1942" s="8"/>
      <c r="AM1942" s="8"/>
      <c r="AN1942" s="8"/>
      <c r="AO1942" s="8"/>
      <c r="AP1942" s="8"/>
      <c r="AQ1942" s="8"/>
      <c r="AR1942" s="8"/>
      <c r="AS1942" s="8"/>
      <c r="AT1942" s="8"/>
      <c r="AU1942" s="8"/>
      <c r="AV1942" s="8"/>
      <c r="AW1942" s="8"/>
      <c r="AX1942" s="8"/>
      <c r="AY1942" s="8"/>
    </row>
    <row r="1943" spans="1:51" ht="13.2" x14ac:dyDescent="0.25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8"/>
      <c r="AG1943" s="8"/>
      <c r="AH1943" s="8"/>
      <c r="AI1943" s="8"/>
      <c r="AJ1943" s="8"/>
      <c r="AK1943" s="8"/>
      <c r="AL1943" s="8"/>
      <c r="AM1943" s="8"/>
      <c r="AN1943" s="8"/>
      <c r="AO1943" s="8"/>
      <c r="AP1943" s="8"/>
      <c r="AQ1943" s="8"/>
      <c r="AR1943" s="8"/>
      <c r="AS1943" s="8"/>
      <c r="AT1943" s="8"/>
      <c r="AU1943" s="8"/>
      <c r="AV1943" s="8"/>
      <c r="AW1943" s="8"/>
      <c r="AX1943" s="8"/>
      <c r="AY1943" s="8"/>
    </row>
    <row r="1944" spans="1:51" ht="13.2" x14ac:dyDescent="0.25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8"/>
      <c r="AG1944" s="8"/>
      <c r="AH1944" s="8"/>
      <c r="AI1944" s="8"/>
      <c r="AJ1944" s="8"/>
      <c r="AK1944" s="8"/>
      <c r="AL1944" s="8"/>
      <c r="AM1944" s="8"/>
      <c r="AN1944" s="8"/>
      <c r="AO1944" s="8"/>
      <c r="AP1944" s="8"/>
      <c r="AQ1944" s="8"/>
      <c r="AR1944" s="8"/>
      <c r="AS1944" s="8"/>
      <c r="AT1944" s="8"/>
      <c r="AU1944" s="8"/>
      <c r="AV1944" s="8"/>
      <c r="AW1944" s="8"/>
      <c r="AX1944" s="8"/>
      <c r="AY1944" s="8"/>
    </row>
    <row r="1945" spans="1:51" ht="13.2" x14ac:dyDescent="0.25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8"/>
      <c r="AG1945" s="8"/>
      <c r="AH1945" s="8"/>
      <c r="AI1945" s="8"/>
      <c r="AJ1945" s="8"/>
      <c r="AK1945" s="8"/>
      <c r="AL1945" s="8"/>
      <c r="AM1945" s="8"/>
      <c r="AN1945" s="8"/>
      <c r="AO1945" s="8"/>
      <c r="AP1945" s="8"/>
      <c r="AQ1945" s="8"/>
      <c r="AR1945" s="8"/>
      <c r="AS1945" s="8"/>
      <c r="AT1945" s="8"/>
      <c r="AU1945" s="8"/>
      <c r="AV1945" s="8"/>
      <c r="AW1945" s="8"/>
      <c r="AX1945" s="8"/>
      <c r="AY1945" s="8"/>
    </row>
    <row r="1946" spans="1:51" ht="13.2" x14ac:dyDescent="0.25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8"/>
      <c r="AG1946" s="8"/>
      <c r="AH1946" s="8"/>
      <c r="AI1946" s="8"/>
      <c r="AJ1946" s="8"/>
      <c r="AK1946" s="8"/>
      <c r="AL1946" s="8"/>
      <c r="AM1946" s="8"/>
      <c r="AN1946" s="8"/>
      <c r="AO1946" s="8"/>
      <c r="AP1946" s="8"/>
      <c r="AQ1946" s="8"/>
      <c r="AR1946" s="8"/>
      <c r="AS1946" s="8"/>
      <c r="AT1946" s="8"/>
      <c r="AU1946" s="8"/>
      <c r="AV1946" s="8"/>
      <c r="AW1946" s="8"/>
      <c r="AX1946" s="8"/>
      <c r="AY1946" s="8"/>
    </row>
    <row r="1947" spans="1:51" ht="13.2" x14ac:dyDescent="0.25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8"/>
      <c r="AG1947" s="8"/>
      <c r="AH1947" s="8"/>
      <c r="AI1947" s="8"/>
      <c r="AJ1947" s="8"/>
      <c r="AK1947" s="8"/>
      <c r="AL1947" s="8"/>
      <c r="AM1947" s="8"/>
      <c r="AN1947" s="8"/>
      <c r="AO1947" s="8"/>
      <c r="AP1947" s="8"/>
      <c r="AQ1947" s="8"/>
      <c r="AR1947" s="8"/>
      <c r="AS1947" s="8"/>
      <c r="AT1947" s="8"/>
      <c r="AU1947" s="8"/>
      <c r="AV1947" s="8"/>
      <c r="AW1947" s="8"/>
      <c r="AX1947" s="8"/>
      <c r="AY1947" s="8"/>
    </row>
    <row r="1948" spans="1:51" ht="13.2" x14ac:dyDescent="0.25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8"/>
      <c r="AG1948" s="8"/>
      <c r="AH1948" s="8"/>
      <c r="AI1948" s="8"/>
      <c r="AJ1948" s="8"/>
      <c r="AK1948" s="8"/>
      <c r="AL1948" s="8"/>
      <c r="AM1948" s="8"/>
      <c r="AN1948" s="8"/>
      <c r="AO1948" s="8"/>
      <c r="AP1948" s="8"/>
      <c r="AQ1948" s="8"/>
      <c r="AR1948" s="8"/>
      <c r="AS1948" s="8"/>
      <c r="AT1948" s="8"/>
      <c r="AU1948" s="8"/>
      <c r="AV1948" s="8"/>
      <c r="AW1948" s="8"/>
      <c r="AX1948" s="8"/>
      <c r="AY1948" s="8"/>
    </row>
    <row r="1949" spans="1:51" ht="13.2" x14ac:dyDescent="0.25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8"/>
      <c r="AG1949" s="8"/>
      <c r="AH1949" s="8"/>
      <c r="AI1949" s="8"/>
      <c r="AJ1949" s="8"/>
      <c r="AK1949" s="8"/>
      <c r="AL1949" s="8"/>
      <c r="AM1949" s="8"/>
      <c r="AN1949" s="8"/>
      <c r="AO1949" s="8"/>
      <c r="AP1949" s="8"/>
      <c r="AQ1949" s="8"/>
      <c r="AR1949" s="8"/>
      <c r="AS1949" s="8"/>
      <c r="AT1949" s="8"/>
      <c r="AU1949" s="8"/>
      <c r="AV1949" s="8"/>
      <c r="AW1949" s="8"/>
      <c r="AX1949" s="8"/>
      <c r="AY1949" s="8"/>
    </row>
    <row r="1950" spans="1:51" ht="13.2" x14ac:dyDescent="0.25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8"/>
      <c r="AG1950" s="8"/>
      <c r="AH1950" s="8"/>
      <c r="AI1950" s="8"/>
      <c r="AJ1950" s="8"/>
      <c r="AK1950" s="8"/>
      <c r="AL1950" s="8"/>
      <c r="AM1950" s="8"/>
      <c r="AN1950" s="8"/>
      <c r="AO1950" s="8"/>
      <c r="AP1950" s="8"/>
      <c r="AQ1950" s="8"/>
      <c r="AR1950" s="8"/>
      <c r="AS1950" s="8"/>
      <c r="AT1950" s="8"/>
      <c r="AU1950" s="8"/>
      <c r="AV1950" s="8"/>
      <c r="AW1950" s="8"/>
      <c r="AX1950" s="8"/>
      <c r="AY1950" s="8"/>
    </row>
    <row r="1951" spans="1:51" ht="13.2" x14ac:dyDescent="0.25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8"/>
      <c r="AG1951" s="8"/>
      <c r="AH1951" s="8"/>
      <c r="AI1951" s="8"/>
      <c r="AJ1951" s="8"/>
      <c r="AK1951" s="8"/>
      <c r="AL1951" s="8"/>
      <c r="AM1951" s="8"/>
      <c r="AN1951" s="8"/>
      <c r="AO1951" s="8"/>
      <c r="AP1951" s="8"/>
      <c r="AQ1951" s="8"/>
      <c r="AR1951" s="8"/>
      <c r="AS1951" s="8"/>
      <c r="AT1951" s="8"/>
      <c r="AU1951" s="8"/>
      <c r="AV1951" s="8"/>
      <c r="AW1951" s="8"/>
      <c r="AX1951" s="8"/>
      <c r="AY1951" s="8"/>
    </row>
    <row r="1952" spans="1:51" ht="13.2" x14ac:dyDescent="0.25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8"/>
      <c r="AG1952" s="8"/>
      <c r="AH1952" s="8"/>
      <c r="AI1952" s="8"/>
      <c r="AJ1952" s="8"/>
      <c r="AK1952" s="8"/>
      <c r="AL1952" s="8"/>
      <c r="AM1952" s="8"/>
      <c r="AN1952" s="8"/>
      <c r="AO1952" s="8"/>
      <c r="AP1952" s="8"/>
      <c r="AQ1952" s="8"/>
      <c r="AR1952" s="8"/>
      <c r="AS1952" s="8"/>
      <c r="AT1952" s="8"/>
      <c r="AU1952" s="8"/>
      <c r="AV1952" s="8"/>
      <c r="AW1952" s="8"/>
      <c r="AX1952" s="8"/>
      <c r="AY1952" s="8"/>
    </row>
    <row r="1953" spans="1:51" ht="13.2" x14ac:dyDescent="0.25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8"/>
      <c r="AG1953" s="8"/>
      <c r="AH1953" s="8"/>
      <c r="AI1953" s="8"/>
      <c r="AJ1953" s="8"/>
      <c r="AK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Y1953" s="8"/>
    </row>
    <row r="1954" spans="1:51" ht="13.2" x14ac:dyDescent="0.25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8"/>
      <c r="AG1954" s="8"/>
      <c r="AH1954" s="8"/>
      <c r="AI1954" s="8"/>
      <c r="AJ1954" s="8"/>
      <c r="AK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Y1954" s="8"/>
    </row>
    <row r="1955" spans="1:51" ht="13.2" x14ac:dyDescent="0.25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8"/>
      <c r="AG1955" s="8"/>
      <c r="AH1955" s="8"/>
      <c r="AI1955" s="8"/>
      <c r="AJ1955" s="8"/>
      <c r="AK1955" s="8"/>
      <c r="AL1955" s="8"/>
      <c r="AM1955" s="8"/>
      <c r="AN1955" s="8"/>
      <c r="AO1955" s="8"/>
      <c r="AP1955" s="8"/>
      <c r="AQ1955" s="8"/>
      <c r="AR1955" s="8"/>
      <c r="AS1955" s="8"/>
      <c r="AT1955" s="8"/>
      <c r="AU1955" s="8"/>
      <c r="AV1955" s="8"/>
      <c r="AW1955" s="8"/>
      <c r="AX1955" s="8"/>
      <c r="AY1955" s="8"/>
    </row>
    <row r="1956" spans="1:51" ht="13.2" x14ac:dyDescent="0.25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8"/>
      <c r="AG1956" s="8"/>
      <c r="AH1956" s="8"/>
      <c r="AI1956" s="8"/>
      <c r="AJ1956" s="8"/>
      <c r="AK1956" s="8"/>
      <c r="AL1956" s="8"/>
      <c r="AM1956" s="8"/>
      <c r="AN1956" s="8"/>
      <c r="AO1956" s="8"/>
      <c r="AP1956" s="8"/>
      <c r="AQ1956" s="8"/>
      <c r="AR1956" s="8"/>
      <c r="AS1956" s="8"/>
      <c r="AT1956" s="8"/>
      <c r="AU1956" s="8"/>
      <c r="AV1956" s="8"/>
      <c r="AW1956" s="8"/>
      <c r="AX1956" s="8"/>
      <c r="AY1956" s="8"/>
    </row>
    <row r="1957" spans="1:51" ht="13.2" x14ac:dyDescent="0.25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8"/>
      <c r="AG1957" s="8"/>
      <c r="AH1957" s="8"/>
      <c r="AI1957" s="8"/>
      <c r="AJ1957" s="8"/>
      <c r="AK1957" s="8"/>
      <c r="AL1957" s="8"/>
      <c r="AM1957" s="8"/>
      <c r="AN1957" s="8"/>
      <c r="AO1957" s="8"/>
      <c r="AP1957" s="8"/>
      <c r="AQ1957" s="8"/>
      <c r="AR1957" s="8"/>
      <c r="AS1957" s="8"/>
      <c r="AT1957" s="8"/>
      <c r="AU1957" s="8"/>
      <c r="AV1957" s="8"/>
      <c r="AW1957" s="8"/>
      <c r="AX1957" s="8"/>
      <c r="AY1957" s="8"/>
    </row>
    <row r="1958" spans="1:51" ht="13.2" x14ac:dyDescent="0.25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8"/>
      <c r="AG1958" s="8"/>
      <c r="AH1958" s="8"/>
      <c r="AI1958" s="8"/>
      <c r="AJ1958" s="8"/>
      <c r="AK1958" s="8"/>
      <c r="AL1958" s="8"/>
      <c r="AM1958" s="8"/>
      <c r="AN1958" s="8"/>
      <c r="AO1958" s="8"/>
      <c r="AP1958" s="8"/>
      <c r="AQ1958" s="8"/>
      <c r="AR1958" s="8"/>
      <c r="AS1958" s="8"/>
      <c r="AT1958" s="8"/>
      <c r="AU1958" s="8"/>
      <c r="AV1958" s="8"/>
      <c r="AW1958" s="8"/>
      <c r="AX1958" s="8"/>
      <c r="AY1958" s="8"/>
    </row>
    <row r="1959" spans="1:51" ht="13.2" x14ac:dyDescent="0.25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8"/>
      <c r="AG1959" s="8"/>
      <c r="AH1959" s="8"/>
      <c r="AI1959" s="8"/>
      <c r="AJ1959" s="8"/>
      <c r="AK1959" s="8"/>
      <c r="AL1959" s="8"/>
      <c r="AM1959" s="8"/>
      <c r="AN1959" s="8"/>
      <c r="AO1959" s="8"/>
      <c r="AP1959" s="8"/>
      <c r="AQ1959" s="8"/>
      <c r="AR1959" s="8"/>
      <c r="AS1959" s="8"/>
      <c r="AT1959" s="8"/>
      <c r="AU1959" s="8"/>
      <c r="AV1959" s="8"/>
      <c r="AW1959" s="8"/>
      <c r="AX1959" s="8"/>
      <c r="AY1959" s="8"/>
    </row>
    <row r="1960" spans="1:51" ht="13.2" x14ac:dyDescent="0.25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8"/>
      <c r="AG1960" s="8"/>
      <c r="AH1960" s="8"/>
      <c r="AI1960" s="8"/>
      <c r="AJ1960" s="8"/>
      <c r="AK1960" s="8"/>
      <c r="AL1960" s="8"/>
      <c r="AM1960" s="8"/>
      <c r="AN1960" s="8"/>
      <c r="AO1960" s="8"/>
      <c r="AP1960" s="8"/>
      <c r="AQ1960" s="8"/>
      <c r="AR1960" s="8"/>
      <c r="AS1960" s="8"/>
      <c r="AT1960" s="8"/>
      <c r="AU1960" s="8"/>
      <c r="AV1960" s="8"/>
      <c r="AW1960" s="8"/>
      <c r="AX1960" s="8"/>
      <c r="AY1960" s="8"/>
    </row>
    <row r="1961" spans="1:51" ht="13.2" x14ac:dyDescent="0.25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8"/>
      <c r="AG1961" s="8"/>
      <c r="AH1961" s="8"/>
      <c r="AI1961" s="8"/>
      <c r="AJ1961" s="8"/>
      <c r="AK1961" s="8"/>
      <c r="AL1961" s="8"/>
      <c r="AM1961" s="8"/>
      <c r="AN1961" s="8"/>
      <c r="AO1961" s="8"/>
      <c r="AP1961" s="8"/>
      <c r="AQ1961" s="8"/>
      <c r="AR1961" s="8"/>
      <c r="AS1961" s="8"/>
      <c r="AT1961" s="8"/>
      <c r="AU1961" s="8"/>
      <c r="AV1961" s="8"/>
      <c r="AW1961" s="8"/>
      <c r="AX1961" s="8"/>
      <c r="AY1961" s="8"/>
    </row>
    <row r="1962" spans="1:51" ht="13.2" x14ac:dyDescent="0.25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8"/>
      <c r="AG1962" s="8"/>
      <c r="AH1962" s="8"/>
      <c r="AI1962" s="8"/>
      <c r="AJ1962" s="8"/>
      <c r="AK1962" s="8"/>
      <c r="AL1962" s="8"/>
      <c r="AM1962" s="8"/>
      <c r="AN1962" s="8"/>
      <c r="AO1962" s="8"/>
      <c r="AP1962" s="8"/>
      <c r="AQ1962" s="8"/>
      <c r="AR1962" s="8"/>
      <c r="AS1962" s="8"/>
      <c r="AT1962" s="8"/>
      <c r="AU1962" s="8"/>
      <c r="AV1962" s="8"/>
      <c r="AW1962" s="8"/>
      <c r="AX1962" s="8"/>
      <c r="AY1962" s="8"/>
    </row>
    <row r="1963" spans="1:51" ht="13.2" x14ac:dyDescent="0.25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8"/>
      <c r="AG1963" s="8"/>
      <c r="AH1963" s="8"/>
      <c r="AI1963" s="8"/>
      <c r="AJ1963" s="8"/>
      <c r="AK1963" s="8"/>
      <c r="AL1963" s="8"/>
      <c r="AM1963" s="8"/>
      <c r="AN1963" s="8"/>
      <c r="AO1963" s="8"/>
      <c r="AP1963" s="8"/>
      <c r="AQ1963" s="8"/>
      <c r="AR1963" s="8"/>
      <c r="AS1963" s="8"/>
      <c r="AT1963" s="8"/>
      <c r="AU1963" s="8"/>
      <c r="AV1963" s="8"/>
      <c r="AW1963" s="8"/>
      <c r="AX1963" s="8"/>
      <c r="AY1963" s="8"/>
    </row>
    <row r="1964" spans="1:51" ht="13.2" x14ac:dyDescent="0.25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8"/>
      <c r="AG1964" s="8"/>
      <c r="AH1964" s="8"/>
      <c r="AI1964" s="8"/>
      <c r="AJ1964" s="8"/>
      <c r="AK1964" s="8"/>
      <c r="AL1964" s="8"/>
      <c r="AM1964" s="8"/>
      <c r="AN1964" s="8"/>
      <c r="AO1964" s="8"/>
      <c r="AP1964" s="8"/>
      <c r="AQ1964" s="8"/>
      <c r="AR1964" s="8"/>
      <c r="AS1964" s="8"/>
      <c r="AT1964" s="8"/>
      <c r="AU1964" s="8"/>
      <c r="AV1964" s="8"/>
      <c r="AW1964" s="8"/>
      <c r="AX1964" s="8"/>
      <c r="AY1964" s="8"/>
    </row>
    <row r="1965" spans="1:51" ht="13.2" x14ac:dyDescent="0.25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8"/>
      <c r="AG1965" s="8"/>
      <c r="AH1965" s="8"/>
      <c r="AI1965" s="8"/>
      <c r="AJ1965" s="8"/>
      <c r="AK1965" s="8"/>
      <c r="AL1965" s="8"/>
      <c r="AM1965" s="8"/>
      <c r="AN1965" s="8"/>
      <c r="AO1965" s="8"/>
      <c r="AP1965" s="8"/>
      <c r="AQ1965" s="8"/>
      <c r="AR1965" s="8"/>
      <c r="AS1965" s="8"/>
      <c r="AT1965" s="8"/>
      <c r="AU1965" s="8"/>
      <c r="AV1965" s="8"/>
      <c r="AW1965" s="8"/>
      <c r="AX1965" s="8"/>
      <c r="AY1965" s="8"/>
    </row>
    <row r="1966" spans="1:51" ht="13.2" x14ac:dyDescent="0.25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8"/>
      <c r="AG1966" s="8"/>
      <c r="AH1966" s="8"/>
      <c r="AI1966" s="8"/>
      <c r="AJ1966" s="8"/>
      <c r="AK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Y1966" s="8"/>
    </row>
    <row r="1967" spans="1:51" ht="13.2" x14ac:dyDescent="0.25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8"/>
      <c r="AG1967" s="8"/>
      <c r="AH1967" s="8"/>
      <c r="AI1967" s="8"/>
      <c r="AJ1967" s="8"/>
      <c r="AK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Y1967" s="8"/>
    </row>
    <row r="1968" spans="1:51" ht="13.2" x14ac:dyDescent="0.25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8"/>
      <c r="AG1968" s="8"/>
      <c r="AH1968" s="8"/>
      <c r="AI1968" s="8"/>
      <c r="AJ1968" s="8"/>
      <c r="AK1968" s="8"/>
      <c r="AL1968" s="8"/>
      <c r="AM1968" s="8"/>
      <c r="AN1968" s="8"/>
      <c r="AO1968" s="8"/>
      <c r="AP1968" s="8"/>
      <c r="AQ1968" s="8"/>
      <c r="AR1968" s="8"/>
      <c r="AS1968" s="8"/>
      <c r="AT1968" s="8"/>
      <c r="AU1968" s="8"/>
      <c r="AV1968" s="8"/>
      <c r="AW1968" s="8"/>
      <c r="AX1968" s="8"/>
      <c r="AY1968" s="8"/>
    </row>
    <row r="1969" spans="1:51" ht="13.2" x14ac:dyDescent="0.25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8"/>
      <c r="AG1969" s="8"/>
      <c r="AH1969" s="8"/>
      <c r="AI1969" s="8"/>
      <c r="AJ1969" s="8"/>
      <c r="AK1969" s="8"/>
      <c r="AL1969" s="8"/>
      <c r="AM1969" s="8"/>
      <c r="AN1969" s="8"/>
      <c r="AO1969" s="8"/>
      <c r="AP1969" s="8"/>
      <c r="AQ1969" s="8"/>
      <c r="AR1969" s="8"/>
      <c r="AS1969" s="8"/>
      <c r="AT1969" s="8"/>
      <c r="AU1969" s="8"/>
      <c r="AV1969" s="8"/>
      <c r="AW1969" s="8"/>
      <c r="AX1969" s="8"/>
      <c r="AY1969" s="8"/>
    </row>
    <row r="1970" spans="1:51" ht="13.2" x14ac:dyDescent="0.25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8"/>
      <c r="AG1970" s="8"/>
      <c r="AH1970" s="8"/>
      <c r="AI1970" s="8"/>
      <c r="AJ1970" s="8"/>
      <c r="AK1970" s="8"/>
      <c r="AL1970" s="8"/>
      <c r="AM1970" s="8"/>
      <c r="AN1970" s="8"/>
      <c r="AO1970" s="8"/>
      <c r="AP1970" s="8"/>
      <c r="AQ1970" s="8"/>
      <c r="AR1970" s="8"/>
      <c r="AS1970" s="8"/>
      <c r="AT1970" s="8"/>
      <c r="AU1970" s="8"/>
      <c r="AV1970" s="8"/>
      <c r="AW1970" s="8"/>
      <c r="AX1970" s="8"/>
      <c r="AY1970" s="8"/>
    </row>
    <row r="1971" spans="1:51" ht="13.2" x14ac:dyDescent="0.25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8"/>
      <c r="AG1971" s="8"/>
      <c r="AH1971" s="8"/>
      <c r="AI1971" s="8"/>
      <c r="AJ1971" s="8"/>
      <c r="AK1971" s="8"/>
      <c r="AL1971" s="8"/>
      <c r="AM1971" s="8"/>
      <c r="AN1971" s="8"/>
      <c r="AO1971" s="8"/>
      <c r="AP1971" s="8"/>
      <c r="AQ1971" s="8"/>
      <c r="AR1971" s="8"/>
      <c r="AS1971" s="8"/>
      <c r="AT1971" s="8"/>
      <c r="AU1971" s="8"/>
      <c r="AV1971" s="8"/>
      <c r="AW1971" s="8"/>
      <c r="AX1971" s="8"/>
      <c r="AY1971" s="8"/>
    </row>
    <row r="1972" spans="1:51" ht="13.2" x14ac:dyDescent="0.25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8"/>
      <c r="AG1972" s="8"/>
      <c r="AH1972" s="8"/>
      <c r="AI1972" s="8"/>
      <c r="AJ1972" s="8"/>
      <c r="AK1972" s="8"/>
      <c r="AL1972" s="8"/>
      <c r="AM1972" s="8"/>
      <c r="AN1972" s="8"/>
      <c r="AO1972" s="8"/>
      <c r="AP1972" s="8"/>
      <c r="AQ1972" s="8"/>
      <c r="AR1972" s="8"/>
      <c r="AS1972" s="8"/>
      <c r="AT1972" s="8"/>
      <c r="AU1972" s="8"/>
      <c r="AV1972" s="8"/>
      <c r="AW1972" s="8"/>
      <c r="AX1972" s="8"/>
      <c r="AY1972" s="8"/>
    </row>
    <row r="1973" spans="1:51" ht="13.2" x14ac:dyDescent="0.25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8"/>
      <c r="AG1973" s="8"/>
      <c r="AH1973" s="8"/>
      <c r="AI1973" s="8"/>
      <c r="AJ1973" s="8"/>
      <c r="AK1973" s="8"/>
      <c r="AL1973" s="8"/>
      <c r="AM1973" s="8"/>
      <c r="AN1973" s="8"/>
      <c r="AO1973" s="8"/>
      <c r="AP1973" s="8"/>
      <c r="AQ1973" s="8"/>
      <c r="AR1973" s="8"/>
      <c r="AS1973" s="8"/>
      <c r="AT1973" s="8"/>
      <c r="AU1973" s="8"/>
      <c r="AV1973" s="8"/>
      <c r="AW1973" s="8"/>
      <c r="AX1973" s="8"/>
      <c r="AY1973" s="8"/>
    </row>
    <row r="1974" spans="1:51" ht="13.2" x14ac:dyDescent="0.25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8"/>
      <c r="AG1974" s="8"/>
      <c r="AH1974" s="8"/>
      <c r="AI1974" s="8"/>
      <c r="AJ1974" s="8"/>
      <c r="AK1974" s="8"/>
      <c r="AL1974" s="8"/>
      <c r="AM1974" s="8"/>
      <c r="AN1974" s="8"/>
      <c r="AO1974" s="8"/>
      <c r="AP1974" s="8"/>
      <c r="AQ1974" s="8"/>
      <c r="AR1974" s="8"/>
      <c r="AS1974" s="8"/>
      <c r="AT1974" s="8"/>
      <c r="AU1974" s="8"/>
      <c r="AV1974" s="8"/>
      <c r="AW1974" s="8"/>
      <c r="AX1974" s="8"/>
      <c r="AY1974" s="8"/>
    </row>
    <row r="1975" spans="1:51" ht="13.2" x14ac:dyDescent="0.25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8"/>
      <c r="AG1975" s="8"/>
      <c r="AH1975" s="8"/>
      <c r="AI1975" s="8"/>
      <c r="AJ1975" s="8"/>
      <c r="AK1975" s="8"/>
      <c r="AL1975" s="8"/>
      <c r="AM1975" s="8"/>
      <c r="AN1975" s="8"/>
      <c r="AO1975" s="8"/>
      <c r="AP1975" s="8"/>
      <c r="AQ1975" s="8"/>
      <c r="AR1975" s="8"/>
      <c r="AS1975" s="8"/>
      <c r="AT1975" s="8"/>
      <c r="AU1975" s="8"/>
      <c r="AV1975" s="8"/>
      <c r="AW1975" s="8"/>
      <c r="AX1975" s="8"/>
      <c r="AY1975" s="8"/>
    </row>
    <row r="1976" spans="1:51" ht="13.2" x14ac:dyDescent="0.25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8"/>
      <c r="AG1976" s="8"/>
      <c r="AH1976" s="8"/>
      <c r="AI1976" s="8"/>
      <c r="AJ1976" s="8"/>
      <c r="AK1976" s="8"/>
      <c r="AL1976" s="8"/>
      <c r="AM1976" s="8"/>
      <c r="AN1976" s="8"/>
      <c r="AO1976" s="8"/>
      <c r="AP1976" s="8"/>
      <c r="AQ1976" s="8"/>
      <c r="AR1976" s="8"/>
      <c r="AS1976" s="8"/>
      <c r="AT1976" s="8"/>
      <c r="AU1976" s="8"/>
      <c r="AV1976" s="8"/>
      <c r="AW1976" s="8"/>
      <c r="AX1976" s="8"/>
      <c r="AY1976" s="8"/>
    </row>
    <row r="1977" spans="1:51" ht="13.2" x14ac:dyDescent="0.25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8"/>
      <c r="AG1977" s="8"/>
      <c r="AH1977" s="8"/>
      <c r="AI1977" s="8"/>
      <c r="AJ1977" s="8"/>
      <c r="AK1977" s="8"/>
      <c r="AL1977" s="8"/>
      <c r="AM1977" s="8"/>
      <c r="AN1977" s="8"/>
      <c r="AO1977" s="8"/>
      <c r="AP1977" s="8"/>
      <c r="AQ1977" s="8"/>
      <c r="AR1977" s="8"/>
      <c r="AS1977" s="8"/>
      <c r="AT1977" s="8"/>
      <c r="AU1977" s="8"/>
      <c r="AV1977" s="8"/>
      <c r="AW1977" s="8"/>
      <c r="AX1977" s="8"/>
      <c r="AY1977" s="8"/>
    </row>
    <row r="1978" spans="1:51" ht="13.2" x14ac:dyDescent="0.25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8"/>
      <c r="AG1978" s="8"/>
      <c r="AH1978" s="8"/>
      <c r="AI1978" s="8"/>
      <c r="AJ1978" s="8"/>
      <c r="AK1978" s="8"/>
      <c r="AL1978" s="8"/>
      <c r="AM1978" s="8"/>
      <c r="AN1978" s="8"/>
      <c r="AO1978" s="8"/>
      <c r="AP1978" s="8"/>
      <c r="AQ1978" s="8"/>
      <c r="AR1978" s="8"/>
      <c r="AS1978" s="8"/>
      <c r="AT1978" s="8"/>
      <c r="AU1978" s="8"/>
      <c r="AV1978" s="8"/>
      <c r="AW1978" s="8"/>
      <c r="AX1978" s="8"/>
      <c r="AY1978" s="8"/>
    </row>
    <row r="1979" spans="1:51" ht="13.2" x14ac:dyDescent="0.25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8"/>
      <c r="AG1979" s="8"/>
      <c r="AH1979" s="8"/>
      <c r="AI1979" s="8"/>
      <c r="AJ1979" s="8"/>
      <c r="AK1979" s="8"/>
      <c r="AL1979" s="8"/>
      <c r="AM1979" s="8"/>
      <c r="AN1979" s="8"/>
      <c r="AO1979" s="8"/>
      <c r="AP1979" s="8"/>
      <c r="AQ1979" s="8"/>
      <c r="AR1979" s="8"/>
      <c r="AS1979" s="8"/>
      <c r="AT1979" s="8"/>
      <c r="AU1979" s="8"/>
      <c r="AV1979" s="8"/>
      <c r="AW1979" s="8"/>
      <c r="AX1979" s="8"/>
      <c r="AY1979" s="8"/>
    </row>
    <row r="1980" spans="1:51" ht="13.2" x14ac:dyDescent="0.25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8"/>
      <c r="AG1980" s="8"/>
      <c r="AH1980" s="8"/>
      <c r="AI1980" s="8"/>
      <c r="AJ1980" s="8"/>
      <c r="AK1980" s="8"/>
      <c r="AL1980" s="8"/>
      <c r="AM1980" s="8"/>
      <c r="AN1980" s="8"/>
      <c r="AO1980" s="8"/>
      <c r="AP1980" s="8"/>
      <c r="AQ1980" s="8"/>
      <c r="AR1980" s="8"/>
      <c r="AS1980" s="8"/>
      <c r="AT1980" s="8"/>
      <c r="AU1980" s="8"/>
      <c r="AV1980" s="8"/>
      <c r="AW1980" s="8"/>
      <c r="AX1980" s="8"/>
      <c r="AY1980" s="8"/>
    </row>
    <row r="1981" spans="1:51" ht="13.2" x14ac:dyDescent="0.25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8"/>
      <c r="AG1981" s="8"/>
      <c r="AH1981" s="8"/>
      <c r="AI1981" s="8"/>
      <c r="AJ1981" s="8"/>
      <c r="AK1981" s="8"/>
      <c r="AL1981" s="8"/>
      <c r="AM1981" s="8"/>
      <c r="AN1981" s="8"/>
      <c r="AO1981" s="8"/>
      <c r="AP1981" s="8"/>
      <c r="AQ1981" s="8"/>
      <c r="AR1981" s="8"/>
      <c r="AS1981" s="8"/>
      <c r="AT1981" s="8"/>
      <c r="AU1981" s="8"/>
      <c r="AV1981" s="8"/>
      <c r="AW1981" s="8"/>
      <c r="AX1981" s="8"/>
      <c r="AY1981" s="8"/>
    </row>
    <row r="1982" spans="1:51" ht="13.2" x14ac:dyDescent="0.25">
      <c r="A1982" s="12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8"/>
      <c r="AG1982" s="8"/>
      <c r="AH1982" s="8"/>
      <c r="AI1982" s="8"/>
      <c r="AJ1982" s="8"/>
      <c r="AK1982" s="8"/>
      <c r="AL1982" s="8"/>
      <c r="AM1982" s="8"/>
      <c r="AN1982" s="8"/>
      <c r="AO1982" s="8"/>
      <c r="AP1982" s="8"/>
      <c r="AQ1982" s="8"/>
      <c r="AR1982" s="8"/>
      <c r="AS1982" s="8"/>
      <c r="AT1982" s="8"/>
      <c r="AU1982" s="8"/>
      <c r="AV1982" s="8"/>
      <c r="AW1982" s="8"/>
      <c r="AX1982" s="8"/>
      <c r="AY1982" s="8"/>
    </row>
    <row r="1983" spans="1:51" ht="13.2" x14ac:dyDescent="0.25">
      <c r="A1983" s="12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8"/>
      <c r="AG1983" s="8"/>
      <c r="AH1983" s="8"/>
      <c r="AI1983" s="8"/>
      <c r="AJ1983" s="8"/>
      <c r="AK1983" s="8"/>
      <c r="AL1983" s="8"/>
      <c r="AM1983" s="8"/>
      <c r="AN1983" s="8"/>
      <c r="AO1983" s="8"/>
      <c r="AP1983" s="8"/>
      <c r="AQ1983" s="8"/>
      <c r="AR1983" s="8"/>
      <c r="AS1983" s="8"/>
      <c r="AT1983" s="8"/>
      <c r="AU1983" s="8"/>
      <c r="AV1983" s="8"/>
      <c r="AW1983" s="8"/>
      <c r="AX1983" s="8"/>
      <c r="AY1983" s="8"/>
    </row>
    <row r="1984" spans="1:51" ht="13.2" x14ac:dyDescent="0.25">
      <c r="A1984" s="12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8"/>
      <c r="AG1984" s="8"/>
      <c r="AH1984" s="8"/>
      <c r="AI1984" s="8"/>
      <c r="AJ1984" s="8"/>
      <c r="AK1984" s="8"/>
      <c r="AL1984" s="8"/>
      <c r="AM1984" s="8"/>
      <c r="AN1984" s="8"/>
      <c r="AO1984" s="8"/>
      <c r="AP1984" s="8"/>
      <c r="AQ1984" s="8"/>
      <c r="AR1984" s="8"/>
      <c r="AS1984" s="8"/>
      <c r="AT1984" s="8"/>
      <c r="AU1984" s="8"/>
      <c r="AV1984" s="8"/>
      <c r="AW1984" s="8"/>
      <c r="AX1984" s="8"/>
      <c r="AY1984" s="8"/>
    </row>
    <row r="1985" spans="1:51" ht="13.2" x14ac:dyDescent="0.25">
      <c r="A1985" s="12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8"/>
      <c r="AG1985" s="8"/>
      <c r="AH1985" s="8"/>
      <c r="AI1985" s="8"/>
      <c r="AJ1985" s="8"/>
      <c r="AK1985" s="8"/>
      <c r="AL1985" s="8"/>
      <c r="AM1985" s="8"/>
      <c r="AN1985" s="8"/>
      <c r="AO1985" s="8"/>
      <c r="AP1985" s="8"/>
      <c r="AQ1985" s="8"/>
      <c r="AR1985" s="8"/>
      <c r="AS1985" s="8"/>
      <c r="AT1985" s="8"/>
      <c r="AU1985" s="8"/>
      <c r="AV1985" s="8"/>
      <c r="AW1985" s="8"/>
      <c r="AX1985" s="8"/>
      <c r="AY1985" s="8"/>
    </row>
    <row r="1986" spans="1:51" ht="13.2" x14ac:dyDescent="0.25">
      <c r="A1986" s="12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8"/>
      <c r="AG1986" s="8"/>
      <c r="AH1986" s="8"/>
      <c r="AI1986" s="8"/>
      <c r="AJ1986" s="8"/>
      <c r="AK1986" s="8"/>
      <c r="AL1986" s="8"/>
      <c r="AM1986" s="8"/>
      <c r="AN1986" s="8"/>
      <c r="AO1986" s="8"/>
      <c r="AP1986" s="8"/>
      <c r="AQ1986" s="8"/>
      <c r="AR1986" s="8"/>
      <c r="AS1986" s="8"/>
      <c r="AT1986" s="8"/>
      <c r="AU1986" s="8"/>
      <c r="AV1986" s="8"/>
      <c r="AW1986" s="8"/>
      <c r="AX1986" s="8"/>
      <c r="AY1986" s="8"/>
    </row>
    <row r="1987" spans="1:51" ht="13.2" x14ac:dyDescent="0.25">
      <c r="A1987" s="12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8"/>
      <c r="AG1987" s="8"/>
      <c r="AH1987" s="8"/>
      <c r="AI1987" s="8"/>
      <c r="AJ1987" s="8"/>
      <c r="AK1987" s="8"/>
      <c r="AL1987" s="8"/>
      <c r="AM1987" s="8"/>
      <c r="AN1987" s="8"/>
      <c r="AO1987" s="8"/>
      <c r="AP1987" s="8"/>
      <c r="AQ1987" s="8"/>
      <c r="AR1987" s="8"/>
      <c r="AS1987" s="8"/>
      <c r="AT1987" s="8"/>
      <c r="AU1987" s="8"/>
      <c r="AV1987" s="8"/>
      <c r="AW1987" s="8"/>
      <c r="AX1987" s="8"/>
      <c r="AY1987" s="8"/>
    </row>
    <row r="1988" spans="1:51" ht="13.2" x14ac:dyDescent="0.25">
      <c r="A1988" s="12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8"/>
      <c r="AG1988" s="8"/>
      <c r="AH1988" s="8"/>
      <c r="AI1988" s="8"/>
      <c r="AJ1988" s="8"/>
      <c r="AK1988" s="8"/>
      <c r="AL1988" s="8"/>
      <c r="AM1988" s="8"/>
      <c r="AN1988" s="8"/>
      <c r="AO1988" s="8"/>
      <c r="AP1988" s="8"/>
      <c r="AQ1988" s="8"/>
      <c r="AR1988" s="8"/>
      <c r="AS1988" s="8"/>
      <c r="AT1988" s="8"/>
      <c r="AU1988" s="8"/>
      <c r="AV1988" s="8"/>
      <c r="AW1988" s="8"/>
      <c r="AX1988" s="8"/>
      <c r="AY1988" s="8"/>
    </row>
    <row r="1989" spans="1:51" ht="13.2" x14ac:dyDescent="0.25">
      <c r="A1989" s="12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8"/>
      <c r="AG1989" s="8"/>
      <c r="AH1989" s="8"/>
      <c r="AI1989" s="8"/>
      <c r="AJ1989" s="8"/>
      <c r="AK1989" s="8"/>
      <c r="AL1989" s="8"/>
      <c r="AM1989" s="8"/>
      <c r="AN1989" s="8"/>
      <c r="AO1989" s="8"/>
      <c r="AP1989" s="8"/>
      <c r="AQ1989" s="8"/>
      <c r="AR1989" s="8"/>
      <c r="AS1989" s="8"/>
      <c r="AT1989" s="8"/>
      <c r="AU1989" s="8"/>
      <c r="AV1989" s="8"/>
      <c r="AW1989" s="8"/>
      <c r="AX1989" s="8"/>
      <c r="AY1989" s="8"/>
    </row>
    <row r="1990" spans="1:51" ht="13.2" x14ac:dyDescent="0.25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8"/>
      <c r="AG1990" s="8"/>
      <c r="AH1990" s="8"/>
      <c r="AI1990" s="8"/>
      <c r="AJ1990" s="8"/>
      <c r="AK1990" s="8"/>
      <c r="AL1990" s="8"/>
      <c r="AM1990" s="8"/>
      <c r="AN1990" s="8"/>
      <c r="AO1990" s="8"/>
      <c r="AP1990" s="8"/>
      <c r="AQ1990" s="8"/>
      <c r="AR1990" s="8"/>
      <c r="AS1990" s="8"/>
      <c r="AT1990" s="8"/>
      <c r="AU1990" s="8"/>
      <c r="AV1990" s="8"/>
      <c r="AW1990" s="8"/>
      <c r="AX1990" s="8"/>
      <c r="AY1990" s="8"/>
    </row>
    <row r="1991" spans="1:51" ht="13.2" x14ac:dyDescent="0.25">
      <c r="A1991" s="12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8"/>
      <c r="AG1991" s="8"/>
      <c r="AH1991" s="8"/>
      <c r="AI1991" s="8"/>
      <c r="AJ1991" s="8"/>
      <c r="AK1991" s="8"/>
      <c r="AL1991" s="8"/>
      <c r="AM1991" s="8"/>
      <c r="AN1991" s="8"/>
      <c r="AO1991" s="8"/>
      <c r="AP1991" s="8"/>
      <c r="AQ1991" s="8"/>
      <c r="AR1991" s="8"/>
      <c r="AS1991" s="8"/>
      <c r="AT1991" s="8"/>
      <c r="AU1991" s="8"/>
      <c r="AV1991" s="8"/>
      <c r="AW1991" s="8"/>
      <c r="AX1991" s="8"/>
      <c r="AY1991" s="8"/>
    </row>
    <row r="1992" spans="1:51" ht="13.2" x14ac:dyDescent="0.25">
      <c r="A1992" s="12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8"/>
      <c r="AG1992" s="8"/>
      <c r="AH1992" s="8"/>
      <c r="AI1992" s="8"/>
      <c r="AJ1992" s="8"/>
      <c r="AK1992" s="8"/>
      <c r="AL1992" s="8"/>
      <c r="AM1992" s="8"/>
      <c r="AN1992" s="8"/>
      <c r="AO1992" s="8"/>
      <c r="AP1992" s="8"/>
      <c r="AQ1992" s="8"/>
      <c r="AR1992" s="8"/>
      <c r="AS1992" s="8"/>
      <c r="AT1992" s="8"/>
      <c r="AU1992" s="8"/>
      <c r="AV1992" s="8"/>
      <c r="AW1992" s="8"/>
      <c r="AX1992" s="8"/>
      <c r="AY1992" s="8"/>
    </row>
    <row r="1993" spans="1:51" ht="13.2" x14ac:dyDescent="0.25">
      <c r="A1993" s="12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8"/>
      <c r="AG1993" s="8"/>
      <c r="AH1993" s="8"/>
      <c r="AI1993" s="8"/>
      <c r="AJ1993" s="8"/>
      <c r="AK1993" s="8"/>
      <c r="AL1993" s="8"/>
      <c r="AM1993" s="8"/>
      <c r="AN1993" s="8"/>
      <c r="AO1993" s="8"/>
      <c r="AP1993" s="8"/>
      <c r="AQ1993" s="8"/>
      <c r="AR1993" s="8"/>
      <c r="AS1993" s="8"/>
      <c r="AT1993" s="8"/>
      <c r="AU1993" s="8"/>
      <c r="AV1993" s="8"/>
      <c r="AW1993" s="8"/>
      <c r="AX1993" s="8"/>
      <c r="AY1993" s="8"/>
    </row>
    <row r="1994" spans="1:51" ht="13.2" x14ac:dyDescent="0.25">
      <c r="A1994" s="12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8"/>
      <c r="AG1994" s="8"/>
      <c r="AH1994" s="8"/>
      <c r="AI1994" s="8"/>
      <c r="AJ1994" s="8"/>
      <c r="AK1994" s="8"/>
      <c r="AL1994" s="8"/>
      <c r="AM1994" s="8"/>
      <c r="AN1994" s="8"/>
      <c r="AO1994" s="8"/>
      <c r="AP1994" s="8"/>
      <c r="AQ1994" s="8"/>
      <c r="AR1994" s="8"/>
      <c r="AS1994" s="8"/>
      <c r="AT1994" s="8"/>
      <c r="AU1994" s="8"/>
      <c r="AV1994" s="8"/>
      <c r="AW1994" s="8"/>
      <c r="AX1994" s="8"/>
      <c r="AY1994" s="8"/>
    </row>
    <row r="1995" spans="1:51" ht="13.2" x14ac:dyDescent="0.25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8"/>
      <c r="AG1995" s="8"/>
      <c r="AH1995" s="8"/>
      <c r="AI1995" s="8"/>
      <c r="AJ1995" s="8"/>
      <c r="AK1995" s="8"/>
      <c r="AL1995" s="8"/>
      <c r="AM1995" s="8"/>
      <c r="AN1995" s="8"/>
      <c r="AO1995" s="8"/>
      <c r="AP1995" s="8"/>
      <c r="AQ1995" s="8"/>
      <c r="AR1995" s="8"/>
      <c r="AS1995" s="8"/>
      <c r="AT1995" s="8"/>
      <c r="AU1995" s="8"/>
      <c r="AV1995" s="8"/>
      <c r="AW1995" s="8"/>
      <c r="AX1995" s="8"/>
      <c r="AY1995" s="8"/>
    </row>
    <row r="1996" spans="1:51" ht="13.2" x14ac:dyDescent="0.25">
      <c r="A1996" s="12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8"/>
      <c r="AG1996" s="8"/>
      <c r="AH1996" s="8"/>
      <c r="AI1996" s="8"/>
      <c r="AJ1996" s="8"/>
      <c r="AK1996" s="8"/>
      <c r="AL1996" s="8"/>
      <c r="AM1996" s="8"/>
      <c r="AN1996" s="8"/>
      <c r="AO1996" s="8"/>
      <c r="AP1996" s="8"/>
      <c r="AQ1996" s="8"/>
      <c r="AR1996" s="8"/>
      <c r="AS1996" s="8"/>
      <c r="AT1996" s="8"/>
      <c r="AU1996" s="8"/>
      <c r="AV1996" s="8"/>
      <c r="AW1996" s="8"/>
      <c r="AX1996" s="8"/>
      <c r="AY1996" s="8"/>
    </row>
    <row r="1997" spans="1:51" ht="13.2" x14ac:dyDescent="0.25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8"/>
      <c r="AG1997" s="8"/>
      <c r="AH1997" s="8"/>
      <c r="AI1997" s="8"/>
      <c r="AJ1997" s="8"/>
      <c r="AK1997" s="8"/>
      <c r="AL1997" s="8"/>
      <c r="AM1997" s="8"/>
      <c r="AN1997" s="8"/>
      <c r="AO1997" s="8"/>
      <c r="AP1997" s="8"/>
      <c r="AQ1997" s="8"/>
      <c r="AR1997" s="8"/>
      <c r="AS1997" s="8"/>
      <c r="AT1997" s="8"/>
      <c r="AU1997" s="8"/>
      <c r="AV1997" s="8"/>
      <c r="AW1997" s="8"/>
      <c r="AX1997" s="8"/>
      <c r="AY1997" s="8"/>
    </row>
    <row r="1998" spans="1:51" ht="13.2" x14ac:dyDescent="0.25">
      <c r="A1998" s="12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8"/>
      <c r="AG1998" s="8"/>
      <c r="AH1998" s="8"/>
      <c r="AI1998" s="8"/>
      <c r="AJ1998" s="8"/>
      <c r="AK1998" s="8"/>
      <c r="AL1998" s="8"/>
      <c r="AM1998" s="8"/>
      <c r="AN1998" s="8"/>
      <c r="AO1998" s="8"/>
      <c r="AP1998" s="8"/>
      <c r="AQ1998" s="8"/>
      <c r="AR1998" s="8"/>
      <c r="AS1998" s="8"/>
      <c r="AT1998" s="8"/>
      <c r="AU1998" s="8"/>
      <c r="AV1998" s="8"/>
      <c r="AW1998" s="8"/>
      <c r="AX1998" s="8"/>
      <c r="AY1998" s="8"/>
    </row>
    <row r="1999" spans="1:51" ht="13.2" x14ac:dyDescent="0.25">
      <c r="A1999" s="12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8"/>
      <c r="AG1999" s="8"/>
      <c r="AH1999" s="8"/>
      <c r="AI1999" s="8"/>
      <c r="AJ1999" s="8"/>
      <c r="AK1999" s="8"/>
      <c r="AL1999" s="8"/>
      <c r="AM1999" s="8"/>
      <c r="AN1999" s="8"/>
      <c r="AO1999" s="8"/>
      <c r="AP1999" s="8"/>
      <c r="AQ1999" s="8"/>
      <c r="AR1999" s="8"/>
      <c r="AS1999" s="8"/>
      <c r="AT1999" s="8"/>
      <c r="AU1999" s="8"/>
      <c r="AV1999" s="8"/>
      <c r="AW1999" s="8"/>
      <c r="AX1999" s="8"/>
      <c r="AY1999" s="8"/>
    </row>
    <row r="2000" spans="1:51" ht="13.2" x14ac:dyDescent="0.25">
      <c r="A2000" s="12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8"/>
      <c r="AG2000" s="8"/>
      <c r="AH2000" s="8"/>
      <c r="AI2000" s="8"/>
      <c r="AJ2000" s="8"/>
      <c r="AK2000" s="8"/>
      <c r="AL2000" s="8"/>
      <c r="AM2000" s="8"/>
      <c r="AN2000" s="8"/>
      <c r="AO2000" s="8"/>
      <c r="AP2000" s="8"/>
      <c r="AQ2000" s="8"/>
      <c r="AR2000" s="8"/>
      <c r="AS2000" s="8"/>
      <c r="AT2000" s="8"/>
      <c r="AU2000" s="8"/>
      <c r="AV2000" s="8"/>
      <c r="AW2000" s="8"/>
      <c r="AX2000" s="8"/>
      <c r="AY2000" s="8"/>
    </row>
    <row r="2001" spans="1:51" ht="13.2" x14ac:dyDescent="0.25">
      <c r="A2001" s="12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8"/>
      <c r="AG2001" s="8"/>
      <c r="AH2001" s="8"/>
      <c r="AI2001" s="8"/>
      <c r="AJ2001" s="8"/>
      <c r="AK2001" s="8"/>
      <c r="AL2001" s="8"/>
      <c r="AM2001" s="8"/>
      <c r="AN2001" s="8"/>
      <c r="AO2001" s="8"/>
      <c r="AP2001" s="8"/>
      <c r="AQ2001" s="8"/>
      <c r="AR2001" s="8"/>
      <c r="AS2001" s="8"/>
      <c r="AT2001" s="8"/>
      <c r="AU2001" s="8"/>
      <c r="AV2001" s="8"/>
      <c r="AW2001" s="8"/>
      <c r="AX2001" s="8"/>
      <c r="AY2001" s="8"/>
    </row>
    <row r="2002" spans="1:51" ht="13.2" x14ac:dyDescent="0.25">
      <c r="A2002" s="12"/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8"/>
      <c r="AG2002" s="8"/>
      <c r="AH2002" s="8"/>
      <c r="AI2002" s="8"/>
      <c r="AJ2002" s="8"/>
      <c r="AK2002" s="8"/>
      <c r="AL2002" s="8"/>
      <c r="AM2002" s="8"/>
      <c r="AN2002" s="8"/>
      <c r="AO2002" s="8"/>
      <c r="AP2002" s="8"/>
      <c r="AQ2002" s="8"/>
      <c r="AR2002" s="8"/>
      <c r="AS2002" s="8"/>
      <c r="AT2002" s="8"/>
      <c r="AU2002" s="8"/>
      <c r="AV2002" s="8"/>
      <c r="AW2002" s="8"/>
      <c r="AX2002" s="8"/>
      <c r="AY2002" s="8"/>
    </row>
    <row r="2003" spans="1:51" ht="13.2" x14ac:dyDescent="0.25">
      <c r="A2003" s="12"/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8"/>
      <c r="AG2003" s="8"/>
      <c r="AH2003" s="8"/>
      <c r="AI2003" s="8"/>
      <c r="AJ2003" s="8"/>
      <c r="AK2003" s="8"/>
      <c r="AL2003" s="8"/>
      <c r="AM2003" s="8"/>
      <c r="AN2003" s="8"/>
      <c r="AO2003" s="8"/>
      <c r="AP2003" s="8"/>
      <c r="AQ2003" s="8"/>
      <c r="AR2003" s="8"/>
      <c r="AS2003" s="8"/>
      <c r="AT2003" s="8"/>
      <c r="AU2003" s="8"/>
      <c r="AV2003" s="8"/>
      <c r="AW2003" s="8"/>
      <c r="AX2003" s="8"/>
      <c r="AY2003" s="8"/>
    </row>
    <row r="2004" spans="1:51" ht="13.2" x14ac:dyDescent="0.25">
      <c r="A2004" s="12"/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8"/>
      <c r="AG2004" s="8"/>
      <c r="AH2004" s="8"/>
      <c r="AI2004" s="8"/>
      <c r="AJ2004" s="8"/>
      <c r="AK2004" s="8"/>
      <c r="AL2004" s="8"/>
      <c r="AM2004" s="8"/>
      <c r="AN2004" s="8"/>
      <c r="AO2004" s="8"/>
      <c r="AP2004" s="8"/>
      <c r="AQ2004" s="8"/>
      <c r="AR2004" s="8"/>
      <c r="AS2004" s="8"/>
      <c r="AT2004" s="8"/>
      <c r="AU2004" s="8"/>
      <c r="AV2004" s="8"/>
      <c r="AW2004" s="8"/>
      <c r="AX2004" s="8"/>
      <c r="AY2004" s="8"/>
    </row>
    <row r="2005" spans="1:51" ht="13.2" x14ac:dyDescent="0.25">
      <c r="A2005" s="12"/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8"/>
      <c r="AG2005" s="8"/>
      <c r="AH2005" s="8"/>
      <c r="AI2005" s="8"/>
      <c r="AJ2005" s="8"/>
      <c r="AK2005" s="8"/>
      <c r="AL2005" s="8"/>
      <c r="AM2005" s="8"/>
      <c r="AN2005" s="8"/>
      <c r="AO2005" s="8"/>
      <c r="AP2005" s="8"/>
      <c r="AQ2005" s="8"/>
      <c r="AR2005" s="8"/>
      <c r="AS2005" s="8"/>
      <c r="AT2005" s="8"/>
      <c r="AU2005" s="8"/>
      <c r="AV2005" s="8"/>
      <c r="AW2005" s="8"/>
      <c r="AX2005" s="8"/>
      <c r="AY2005" s="8"/>
    </row>
    <row r="2006" spans="1:51" ht="13.2" x14ac:dyDescent="0.25">
      <c r="A2006" s="12"/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8"/>
      <c r="AG2006" s="8"/>
      <c r="AH2006" s="8"/>
      <c r="AI2006" s="8"/>
      <c r="AJ2006" s="8"/>
      <c r="AK2006" s="8"/>
      <c r="AL2006" s="8"/>
      <c r="AM2006" s="8"/>
      <c r="AN2006" s="8"/>
      <c r="AO2006" s="8"/>
      <c r="AP2006" s="8"/>
      <c r="AQ2006" s="8"/>
      <c r="AR2006" s="8"/>
      <c r="AS2006" s="8"/>
      <c r="AT2006" s="8"/>
      <c r="AU2006" s="8"/>
      <c r="AV2006" s="8"/>
      <c r="AW2006" s="8"/>
      <c r="AX2006" s="8"/>
      <c r="AY2006" s="8"/>
    </row>
    <row r="2007" spans="1:51" ht="13.2" x14ac:dyDescent="0.25">
      <c r="A2007" s="12"/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8"/>
      <c r="AG2007" s="8"/>
      <c r="AH2007" s="8"/>
      <c r="AI2007" s="8"/>
      <c r="AJ2007" s="8"/>
      <c r="AK2007" s="8"/>
      <c r="AL2007" s="8"/>
      <c r="AM2007" s="8"/>
      <c r="AN2007" s="8"/>
      <c r="AO2007" s="8"/>
      <c r="AP2007" s="8"/>
      <c r="AQ2007" s="8"/>
      <c r="AR2007" s="8"/>
      <c r="AS2007" s="8"/>
      <c r="AT2007" s="8"/>
      <c r="AU2007" s="8"/>
      <c r="AV2007" s="8"/>
      <c r="AW2007" s="8"/>
      <c r="AX2007" s="8"/>
      <c r="AY2007" s="8"/>
    </row>
    <row r="2008" spans="1:51" ht="13.2" x14ac:dyDescent="0.25">
      <c r="A2008" s="12"/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8"/>
      <c r="AG2008" s="8"/>
      <c r="AH2008" s="8"/>
      <c r="AI2008" s="8"/>
      <c r="AJ2008" s="8"/>
      <c r="AK2008" s="8"/>
      <c r="AL2008" s="8"/>
      <c r="AM2008" s="8"/>
      <c r="AN2008" s="8"/>
      <c r="AO2008" s="8"/>
      <c r="AP2008" s="8"/>
      <c r="AQ2008" s="8"/>
      <c r="AR2008" s="8"/>
      <c r="AS2008" s="8"/>
      <c r="AT2008" s="8"/>
      <c r="AU2008" s="8"/>
      <c r="AV2008" s="8"/>
      <c r="AW2008" s="8"/>
      <c r="AX2008" s="8"/>
      <c r="AY2008" s="8"/>
    </row>
    <row r="2009" spans="1:51" ht="13.2" x14ac:dyDescent="0.25">
      <c r="A2009" s="12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8"/>
      <c r="AG2009" s="8"/>
      <c r="AH2009" s="8"/>
      <c r="AI2009" s="8"/>
      <c r="AJ2009" s="8"/>
      <c r="AK2009" s="8"/>
      <c r="AL2009" s="8"/>
      <c r="AM2009" s="8"/>
      <c r="AN2009" s="8"/>
      <c r="AO2009" s="8"/>
      <c r="AP2009" s="8"/>
      <c r="AQ2009" s="8"/>
      <c r="AR2009" s="8"/>
      <c r="AS2009" s="8"/>
      <c r="AT2009" s="8"/>
      <c r="AU2009" s="8"/>
      <c r="AV2009" s="8"/>
      <c r="AW2009" s="8"/>
      <c r="AX2009" s="8"/>
      <c r="AY2009" s="8"/>
    </row>
    <row r="2010" spans="1:51" ht="13.2" x14ac:dyDescent="0.25">
      <c r="A2010" s="12"/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8"/>
      <c r="AG2010" s="8"/>
      <c r="AH2010" s="8"/>
      <c r="AI2010" s="8"/>
      <c r="AJ2010" s="8"/>
      <c r="AK2010" s="8"/>
      <c r="AL2010" s="8"/>
      <c r="AM2010" s="8"/>
      <c r="AN2010" s="8"/>
      <c r="AO2010" s="8"/>
      <c r="AP2010" s="8"/>
      <c r="AQ2010" s="8"/>
      <c r="AR2010" s="8"/>
      <c r="AS2010" s="8"/>
      <c r="AT2010" s="8"/>
      <c r="AU2010" s="8"/>
      <c r="AV2010" s="8"/>
      <c r="AW2010" s="8"/>
      <c r="AX2010" s="8"/>
      <c r="AY2010" s="8"/>
    </row>
    <row r="2011" spans="1:51" ht="13.2" x14ac:dyDescent="0.25">
      <c r="A2011" s="12"/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8"/>
      <c r="AG2011" s="8"/>
      <c r="AH2011" s="8"/>
      <c r="AI2011" s="8"/>
      <c r="AJ2011" s="8"/>
      <c r="AK2011" s="8"/>
      <c r="AL2011" s="8"/>
      <c r="AM2011" s="8"/>
      <c r="AN2011" s="8"/>
      <c r="AO2011" s="8"/>
      <c r="AP2011" s="8"/>
      <c r="AQ2011" s="8"/>
      <c r="AR2011" s="8"/>
      <c r="AS2011" s="8"/>
      <c r="AT2011" s="8"/>
      <c r="AU2011" s="8"/>
      <c r="AV2011" s="8"/>
      <c r="AW2011" s="8"/>
      <c r="AX2011" s="8"/>
      <c r="AY2011" s="8"/>
    </row>
    <row r="2012" spans="1:51" ht="13.2" x14ac:dyDescent="0.25">
      <c r="A2012" s="12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8"/>
      <c r="AG2012" s="8"/>
      <c r="AH2012" s="8"/>
      <c r="AI2012" s="8"/>
      <c r="AJ2012" s="8"/>
      <c r="AK2012" s="8"/>
      <c r="AL2012" s="8"/>
      <c r="AM2012" s="8"/>
      <c r="AN2012" s="8"/>
      <c r="AO2012" s="8"/>
      <c r="AP2012" s="8"/>
      <c r="AQ2012" s="8"/>
      <c r="AR2012" s="8"/>
      <c r="AS2012" s="8"/>
      <c r="AT2012" s="8"/>
      <c r="AU2012" s="8"/>
      <c r="AV2012" s="8"/>
      <c r="AW2012" s="8"/>
      <c r="AX2012" s="8"/>
      <c r="AY2012" s="8"/>
    </row>
    <row r="2013" spans="1:51" ht="13.2" x14ac:dyDescent="0.25">
      <c r="A2013" s="12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8"/>
      <c r="AG2013" s="8"/>
      <c r="AH2013" s="8"/>
      <c r="AI2013" s="8"/>
      <c r="AJ2013" s="8"/>
      <c r="AK2013" s="8"/>
      <c r="AL2013" s="8"/>
      <c r="AM2013" s="8"/>
      <c r="AN2013" s="8"/>
      <c r="AO2013" s="8"/>
      <c r="AP2013" s="8"/>
      <c r="AQ2013" s="8"/>
      <c r="AR2013" s="8"/>
      <c r="AS2013" s="8"/>
      <c r="AT2013" s="8"/>
      <c r="AU2013" s="8"/>
      <c r="AV2013" s="8"/>
      <c r="AW2013" s="8"/>
      <c r="AX2013" s="8"/>
      <c r="AY2013" s="8"/>
    </row>
    <row r="2014" spans="1:51" ht="13.2" x14ac:dyDescent="0.25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8"/>
      <c r="AG2014" s="8"/>
      <c r="AH2014" s="8"/>
      <c r="AI2014" s="8"/>
      <c r="AJ2014" s="8"/>
      <c r="AK2014" s="8"/>
      <c r="AL2014" s="8"/>
      <c r="AM2014" s="8"/>
      <c r="AN2014" s="8"/>
      <c r="AO2014" s="8"/>
      <c r="AP2014" s="8"/>
      <c r="AQ2014" s="8"/>
      <c r="AR2014" s="8"/>
      <c r="AS2014" s="8"/>
      <c r="AT2014" s="8"/>
      <c r="AU2014" s="8"/>
      <c r="AV2014" s="8"/>
      <c r="AW2014" s="8"/>
      <c r="AX2014" s="8"/>
      <c r="AY2014" s="8"/>
    </row>
    <row r="2015" spans="1:51" ht="13.2" x14ac:dyDescent="0.25">
      <c r="A2015" s="12"/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8"/>
      <c r="AG2015" s="8"/>
      <c r="AH2015" s="8"/>
      <c r="AI2015" s="8"/>
      <c r="AJ2015" s="8"/>
      <c r="AK2015" s="8"/>
      <c r="AL2015" s="8"/>
      <c r="AM2015" s="8"/>
      <c r="AN2015" s="8"/>
      <c r="AO2015" s="8"/>
      <c r="AP2015" s="8"/>
      <c r="AQ2015" s="8"/>
      <c r="AR2015" s="8"/>
      <c r="AS2015" s="8"/>
      <c r="AT2015" s="8"/>
      <c r="AU2015" s="8"/>
      <c r="AV2015" s="8"/>
      <c r="AW2015" s="8"/>
      <c r="AX2015" s="8"/>
      <c r="AY2015" s="8"/>
    </row>
    <row r="2016" spans="1:51" ht="13.2" x14ac:dyDescent="0.25">
      <c r="A2016" s="12"/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8"/>
      <c r="AG2016" s="8"/>
      <c r="AH2016" s="8"/>
      <c r="AI2016" s="8"/>
      <c r="AJ2016" s="8"/>
      <c r="AK2016" s="8"/>
      <c r="AL2016" s="8"/>
      <c r="AM2016" s="8"/>
      <c r="AN2016" s="8"/>
      <c r="AO2016" s="8"/>
      <c r="AP2016" s="8"/>
      <c r="AQ2016" s="8"/>
      <c r="AR2016" s="8"/>
      <c r="AS2016" s="8"/>
      <c r="AT2016" s="8"/>
      <c r="AU2016" s="8"/>
      <c r="AV2016" s="8"/>
      <c r="AW2016" s="8"/>
      <c r="AX2016" s="8"/>
      <c r="AY2016" s="8"/>
    </row>
    <row r="2017" spans="1:51" ht="13.2" x14ac:dyDescent="0.25">
      <c r="A2017" s="12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8"/>
      <c r="AG2017" s="8"/>
      <c r="AH2017" s="8"/>
      <c r="AI2017" s="8"/>
      <c r="AJ2017" s="8"/>
      <c r="AK2017" s="8"/>
      <c r="AL2017" s="8"/>
      <c r="AM2017" s="8"/>
      <c r="AN2017" s="8"/>
      <c r="AO2017" s="8"/>
      <c r="AP2017" s="8"/>
      <c r="AQ2017" s="8"/>
      <c r="AR2017" s="8"/>
      <c r="AS2017" s="8"/>
      <c r="AT2017" s="8"/>
      <c r="AU2017" s="8"/>
      <c r="AV2017" s="8"/>
      <c r="AW2017" s="8"/>
      <c r="AX2017" s="8"/>
      <c r="AY2017" s="8"/>
    </row>
    <row r="2018" spans="1:51" ht="13.2" x14ac:dyDescent="0.25">
      <c r="A2018" s="12"/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8"/>
      <c r="AG2018" s="8"/>
      <c r="AH2018" s="8"/>
      <c r="AI2018" s="8"/>
      <c r="AJ2018" s="8"/>
      <c r="AK2018" s="8"/>
      <c r="AL2018" s="8"/>
      <c r="AM2018" s="8"/>
      <c r="AN2018" s="8"/>
      <c r="AO2018" s="8"/>
      <c r="AP2018" s="8"/>
      <c r="AQ2018" s="8"/>
      <c r="AR2018" s="8"/>
      <c r="AS2018" s="8"/>
      <c r="AT2018" s="8"/>
      <c r="AU2018" s="8"/>
      <c r="AV2018" s="8"/>
      <c r="AW2018" s="8"/>
      <c r="AX2018" s="8"/>
      <c r="AY2018" s="8"/>
    </row>
    <row r="2019" spans="1:51" ht="13.2" x14ac:dyDescent="0.25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8"/>
      <c r="AG2019" s="8"/>
      <c r="AH2019" s="8"/>
      <c r="AI2019" s="8"/>
      <c r="AJ2019" s="8"/>
      <c r="AK2019" s="8"/>
      <c r="AL2019" s="8"/>
      <c r="AM2019" s="8"/>
      <c r="AN2019" s="8"/>
      <c r="AO2019" s="8"/>
      <c r="AP2019" s="8"/>
      <c r="AQ2019" s="8"/>
      <c r="AR2019" s="8"/>
      <c r="AS2019" s="8"/>
      <c r="AT2019" s="8"/>
      <c r="AU2019" s="8"/>
      <c r="AV2019" s="8"/>
      <c r="AW2019" s="8"/>
      <c r="AX2019" s="8"/>
      <c r="AY2019" s="8"/>
    </row>
    <row r="2020" spans="1:51" ht="13.2" x14ac:dyDescent="0.25">
      <c r="A2020" s="12"/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8"/>
      <c r="AG2020" s="8"/>
      <c r="AH2020" s="8"/>
      <c r="AI2020" s="8"/>
      <c r="AJ2020" s="8"/>
      <c r="AK2020" s="8"/>
      <c r="AL2020" s="8"/>
      <c r="AM2020" s="8"/>
      <c r="AN2020" s="8"/>
      <c r="AO2020" s="8"/>
      <c r="AP2020" s="8"/>
      <c r="AQ2020" s="8"/>
      <c r="AR2020" s="8"/>
      <c r="AS2020" s="8"/>
      <c r="AT2020" s="8"/>
      <c r="AU2020" s="8"/>
      <c r="AV2020" s="8"/>
      <c r="AW2020" s="8"/>
      <c r="AX2020" s="8"/>
      <c r="AY2020" s="8"/>
    </row>
    <row r="2021" spans="1:51" ht="13.2" x14ac:dyDescent="0.25">
      <c r="A2021" s="12"/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8"/>
      <c r="AG2021" s="8"/>
      <c r="AH2021" s="8"/>
      <c r="AI2021" s="8"/>
      <c r="AJ2021" s="8"/>
      <c r="AK2021" s="8"/>
      <c r="AL2021" s="8"/>
      <c r="AM2021" s="8"/>
      <c r="AN2021" s="8"/>
      <c r="AO2021" s="8"/>
      <c r="AP2021" s="8"/>
      <c r="AQ2021" s="8"/>
      <c r="AR2021" s="8"/>
      <c r="AS2021" s="8"/>
      <c r="AT2021" s="8"/>
      <c r="AU2021" s="8"/>
      <c r="AV2021" s="8"/>
      <c r="AW2021" s="8"/>
      <c r="AX2021" s="8"/>
      <c r="AY2021" s="8"/>
    </row>
    <row r="2022" spans="1:51" ht="13.2" x14ac:dyDescent="0.25">
      <c r="A2022" s="12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8"/>
      <c r="AG2022" s="8"/>
      <c r="AH2022" s="8"/>
      <c r="AI2022" s="8"/>
      <c r="AJ2022" s="8"/>
      <c r="AK2022" s="8"/>
      <c r="AL2022" s="8"/>
      <c r="AM2022" s="8"/>
      <c r="AN2022" s="8"/>
      <c r="AO2022" s="8"/>
      <c r="AP2022" s="8"/>
      <c r="AQ2022" s="8"/>
      <c r="AR2022" s="8"/>
      <c r="AS2022" s="8"/>
      <c r="AT2022" s="8"/>
      <c r="AU2022" s="8"/>
      <c r="AV2022" s="8"/>
      <c r="AW2022" s="8"/>
      <c r="AX2022" s="8"/>
      <c r="AY2022" s="8"/>
    </row>
    <row r="2023" spans="1:51" ht="13.2" x14ac:dyDescent="0.25">
      <c r="A2023" s="12"/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8"/>
      <c r="AG2023" s="8"/>
      <c r="AH2023" s="8"/>
      <c r="AI2023" s="8"/>
      <c r="AJ2023" s="8"/>
      <c r="AK2023" s="8"/>
      <c r="AL2023" s="8"/>
      <c r="AM2023" s="8"/>
      <c r="AN2023" s="8"/>
      <c r="AO2023" s="8"/>
      <c r="AP2023" s="8"/>
      <c r="AQ2023" s="8"/>
      <c r="AR2023" s="8"/>
      <c r="AS2023" s="8"/>
      <c r="AT2023" s="8"/>
      <c r="AU2023" s="8"/>
      <c r="AV2023" s="8"/>
      <c r="AW2023" s="8"/>
      <c r="AX2023" s="8"/>
      <c r="AY2023" s="8"/>
    </row>
    <row r="2024" spans="1:51" ht="13.2" x14ac:dyDescent="0.25">
      <c r="A2024" s="12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8"/>
      <c r="AG2024" s="8"/>
      <c r="AH2024" s="8"/>
      <c r="AI2024" s="8"/>
      <c r="AJ2024" s="8"/>
      <c r="AK2024" s="8"/>
      <c r="AL2024" s="8"/>
      <c r="AM2024" s="8"/>
      <c r="AN2024" s="8"/>
      <c r="AO2024" s="8"/>
      <c r="AP2024" s="8"/>
      <c r="AQ2024" s="8"/>
      <c r="AR2024" s="8"/>
      <c r="AS2024" s="8"/>
      <c r="AT2024" s="8"/>
      <c r="AU2024" s="8"/>
      <c r="AV2024" s="8"/>
      <c r="AW2024" s="8"/>
      <c r="AX2024" s="8"/>
      <c r="AY2024" s="8"/>
    </row>
    <row r="2025" spans="1:51" ht="13.2" x14ac:dyDescent="0.25">
      <c r="A2025" s="12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8"/>
      <c r="AG2025" s="8"/>
      <c r="AH2025" s="8"/>
      <c r="AI2025" s="8"/>
      <c r="AJ2025" s="8"/>
      <c r="AK2025" s="8"/>
      <c r="AL2025" s="8"/>
      <c r="AM2025" s="8"/>
      <c r="AN2025" s="8"/>
      <c r="AO2025" s="8"/>
      <c r="AP2025" s="8"/>
      <c r="AQ2025" s="8"/>
      <c r="AR2025" s="8"/>
      <c r="AS2025" s="8"/>
      <c r="AT2025" s="8"/>
      <c r="AU2025" s="8"/>
      <c r="AV2025" s="8"/>
      <c r="AW2025" s="8"/>
      <c r="AX2025" s="8"/>
      <c r="AY2025" s="8"/>
    </row>
    <row r="2026" spans="1:51" ht="13.2" x14ac:dyDescent="0.25">
      <c r="A2026" s="12"/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8"/>
      <c r="AG2026" s="8"/>
      <c r="AH2026" s="8"/>
      <c r="AI2026" s="8"/>
      <c r="AJ2026" s="8"/>
      <c r="AK2026" s="8"/>
      <c r="AL2026" s="8"/>
      <c r="AM2026" s="8"/>
      <c r="AN2026" s="8"/>
      <c r="AO2026" s="8"/>
      <c r="AP2026" s="8"/>
      <c r="AQ2026" s="8"/>
      <c r="AR2026" s="8"/>
      <c r="AS2026" s="8"/>
      <c r="AT2026" s="8"/>
      <c r="AU2026" s="8"/>
      <c r="AV2026" s="8"/>
      <c r="AW2026" s="8"/>
      <c r="AX2026" s="8"/>
      <c r="AY2026" s="8"/>
    </row>
    <row r="2027" spans="1:51" ht="13.2" x14ac:dyDescent="0.25">
      <c r="A2027" s="12"/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8"/>
      <c r="AG2027" s="8"/>
      <c r="AH2027" s="8"/>
      <c r="AI2027" s="8"/>
      <c r="AJ2027" s="8"/>
      <c r="AK2027" s="8"/>
      <c r="AL2027" s="8"/>
      <c r="AM2027" s="8"/>
      <c r="AN2027" s="8"/>
      <c r="AO2027" s="8"/>
      <c r="AP2027" s="8"/>
      <c r="AQ2027" s="8"/>
      <c r="AR2027" s="8"/>
      <c r="AS2027" s="8"/>
      <c r="AT2027" s="8"/>
      <c r="AU2027" s="8"/>
      <c r="AV2027" s="8"/>
      <c r="AW2027" s="8"/>
      <c r="AX2027" s="8"/>
      <c r="AY2027" s="8"/>
    </row>
    <row r="2028" spans="1:51" ht="13.2" x14ac:dyDescent="0.25">
      <c r="A2028" s="12"/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8"/>
      <c r="AG2028" s="8"/>
      <c r="AH2028" s="8"/>
      <c r="AI2028" s="8"/>
      <c r="AJ2028" s="8"/>
      <c r="AK2028" s="8"/>
      <c r="AL2028" s="8"/>
      <c r="AM2028" s="8"/>
      <c r="AN2028" s="8"/>
      <c r="AO2028" s="8"/>
      <c r="AP2028" s="8"/>
      <c r="AQ2028" s="8"/>
      <c r="AR2028" s="8"/>
      <c r="AS2028" s="8"/>
      <c r="AT2028" s="8"/>
      <c r="AU2028" s="8"/>
      <c r="AV2028" s="8"/>
      <c r="AW2028" s="8"/>
      <c r="AX2028" s="8"/>
      <c r="AY2028" s="8"/>
    </row>
    <row r="2029" spans="1:51" ht="13.2" x14ac:dyDescent="0.25">
      <c r="A2029" s="12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8"/>
      <c r="AG2029" s="8"/>
      <c r="AH2029" s="8"/>
      <c r="AI2029" s="8"/>
      <c r="AJ2029" s="8"/>
      <c r="AK2029" s="8"/>
      <c r="AL2029" s="8"/>
      <c r="AM2029" s="8"/>
      <c r="AN2029" s="8"/>
      <c r="AO2029" s="8"/>
      <c r="AP2029" s="8"/>
      <c r="AQ2029" s="8"/>
      <c r="AR2029" s="8"/>
      <c r="AS2029" s="8"/>
      <c r="AT2029" s="8"/>
      <c r="AU2029" s="8"/>
      <c r="AV2029" s="8"/>
      <c r="AW2029" s="8"/>
      <c r="AX2029" s="8"/>
      <c r="AY2029" s="8"/>
    </row>
    <row r="2030" spans="1:51" ht="13.2" x14ac:dyDescent="0.25">
      <c r="A2030" s="12"/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8"/>
      <c r="AG2030" s="8"/>
      <c r="AH2030" s="8"/>
      <c r="AI2030" s="8"/>
      <c r="AJ2030" s="8"/>
      <c r="AK2030" s="8"/>
      <c r="AL2030" s="8"/>
      <c r="AM2030" s="8"/>
      <c r="AN2030" s="8"/>
      <c r="AO2030" s="8"/>
      <c r="AP2030" s="8"/>
      <c r="AQ2030" s="8"/>
      <c r="AR2030" s="8"/>
      <c r="AS2030" s="8"/>
      <c r="AT2030" s="8"/>
      <c r="AU2030" s="8"/>
      <c r="AV2030" s="8"/>
      <c r="AW2030" s="8"/>
      <c r="AX2030" s="8"/>
      <c r="AY2030" s="8"/>
    </row>
    <row r="2031" spans="1:51" ht="13.2" x14ac:dyDescent="0.25">
      <c r="A2031" s="12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8"/>
      <c r="AG2031" s="8"/>
      <c r="AH2031" s="8"/>
      <c r="AI2031" s="8"/>
      <c r="AJ2031" s="8"/>
      <c r="AK2031" s="8"/>
      <c r="AL2031" s="8"/>
      <c r="AM2031" s="8"/>
      <c r="AN2031" s="8"/>
      <c r="AO2031" s="8"/>
      <c r="AP2031" s="8"/>
      <c r="AQ2031" s="8"/>
      <c r="AR2031" s="8"/>
      <c r="AS2031" s="8"/>
      <c r="AT2031" s="8"/>
      <c r="AU2031" s="8"/>
      <c r="AV2031" s="8"/>
      <c r="AW2031" s="8"/>
      <c r="AX2031" s="8"/>
      <c r="AY2031" s="8"/>
    </row>
    <row r="2032" spans="1:51" ht="13.2" x14ac:dyDescent="0.25">
      <c r="A2032" s="12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8"/>
      <c r="AG2032" s="8"/>
      <c r="AH2032" s="8"/>
      <c r="AI2032" s="8"/>
      <c r="AJ2032" s="8"/>
      <c r="AK2032" s="8"/>
      <c r="AL2032" s="8"/>
      <c r="AM2032" s="8"/>
      <c r="AN2032" s="8"/>
      <c r="AO2032" s="8"/>
      <c r="AP2032" s="8"/>
      <c r="AQ2032" s="8"/>
      <c r="AR2032" s="8"/>
      <c r="AS2032" s="8"/>
      <c r="AT2032" s="8"/>
      <c r="AU2032" s="8"/>
      <c r="AV2032" s="8"/>
      <c r="AW2032" s="8"/>
      <c r="AX2032" s="8"/>
      <c r="AY2032" s="8"/>
    </row>
    <row r="2033" spans="1:51" ht="13.2" x14ac:dyDescent="0.25">
      <c r="A2033" s="12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8"/>
      <c r="AG2033" s="8"/>
      <c r="AH2033" s="8"/>
      <c r="AI2033" s="8"/>
      <c r="AJ2033" s="8"/>
      <c r="AK2033" s="8"/>
      <c r="AL2033" s="8"/>
      <c r="AM2033" s="8"/>
      <c r="AN2033" s="8"/>
      <c r="AO2033" s="8"/>
      <c r="AP2033" s="8"/>
      <c r="AQ2033" s="8"/>
      <c r="AR2033" s="8"/>
      <c r="AS2033" s="8"/>
      <c r="AT2033" s="8"/>
      <c r="AU2033" s="8"/>
      <c r="AV2033" s="8"/>
      <c r="AW2033" s="8"/>
      <c r="AX2033" s="8"/>
      <c r="AY2033" s="8"/>
    </row>
    <row r="2034" spans="1:51" ht="13.2" x14ac:dyDescent="0.25">
      <c r="A2034" s="12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8"/>
      <c r="AG2034" s="8"/>
      <c r="AH2034" s="8"/>
      <c r="AI2034" s="8"/>
      <c r="AJ2034" s="8"/>
      <c r="AK2034" s="8"/>
      <c r="AL2034" s="8"/>
      <c r="AM2034" s="8"/>
      <c r="AN2034" s="8"/>
      <c r="AO2034" s="8"/>
      <c r="AP2034" s="8"/>
      <c r="AQ2034" s="8"/>
      <c r="AR2034" s="8"/>
      <c r="AS2034" s="8"/>
      <c r="AT2034" s="8"/>
      <c r="AU2034" s="8"/>
      <c r="AV2034" s="8"/>
      <c r="AW2034" s="8"/>
      <c r="AX2034" s="8"/>
      <c r="AY2034" s="8"/>
    </row>
    <row r="2035" spans="1:51" ht="13.2" x14ac:dyDescent="0.25">
      <c r="A2035" s="12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8"/>
      <c r="AG2035" s="8"/>
      <c r="AH2035" s="8"/>
      <c r="AI2035" s="8"/>
      <c r="AJ2035" s="8"/>
      <c r="AK2035" s="8"/>
      <c r="AL2035" s="8"/>
      <c r="AM2035" s="8"/>
      <c r="AN2035" s="8"/>
      <c r="AO2035" s="8"/>
      <c r="AP2035" s="8"/>
      <c r="AQ2035" s="8"/>
      <c r="AR2035" s="8"/>
      <c r="AS2035" s="8"/>
      <c r="AT2035" s="8"/>
      <c r="AU2035" s="8"/>
      <c r="AV2035" s="8"/>
      <c r="AW2035" s="8"/>
      <c r="AX2035" s="8"/>
      <c r="AY2035" s="8"/>
    </row>
    <row r="2036" spans="1:51" ht="13.2" x14ac:dyDescent="0.25">
      <c r="A2036" s="12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8"/>
      <c r="AG2036" s="8"/>
      <c r="AH2036" s="8"/>
      <c r="AI2036" s="8"/>
      <c r="AJ2036" s="8"/>
      <c r="AK2036" s="8"/>
      <c r="AL2036" s="8"/>
      <c r="AM2036" s="8"/>
      <c r="AN2036" s="8"/>
      <c r="AO2036" s="8"/>
      <c r="AP2036" s="8"/>
      <c r="AQ2036" s="8"/>
      <c r="AR2036" s="8"/>
      <c r="AS2036" s="8"/>
      <c r="AT2036" s="8"/>
      <c r="AU2036" s="8"/>
      <c r="AV2036" s="8"/>
      <c r="AW2036" s="8"/>
      <c r="AX2036" s="8"/>
      <c r="AY2036" s="8"/>
    </row>
    <row r="2037" spans="1:51" ht="13.2" x14ac:dyDescent="0.25">
      <c r="A2037" s="12"/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8"/>
      <c r="AG2037" s="8"/>
      <c r="AH2037" s="8"/>
      <c r="AI2037" s="8"/>
      <c r="AJ2037" s="8"/>
      <c r="AK2037" s="8"/>
      <c r="AL2037" s="8"/>
      <c r="AM2037" s="8"/>
      <c r="AN2037" s="8"/>
      <c r="AO2037" s="8"/>
      <c r="AP2037" s="8"/>
      <c r="AQ2037" s="8"/>
      <c r="AR2037" s="8"/>
      <c r="AS2037" s="8"/>
      <c r="AT2037" s="8"/>
      <c r="AU2037" s="8"/>
      <c r="AV2037" s="8"/>
      <c r="AW2037" s="8"/>
      <c r="AX2037" s="8"/>
      <c r="AY2037" s="8"/>
    </row>
    <row r="2038" spans="1:51" ht="13.2" x14ac:dyDescent="0.25">
      <c r="A2038" s="12"/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8"/>
      <c r="AG2038" s="8"/>
      <c r="AH2038" s="8"/>
      <c r="AI2038" s="8"/>
      <c r="AJ2038" s="8"/>
      <c r="AK2038" s="8"/>
      <c r="AL2038" s="8"/>
      <c r="AM2038" s="8"/>
      <c r="AN2038" s="8"/>
      <c r="AO2038" s="8"/>
      <c r="AP2038" s="8"/>
      <c r="AQ2038" s="8"/>
      <c r="AR2038" s="8"/>
      <c r="AS2038" s="8"/>
      <c r="AT2038" s="8"/>
      <c r="AU2038" s="8"/>
      <c r="AV2038" s="8"/>
      <c r="AW2038" s="8"/>
      <c r="AX2038" s="8"/>
      <c r="AY2038" s="8"/>
    </row>
    <row r="2039" spans="1:51" ht="13.2" x14ac:dyDescent="0.25">
      <c r="A2039" s="12"/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8"/>
      <c r="AG2039" s="8"/>
      <c r="AH2039" s="8"/>
      <c r="AI2039" s="8"/>
      <c r="AJ2039" s="8"/>
      <c r="AK2039" s="8"/>
      <c r="AL2039" s="8"/>
      <c r="AM2039" s="8"/>
      <c r="AN2039" s="8"/>
      <c r="AO2039" s="8"/>
      <c r="AP2039" s="8"/>
      <c r="AQ2039" s="8"/>
      <c r="AR2039" s="8"/>
      <c r="AS2039" s="8"/>
      <c r="AT2039" s="8"/>
      <c r="AU2039" s="8"/>
      <c r="AV2039" s="8"/>
      <c r="AW2039" s="8"/>
      <c r="AX2039" s="8"/>
      <c r="AY2039" s="8"/>
    </row>
    <row r="2040" spans="1:51" ht="13.2" x14ac:dyDescent="0.25">
      <c r="A2040" s="12"/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8"/>
      <c r="AG2040" s="8"/>
      <c r="AH2040" s="8"/>
      <c r="AI2040" s="8"/>
      <c r="AJ2040" s="8"/>
      <c r="AK2040" s="8"/>
      <c r="AL2040" s="8"/>
      <c r="AM2040" s="8"/>
      <c r="AN2040" s="8"/>
      <c r="AO2040" s="8"/>
      <c r="AP2040" s="8"/>
      <c r="AQ2040" s="8"/>
      <c r="AR2040" s="8"/>
      <c r="AS2040" s="8"/>
      <c r="AT2040" s="8"/>
      <c r="AU2040" s="8"/>
      <c r="AV2040" s="8"/>
      <c r="AW2040" s="8"/>
      <c r="AX2040" s="8"/>
      <c r="AY2040" s="8"/>
    </row>
    <row r="2041" spans="1:51" ht="13.2" x14ac:dyDescent="0.25">
      <c r="A2041" s="12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8"/>
      <c r="AG2041" s="8"/>
      <c r="AH2041" s="8"/>
      <c r="AI2041" s="8"/>
      <c r="AJ2041" s="8"/>
      <c r="AK2041" s="8"/>
      <c r="AL2041" s="8"/>
      <c r="AM2041" s="8"/>
      <c r="AN2041" s="8"/>
      <c r="AO2041" s="8"/>
      <c r="AP2041" s="8"/>
      <c r="AQ2041" s="8"/>
      <c r="AR2041" s="8"/>
      <c r="AS2041" s="8"/>
      <c r="AT2041" s="8"/>
      <c r="AU2041" s="8"/>
      <c r="AV2041" s="8"/>
      <c r="AW2041" s="8"/>
      <c r="AX2041" s="8"/>
      <c r="AY2041" s="8"/>
    </row>
    <row r="2042" spans="1:51" ht="13.2" x14ac:dyDescent="0.25">
      <c r="A2042" s="12"/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8"/>
      <c r="AG2042" s="8"/>
      <c r="AH2042" s="8"/>
      <c r="AI2042" s="8"/>
      <c r="AJ2042" s="8"/>
      <c r="AK2042" s="8"/>
      <c r="AL2042" s="8"/>
      <c r="AM2042" s="8"/>
      <c r="AN2042" s="8"/>
      <c r="AO2042" s="8"/>
      <c r="AP2042" s="8"/>
      <c r="AQ2042" s="8"/>
      <c r="AR2042" s="8"/>
      <c r="AS2042" s="8"/>
      <c r="AT2042" s="8"/>
      <c r="AU2042" s="8"/>
      <c r="AV2042" s="8"/>
      <c r="AW2042" s="8"/>
      <c r="AX2042" s="8"/>
      <c r="AY2042" s="8"/>
    </row>
    <row r="2043" spans="1:51" ht="13.2" x14ac:dyDescent="0.25">
      <c r="A2043" s="12"/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8"/>
      <c r="AG2043" s="8"/>
      <c r="AH2043" s="8"/>
      <c r="AI2043" s="8"/>
      <c r="AJ2043" s="8"/>
      <c r="AK2043" s="8"/>
      <c r="AL2043" s="8"/>
      <c r="AM2043" s="8"/>
      <c r="AN2043" s="8"/>
      <c r="AO2043" s="8"/>
      <c r="AP2043" s="8"/>
      <c r="AQ2043" s="8"/>
      <c r="AR2043" s="8"/>
      <c r="AS2043" s="8"/>
      <c r="AT2043" s="8"/>
      <c r="AU2043" s="8"/>
      <c r="AV2043" s="8"/>
      <c r="AW2043" s="8"/>
      <c r="AX2043" s="8"/>
      <c r="AY2043" s="8"/>
    </row>
    <row r="2044" spans="1:51" ht="13.2" x14ac:dyDescent="0.25">
      <c r="A2044" s="12"/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8"/>
      <c r="AG2044" s="8"/>
      <c r="AH2044" s="8"/>
      <c r="AI2044" s="8"/>
      <c r="AJ2044" s="8"/>
      <c r="AK2044" s="8"/>
      <c r="AL2044" s="8"/>
      <c r="AM2044" s="8"/>
      <c r="AN2044" s="8"/>
      <c r="AO2044" s="8"/>
      <c r="AP2044" s="8"/>
      <c r="AQ2044" s="8"/>
      <c r="AR2044" s="8"/>
      <c r="AS2044" s="8"/>
      <c r="AT2044" s="8"/>
      <c r="AU2044" s="8"/>
      <c r="AV2044" s="8"/>
      <c r="AW2044" s="8"/>
      <c r="AX2044" s="8"/>
      <c r="AY2044" s="8"/>
    </row>
    <row r="2045" spans="1:51" ht="13.2" x14ac:dyDescent="0.25">
      <c r="A2045" s="12"/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8"/>
      <c r="AG2045" s="8"/>
      <c r="AH2045" s="8"/>
      <c r="AI2045" s="8"/>
      <c r="AJ2045" s="8"/>
      <c r="AK2045" s="8"/>
      <c r="AL2045" s="8"/>
      <c r="AM2045" s="8"/>
      <c r="AN2045" s="8"/>
      <c r="AO2045" s="8"/>
      <c r="AP2045" s="8"/>
      <c r="AQ2045" s="8"/>
      <c r="AR2045" s="8"/>
      <c r="AS2045" s="8"/>
      <c r="AT2045" s="8"/>
      <c r="AU2045" s="8"/>
      <c r="AV2045" s="8"/>
      <c r="AW2045" s="8"/>
      <c r="AX2045" s="8"/>
      <c r="AY2045" s="8"/>
    </row>
    <row r="2046" spans="1:51" ht="13.2" x14ac:dyDescent="0.25">
      <c r="A2046" s="12"/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8"/>
      <c r="AG2046" s="8"/>
      <c r="AH2046" s="8"/>
      <c r="AI2046" s="8"/>
      <c r="AJ2046" s="8"/>
      <c r="AK2046" s="8"/>
      <c r="AL2046" s="8"/>
      <c r="AM2046" s="8"/>
      <c r="AN2046" s="8"/>
      <c r="AO2046" s="8"/>
      <c r="AP2046" s="8"/>
      <c r="AQ2046" s="8"/>
      <c r="AR2046" s="8"/>
      <c r="AS2046" s="8"/>
      <c r="AT2046" s="8"/>
      <c r="AU2046" s="8"/>
      <c r="AV2046" s="8"/>
      <c r="AW2046" s="8"/>
      <c r="AX2046" s="8"/>
      <c r="AY2046" s="8"/>
    </row>
    <row r="2047" spans="1:51" ht="13.2" x14ac:dyDescent="0.25">
      <c r="A2047" s="12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8"/>
      <c r="AG2047" s="8"/>
      <c r="AH2047" s="8"/>
      <c r="AI2047" s="8"/>
      <c r="AJ2047" s="8"/>
      <c r="AK2047" s="8"/>
      <c r="AL2047" s="8"/>
      <c r="AM2047" s="8"/>
      <c r="AN2047" s="8"/>
      <c r="AO2047" s="8"/>
      <c r="AP2047" s="8"/>
      <c r="AQ2047" s="8"/>
      <c r="AR2047" s="8"/>
      <c r="AS2047" s="8"/>
      <c r="AT2047" s="8"/>
      <c r="AU2047" s="8"/>
      <c r="AV2047" s="8"/>
      <c r="AW2047" s="8"/>
      <c r="AX2047" s="8"/>
      <c r="AY2047" s="8"/>
    </row>
    <row r="2048" spans="1:51" ht="13.2" x14ac:dyDescent="0.25">
      <c r="A2048" s="12"/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8"/>
      <c r="AG2048" s="8"/>
      <c r="AH2048" s="8"/>
      <c r="AI2048" s="8"/>
      <c r="AJ2048" s="8"/>
      <c r="AK2048" s="8"/>
      <c r="AL2048" s="8"/>
      <c r="AM2048" s="8"/>
      <c r="AN2048" s="8"/>
      <c r="AO2048" s="8"/>
      <c r="AP2048" s="8"/>
      <c r="AQ2048" s="8"/>
      <c r="AR2048" s="8"/>
      <c r="AS2048" s="8"/>
      <c r="AT2048" s="8"/>
      <c r="AU2048" s="8"/>
      <c r="AV2048" s="8"/>
      <c r="AW2048" s="8"/>
      <c r="AX2048" s="8"/>
      <c r="AY2048" s="8"/>
    </row>
    <row r="2049" spans="1:51" ht="13.2" x14ac:dyDescent="0.25">
      <c r="A2049" s="12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8"/>
      <c r="AG2049" s="8"/>
      <c r="AH2049" s="8"/>
      <c r="AI2049" s="8"/>
      <c r="AJ2049" s="8"/>
      <c r="AK2049" s="8"/>
      <c r="AL2049" s="8"/>
      <c r="AM2049" s="8"/>
      <c r="AN2049" s="8"/>
      <c r="AO2049" s="8"/>
      <c r="AP2049" s="8"/>
      <c r="AQ2049" s="8"/>
      <c r="AR2049" s="8"/>
      <c r="AS2049" s="8"/>
      <c r="AT2049" s="8"/>
      <c r="AU2049" s="8"/>
      <c r="AV2049" s="8"/>
      <c r="AW2049" s="8"/>
      <c r="AX2049" s="8"/>
      <c r="AY2049" s="8"/>
    </row>
    <row r="2050" spans="1:51" ht="13.2" x14ac:dyDescent="0.25">
      <c r="A2050" s="12"/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8"/>
      <c r="AG2050" s="8"/>
      <c r="AH2050" s="8"/>
      <c r="AI2050" s="8"/>
      <c r="AJ2050" s="8"/>
      <c r="AK2050" s="8"/>
      <c r="AL2050" s="8"/>
      <c r="AM2050" s="8"/>
      <c r="AN2050" s="8"/>
      <c r="AO2050" s="8"/>
      <c r="AP2050" s="8"/>
      <c r="AQ2050" s="8"/>
      <c r="AR2050" s="8"/>
      <c r="AS2050" s="8"/>
      <c r="AT2050" s="8"/>
      <c r="AU2050" s="8"/>
      <c r="AV2050" s="8"/>
      <c r="AW2050" s="8"/>
      <c r="AX2050" s="8"/>
      <c r="AY2050" s="8"/>
    </row>
    <row r="2051" spans="1:51" ht="13.2" x14ac:dyDescent="0.25">
      <c r="A2051" s="12"/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8"/>
      <c r="AG2051" s="8"/>
      <c r="AH2051" s="8"/>
      <c r="AI2051" s="8"/>
      <c r="AJ2051" s="8"/>
      <c r="AK2051" s="8"/>
      <c r="AL2051" s="8"/>
      <c r="AM2051" s="8"/>
      <c r="AN2051" s="8"/>
      <c r="AO2051" s="8"/>
      <c r="AP2051" s="8"/>
      <c r="AQ2051" s="8"/>
      <c r="AR2051" s="8"/>
      <c r="AS2051" s="8"/>
      <c r="AT2051" s="8"/>
      <c r="AU2051" s="8"/>
      <c r="AV2051" s="8"/>
      <c r="AW2051" s="8"/>
      <c r="AX2051" s="8"/>
      <c r="AY2051" s="8"/>
    </row>
    <row r="2052" spans="1:51" ht="13.2" x14ac:dyDescent="0.25">
      <c r="A2052" s="12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8"/>
      <c r="AG2052" s="8"/>
      <c r="AH2052" s="8"/>
      <c r="AI2052" s="8"/>
      <c r="AJ2052" s="8"/>
      <c r="AK2052" s="8"/>
      <c r="AL2052" s="8"/>
      <c r="AM2052" s="8"/>
      <c r="AN2052" s="8"/>
      <c r="AO2052" s="8"/>
      <c r="AP2052" s="8"/>
      <c r="AQ2052" s="8"/>
      <c r="AR2052" s="8"/>
      <c r="AS2052" s="8"/>
      <c r="AT2052" s="8"/>
      <c r="AU2052" s="8"/>
      <c r="AV2052" s="8"/>
      <c r="AW2052" s="8"/>
      <c r="AX2052" s="8"/>
      <c r="AY2052" s="8"/>
    </row>
    <row r="2053" spans="1:51" ht="13.2" x14ac:dyDescent="0.25">
      <c r="A2053" s="12"/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8"/>
      <c r="AG2053" s="8"/>
      <c r="AH2053" s="8"/>
      <c r="AI2053" s="8"/>
      <c r="AJ2053" s="8"/>
      <c r="AK2053" s="8"/>
      <c r="AL2053" s="8"/>
      <c r="AM2053" s="8"/>
      <c r="AN2053" s="8"/>
      <c r="AO2053" s="8"/>
      <c r="AP2053" s="8"/>
      <c r="AQ2053" s="8"/>
      <c r="AR2053" s="8"/>
      <c r="AS2053" s="8"/>
      <c r="AT2053" s="8"/>
      <c r="AU2053" s="8"/>
      <c r="AV2053" s="8"/>
      <c r="AW2053" s="8"/>
      <c r="AX2053" s="8"/>
      <c r="AY2053" s="8"/>
    </row>
    <row r="2054" spans="1:51" ht="13.2" x14ac:dyDescent="0.25">
      <c r="A2054" s="12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8"/>
      <c r="AG2054" s="8"/>
      <c r="AH2054" s="8"/>
      <c r="AI2054" s="8"/>
      <c r="AJ2054" s="8"/>
      <c r="AK2054" s="8"/>
      <c r="AL2054" s="8"/>
      <c r="AM2054" s="8"/>
      <c r="AN2054" s="8"/>
      <c r="AO2054" s="8"/>
      <c r="AP2054" s="8"/>
      <c r="AQ2054" s="8"/>
      <c r="AR2054" s="8"/>
      <c r="AS2054" s="8"/>
      <c r="AT2054" s="8"/>
      <c r="AU2054" s="8"/>
      <c r="AV2054" s="8"/>
      <c r="AW2054" s="8"/>
      <c r="AX2054" s="8"/>
      <c r="AY2054" s="8"/>
    </row>
    <row r="2055" spans="1:51" ht="13.2" x14ac:dyDescent="0.25">
      <c r="A2055" s="12"/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8"/>
      <c r="AG2055" s="8"/>
      <c r="AH2055" s="8"/>
      <c r="AI2055" s="8"/>
      <c r="AJ2055" s="8"/>
      <c r="AK2055" s="8"/>
      <c r="AL2055" s="8"/>
      <c r="AM2055" s="8"/>
      <c r="AN2055" s="8"/>
      <c r="AO2055" s="8"/>
      <c r="AP2055" s="8"/>
      <c r="AQ2055" s="8"/>
      <c r="AR2055" s="8"/>
      <c r="AS2055" s="8"/>
      <c r="AT2055" s="8"/>
      <c r="AU2055" s="8"/>
      <c r="AV2055" s="8"/>
      <c r="AW2055" s="8"/>
      <c r="AX2055" s="8"/>
      <c r="AY2055" s="8"/>
    </row>
    <row r="2056" spans="1:51" ht="13.2" x14ac:dyDescent="0.25">
      <c r="A2056" s="12"/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8"/>
      <c r="AG2056" s="8"/>
      <c r="AH2056" s="8"/>
      <c r="AI2056" s="8"/>
      <c r="AJ2056" s="8"/>
      <c r="AK2056" s="8"/>
      <c r="AL2056" s="8"/>
      <c r="AM2056" s="8"/>
      <c r="AN2056" s="8"/>
      <c r="AO2056" s="8"/>
      <c r="AP2056" s="8"/>
      <c r="AQ2056" s="8"/>
      <c r="AR2056" s="8"/>
      <c r="AS2056" s="8"/>
      <c r="AT2056" s="8"/>
      <c r="AU2056" s="8"/>
      <c r="AV2056" s="8"/>
      <c r="AW2056" s="8"/>
      <c r="AX2056" s="8"/>
      <c r="AY2056" s="8"/>
    </row>
    <row r="2057" spans="1:51" ht="13.2" x14ac:dyDescent="0.25">
      <c r="A2057" s="12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8"/>
      <c r="AG2057" s="8"/>
      <c r="AH2057" s="8"/>
      <c r="AI2057" s="8"/>
      <c r="AJ2057" s="8"/>
      <c r="AK2057" s="8"/>
      <c r="AL2057" s="8"/>
      <c r="AM2057" s="8"/>
      <c r="AN2057" s="8"/>
      <c r="AO2057" s="8"/>
      <c r="AP2057" s="8"/>
      <c r="AQ2057" s="8"/>
      <c r="AR2057" s="8"/>
      <c r="AS2057" s="8"/>
      <c r="AT2057" s="8"/>
      <c r="AU2057" s="8"/>
      <c r="AV2057" s="8"/>
      <c r="AW2057" s="8"/>
      <c r="AX2057" s="8"/>
      <c r="AY2057" s="8"/>
    </row>
    <row r="2058" spans="1:51" ht="13.2" x14ac:dyDescent="0.25">
      <c r="A2058" s="12"/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8"/>
      <c r="AG2058" s="8"/>
      <c r="AH2058" s="8"/>
      <c r="AI2058" s="8"/>
      <c r="AJ2058" s="8"/>
      <c r="AK2058" s="8"/>
      <c r="AL2058" s="8"/>
      <c r="AM2058" s="8"/>
      <c r="AN2058" s="8"/>
      <c r="AO2058" s="8"/>
      <c r="AP2058" s="8"/>
      <c r="AQ2058" s="8"/>
      <c r="AR2058" s="8"/>
      <c r="AS2058" s="8"/>
      <c r="AT2058" s="8"/>
      <c r="AU2058" s="8"/>
      <c r="AV2058" s="8"/>
      <c r="AW2058" s="8"/>
      <c r="AX2058" s="8"/>
      <c r="AY2058" s="8"/>
    </row>
    <row r="2059" spans="1:51" ht="13.2" x14ac:dyDescent="0.25">
      <c r="A2059" s="12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8"/>
      <c r="AG2059" s="8"/>
      <c r="AH2059" s="8"/>
      <c r="AI2059" s="8"/>
      <c r="AJ2059" s="8"/>
      <c r="AK2059" s="8"/>
      <c r="AL2059" s="8"/>
      <c r="AM2059" s="8"/>
      <c r="AN2059" s="8"/>
      <c r="AO2059" s="8"/>
      <c r="AP2059" s="8"/>
      <c r="AQ2059" s="8"/>
      <c r="AR2059" s="8"/>
      <c r="AS2059" s="8"/>
      <c r="AT2059" s="8"/>
      <c r="AU2059" s="8"/>
      <c r="AV2059" s="8"/>
      <c r="AW2059" s="8"/>
      <c r="AX2059" s="8"/>
      <c r="AY2059" s="8"/>
    </row>
    <row r="2060" spans="1:51" ht="13.2" x14ac:dyDescent="0.25">
      <c r="A2060" s="12"/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8"/>
      <c r="AG2060" s="8"/>
      <c r="AH2060" s="8"/>
      <c r="AI2060" s="8"/>
      <c r="AJ2060" s="8"/>
      <c r="AK2060" s="8"/>
      <c r="AL2060" s="8"/>
      <c r="AM2060" s="8"/>
      <c r="AN2060" s="8"/>
      <c r="AO2060" s="8"/>
      <c r="AP2060" s="8"/>
      <c r="AQ2060" s="8"/>
      <c r="AR2060" s="8"/>
      <c r="AS2060" s="8"/>
      <c r="AT2060" s="8"/>
      <c r="AU2060" s="8"/>
      <c r="AV2060" s="8"/>
      <c r="AW2060" s="8"/>
      <c r="AX2060" s="8"/>
      <c r="AY2060" s="8"/>
    </row>
    <row r="2061" spans="1:51" ht="13.2" x14ac:dyDescent="0.25">
      <c r="A2061" s="12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8"/>
      <c r="AG2061" s="8"/>
      <c r="AH2061" s="8"/>
      <c r="AI2061" s="8"/>
      <c r="AJ2061" s="8"/>
      <c r="AK2061" s="8"/>
      <c r="AL2061" s="8"/>
      <c r="AM2061" s="8"/>
      <c r="AN2061" s="8"/>
      <c r="AO2061" s="8"/>
      <c r="AP2061" s="8"/>
      <c r="AQ2061" s="8"/>
      <c r="AR2061" s="8"/>
      <c r="AS2061" s="8"/>
      <c r="AT2061" s="8"/>
      <c r="AU2061" s="8"/>
      <c r="AV2061" s="8"/>
      <c r="AW2061" s="8"/>
      <c r="AX2061" s="8"/>
      <c r="AY2061" s="8"/>
    </row>
    <row r="2062" spans="1:51" ht="13.2" x14ac:dyDescent="0.25">
      <c r="A2062" s="12"/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8"/>
      <c r="AG2062" s="8"/>
      <c r="AH2062" s="8"/>
      <c r="AI2062" s="8"/>
      <c r="AJ2062" s="8"/>
      <c r="AK2062" s="8"/>
      <c r="AL2062" s="8"/>
      <c r="AM2062" s="8"/>
      <c r="AN2062" s="8"/>
      <c r="AO2062" s="8"/>
      <c r="AP2062" s="8"/>
      <c r="AQ2062" s="8"/>
      <c r="AR2062" s="8"/>
      <c r="AS2062" s="8"/>
      <c r="AT2062" s="8"/>
      <c r="AU2062" s="8"/>
      <c r="AV2062" s="8"/>
      <c r="AW2062" s="8"/>
      <c r="AX2062" s="8"/>
      <c r="AY2062" s="8"/>
    </row>
    <row r="2063" spans="1:51" ht="13.2" x14ac:dyDescent="0.25">
      <c r="A2063" s="12"/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8"/>
      <c r="AG2063" s="8"/>
      <c r="AH2063" s="8"/>
      <c r="AI2063" s="8"/>
      <c r="AJ2063" s="8"/>
      <c r="AK2063" s="8"/>
      <c r="AL2063" s="8"/>
      <c r="AM2063" s="8"/>
      <c r="AN2063" s="8"/>
      <c r="AO2063" s="8"/>
      <c r="AP2063" s="8"/>
      <c r="AQ2063" s="8"/>
      <c r="AR2063" s="8"/>
      <c r="AS2063" s="8"/>
      <c r="AT2063" s="8"/>
      <c r="AU2063" s="8"/>
      <c r="AV2063" s="8"/>
      <c r="AW2063" s="8"/>
      <c r="AX2063" s="8"/>
      <c r="AY2063" s="8"/>
    </row>
    <row r="2064" spans="1:51" ht="13.2" x14ac:dyDescent="0.25">
      <c r="A2064" s="12"/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8"/>
      <c r="AG2064" s="8"/>
      <c r="AH2064" s="8"/>
      <c r="AI2064" s="8"/>
      <c r="AJ2064" s="8"/>
      <c r="AK2064" s="8"/>
      <c r="AL2064" s="8"/>
      <c r="AM2064" s="8"/>
      <c r="AN2064" s="8"/>
      <c r="AO2064" s="8"/>
      <c r="AP2064" s="8"/>
      <c r="AQ2064" s="8"/>
      <c r="AR2064" s="8"/>
      <c r="AS2064" s="8"/>
      <c r="AT2064" s="8"/>
      <c r="AU2064" s="8"/>
      <c r="AV2064" s="8"/>
      <c r="AW2064" s="8"/>
      <c r="AX2064" s="8"/>
      <c r="AY2064" s="8"/>
    </row>
    <row r="2065" spans="1:51" ht="13.2" x14ac:dyDescent="0.25">
      <c r="A2065" s="12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8"/>
      <c r="AG2065" s="8"/>
      <c r="AH2065" s="8"/>
      <c r="AI2065" s="8"/>
      <c r="AJ2065" s="8"/>
      <c r="AK2065" s="8"/>
      <c r="AL2065" s="8"/>
      <c r="AM2065" s="8"/>
      <c r="AN2065" s="8"/>
      <c r="AO2065" s="8"/>
      <c r="AP2065" s="8"/>
      <c r="AQ2065" s="8"/>
      <c r="AR2065" s="8"/>
      <c r="AS2065" s="8"/>
      <c r="AT2065" s="8"/>
      <c r="AU2065" s="8"/>
      <c r="AV2065" s="8"/>
      <c r="AW2065" s="8"/>
      <c r="AX2065" s="8"/>
      <c r="AY2065" s="8"/>
    </row>
    <row r="2066" spans="1:51" ht="13.2" x14ac:dyDescent="0.25">
      <c r="A2066" s="12"/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8"/>
      <c r="AG2066" s="8"/>
      <c r="AH2066" s="8"/>
      <c r="AI2066" s="8"/>
      <c r="AJ2066" s="8"/>
      <c r="AK2066" s="8"/>
      <c r="AL2066" s="8"/>
      <c r="AM2066" s="8"/>
      <c r="AN2066" s="8"/>
      <c r="AO2066" s="8"/>
      <c r="AP2066" s="8"/>
      <c r="AQ2066" s="8"/>
      <c r="AR2066" s="8"/>
      <c r="AS2066" s="8"/>
      <c r="AT2066" s="8"/>
      <c r="AU2066" s="8"/>
      <c r="AV2066" s="8"/>
      <c r="AW2066" s="8"/>
      <c r="AX2066" s="8"/>
      <c r="AY2066" s="8"/>
    </row>
    <row r="2067" spans="1:51" ht="13.2" x14ac:dyDescent="0.25">
      <c r="A2067" s="12"/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8"/>
      <c r="AG2067" s="8"/>
      <c r="AH2067" s="8"/>
      <c r="AI2067" s="8"/>
      <c r="AJ2067" s="8"/>
      <c r="AK2067" s="8"/>
      <c r="AL2067" s="8"/>
      <c r="AM2067" s="8"/>
      <c r="AN2067" s="8"/>
      <c r="AO2067" s="8"/>
      <c r="AP2067" s="8"/>
      <c r="AQ2067" s="8"/>
      <c r="AR2067" s="8"/>
      <c r="AS2067" s="8"/>
      <c r="AT2067" s="8"/>
      <c r="AU2067" s="8"/>
      <c r="AV2067" s="8"/>
      <c r="AW2067" s="8"/>
      <c r="AX2067" s="8"/>
      <c r="AY2067" s="8"/>
    </row>
    <row r="2068" spans="1:51" ht="13.2" x14ac:dyDescent="0.25">
      <c r="A2068" s="12"/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8"/>
      <c r="AG2068" s="8"/>
      <c r="AH2068" s="8"/>
      <c r="AI2068" s="8"/>
      <c r="AJ2068" s="8"/>
      <c r="AK2068" s="8"/>
      <c r="AL2068" s="8"/>
      <c r="AM2068" s="8"/>
      <c r="AN2068" s="8"/>
      <c r="AO2068" s="8"/>
      <c r="AP2068" s="8"/>
      <c r="AQ2068" s="8"/>
      <c r="AR2068" s="8"/>
      <c r="AS2068" s="8"/>
      <c r="AT2068" s="8"/>
      <c r="AU2068" s="8"/>
      <c r="AV2068" s="8"/>
      <c r="AW2068" s="8"/>
      <c r="AX2068" s="8"/>
      <c r="AY2068" s="8"/>
    </row>
    <row r="2069" spans="1:51" ht="13.2" x14ac:dyDescent="0.25">
      <c r="A2069" s="12"/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8"/>
      <c r="AG2069" s="8"/>
      <c r="AH2069" s="8"/>
      <c r="AI2069" s="8"/>
      <c r="AJ2069" s="8"/>
      <c r="AK2069" s="8"/>
      <c r="AL2069" s="8"/>
      <c r="AM2069" s="8"/>
      <c r="AN2069" s="8"/>
      <c r="AO2069" s="8"/>
      <c r="AP2069" s="8"/>
      <c r="AQ2069" s="8"/>
      <c r="AR2069" s="8"/>
      <c r="AS2069" s="8"/>
      <c r="AT2069" s="8"/>
      <c r="AU2069" s="8"/>
      <c r="AV2069" s="8"/>
      <c r="AW2069" s="8"/>
      <c r="AX2069" s="8"/>
      <c r="AY2069" s="8"/>
    </row>
    <row r="2070" spans="1:51" ht="13.2" x14ac:dyDescent="0.25">
      <c r="A2070" s="12"/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8"/>
      <c r="AG2070" s="8"/>
      <c r="AH2070" s="8"/>
      <c r="AI2070" s="8"/>
      <c r="AJ2070" s="8"/>
      <c r="AK2070" s="8"/>
      <c r="AL2070" s="8"/>
      <c r="AM2070" s="8"/>
      <c r="AN2070" s="8"/>
      <c r="AO2070" s="8"/>
      <c r="AP2070" s="8"/>
      <c r="AQ2070" s="8"/>
      <c r="AR2070" s="8"/>
      <c r="AS2070" s="8"/>
      <c r="AT2070" s="8"/>
      <c r="AU2070" s="8"/>
      <c r="AV2070" s="8"/>
      <c r="AW2070" s="8"/>
      <c r="AX2070" s="8"/>
      <c r="AY2070" s="8"/>
    </row>
    <row r="2071" spans="1:51" ht="13.2" x14ac:dyDescent="0.25">
      <c r="A2071" s="12"/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8"/>
      <c r="AG2071" s="8"/>
      <c r="AH2071" s="8"/>
      <c r="AI2071" s="8"/>
      <c r="AJ2071" s="8"/>
      <c r="AK2071" s="8"/>
      <c r="AL2071" s="8"/>
      <c r="AM2071" s="8"/>
      <c r="AN2071" s="8"/>
      <c r="AO2071" s="8"/>
      <c r="AP2071" s="8"/>
      <c r="AQ2071" s="8"/>
      <c r="AR2071" s="8"/>
      <c r="AS2071" s="8"/>
      <c r="AT2071" s="8"/>
      <c r="AU2071" s="8"/>
      <c r="AV2071" s="8"/>
      <c r="AW2071" s="8"/>
      <c r="AX2071" s="8"/>
      <c r="AY2071" s="8"/>
    </row>
    <row r="2072" spans="1:51" ht="13.2" x14ac:dyDescent="0.25">
      <c r="A2072" s="12"/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8"/>
      <c r="AG2072" s="8"/>
      <c r="AH2072" s="8"/>
      <c r="AI2072" s="8"/>
      <c r="AJ2072" s="8"/>
      <c r="AK2072" s="8"/>
      <c r="AL2072" s="8"/>
      <c r="AM2072" s="8"/>
      <c r="AN2072" s="8"/>
      <c r="AO2072" s="8"/>
      <c r="AP2072" s="8"/>
      <c r="AQ2072" s="8"/>
      <c r="AR2072" s="8"/>
      <c r="AS2072" s="8"/>
      <c r="AT2072" s="8"/>
      <c r="AU2072" s="8"/>
      <c r="AV2072" s="8"/>
      <c r="AW2072" s="8"/>
      <c r="AX2072" s="8"/>
      <c r="AY2072" s="8"/>
    </row>
    <row r="2073" spans="1:51" ht="13.2" x14ac:dyDescent="0.25">
      <c r="A2073" s="12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8"/>
      <c r="AG2073" s="8"/>
      <c r="AH2073" s="8"/>
      <c r="AI2073" s="8"/>
      <c r="AJ2073" s="8"/>
      <c r="AK2073" s="8"/>
      <c r="AL2073" s="8"/>
      <c r="AM2073" s="8"/>
      <c r="AN2073" s="8"/>
      <c r="AO2073" s="8"/>
      <c r="AP2073" s="8"/>
      <c r="AQ2073" s="8"/>
      <c r="AR2073" s="8"/>
      <c r="AS2073" s="8"/>
      <c r="AT2073" s="8"/>
      <c r="AU2073" s="8"/>
      <c r="AV2073" s="8"/>
      <c r="AW2073" s="8"/>
      <c r="AX2073" s="8"/>
      <c r="AY2073" s="8"/>
    </row>
    <row r="2074" spans="1:51" ht="13.2" x14ac:dyDescent="0.25">
      <c r="A2074" s="12"/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8"/>
      <c r="AG2074" s="8"/>
      <c r="AH2074" s="8"/>
      <c r="AI2074" s="8"/>
      <c r="AJ2074" s="8"/>
      <c r="AK2074" s="8"/>
      <c r="AL2074" s="8"/>
      <c r="AM2074" s="8"/>
      <c r="AN2074" s="8"/>
      <c r="AO2074" s="8"/>
      <c r="AP2074" s="8"/>
      <c r="AQ2074" s="8"/>
      <c r="AR2074" s="8"/>
      <c r="AS2074" s="8"/>
      <c r="AT2074" s="8"/>
      <c r="AU2074" s="8"/>
      <c r="AV2074" s="8"/>
      <c r="AW2074" s="8"/>
      <c r="AX2074" s="8"/>
      <c r="AY2074" s="8"/>
    </row>
    <row r="2075" spans="1:51" ht="13.2" x14ac:dyDescent="0.25">
      <c r="A2075" s="12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8"/>
      <c r="AG2075" s="8"/>
      <c r="AH2075" s="8"/>
      <c r="AI2075" s="8"/>
      <c r="AJ2075" s="8"/>
      <c r="AK2075" s="8"/>
      <c r="AL2075" s="8"/>
      <c r="AM2075" s="8"/>
      <c r="AN2075" s="8"/>
      <c r="AO2075" s="8"/>
      <c r="AP2075" s="8"/>
      <c r="AQ2075" s="8"/>
      <c r="AR2075" s="8"/>
      <c r="AS2075" s="8"/>
      <c r="AT2075" s="8"/>
      <c r="AU2075" s="8"/>
      <c r="AV2075" s="8"/>
      <c r="AW2075" s="8"/>
      <c r="AX2075" s="8"/>
      <c r="AY2075" s="8"/>
    </row>
    <row r="2076" spans="1:51" ht="13.2" x14ac:dyDescent="0.25">
      <c r="A2076" s="12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8"/>
      <c r="AG2076" s="8"/>
      <c r="AH2076" s="8"/>
      <c r="AI2076" s="8"/>
      <c r="AJ2076" s="8"/>
      <c r="AK2076" s="8"/>
      <c r="AL2076" s="8"/>
      <c r="AM2076" s="8"/>
      <c r="AN2076" s="8"/>
      <c r="AO2076" s="8"/>
      <c r="AP2076" s="8"/>
      <c r="AQ2076" s="8"/>
      <c r="AR2076" s="8"/>
      <c r="AS2076" s="8"/>
      <c r="AT2076" s="8"/>
      <c r="AU2076" s="8"/>
      <c r="AV2076" s="8"/>
      <c r="AW2076" s="8"/>
      <c r="AX2076" s="8"/>
      <c r="AY2076" s="8"/>
    </row>
    <row r="2077" spans="1:51" ht="13.2" x14ac:dyDescent="0.25">
      <c r="A2077" s="12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8"/>
      <c r="AG2077" s="8"/>
      <c r="AH2077" s="8"/>
      <c r="AI2077" s="8"/>
      <c r="AJ2077" s="8"/>
      <c r="AK2077" s="8"/>
      <c r="AL2077" s="8"/>
      <c r="AM2077" s="8"/>
      <c r="AN2077" s="8"/>
      <c r="AO2077" s="8"/>
      <c r="AP2077" s="8"/>
      <c r="AQ2077" s="8"/>
      <c r="AR2077" s="8"/>
      <c r="AS2077" s="8"/>
      <c r="AT2077" s="8"/>
      <c r="AU2077" s="8"/>
      <c r="AV2077" s="8"/>
      <c r="AW2077" s="8"/>
      <c r="AX2077" s="8"/>
      <c r="AY2077" s="8"/>
    </row>
    <row r="2078" spans="1:51" ht="13.2" x14ac:dyDescent="0.25">
      <c r="A2078" s="12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8"/>
      <c r="AG2078" s="8"/>
      <c r="AH2078" s="8"/>
      <c r="AI2078" s="8"/>
      <c r="AJ2078" s="8"/>
      <c r="AK2078" s="8"/>
      <c r="AL2078" s="8"/>
      <c r="AM2078" s="8"/>
      <c r="AN2078" s="8"/>
      <c r="AO2078" s="8"/>
      <c r="AP2078" s="8"/>
      <c r="AQ2078" s="8"/>
      <c r="AR2078" s="8"/>
      <c r="AS2078" s="8"/>
      <c r="AT2078" s="8"/>
      <c r="AU2078" s="8"/>
      <c r="AV2078" s="8"/>
      <c r="AW2078" s="8"/>
      <c r="AX2078" s="8"/>
      <c r="AY2078" s="8"/>
    </row>
    <row r="2079" spans="1:51" ht="13.2" x14ac:dyDescent="0.25">
      <c r="A2079" s="12"/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8"/>
      <c r="AG2079" s="8"/>
      <c r="AH2079" s="8"/>
      <c r="AI2079" s="8"/>
      <c r="AJ2079" s="8"/>
      <c r="AK2079" s="8"/>
      <c r="AL2079" s="8"/>
      <c r="AM2079" s="8"/>
      <c r="AN2079" s="8"/>
      <c r="AO2079" s="8"/>
      <c r="AP2079" s="8"/>
      <c r="AQ2079" s="8"/>
      <c r="AR2079" s="8"/>
      <c r="AS2079" s="8"/>
      <c r="AT2079" s="8"/>
      <c r="AU2079" s="8"/>
      <c r="AV2079" s="8"/>
      <c r="AW2079" s="8"/>
      <c r="AX2079" s="8"/>
      <c r="AY2079" s="8"/>
    </row>
    <row r="2080" spans="1:51" ht="13.2" x14ac:dyDescent="0.25">
      <c r="A2080" s="12"/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8"/>
      <c r="AG2080" s="8"/>
      <c r="AH2080" s="8"/>
      <c r="AI2080" s="8"/>
      <c r="AJ2080" s="8"/>
      <c r="AK2080" s="8"/>
      <c r="AL2080" s="8"/>
      <c r="AM2080" s="8"/>
      <c r="AN2080" s="8"/>
      <c r="AO2080" s="8"/>
      <c r="AP2080" s="8"/>
      <c r="AQ2080" s="8"/>
      <c r="AR2080" s="8"/>
      <c r="AS2080" s="8"/>
      <c r="AT2080" s="8"/>
      <c r="AU2080" s="8"/>
      <c r="AV2080" s="8"/>
      <c r="AW2080" s="8"/>
      <c r="AX2080" s="8"/>
      <c r="AY2080" s="8"/>
    </row>
    <row r="2081" spans="1:51" ht="13.2" x14ac:dyDescent="0.25">
      <c r="A2081" s="12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8"/>
      <c r="AG2081" s="8"/>
      <c r="AH2081" s="8"/>
      <c r="AI2081" s="8"/>
      <c r="AJ2081" s="8"/>
      <c r="AK2081" s="8"/>
      <c r="AL2081" s="8"/>
      <c r="AM2081" s="8"/>
      <c r="AN2081" s="8"/>
      <c r="AO2081" s="8"/>
      <c r="AP2081" s="8"/>
      <c r="AQ2081" s="8"/>
      <c r="AR2081" s="8"/>
      <c r="AS2081" s="8"/>
      <c r="AT2081" s="8"/>
      <c r="AU2081" s="8"/>
      <c r="AV2081" s="8"/>
      <c r="AW2081" s="8"/>
      <c r="AX2081" s="8"/>
      <c r="AY2081" s="8"/>
    </row>
    <row r="2082" spans="1:51" ht="13.2" x14ac:dyDescent="0.25">
      <c r="A2082" s="12"/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8"/>
      <c r="AG2082" s="8"/>
      <c r="AH2082" s="8"/>
      <c r="AI2082" s="8"/>
      <c r="AJ2082" s="8"/>
      <c r="AK2082" s="8"/>
      <c r="AL2082" s="8"/>
      <c r="AM2082" s="8"/>
      <c r="AN2082" s="8"/>
      <c r="AO2082" s="8"/>
      <c r="AP2082" s="8"/>
      <c r="AQ2082" s="8"/>
      <c r="AR2082" s="8"/>
      <c r="AS2082" s="8"/>
      <c r="AT2082" s="8"/>
      <c r="AU2082" s="8"/>
      <c r="AV2082" s="8"/>
      <c r="AW2082" s="8"/>
      <c r="AX2082" s="8"/>
      <c r="AY2082" s="8"/>
    </row>
    <row r="2083" spans="1:51" ht="13.2" x14ac:dyDescent="0.25">
      <c r="A2083" s="12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8"/>
      <c r="AG2083" s="8"/>
      <c r="AH2083" s="8"/>
      <c r="AI2083" s="8"/>
      <c r="AJ2083" s="8"/>
      <c r="AK2083" s="8"/>
      <c r="AL2083" s="8"/>
      <c r="AM2083" s="8"/>
      <c r="AN2083" s="8"/>
      <c r="AO2083" s="8"/>
      <c r="AP2083" s="8"/>
      <c r="AQ2083" s="8"/>
      <c r="AR2083" s="8"/>
      <c r="AS2083" s="8"/>
      <c r="AT2083" s="8"/>
      <c r="AU2083" s="8"/>
      <c r="AV2083" s="8"/>
      <c r="AW2083" s="8"/>
      <c r="AX2083" s="8"/>
      <c r="AY2083" s="8"/>
    </row>
    <row r="2084" spans="1:51" ht="13.2" x14ac:dyDescent="0.25">
      <c r="A2084" s="12"/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8"/>
      <c r="AG2084" s="8"/>
      <c r="AH2084" s="8"/>
      <c r="AI2084" s="8"/>
      <c r="AJ2084" s="8"/>
      <c r="AK2084" s="8"/>
      <c r="AL2084" s="8"/>
      <c r="AM2084" s="8"/>
      <c r="AN2084" s="8"/>
      <c r="AO2084" s="8"/>
      <c r="AP2084" s="8"/>
      <c r="AQ2084" s="8"/>
      <c r="AR2084" s="8"/>
      <c r="AS2084" s="8"/>
      <c r="AT2084" s="8"/>
      <c r="AU2084" s="8"/>
      <c r="AV2084" s="8"/>
      <c r="AW2084" s="8"/>
      <c r="AX2084" s="8"/>
      <c r="AY2084" s="8"/>
    </row>
    <row r="2085" spans="1:51" ht="13.2" x14ac:dyDescent="0.25">
      <c r="A2085" s="12"/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8"/>
      <c r="AG2085" s="8"/>
      <c r="AH2085" s="8"/>
      <c r="AI2085" s="8"/>
      <c r="AJ2085" s="8"/>
      <c r="AK2085" s="8"/>
      <c r="AL2085" s="8"/>
      <c r="AM2085" s="8"/>
      <c r="AN2085" s="8"/>
      <c r="AO2085" s="8"/>
      <c r="AP2085" s="8"/>
      <c r="AQ2085" s="8"/>
      <c r="AR2085" s="8"/>
      <c r="AS2085" s="8"/>
      <c r="AT2085" s="8"/>
      <c r="AU2085" s="8"/>
      <c r="AV2085" s="8"/>
      <c r="AW2085" s="8"/>
      <c r="AX2085" s="8"/>
      <c r="AY2085" s="8"/>
    </row>
    <row r="2086" spans="1:51" ht="13.2" x14ac:dyDescent="0.25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8"/>
      <c r="AG2086" s="8"/>
      <c r="AH2086" s="8"/>
      <c r="AI2086" s="8"/>
      <c r="AJ2086" s="8"/>
      <c r="AK2086" s="8"/>
      <c r="AL2086" s="8"/>
      <c r="AM2086" s="8"/>
      <c r="AN2086" s="8"/>
      <c r="AO2086" s="8"/>
      <c r="AP2086" s="8"/>
      <c r="AQ2086" s="8"/>
      <c r="AR2086" s="8"/>
      <c r="AS2086" s="8"/>
      <c r="AT2086" s="8"/>
      <c r="AU2086" s="8"/>
      <c r="AV2086" s="8"/>
      <c r="AW2086" s="8"/>
      <c r="AX2086" s="8"/>
      <c r="AY2086" s="8"/>
    </row>
    <row r="2087" spans="1:51" ht="13.2" x14ac:dyDescent="0.25">
      <c r="A2087" s="12"/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8"/>
      <c r="AG2087" s="8"/>
      <c r="AH2087" s="8"/>
      <c r="AI2087" s="8"/>
      <c r="AJ2087" s="8"/>
      <c r="AK2087" s="8"/>
      <c r="AL2087" s="8"/>
      <c r="AM2087" s="8"/>
      <c r="AN2087" s="8"/>
      <c r="AO2087" s="8"/>
      <c r="AP2087" s="8"/>
      <c r="AQ2087" s="8"/>
      <c r="AR2087" s="8"/>
      <c r="AS2087" s="8"/>
      <c r="AT2087" s="8"/>
      <c r="AU2087" s="8"/>
      <c r="AV2087" s="8"/>
      <c r="AW2087" s="8"/>
      <c r="AX2087" s="8"/>
      <c r="AY2087" s="8"/>
    </row>
    <row r="2088" spans="1:51" ht="13.2" x14ac:dyDescent="0.25">
      <c r="A2088" s="12"/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8"/>
      <c r="AG2088" s="8"/>
      <c r="AH2088" s="8"/>
      <c r="AI2088" s="8"/>
      <c r="AJ2088" s="8"/>
      <c r="AK2088" s="8"/>
      <c r="AL2088" s="8"/>
      <c r="AM2088" s="8"/>
      <c r="AN2088" s="8"/>
      <c r="AO2088" s="8"/>
      <c r="AP2088" s="8"/>
      <c r="AQ2088" s="8"/>
      <c r="AR2088" s="8"/>
      <c r="AS2088" s="8"/>
      <c r="AT2088" s="8"/>
      <c r="AU2088" s="8"/>
      <c r="AV2088" s="8"/>
      <c r="AW2088" s="8"/>
      <c r="AX2088" s="8"/>
      <c r="AY2088" s="8"/>
    </row>
    <row r="2089" spans="1:51" ht="13.2" x14ac:dyDescent="0.25">
      <c r="A2089" s="12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8"/>
      <c r="AG2089" s="8"/>
      <c r="AH2089" s="8"/>
      <c r="AI2089" s="8"/>
      <c r="AJ2089" s="8"/>
      <c r="AK2089" s="8"/>
      <c r="AL2089" s="8"/>
      <c r="AM2089" s="8"/>
      <c r="AN2089" s="8"/>
      <c r="AO2089" s="8"/>
      <c r="AP2089" s="8"/>
      <c r="AQ2089" s="8"/>
      <c r="AR2089" s="8"/>
      <c r="AS2089" s="8"/>
      <c r="AT2089" s="8"/>
      <c r="AU2089" s="8"/>
      <c r="AV2089" s="8"/>
      <c r="AW2089" s="8"/>
      <c r="AX2089" s="8"/>
      <c r="AY2089" s="8"/>
    </row>
    <row r="2090" spans="1:51" ht="13.2" x14ac:dyDescent="0.25">
      <c r="A2090" s="12"/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8"/>
      <c r="AG2090" s="8"/>
      <c r="AH2090" s="8"/>
      <c r="AI2090" s="8"/>
      <c r="AJ2090" s="8"/>
      <c r="AK2090" s="8"/>
      <c r="AL2090" s="8"/>
      <c r="AM2090" s="8"/>
      <c r="AN2090" s="8"/>
      <c r="AO2090" s="8"/>
      <c r="AP2090" s="8"/>
      <c r="AQ2090" s="8"/>
      <c r="AR2090" s="8"/>
      <c r="AS2090" s="8"/>
      <c r="AT2090" s="8"/>
      <c r="AU2090" s="8"/>
      <c r="AV2090" s="8"/>
      <c r="AW2090" s="8"/>
      <c r="AX2090" s="8"/>
      <c r="AY2090" s="8"/>
    </row>
    <row r="2091" spans="1:51" ht="13.2" x14ac:dyDescent="0.25">
      <c r="A2091" s="12"/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8"/>
      <c r="AG2091" s="8"/>
      <c r="AH2091" s="8"/>
      <c r="AI2091" s="8"/>
      <c r="AJ2091" s="8"/>
      <c r="AK2091" s="8"/>
      <c r="AL2091" s="8"/>
      <c r="AM2091" s="8"/>
      <c r="AN2091" s="8"/>
      <c r="AO2091" s="8"/>
      <c r="AP2091" s="8"/>
      <c r="AQ2091" s="8"/>
      <c r="AR2091" s="8"/>
      <c r="AS2091" s="8"/>
      <c r="AT2091" s="8"/>
      <c r="AU2091" s="8"/>
      <c r="AV2091" s="8"/>
      <c r="AW2091" s="8"/>
      <c r="AX2091" s="8"/>
      <c r="AY2091" s="8"/>
    </row>
    <row r="2092" spans="1:51" ht="13.2" x14ac:dyDescent="0.25">
      <c r="A2092" s="12"/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8"/>
      <c r="AG2092" s="8"/>
      <c r="AH2092" s="8"/>
      <c r="AI2092" s="8"/>
      <c r="AJ2092" s="8"/>
      <c r="AK2092" s="8"/>
      <c r="AL2092" s="8"/>
      <c r="AM2092" s="8"/>
      <c r="AN2092" s="8"/>
      <c r="AO2092" s="8"/>
      <c r="AP2092" s="8"/>
      <c r="AQ2092" s="8"/>
      <c r="AR2092" s="8"/>
      <c r="AS2092" s="8"/>
      <c r="AT2092" s="8"/>
      <c r="AU2092" s="8"/>
      <c r="AV2092" s="8"/>
      <c r="AW2092" s="8"/>
      <c r="AX2092" s="8"/>
      <c r="AY2092" s="8"/>
    </row>
    <row r="2093" spans="1:51" ht="13.2" x14ac:dyDescent="0.25">
      <c r="A2093" s="12"/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8"/>
      <c r="AG2093" s="8"/>
      <c r="AH2093" s="8"/>
      <c r="AI2093" s="8"/>
      <c r="AJ2093" s="8"/>
      <c r="AK2093" s="8"/>
      <c r="AL2093" s="8"/>
      <c r="AM2093" s="8"/>
      <c r="AN2093" s="8"/>
      <c r="AO2093" s="8"/>
      <c r="AP2093" s="8"/>
      <c r="AQ2093" s="8"/>
      <c r="AR2093" s="8"/>
      <c r="AS2093" s="8"/>
      <c r="AT2093" s="8"/>
      <c r="AU2093" s="8"/>
      <c r="AV2093" s="8"/>
      <c r="AW2093" s="8"/>
      <c r="AX2093" s="8"/>
      <c r="AY2093" s="8"/>
    </row>
    <row r="2094" spans="1:51" ht="13.2" x14ac:dyDescent="0.25">
      <c r="A2094" s="12"/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8"/>
      <c r="AG2094" s="8"/>
      <c r="AH2094" s="8"/>
      <c r="AI2094" s="8"/>
      <c r="AJ2094" s="8"/>
      <c r="AK2094" s="8"/>
      <c r="AL2094" s="8"/>
      <c r="AM2094" s="8"/>
      <c r="AN2094" s="8"/>
      <c r="AO2094" s="8"/>
      <c r="AP2094" s="8"/>
      <c r="AQ2094" s="8"/>
      <c r="AR2094" s="8"/>
      <c r="AS2094" s="8"/>
      <c r="AT2094" s="8"/>
      <c r="AU2094" s="8"/>
      <c r="AV2094" s="8"/>
      <c r="AW2094" s="8"/>
      <c r="AX2094" s="8"/>
      <c r="AY2094" s="8"/>
    </row>
    <row r="2095" spans="1:51" ht="13.2" x14ac:dyDescent="0.25">
      <c r="A2095" s="12"/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8"/>
      <c r="AG2095" s="8"/>
      <c r="AH2095" s="8"/>
      <c r="AI2095" s="8"/>
      <c r="AJ2095" s="8"/>
      <c r="AK2095" s="8"/>
      <c r="AL2095" s="8"/>
      <c r="AM2095" s="8"/>
      <c r="AN2095" s="8"/>
      <c r="AO2095" s="8"/>
      <c r="AP2095" s="8"/>
      <c r="AQ2095" s="8"/>
      <c r="AR2095" s="8"/>
      <c r="AS2095" s="8"/>
      <c r="AT2095" s="8"/>
      <c r="AU2095" s="8"/>
      <c r="AV2095" s="8"/>
      <c r="AW2095" s="8"/>
      <c r="AX2095" s="8"/>
      <c r="AY2095" s="8"/>
    </row>
    <row r="2096" spans="1:51" ht="13.2" x14ac:dyDescent="0.25">
      <c r="A2096" s="12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8"/>
      <c r="AG2096" s="8"/>
      <c r="AH2096" s="8"/>
      <c r="AI2096" s="8"/>
      <c r="AJ2096" s="8"/>
      <c r="AK2096" s="8"/>
      <c r="AL2096" s="8"/>
      <c r="AM2096" s="8"/>
      <c r="AN2096" s="8"/>
      <c r="AO2096" s="8"/>
      <c r="AP2096" s="8"/>
      <c r="AQ2096" s="8"/>
      <c r="AR2096" s="8"/>
      <c r="AS2096" s="8"/>
      <c r="AT2096" s="8"/>
      <c r="AU2096" s="8"/>
      <c r="AV2096" s="8"/>
      <c r="AW2096" s="8"/>
      <c r="AX2096" s="8"/>
      <c r="AY2096" s="8"/>
    </row>
    <row r="2097" spans="1:51" ht="13.2" x14ac:dyDescent="0.25">
      <c r="A2097" s="12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8"/>
      <c r="AG2097" s="8"/>
      <c r="AH2097" s="8"/>
      <c r="AI2097" s="8"/>
      <c r="AJ2097" s="8"/>
      <c r="AK2097" s="8"/>
      <c r="AL2097" s="8"/>
      <c r="AM2097" s="8"/>
      <c r="AN2097" s="8"/>
      <c r="AO2097" s="8"/>
      <c r="AP2097" s="8"/>
      <c r="AQ2097" s="8"/>
      <c r="AR2097" s="8"/>
      <c r="AS2097" s="8"/>
      <c r="AT2097" s="8"/>
      <c r="AU2097" s="8"/>
      <c r="AV2097" s="8"/>
      <c r="AW2097" s="8"/>
      <c r="AX2097" s="8"/>
      <c r="AY2097" s="8"/>
    </row>
    <row r="2098" spans="1:51" ht="13.2" x14ac:dyDescent="0.25">
      <c r="A2098" s="12"/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8"/>
      <c r="AG2098" s="8"/>
      <c r="AH2098" s="8"/>
      <c r="AI2098" s="8"/>
      <c r="AJ2098" s="8"/>
      <c r="AK2098" s="8"/>
      <c r="AL2098" s="8"/>
      <c r="AM2098" s="8"/>
      <c r="AN2098" s="8"/>
      <c r="AO2098" s="8"/>
      <c r="AP2098" s="8"/>
      <c r="AQ2098" s="8"/>
      <c r="AR2098" s="8"/>
      <c r="AS2098" s="8"/>
      <c r="AT2098" s="8"/>
      <c r="AU2098" s="8"/>
      <c r="AV2098" s="8"/>
      <c r="AW2098" s="8"/>
      <c r="AX2098" s="8"/>
      <c r="AY2098" s="8"/>
    </row>
    <row r="2099" spans="1:51" ht="13.2" x14ac:dyDescent="0.25">
      <c r="A2099" s="12"/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8"/>
      <c r="AG2099" s="8"/>
      <c r="AH2099" s="8"/>
      <c r="AI2099" s="8"/>
      <c r="AJ2099" s="8"/>
      <c r="AK2099" s="8"/>
      <c r="AL2099" s="8"/>
      <c r="AM2099" s="8"/>
      <c r="AN2099" s="8"/>
      <c r="AO2099" s="8"/>
      <c r="AP2099" s="8"/>
      <c r="AQ2099" s="8"/>
      <c r="AR2099" s="8"/>
      <c r="AS2099" s="8"/>
      <c r="AT2099" s="8"/>
      <c r="AU2099" s="8"/>
      <c r="AV2099" s="8"/>
      <c r="AW2099" s="8"/>
      <c r="AX2099" s="8"/>
      <c r="AY2099" s="8"/>
    </row>
    <row r="2100" spans="1:51" ht="13.2" x14ac:dyDescent="0.25">
      <c r="A2100" s="12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8"/>
      <c r="AG2100" s="8"/>
      <c r="AH2100" s="8"/>
      <c r="AI2100" s="8"/>
      <c r="AJ2100" s="8"/>
      <c r="AK2100" s="8"/>
      <c r="AL2100" s="8"/>
      <c r="AM2100" s="8"/>
      <c r="AN2100" s="8"/>
      <c r="AO2100" s="8"/>
      <c r="AP2100" s="8"/>
      <c r="AQ2100" s="8"/>
      <c r="AR2100" s="8"/>
      <c r="AS2100" s="8"/>
      <c r="AT2100" s="8"/>
      <c r="AU2100" s="8"/>
      <c r="AV2100" s="8"/>
      <c r="AW2100" s="8"/>
      <c r="AX2100" s="8"/>
      <c r="AY2100" s="8"/>
    </row>
    <row r="2101" spans="1:51" ht="13.2" x14ac:dyDescent="0.25">
      <c r="A2101" s="12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8"/>
      <c r="AG2101" s="8"/>
      <c r="AH2101" s="8"/>
      <c r="AI2101" s="8"/>
      <c r="AJ2101" s="8"/>
      <c r="AK2101" s="8"/>
      <c r="AL2101" s="8"/>
      <c r="AM2101" s="8"/>
      <c r="AN2101" s="8"/>
      <c r="AO2101" s="8"/>
      <c r="AP2101" s="8"/>
      <c r="AQ2101" s="8"/>
      <c r="AR2101" s="8"/>
      <c r="AS2101" s="8"/>
      <c r="AT2101" s="8"/>
      <c r="AU2101" s="8"/>
      <c r="AV2101" s="8"/>
      <c r="AW2101" s="8"/>
      <c r="AX2101" s="8"/>
      <c r="AY2101" s="8"/>
    </row>
    <row r="2102" spans="1:51" ht="13.2" x14ac:dyDescent="0.25">
      <c r="A2102" s="12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8"/>
      <c r="AG2102" s="8"/>
      <c r="AH2102" s="8"/>
      <c r="AI2102" s="8"/>
      <c r="AJ2102" s="8"/>
      <c r="AK2102" s="8"/>
      <c r="AL2102" s="8"/>
      <c r="AM2102" s="8"/>
      <c r="AN2102" s="8"/>
      <c r="AO2102" s="8"/>
      <c r="AP2102" s="8"/>
      <c r="AQ2102" s="8"/>
      <c r="AR2102" s="8"/>
      <c r="AS2102" s="8"/>
      <c r="AT2102" s="8"/>
      <c r="AU2102" s="8"/>
      <c r="AV2102" s="8"/>
      <c r="AW2102" s="8"/>
      <c r="AX2102" s="8"/>
      <c r="AY2102" s="8"/>
    </row>
    <row r="2103" spans="1:51" ht="13.2" x14ac:dyDescent="0.25">
      <c r="A2103" s="12"/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8"/>
      <c r="AG2103" s="8"/>
      <c r="AH2103" s="8"/>
      <c r="AI2103" s="8"/>
      <c r="AJ2103" s="8"/>
      <c r="AK2103" s="8"/>
      <c r="AL2103" s="8"/>
      <c r="AM2103" s="8"/>
      <c r="AN2103" s="8"/>
      <c r="AO2103" s="8"/>
      <c r="AP2103" s="8"/>
      <c r="AQ2103" s="8"/>
      <c r="AR2103" s="8"/>
      <c r="AS2103" s="8"/>
      <c r="AT2103" s="8"/>
      <c r="AU2103" s="8"/>
      <c r="AV2103" s="8"/>
      <c r="AW2103" s="8"/>
      <c r="AX2103" s="8"/>
      <c r="AY2103" s="8"/>
    </row>
    <row r="2104" spans="1:51" ht="13.2" x14ac:dyDescent="0.25">
      <c r="A2104" s="12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8"/>
      <c r="AG2104" s="8"/>
      <c r="AH2104" s="8"/>
      <c r="AI2104" s="8"/>
      <c r="AJ2104" s="8"/>
      <c r="AK2104" s="8"/>
      <c r="AL2104" s="8"/>
      <c r="AM2104" s="8"/>
      <c r="AN2104" s="8"/>
      <c r="AO2104" s="8"/>
      <c r="AP2104" s="8"/>
      <c r="AQ2104" s="8"/>
      <c r="AR2104" s="8"/>
      <c r="AS2104" s="8"/>
      <c r="AT2104" s="8"/>
      <c r="AU2104" s="8"/>
      <c r="AV2104" s="8"/>
      <c r="AW2104" s="8"/>
      <c r="AX2104" s="8"/>
      <c r="AY2104" s="8"/>
    </row>
    <row r="2105" spans="1:51" ht="13.2" x14ac:dyDescent="0.25">
      <c r="A2105" s="12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8"/>
      <c r="AG2105" s="8"/>
      <c r="AH2105" s="8"/>
      <c r="AI2105" s="8"/>
      <c r="AJ2105" s="8"/>
      <c r="AK2105" s="8"/>
      <c r="AL2105" s="8"/>
      <c r="AM2105" s="8"/>
      <c r="AN2105" s="8"/>
      <c r="AO2105" s="8"/>
      <c r="AP2105" s="8"/>
      <c r="AQ2105" s="8"/>
      <c r="AR2105" s="8"/>
      <c r="AS2105" s="8"/>
      <c r="AT2105" s="8"/>
      <c r="AU2105" s="8"/>
      <c r="AV2105" s="8"/>
      <c r="AW2105" s="8"/>
      <c r="AX2105" s="8"/>
      <c r="AY2105" s="8"/>
    </row>
    <row r="2106" spans="1:51" ht="13.2" x14ac:dyDescent="0.25">
      <c r="A2106" s="12"/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8"/>
      <c r="AG2106" s="8"/>
      <c r="AH2106" s="8"/>
      <c r="AI2106" s="8"/>
      <c r="AJ2106" s="8"/>
      <c r="AK2106" s="8"/>
      <c r="AL2106" s="8"/>
      <c r="AM2106" s="8"/>
      <c r="AN2106" s="8"/>
      <c r="AO2106" s="8"/>
      <c r="AP2106" s="8"/>
      <c r="AQ2106" s="8"/>
      <c r="AR2106" s="8"/>
      <c r="AS2106" s="8"/>
      <c r="AT2106" s="8"/>
      <c r="AU2106" s="8"/>
      <c r="AV2106" s="8"/>
      <c r="AW2106" s="8"/>
      <c r="AX2106" s="8"/>
      <c r="AY2106" s="8"/>
    </row>
    <row r="2107" spans="1:51" ht="13.2" x14ac:dyDescent="0.25">
      <c r="A2107" s="12"/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8"/>
      <c r="AG2107" s="8"/>
      <c r="AH2107" s="8"/>
      <c r="AI2107" s="8"/>
      <c r="AJ2107" s="8"/>
      <c r="AK2107" s="8"/>
      <c r="AL2107" s="8"/>
      <c r="AM2107" s="8"/>
      <c r="AN2107" s="8"/>
      <c r="AO2107" s="8"/>
      <c r="AP2107" s="8"/>
      <c r="AQ2107" s="8"/>
      <c r="AR2107" s="8"/>
      <c r="AS2107" s="8"/>
      <c r="AT2107" s="8"/>
      <c r="AU2107" s="8"/>
      <c r="AV2107" s="8"/>
      <c r="AW2107" s="8"/>
      <c r="AX2107" s="8"/>
      <c r="AY2107" s="8"/>
    </row>
    <row r="2108" spans="1:51" ht="13.2" x14ac:dyDescent="0.25">
      <c r="A2108" s="12"/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8"/>
      <c r="AG2108" s="8"/>
      <c r="AH2108" s="8"/>
      <c r="AI2108" s="8"/>
      <c r="AJ2108" s="8"/>
      <c r="AK2108" s="8"/>
      <c r="AL2108" s="8"/>
      <c r="AM2108" s="8"/>
      <c r="AN2108" s="8"/>
      <c r="AO2108" s="8"/>
      <c r="AP2108" s="8"/>
      <c r="AQ2108" s="8"/>
      <c r="AR2108" s="8"/>
      <c r="AS2108" s="8"/>
      <c r="AT2108" s="8"/>
      <c r="AU2108" s="8"/>
      <c r="AV2108" s="8"/>
      <c r="AW2108" s="8"/>
      <c r="AX2108" s="8"/>
      <c r="AY2108" s="8"/>
    </row>
    <row r="2109" spans="1:51" ht="13.2" x14ac:dyDescent="0.25">
      <c r="A2109" s="12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8"/>
      <c r="AG2109" s="8"/>
      <c r="AH2109" s="8"/>
      <c r="AI2109" s="8"/>
      <c r="AJ2109" s="8"/>
      <c r="AK2109" s="8"/>
      <c r="AL2109" s="8"/>
      <c r="AM2109" s="8"/>
      <c r="AN2109" s="8"/>
      <c r="AO2109" s="8"/>
      <c r="AP2109" s="8"/>
      <c r="AQ2109" s="8"/>
      <c r="AR2109" s="8"/>
      <c r="AS2109" s="8"/>
      <c r="AT2109" s="8"/>
      <c r="AU2109" s="8"/>
      <c r="AV2109" s="8"/>
      <c r="AW2109" s="8"/>
      <c r="AX2109" s="8"/>
      <c r="AY2109" s="8"/>
    </row>
    <row r="2110" spans="1:51" ht="13.2" x14ac:dyDescent="0.25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8"/>
      <c r="AG2110" s="8"/>
      <c r="AH2110" s="8"/>
      <c r="AI2110" s="8"/>
      <c r="AJ2110" s="8"/>
      <c r="AK2110" s="8"/>
      <c r="AL2110" s="8"/>
      <c r="AM2110" s="8"/>
      <c r="AN2110" s="8"/>
      <c r="AO2110" s="8"/>
      <c r="AP2110" s="8"/>
      <c r="AQ2110" s="8"/>
      <c r="AR2110" s="8"/>
      <c r="AS2110" s="8"/>
      <c r="AT2110" s="8"/>
      <c r="AU2110" s="8"/>
      <c r="AV2110" s="8"/>
      <c r="AW2110" s="8"/>
      <c r="AX2110" s="8"/>
      <c r="AY2110" s="8"/>
    </row>
    <row r="2111" spans="1:51" ht="13.2" x14ac:dyDescent="0.25">
      <c r="A2111" s="12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8"/>
      <c r="AG2111" s="8"/>
      <c r="AH2111" s="8"/>
      <c r="AI2111" s="8"/>
      <c r="AJ2111" s="8"/>
      <c r="AK2111" s="8"/>
      <c r="AL2111" s="8"/>
      <c r="AM2111" s="8"/>
      <c r="AN2111" s="8"/>
      <c r="AO2111" s="8"/>
      <c r="AP2111" s="8"/>
      <c r="AQ2111" s="8"/>
      <c r="AR2111" s="8"/>
      <c r="AS2111" s="8"/>
      <c r="AT2111" s="8"/>
      <c r="AU2111" s="8"/>
      <c r="AV2111" s="8"/>
      <c r="AW2111" s="8"/>
      <c r="AX2111" s="8"/>
      <c r="AY2111" s="8"/>
    </row>
    <row r="2112" spans="1:51" ht="13.2" x14ac:dyDescent="0.25">
      <c r="A2112" s="12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8"/>
      <c r="AG2112" s="8"/>
      <c r="AH2112" s="8"/>
      <c r="AI2112" s="8"/>
      <c r="AJ2112" s="8"/>
      <c r="AK2112" s="8"/>
      <c r="AL2112" s="8"/>
      <c r="AM2112" s="8"/>
      <c r="AN2112" s="8"/>
      <c r="AO2112" s="8"/>
      <c r="AP2112" s="8"/>
      <c r="AQ2112" s="8"/>
      <c r="AR2112" s="8"/>
      <c r="AS2112" s="8"/>
      <c r="AT2112" s="8"/>
      <c r="AU2112" s="8"/>
      <c r="AV2112" s="8"/>
      <c r="AW2112" s="8"/>
      <c r="AX2112" s="8"/>
      <c r="AY2112" s="8"/>
    </row>
    <row r="2113" spans="1:51" ht="13.2" x14ac:dyDescent="0.25">
      <c r="A2113" s="12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8"/>
      <c r="AG2113" s="8"/>
      <c r="AH2113" s="8"/>
      <c r="AI2113" s="8"/>
      <c r="AJ2113" s="8"/>
      <c r="AK2113" s="8"/>
      <c r="AL2113" s="8"/>
      <c r="AM2113" s="8"/>
      <c r="AN2113" s="8"/>
      <c r="AO2113" s="8"/>
      <c r="AP2113" s="8"/>
      <c r="AQ2113" s="8"/>
      <c r="AR2113" s="8"/>
      <c r="AS2113" s="8"/>
      <c r="AT2113" s="8"/>
      <c r="AU2113" s="8"/>
      <c r="AV2113" s="8"/>
      <c r="AW2113" s="8"/>
      <c r="AX2113" s="8"/>
      <c r="AY2113" s="8"/>
    </row>
    <row r="2114" spans="1:51" ht="13.2" x14ac:dyDescent="0.25">
      <c r="A2114" s="12"/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8"/>
      <c r="AG2114" s="8"/>
      <c r="AH2114" s="8"/>
      <c r="AI2114" s="8"/>
      <c r="AJ2114" s="8"/>
      <c r="AK2114" s="8"/>
      <c r="AL2114" s="8"/>
      <c r="AM2114" s="8"/>
      <c r="AN2114" s="8"/>
      <c r="AO2114" s="8"/>
      <c r="AP2114" s="8"/>
      <c r="AQ2114" s="8"/>
      <c r="AR2114" s="8"/>
      <c r="AS2114" s="8"/>
      <c r="AT2114" s="8"/>
      <c r="AU2114" s="8"/>
      <c r="AV2114" s="8"/>
      <c r="AW2114" s="8"/>
      <c r="AX2114" s="8"/>
      <c r="AY2114" s="8"/>
    </row>
    <row r="2115" spans="1:51" ht="13.2" x14ac:dyDescent="0.25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8"/>
      <c r="AG2115" s="8"/>
      <c r="AH2115" s="8"/>
      <c r="AI2115" s="8"/>
      <c r="AJ2115" s="8"/>
      <c r="AK2115" s="8"/>
      <c r="AL2115" s="8"/>
      <c r="AM2115" s="8"/>
      <c r="AN2115" s="8"/>
      <c r="AO2115" s="8"/>
      <c r="AP2115" s="8"/>
      <c r="AQ2115" s="8"/>
      <c r="AR2115" s="8"/>
      <c r="AS2115" s="8"/>
      <c r="AT2115" s="8"/>
      <c r="AU2115" s="8"/>
      <c r="AV2115" s="8"/>
      <c r="AW2115" s="8"/>
      <c r="AX2115" s="8"/>
      <c r="AY2115" s="8"/>
    </row>
    <row r="2116" spans="1:51" ht="13.2" x14ac:dyDescent="0.25">
      <c r="A2116" s="12"/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8"/>
      <c r="AG2116" s="8"/>
      <c r="AH2116" s="8"/>
      <c r="AI2116" s="8"/>
      <c r="AJ2116" s="8"/>
      <c r="AK2116" s="8"/>
      <c r="AL2116" s="8"/>
      <c r="AM2116" s="8"/>
      <c r="AN2116" s="8"/>
      <c r="AO2116" s="8"/>
      <c r="AP2116" s="8"/>
      <c r="AQ2116" s="8"/>
      <c r="AR2116" s="8"/>
      <c r="AS2116" s="8"/>
      <c r="AT2116" s="8"/>
      <c r="AU2116" s="8"/>
      <c r="AV2116" s="8"/>
      <c r="AW2116" s="8"/>
      <c r="AX2116" s="8"/>
      <c r="AY2116" s="8"/>
    </row>
    <row r="2117" spans="1:51" ht="13.2" x14ac:dyDescent="0.25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8"/>
      <c r="AG2117" s="8"/>
      <c r="AH2117" s="8"/>
      <c r="AI2117" s="8"/>
      <c r="AJ2117" s="8"/>
      <c r="AK2117" s="8"/>
      <c r="AL2117" s="8"/>
      <c r="AM2117" s="8"/>
      <c r="AN2117" s="8"/>
      <c r="AO2117" s="8"/>
      <c r="AP2117" s="8"/>
      <c r="AQ2117" s="8"/>
      <c r="AR2117" s="8"/>
      <c r="AS2117" s="8"/>
      <c r="AT2117" s="8"/>
      <c r="AU2117" s="8"/>
      <c r="AV2117" s="8"/>
      <c r="AW2117" s="8"/>
      <c r="AX2117" s="8"/>
      <c r="AY2117" s="8"/>
    </row>
    <row r="2118" spans="1:51" ht="13.2" x14ac:dyDescent="0.25">
      <c r="A2118" s="12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12"/>
      <c r="AA2118" s="12"/>
      <c r="AB2118" s="12"/>
      <c r="AC2118" s="12"/>
      <c r="AD2118" s="12"/>
      <c r="AE2118" s="12"/>
      <c r="AF2118" s="8"/>
      <c r="AG2118" s="8"/>
      <c r="AH2118" s="8"/>
      <c r="AI2118" s="8"/>
      <c r="AJ2118" s="8"/>
      <c r="AK2118" s="8"/>
      <c r="AL2118" s="8"/>
      <c r="AM2118" s="8"/>
      <c r="AN2118" s="8"/>
      <c r="AO2118" s="8"/>
      <c r="AP2118" s="8"/>
      <c r="AQ2118" s="8"/>
      <c r="AR2118" s="8"/>
      <c r="AS2118" s="8"/>
      <c r="AT2118" s="8"/>
      <c r="AU2118" s="8"/>
      <c r="AV2118" s="8"/>
      <c r="AW2118" s="8"/>
      <c r="AX2118" s="8"/>
      <c r="AY2118" s="8"/>
    </row>
    <row r="2119" spans="1:51" ht="13.2" x14ac:dyDescent="0.25">
      <c r="A2119" s="12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  <c r="Y2119" s="12"/>
      <c r="Z2119" s="12"/>
      <c r="AA2119" s="12"/>
      <c r="AB2119" s="12"/>
      <c r="AC2119" s="12"/>
      <c r="AD2119" s="12"/>
      <c r="AE2119" s="12"/>
      <c r="AF2119" s="8"/>
      <c r="AG2119" s="8"/>
      <c r="AH2119" s="8"/>
      <c r="AI2119" s="8"/>
      <c r="AJ2119" s="8"/>
      <c r="AK2119" s="8"/>
      <c r="AL2119" s="8"/>
      <c r="AM2119" s="8"/>
      <c r="AN2119" s="8"/>
      <c r="AO2119" s="8"/>
      <c r="AP2119" s="8"/>
      <c r="AQ2119" s="8"/>
      <c r="AR2119" s="8"/>
      <c r="AS2119" s="8"/>
      <c r="AT2119" s="8"/>
      <c r="AU2119" s="8"/>
      <c r="AV2119" s="8"/>
      <c r="AW2119" s="8"/>
      <c r="AX2119" s="8"/>
      <c r="AY2119" s="8"/>
    </row>
    <row r="2120" spans="1:51" ht="13.2" x14ac:dyDescent="0.25">
      <c r="A2120" s="12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12"/>
      <c r="AA2120" s="12"/>
      <c r="AB2120" s="12"/>
      <c r="AC2120" s="12"/>
      <c r="AD2120" s="12"/>
      <c r="AE2120" s="12"/>
      <c r="AF2120" s="8"/>
      <c r="AG2120" s="8"/>
      <c r="AH2120" s="8"/>
      <c r="AI2120" s="8"/>
      <c r="AJ2120" s="8"/>
      <c r="AK2120" s="8"/>
      <c r="AL2120" s="8"/>
      <c r="AM2120" s="8"/>
      <c r="AN2120" s="8"/>
      <c r="AO2120" s="8"/>
      <c r="AP2120" s="8"/>
      <c r="AQ2120" s="8"/>
      <c r="AR2120" s="8"/>
      <c r="AS2120" s="8"/>
      <c r="AT2120" s="8"/>
      <c r="AU2120" s="8"/>
      <c r="AV2120" s="8"/>
      <c r="AW2120" s="8"/>
      <c r="AX2120" s="8"/>
      <c r="AY2120" s="8"/>
    </row>
    <row r="2121" spans="1:51" ht="13.2" x14ac:dyDescent="0.25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12"/>
      <c r="AA2121" s="12"/>
      <c r="AB2121" s="12"/>
      <c r="AC2121" s="12"/>
      <c r="AD2121" s="12"/>
      <c r="AE2121" s="12"/>
      <c r="AF2121" s="8"/>
      <c r="AG2121" s="8"/>
      <c r="AH2121" s="8"/>
      <c r="AI2121" s="8"/>
      <c r="AJ2121" s="8"/>
      <c r="AK2121" s="8"/>
      <c r="AL2121" s="8"/>
      <c r="AM2121" s="8"/>
      <c r="AN2121" s="8"/>
      <c r="AO2121" s="8"/>
      <c r="AP2121" s="8"/>
      <c r="AQ2121" s="8"/>
      <c r="AR2121" s="8"/>
      <c r="AS2121" s="8"/>
      <c r="AT2121" s="8"/>
      <c r="AU2121" s="8"/>
      <c r="AV2121" s="8"/>
      <c r="AW2121" s="8"/>
      <c r="AX2121" s="8"/>
      <c r="AY2121" s="8"/>
    </row>
    <row r="2122" spans="1:51" ht="13.2" x14ac:dyDescent="0.25">
      <c r="A2122" s="12"/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12"/>
      <c r="AA2122" s="12"/>
      <c r="AB2122" s="12"/>
      <c r="AC2122" s="12"/>
      <c r="AD2122" s="12"/>
      <c r="AE2122" s="12"/>
      <c r="AF2122" s="8"/>
      <c r="AG2122" s="8"/>
      <c r="AH2122" s="8"/>
      <c r="AI2122" s="8"/>
      <c r="AJ2122" s="8"/>
      <c r="AK2122" s="8"/>
      <c r="AL2122" s="8"/>
      <c r="AM2122" s="8"/>
      <c r="AN2122" s="8"/>
      <c r="AO2122" s="8"/>
      <c r="AP2122" s="8"/>
      <c r="AQ2122" s="8"/>
      <c r="AR2122" s="8"/>
      <c r="AS2122" s="8"/>
      <c r="AT2122" s="8"/>
      <c r="AU2122" s="8"/>
      <c r="AV2122" s="8"/>
      <c r="AW2122" s="8"/>
      <c r="AX2122" s="8"/>
      <c r="AY2122" s="8"/>
    </row>
    <row r="2123" spans="1:51" ht="13.2" x14ac:dyDescent="0.25">
      <c r="A2123" s="12"/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12"/>
      <c r="AA2123" s="12"/>
      <c r="AB2123" s="12"/>
      <c r="AC2123" s="12"/>
      <c r="AD2123" s="12"/>
      <c r="AE2123" s="12"/>
      <c r="AF2123" s="8"/>
      <c r="AG2123" s="8"/>
      <c r="AH2123" s="8"/>
      <c r="AI2123" s="8"/>
      <c r="AJ2123" s="8"/>
      <c r="AK2123" s="8"/>
      <c r="AL2123" s="8"/>
      <c r="AM2123" s="8"/>
      <c r="AN2123" s="8"/>
      <c r="AO2123" s="8"/>
      <c r="AP2123" s="8"/>
      <c r="AQ2123" s="8"/>
      <c r="AR2123" s="8"/>
      <c r="AS2123" s="8"/>
      <c r="AT2123" s="8"/>
      <c r="AU2123" s="8"/>
      <c r="AV2123" s="8"/>
      <c r="AW2123" s="8"/>
      <c r="AX2123" s="8"/>
      <c r="AY2123" s="8"/>
    </row>
    <row r="2124" spans="1:51" ht="13.2" x14ac:dyDescent="0.25">
      <c r="A2124" s="12"/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12"/>
      <c r="AA2124" s="12"/>
      <c r="AB2124" s="12"/>
      <c r="AC2124" s="12"/>
      <c r="AD2124" s="12"/>
      <c r="AE2124" s="12"/>
      <c r="AF2124" s="8"/>
      <c r="AG2124" s="8"/>
      <c r="AH2124" s="8"/>
      <c r="AI2124" s="8"/>
      <c r="AJ2124" s="8"/>
      <c r="AK2124" s="8"/>
      <c r="AL2124" s="8"/>
      <c r="AM2124" s="8"/>
      <c r="AN2124" s="8"/>
      <c r="AO2124" s="8"/>
      <c r="AP2124" s="8"/>
      <c r="AQ2124" s="8"/>
      <c r="AR2124" s="8"/>
      <c r="AS2124" s="8"/>
      <c r="AT2124" s="8"/>
      <c r="AU2124" s="8"/>
      <c r="AV2124" s="8"/>
      <c r="AW2124" s="8"/>
      <c r="AX2124" s="8"/>
      <c r="AY2124" s="8"/>
    </row>
    <row r="2125" spans="1:51" ht="13.2" x14ac:dyDescent="0.25">
      <c r="A2125" s="12"/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12"/>
      <c r="AA2125" s="12"/>
      <c r="AB2125" s="12"/>
      <c r="AC2125" s="12"/>
      <c r="AD2125" s="12"/>
      <c r="AE2125" s="12"/>
      <c r="AF2125" s="8"/>
      <c r="AG2125" s="8"/>
      <c r="AH2125" s="8"/>
      <c r="AI2125" s="8"/>
      <c r="AJ2125" s="8"/>
      <c r="AK2125" s="8"/>
      <c r="AL2125" s="8"/>
      <c r="AM2125" s="8"/>
      <c r="AN2125" s="8"/>
      <c r="AO2125" s="8"/>
      <c r="AP2125" s="8"/>
      <c r="AQ2125" s="8"/>
      <c r="AR2125" s="8"/>
      <c r="AS2125" s="8"/>
      <c r="AT2125" s="8"/>
      <c r="AU2125" s="8"/>
      <c r="AV2125" s="8"/>
      <c r="AW2125" s="8"/>
      <c r="AX2125" s="8"/>
      <c r="AY2125" s="8"/>
    </row>
    <row r="2126" spans="1:51" ht="13.2" x14ac:dyDescent="0.25">
      <c r="A2126" s="12"/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12"/>
      <c r="AA2126" s="12"/>
      <c r="AB2126" s="12"/>
      <c r="AC2126" s="12"/>
      <c r="AD2126" s="12"/>
      <c r="AE2126" s="12"/>
      <c r="AF2126" s="8"/>
      <c r="AG2126" s="8"/>
      <c r="AH2126" s="8"/>
      <c r="AI2126" s="8"/>
      <c r="AJ2126" s="8"/>
      <c r="AK2126" s="8"/>
      <c r="AL2126" s="8"/>
      <c r="AM2126" s="8"/>
      <c r="AN2126" s="8"/>
      <c r="AO2126" s="8"/>
      <c r="AP2126" s="8"/>
      <c r="AQ2126" s="8"/>
      <c r="AR2126" s="8"/>
      <c r="AS2126" s="8"/>
      <c r="AT2126" s="8"/>
      <c r="AU2126" s="8"/>
      <c r="AV2126" s="8"/>
      <c r="AW2126" s="8"/>
      <c r="AX2126" s="8"/>
      <c r="AY2126" s="8"/>
    </row>
    <row r="2127" spans="1:51" ht="13.2" x14ac:dyDescent="0.25">
      <c r="A2127" s="12"/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12"/>
      <c r="AA2127" s="12"/>
      <c r="AB2127" s="12"/>
      <c r="AC2127" s="12"/>
      <c r="AD2127" s="12"/>
      <c r="AE2127" s="12"/>
      <c r="AF2127" s="8"/>
      <c r="AG2127" s="8"/>
      <c r="AH2127" s="8"/>
      <c r="AI2127" s="8"/>
      <c r="AJ2127" s="8"/>
      <c r="AK2127" s="8"/>
      <c r="AL2127" s="8"/>
      <c r="AM2127" s="8"/>
      <c r="AN2127" s="8"/>
      <c r="AO2127" s="8"/>
      <c r="AP2127" s="8"/>
      <c r="AQ2127" s="8"/>
      <c r="AR2127" s="8"/>
      <c r="AS2127" s="8"/>
      <c r="AT2127" s="8"/>
      <c r="AU2127" s="8"/>
      <c r="AV2127" s="8"/>
      <c r="AW2127" s="8"/>
      <c r="AX2127" s="8"/>
      <c r="AY2127" s="8"/>
    </row>
    <row r="2128" spans="1:51" ht="13.2" x14ac:dyDescent="0.25">
      <c r="A2128" s="12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12"/>
      <c r="AA2128" s="12"/>
      <c r="AB2128" s="12"/>
      <c r="AC2128" s="12"/>
      <c r="AD2128" s="12"/>
      <c r="AE2128" s="12"/>
      <c r="AF2128" s="8"/>
      <c r="AG2128" s="8"/>
      <c r="AH2128" s="8"/>
      <c r="AI2128" s="8"/>
      <c r="AJ2128" s="8"/>
      <c r="AK2128" s="8"/>
      <c r="AL2128" s="8"/>
      <c r="AM2128" s="8"/>
      <c r="AN2128" s="8"/>
      <c r="AO2128" s="8"/>
      <c r="AP2128" s="8"/>
      <c r="AQ2128" s="8"/>
      <c r="AR2128" s="8"/>
      <c r="AS2128" s="8"/>
      <c r="AT2128" s="8"/>
      <c r="AU2128" s="8"/>
      <c r="AV2128" s="8"/>
      <c r="AW2128" s="8"/>
      <c r="AX2128" s="8"/>
      <c r="AY2128" s="8"/>
    </row>
    <row r="2129" spans="1:51" ht="13.2" x14ac:dyDescent="0.25">
      <c r="A2129" s="12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12"/>
      <c r="AA2129" s="12"/>
      <c r="AB2129" s="12"/>
      <c r="AC2129" s="12"/>
      <c r="AD2129" s="12"/>
      <c r="AE2129" s="12"/>
      <c r="AF2129" s="8"/>
      <c r="AG2129" s="8"/>
      <c r="AH2129" s="8"/>
      <c r="AI2129" s="8"/>
      <c r="AJ2129" s="8"/>
      <c r="AK2129" s="8"/>
      <c r="AL2129" s="8"/>
      <c r="AM2129" s="8"/>
      <c r="AN2129" s="8"/>
      <c r="AO2129" s="8"/>
      <c r="AP2129" s="8"/>
      <c r="AQ2129" s="8"/>
      <c r="AR2129" s="8"/>
      <c r="AS2129" s="8"/>
      <c r="AT2129" s="8"/>
      <c r="AU2129" s="8"/>
      <c r="AV2129" s="8"/>
      <c r="AW2129" s="8"/>
      <c r="AX2129" s="8"/>
      <c r="AY2129" s="8"/>
    </row>
    <row r="2130" spans="1:51" ht="13.2" x14ac:dyDescent="0.25">
      <c r="A2130" s="12"/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12"/>
      <c r="AA2130" s="12"/>
      <c r="AB2130" s="12"/>
      <c r="AC2130" s="12"/>
      <c r="AD2130" s="12"/>
      <c r="AE2130" s="12"/>
      <c r="AF2130" s="8"/>
      <c r="AG2130" s="8"/>
      <c r="AH2130" s="8"/>
      <c r="AI2130" s="8"/>
      <c r="AJ2130" s="8"/>
      <c r="AK2130" s="8"/>
      <c r="AL2130" s="8"/>
      <c r="AM2130" s="8"/>
      <c r="AN2130" s="8"/>
      <c r="AO2130" s="8"/>
      <c r="AP2130" s="8"/>
      <c r="AQ2130" s="8"/>
      <c r="AR2130" s="8"/>
      <c r="AS2130" s="8"/>
      <c r="AT2130" s="8"/>
      <c r="AU2130" s="8"/>
      <c r="AV2130" s="8"/>
      <c r="AW2130" s="8"/>
      <c r="AX2130" s="8"/>
      <c r="AY2130" s="8"/>
    </row>
    <row r="2131" spans="1:51" ht="13.2" x14ac:dyDescent="0.25">
      <c r="A2131" s="12"/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12"/>
      <c r="AA2131" s="12"/>
      <c r="AB2131" s="12"/>
      <c r="AC2131" s="12"/>
      <c r="AD2131" s="12"/>
      <c r="AE2131" s="12"/>
      <c r="AF2131" s="8"/>
      <c r="AG2131" s="8"/>
      <c r="AH2131" s="8"/>
      <c r="AI2131" s="8"/>
      <c r="AJ2131" s="8"/>
      <c r="AK2131" s="8"/>
      <c r="AL2131" s="8"/>
      <c r="AM2131" s="8"/>
      <c r="AN2131" s="8"/>
      <c r="AO2131" s="8"/>
      <c r="AP2131" s="8"/>
      <c r="AQ2131" s="8"/>
      <c r="AR2131" s="8"/>
      <c r="AS2131" s="8"/>
      <c r="AT2131" s="8"/>
      <c r="AU2131" s="8"/>
      <c r="AV2131" s="8"/>
      <c r="AW2131" s="8"/>
      <c r="AX2131" s="8"/>
      <c r="AY2131" s="8"/>
    </row>
    <row r="2132" spans="1:51" ht="13.2" x14ac:dyDescent="0.25">
      <c r="A2132" s="12"/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12"/>
      <c r="AA2132" s="12"/>
      <c r="AB2132" s="12"/>
      <c r="AC2132" s="12"/>
      <c r="AD2132" s="12"/>
      <c r="AE2132" s="12"/>
      <c r="AF2132" s="8"/>
      <c r="AG2132" s="8"/>
      <c r="AH2132" s="8"/>
      <c r="AI2132" s="8"/>
      <c r="AJ2132" s="8"/>
      <c r="AK2132" s="8"/>
      <c r="AL2132" s="8"/>
      <c r="AM2132" s="8"/>
      <c r="AN2132" s="8"/>
      <c r="AO2132" s="8"/>
      <c r="AP2132" s="8"/>
      <c r="AQ2132" s="8"/>
      <c r="AR2132" s="8"/>
      <c r="AS2132" s="8"/>
      <c r="AT2132" s="8"/>
      <c r="AU2132" s="8"/>
      <c r="AV2132" s="8"/>
      <c r="AW2132" s="8"/>
      <c r="AX2132" s="8"/>
      <c r="AY2132" s="8"/>
    </row>
    <row r="2133" spans="1:51" ht="13.2" x14ac:dyDescent="0.25">
      <c r="A2133" s="12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12"/>
      <c r="AA2133" s="12"/>
      <c r="AB2133" s="12"/>
      <c r="AC2133" s="12"/>
      <c r="AD2133" s="12"/>
      <c r="AE2133" s="12"/>
      <c r="AF2133" s="8"/>
      <c r="AG2133" s="8"/>
      <c r="AH2133" s="8"/>
      <c r="AI2133" s="8"/>
      <c r="AJ2133" s="8"/>
      <c r="AK2133" s="8"/>
      <c r="AL2133" s="8"/>
      <c r="AM2133" s="8"/>
      <c r="AN2133" s="8"/>
      <c r="AO2133" s="8"/>
      <c r="AP2133" s="8"/>
      <c r="AQ2133" s="8"/>
      <c r="AR2133" s="8"/>
      <c r="AS2133" s="8"/>
      <c r="AT2133" s="8"/>
      <c r="AU2133" s="8"/>
      <c r="AV2133" s="8"/>
      <c r="AW2133" s="8"/>
      <c r="AX2133" s="8"/>
      <c r="AY2133" s="8"/>
    </row>
    <row r="2134" spans="1:51" ht="13.2" x14ac:dyDescent="0.25">
      <c r="A2134" s="12"/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12"/>
      <c r="AA2134" s="12"/>
      <c r="AB2134" s="12"/>
      <c r="AC2134" s="12"/>
      <c r="AD2134" s="12"/>
      <c r="AE2134" s="12"/>
      <c r="AF2134" s="8"/>
      <c r="AG2134" s="8"/>
      <c r="AH2134" s="8"/>
      <c r="AI2134" s="8"/>
      <c r="AJ2134" s="8"/>
      <c r="AK2134" s="8"/>
      <c r="AL2134" s="8"/>
      <c r="AM2134" s="8"/>
      <c r="AN2134" s="8"/>
      <c r="AO2134" s="8"/>
      <c r="AP2134" s="8"/>
      <c r="AQ2134" s="8"/>
      <c r="AR2134" s="8"/>
      <c r="AS2134" s="8"/>
      <c r="AT2134" s="8"/>
      <c r="AU2134" s="8"/>
      <c r="AV2134" s="8"/>
      <c r="AW2134" s="8"/>
      <c r="AX2134" s="8"/>
      <c r="AY2134" s="8"/>
    </row>
    <row r="2135" spans="1:51" ht="13.2" x14ac:dyDescent="0.25">
      <c r="A2135" s="12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12"/>
      <c r="Z2135" s="12"/>
      <c r="AA2135" s="12"/>
      <c r="AB2135" s="12"/>
      <c r="AC2135" s="12"/>
      <c r="AD2135" s="12"/>
      <c r="AE2135" s="12"/>
      <c r="AF2135" s="8"/>
      <c r="AG2135" s="8"/>
      <c r="AH2135" s="8"/>
      <c r="AI2135" s="8"/>
      <c r="AJ2135" s="8"/>
      <c r="AK2135" s="8"/>
      <c r="AL2135" s="8"/>
      <c r="AM2135" s="8"/>
      <c r="AN2135" s="8"/>
      <c r="AO2135" s="8"/>
      <c r="AP2135" s="8"/>
      <c r="AQ2135" s="8"/>
      <c r="AR2135" s="8"/>
      <c r="AS2135" s="8"/>
      <c r="AT2135" s="8"/>
      <c r="AU2135" s="8"/>
      <c r="AV2135" s="8"/>
      <c r="AW2135" s="8"/>
      <c r="AX2135" s="8"/>
      <c r="AY2135" s="8"/>
    </row>
    <row r="2136" spans="1:51" ht="13.2" x14ac:dyDescent="0.25">
      <c r="A2136" s="12"/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12"/>
      <c r="AA2136" s="12"/>
      <c r="AB2136" s="12"/>
      <c r="AC2136" s="12"/>
      <c r="AD2136" s="12"/>
      <c r="AE2136" s="12"/>
      <c r="AF2136" s="8"/>
      <c r="AG2136" s="8"/>
      <c r="AH2136" s="8"/>
      <c r="AI2136" s="8"/>
      <c r="AJ2136" s="8"/>
      <c r="AK2136" s="8"/>
      <c r="AL2136" s="8"/>
      <c r="AM2136" s="8"/>
      <c r="AN2136" s="8"/>
      <c r="AO2136" s="8"/>
      <c r="AP2136" s="8"/>
      <c r="AQ2136" s="8"/>
      <c r="AR2136" s="8"/>
      <c r="AS2136" s="8"/>
      <c r="AT2136" s="8"/>
      <c r="AU2136" s="8"/>
      <c r="AV2136" s="8"/>
      <c r="AW2136" s="8"/>
      <c r="AX2136" s="8"/>
      <c r="AY2136" s="8"/>
    </row>
    <row r="2137" spans="1:51" ht="13.2" x14ac:dyDescent="0.25">
      <c r="A2137" s="12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12"/>
      <c r="Z2137" s="12"/>
      <c r="AA2137" s="12"/>
      <c r="AB2137" s="12"/>
      <c r="AC2137" s="12"/>
      <c r="AD2137" s="12"/>
      <c r="AE2137" s="12"/>
      <c r="AF2137" s="8"/>
      <c r="AG2137" s="8"/>
      <c r="AH2137" s="8"/>
      <c r="AI2137" s="8"/>
      <c r="AJ2137" s="8"/>
      <c r="AK2137" s="8"/>
      <c r="AL2137" s="8"/>
      <c r="AM2137" s="8"/>
      <c r="AN2137" s="8"/>
      <c r="AO2137" s="8"/>
      <c r="AP2137" s="8"/>
      <c r="AQ2137" s="8"/>
      <c r="AR2137" s="8"/>
      <c r="AS2137" s="8"/>
      <c r="AT2137" s="8"/>
      <c r="AU2137" s="8"/>
      <c r="AV2137" s="8"/>
      <c r="AW2137" s="8"/>
      <c r="AX2137" s="8"/>
      <c r="AY2137" s="8"/>
    </row>
    <row r="2138" spans="1:51" ht="13.2" x14ac:dyDescent="0.25">
      <c r="A2138" s="12"/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12"/>
      <c r="AA2138" s="12"/>
      <c r="AB2138" s="12"/>
      <c r="AC2138" s="12"/>
      <c r="AD2138" s="12"/>
      <c r="AE2138" s="12"/>
      <c r="AF2138" s="8"/>
      <c r="AG2138" s="8"/>
      <c r="AH2138" s="8"/>
      <c r="AI2138" s="8"/>
      <c r="AJ2138" s="8"/>
      <c r="AK2138" s="8"/>
      <c r="AL2138" s="8"/>
      <c r="AM2138" s="8"/>
      <c r="AN2138" s="8"/>
      <c r="AO2138" s="8"/>
      <c r="AP2138" s="8"/>
      <c r="AQ2138" s="8"/>
      <c r="AR2138" s="8"/>
      <c r="AS2138" s="8"/>
      <c r="AT2138" s="8"/>
      <c r="AU2138" s="8"/>
      <c r="AV2138" s="8"/>
      <c r="AW2138" s="8"/>
      <c r="AX2138" s="8"/>
      <c r="AY2138" s="8"/>
    </row>
    <row r="2139" spans="1:51" ht="13.2" x14ac:dyDescent="0.25">
      <c r="A2139" s="12"/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12"/>
      <c r="AA2139" s="12"/>
      <c r="AB2139" s="12"/>
      <c r="AC2139" s="12"/>
      <c r="AD2139" s="12"/>
      <c r="AE2139" s="12"/>
      <c r="AF2139" s="8"/>
      <c r="AG2139" s="8"/>
      <c r="AH2139" s="8"/>
      <c r="AI2139" s="8"/>
      <c r="AJ2139" s="8"/>
      <c r="AK2139" s="8"/>
      <c r="AL2139" s="8"/>
      <c r="AM2139" s="8"/>
      <c r="AN2139" s="8"/>
      <c r="AO2139" s="8"/>
      <c r="AP2139" s="8"/>
      <c r="AQ2139" s="8"/>
      <c r="AR2139" s="8"/>
      <c r="AS2139" s="8"/>
      <c r="AT2139" s="8"/>
      <c r="AU2139" s="8"/>
      <c r="AV2139" s="8"/>
      <c r="AW2139" s="8"/>
      <c r="AX2139" s="8"/>
      <c r="AY2139" s="8"/>
    </row>
    <row r="2140" spans="1:51" ht="13.2" x14ac:dyDescent="0.25">
      <c r="A2140" s="12"/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12"/>
      <c r="AA2140" s="12"/>
      <c r="AB2140" s="12"/>
      <c r="AC2140" s="12"/>
      <c r="AD2140" s="12"/>
      <c r="AE2140" s="12"/>
      <c r="AF2140" s="8"/>
      <c r="AG2140" s="8"/>
      <c r="AH2140" s="8"/>
      <c r="AI2140" s="8"/>
      <c r="AJ2140" s="8"/>
      <c r="AK2140" s="8"/>
      <c r="AL2140" s="8"/>
      <c r="AM2140" s="8"/>
      <c r="AN2140" s="8"/>
      <c r="AO2140" s="8"/>
      <c r="AP2140" s="8"/>
      <c r="AQ2140" s="8"/>
      <c r="AR2140" s="8"/>
      <c r="AS2140" s="8"/>
      <c r="AT2140" s="8"/>
      <c r="AU2140" s="8"/>
      <c r="AV2140" s="8"/>
      <c r="AW2140" s="8"/>
      <c r="AX2140" s="8"/>
      <c r="AY2140" s="8"/>
    </row>
    <row r="2141" spans="1:51" ht="13.2" x14ac:dyDescent="0.25">
      <c r="A2141" s="12"/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12"/>
      <c r="AA2141" s="12"/>
      <c r="AB2141" s="12"/>
      <c r="AC2141" s="12"/>
      <c r="AD2141" s="12"/>
      <c r="AE2141" s="12"/>
      <c r="AF2141" s="8"/>
      <c r="AG2141" s="8"/>
      <c r="AH2141" s="8"/>
      <c r="AI2141" s="8"/>
      <c r="AJ2141" s="8"/>
      <c r="AK2141" s="8"/>
      <c r="AL2141" s="8"/>
      <c r="AM2141" s="8"/>
      <c r="AN2141" s="8"/>
      <c r="AO2141" s="8"/>
      <c r="AP2141" s="8"/>
      <c r="AQ2141" s="8"/>
      <c r="AR2141" s="8"/>
      <c r="AS2141" s="8"/>
      <c r="AT2141" s="8"/>
      <c r="AU2141" s="8"/>
      <c r="AV2141" s="8"/>
      <c r="AW2141" s="8"/>
      <c r="AX2141" s="8"/>
      <c r="AY2141" s="8"/>
    </row>
    <row r="2142" spans="1:51" ht="13.2" x14ac:dyDescent="0.25">
      <c r="A2142" s="12"/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12"/>
      <c r="AA2142" s="12"/>
      <c r="AB2142" s="12"/>
      <c r="AC2142" s="12"/>
      <c r="AD2142" s="12"/>
      <c r="AE2142" s="12"/>
      <c r="AF2142" s="8"/>
      <c r="AG2142" s="8"/>
      <c r="AH2142" s="8"/>
      <c r="AI2142" s="8"/>
      <c r="AJ2142" s="8"/>
      <c r="AK2142" s="8"/>
      <c r="AL2142" s="8"/>
      <c r="AM2142" s="8"/>
      <c r="AN2142" s="8"/>
      <c r="AO2142" s="8"/>
      <c r="AP2142" s="8"/>
      <c r="AQ2142" s="8"/>
      <c r="AR2142" s="8"/>
      <c r="AS2142" s="8"/>
      <c r="AT2142" s="8"/>
      <c r="AU2142" s="8"/>
      <c r="AV2142" s="8"/>
      <c r="AW2142" s="8"/>
      <c r="AX2142" s="8"/>
      <c r="AY2142" s="8"/>
    </row>
    <row r="2143" spans="1:51" ht="13.2" x14ac:dyDescent="0.25">
      <c r="A2143" s="12"/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12"/>
      <c r="AA2143" s="12"/>
      <c r="AB2143" s="12"/>
      <c r="AC2143" s="12"/>
      <c r="AD2143" s="12"/>
      <c r="AE2143" s="12"/>
      <c r="AF2143" s="8"/>
      <c r="AG2143" s="8"/>
      <c r="AH2143" s="8"/>
      <c r="AI2143" s="8"/>
      <c r="AJ2143" s="8"/>
      <c r="AK2143" s="8"/>
      <c r="AL2143" s="8"/>
      <c r="AM2143" s="8"/>
      <c r="AN2143" s="8"/>
      <c r="AO2143" s="8"/>
      <c r="AP2143" s="8"/>
      <c r="AQ2143" s="8"/>
      <c r="AR2143" s="8"/>
      <c r="AS2143" s="8"/>
      <c r="AT2143" s="8"/>
      <c r="AU2143" s="8"/>
      <c r="AV2143" s="8"/>
      <c r="AW2143" s="8"/>
      <c r="AX2143" s="8"/>
      <c r="AY2143" s="8"/>
    </row>
    <row r="2144" spans="1:51" ht="13.2" x14ac:dyDescent="0.25">
      <c r="A2144" s="12"/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12"/>
      <c r="AA2144" s="12"/>
      <c r="AB2144" s="12"/>
      <c r="AC2144" s="12"/>
      <c r="AD2144" s="12"/>
      <c r="AE2144" s="12"/>
      <c r="AF2144" s="8"/>
      <c r="AG2144" s="8"/>
      <c r="AH2144" s="8"/>
      <c r="AI2144" s="8"/>
      <c r="AJ2144" s="8"/>
      <c r="AK2144" s="8"/>
      <c r="AL2144" s="8"/>
      <c r="AM2144" s="8"/>
      <c r="AN2144" s="8"/>
      <c r="AO2144" s="8"/>
      <c r="AP2144" s="8"/>
      <c r="AQ2144" s="8"/>
      <c r="AR2144" s="8"/>
      <c r="AS2144" s="8"/>
      <c r="AT2144" s="8"/>
      <c r="AU2144" s="8"/>
      <c r="AV2144" s="8"/>
      <c r="AW2144" s="8"/>
      <c r="AX2144" s="8"/>
      <c r="AY2144" s="8"/>
    </row>
    <row r="2145" spans="1:51" ht="13.2" x14ac:dyDescent="0.25">
      <c r="A2145" s="12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12"/>
      <c r="AA2145" s="12"/>
      <c r="AB2145" s="12"/>
      <c r="AC2145" s="12"/>
      <c r="AD2145" s="12"/>
      <c r="AE2145" s="12"/>
      <c r="AF2145" s="8"/>
      <c r="AG2145" s="8"/>
      <c r="AH2145" s="8"/>
      <c r="AI2145" s="8"/>
      <c r="AJ2145" s="8"/>
      <c r="AK2145" s="8"/>
      <c r="AL2145" s="8"/>
      <c r="AM2145" s="8"/>
      <c r="AN2145" s="8"/>
      <c r="AO2145" s="8"/>
      <c r="AP2145" s="8"/>
      <c r="AQ2145" s="8"/>
      <c r="AR2145" s="8"/>
      <c r="AS2145" s="8"/>
      <c r="AT2145" s="8"/>
      <c r="AU2145" s="8"/>
      <c r="AV2145" s="8"/>
      <c r="AW2145" s="8"/>
      <c r="AX2145" s="8"/>
      <c r="AY2145" s="8"/>
    </row>
    <row r="2146" spans="1:51" ht="13.2" x14ac:dyDescent="0.25">
      <c r="A2146" s="12"/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12"/>
      <c r="AA2146" s="12"/>
      <c r="AB2146" s="12"/>
      <c r="AC2146" s="12"/>
      <c r="AD2146" s="12"/>
      <c r="AE2146" s="12"/>
      <c r="AF2146" s="8"/>
      <c r="AG2146" s="8"/>
      <c r="AH2146" s="8"/>
      <c r="AI2146" s="8"/>
      <c r="AJ2146" s="8"/>
      <c r="AK2146" s="8"/>
      <c r="AL2146" s="8"/>
      <c r="AM2146" s="8"/>
      <c r="AN2146" s="8"/>
      <c r="AO2146" s="8"/>
      <c r="AP2146" s="8"/>
      <c r="AQ2146" s="8"/>
      <c r="AR2146" s="8"/>
      <c r="AS2146" s="8"/>
      <c r="AT2146" s="8"/>
      <c r="AU2146" s="8"/>
      <c r="AV2146" s="8"/>
      <c r="AW2146" s="8"/>
      <c r="AX2146" s="8"/>
      <c r="AY2146" s="8"/>
    </row>
    <row r="2147" spans="1:51" ht="13.2" x14ac:dyDescent="0.25">
      <c r="A2147" s="12"/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12"/>
      <c r="AA2147" s="12"/>
      <c r="AB2147" s="12"/>
      <c r="AC2147" s="12"/>
      <c r="AD2147" s="12"/>
      <c r="AE2147" s="12"/>
      <c r="AF2147" s="8"/>
      <c r="AG2147" s="8"/>
      <c r="AH2147" s="8"/>
      <c r="AI2147" s="8"/>
      <c r="AJ2147" s="8"/>
      <c r="AK2147" s="8"/>
      <c r="AL2147" s="8"/>
      <c r="AM2147" s="8"/>
      <c r="AN2147" s="8"/>
      <c r="AO2147" s="8"/>
      <c r="AP2147" s="8"/>
      <c r="AQ2147" s="8"/>
      <c r="AR2147" s="8"/>
      <c r="AS2147" s="8"/>
      <c r="AT2147" s="8"/>
      <c r="AU2147" s="8"/>
      <c r="AV2147" s="8"/>
      <c r="AW2147" s="8"/>
      <c r="AX2147" s="8"/>
      <c r="AY2147" s="8"/>
    </row>
    <row r="2148" spans="1:51" ht="13.2" x14ac:dyDescent="0.25">
      <c r="A2148" s="12"/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12"/>
      <c r="AA2148" s="12"/>
      <c r="AB2148" s="12"/>
      <c r="AC2148" s="12"/>
      <c r="AD2148" s="12"/>
      <c r="AE2148" s="12"/>
      <c r="AF2148" s="8"/>
      <c r="AG2148" s="8"/>
      <c r="AH2148" s="8"/>
      <c r="AI2148" s="8"/>
      <c r="AJ2148" s="8"/>
      <c r="AK2148" s="8"/>
      <c r="AL2148" s="8"/>
      <c r="AM2148" s="8"/>
      <c r="AN2148" s="8"/>
      <c r="AO2148" s="8"/>
      <c r="AP2148" s="8"/>
      <c r="AQ2148" s="8"/>
      <c r="AR2148" s="8"/>
      <c r="AS2148" s="8"/>
      <c r="AT2148" s="8"/>
      <c r="AU2148" s="8"/>
      <c r="AV2148" s="8"/>
      <c r="AW2148" s="8"/>
      <c r="AX2148" s="8"/>
      <c r="AY2148" s="8"/>
    </row>
    <row r="2149" spans="1:51" ht="13.2" x14ac:dyDescent="0.25">
      <c r="A2149" s="12"/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12"/>
      <c r="AA2149" s="12"/>
      <c r="AB2149" s="12"/>
      <c r="AC2149" s="12"/>
      <c r="AD2149" s="12"/>
      <c r="AE2149" s="12"/>
      <c r="AF2149" s="8"/>
      <c r="AG2149" s="8"/>
      <c r="AH2149" s="8"/>
      <c r="AI2149" s="8"/>
      <c r="AJ2149" s="8"/>
      <c r="AK2149" s="8"/>
      <c r="AL2149" s="8"/>
      <c r="AM2149" s="8"/>
      <c r="AN2149" s="8"/>
      <c r="AO2149" s="8"/>
      <c r="AP2149" s="8"/>
      <c r="AQ2149" s="8"/>
      <c r="AR2149" s="8"/>
      <c r="AS2149" s="8"/>
      <c r="AT2149" s="8"/>
      <c r="AU2149" s="8"/>
      <c r="AV2149" s="8"/>
      <c r="AW2149" s="8"/>
      <c r="AX2149" s="8"/>
      <c r="AY2149" s="8"/>
    </row>
    <row r="2150" spans="1:51" ht="13.2" x14ac:dyDescent="0.25">
      <c r="A2150" s="12"/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12"/>
      <c r="AA2150" s="12"/>
      <c r="AB2150" s="12"/>
      <c r="AC2150" s="12"/>
      <c r="AD2150" s="12"/>
      <c r="AE2150" s="12"/>
      <c r="AF2150" s="8"/>
      <c r="AG2150" s="8"/>
      <c r="AH2150" s="8"/>
      <c r="AI2150" s="8"/>
      <c r="AJ2150" s="8"/>
      <c r="AK2150" s="8"/>
      <c r="AL2150" s="8"/>
      <c r="AM2150" s="8"/>
      <c r="AN2150" s="8"/>
      <c r="AO2150" s="8"/>
      <c r="AP2150" s="8"/>
      <c r="AQ2150" s="8"/>
      <c r="AR2150" s="8"/>
      <c r="AS2150" s="8"/>
      <c r="AT2150" s="8"/>
      <c r="AU2150" s="8"/>
      <c r="AV2150" s="8"/>
      <c r="AW2150" s="8"/>
      <c r="AX2150" s="8"/>
      <c r="AY2150" s="8"/>
    </row>
    <row r="2151" spans="1:51" ht="13.2" x14ac:dyDescent="0.25">
      <c r="A2151" s="12"/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12"/>
      <c r="Z2151" s="12"/>
      <c r="AA2151" s="12"/>
      <c r="AB2151" s="12"/>
      <c r="AC2151" s="12"/>
      <c r="AD2151" s="12"/>
      <c r="AE2151" s="12"/>
      <c r="AF2151" s="8"/>
      <c r="AG2151" s="8"/>
      <c r="AH2151" s="8"/>
      <c r="AI2151" s="8"/>
      <c r="AJ2151" s="8"/>
      <c r="AK2151" s="8"/>
      <c r="AL2151" s="8"/>
      <c r="AM2151" s="8"/>
      <c r="AN2151" s="8"/>
      <c r="AO2151" s="8"/>
      <c r="AP2151" s="8"/>
      <c r="AQ2151" s="8"/>
      <c r="AR2151" s="8"/>
      <c r="AS2151" s="8"/>
      <c r="AT2151" s="8"/>
      <c r="AU2151" s="8"/>
      <c r="AV2151" s="8"/>
      <c r="AW2151" s="8"/>
      <c r="AX2151" s="8"/>
      <c r="AY2151" s="8"/>
    </row>
    <row r="2152" spans="1:51" ht="13.2" x14ac:dyDescent="0.25">
      <c r="A2152" s="12"/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12"/>
      <c r="AA2152" s="12"/>
      <c r="AB2152" s="12"/>
      <c r="AC2152" s="12"/>
      <c r="AD2152" s="12"/>
      <c r="AE2152" s="12"/>
      <c r="AF2152" s="8"/>
      <c r="AG2152" s="8"/>
      <c r="AH2152" s="8"/>
      <c r="AI2152" s="8"/>
      <c r="AJ2152" s="8"/>
      <c r="AK2152" s="8"/>
      <c r="AL2152" s="8"/>
      <c r="AM2152" s="8"/>
      <c r="AN2152" s="8"/>
      <c r="AO2152" s="8"/>
      <c r="AP2152" s="8"/>
      <c r="AQ2152" s="8"/>
      <c r="AR2152" s="8"/>
      <c r="AS2152" s="8"/>
      <c r="AT2152" s="8"/>
      <c r="AU2152" s="8"/>
      <c r="AV2152" s="8"/>
      <c r="AW2152" s="8"/>
      <c r="AX2152" s="8"/>
      <c r="AY2152" s="8"/>
    </row>
    <row r="2153" spans="1:51" ht="13.2" x14ac:dyDescent="0.25">
      <c r="A2153" s="12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12"/>
      <c r="Z2153" s="12"/>
      <c r="AA2153" s="12"/>
      <c r="AB2153" s="12"/>
      <c r="AC2153" s="12"/>
      <c r="AD2153" s="12"/>
      <c r="AE2153" s="12"/>
      <c r="AF2153" s="8"/>
      <c r="AG2153" s="8"/>
      <c r="AH2153" s="8"/>
      <c r="AI2153" s="8"/>
      <c r="AJ2153" s="8"/>
      <c r="AK2153" s="8"/>
      <c r="AL2153" s="8"/>
      <c r="AM2153" s="8"/>
      <c r="AN2153" s="8"/>
      <c r="AO2153" s="8"/>
      <c r="AP2153" s="8"/>
      <c r="AQ2153" s="8"/>
      <c r="AR2153" s="8"/>
      <c r="AS2153" s="8"/>
      <c r="AT2153" s="8"/>
      <c r="AU2153" s="8"/>
      <c r="AV2153" s="8"/>
      <c r="AW2153" s="8"/>
      <c r="AX2153" s="8"/>
      <c r="AY2153" s="8"/>
    </row>
    <row r="2154" spans="1:51" ht="13.2" x14ac:dyDescent="0.25">
      <c r="A2154" s="12"/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12"/>
      <c r="AA2154" s="12"/>
      <c r="AB2154" s="12"/>
      <c r="AC2154" s="12"/>
      <c r="AD2154" s="12"/>
      <c r="AE2154" s="12"/>
      <c r="AF2154" s="8"/>
      <c r="AG2154" s="8"/>
      <c r="AH2154" s="8"/>
      <c r="AI2154" s="8"/>
      <c r="AJ2154" s="8"/>
      <c r="AK2154" s="8"/>
      <c r="AL2154" s="8"/>
      <c r="AM2154" s="8"/>
      <c r="AN2154" s="8"/>
      <c r="AO2154" s="8"/>
      <c r="AP2154" s="8"/>
      <c r="AQ2154" s="8"/>
      <c r="AR2154" s="8"/>
      <c r="AS2154" s="8"/>
      <c r="AT2154" s="8"/>
      <c r="AU2154" s="8"/>
      <c r="AV2154" s="8"/>
      <c r="AW2154" s="8"/>
      <c r="AX2154" s="8"/>
      <c r="AY2154" s="8"/>
    </row>
    <row r="2155" spans="1:51" ht="13.2" x14ac:dyDescent="0.25">
      <c r="A2155" s="12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12"/>
      <c r="Z2155" s="12"/>
      <c r="AA2155" s="12"/>
      <c r="AB2155" s="12"/>
      <c r="AC2155" s="12"/>
      <c r="AD2155" s="12"/>
      <c r="AE2155" s="12"/>
      <c r="AF2155" s="8"/>
      <c r="AG2155" s="8"/>
      <c r="AH2155" s="8"/>
      <c r="AI2155" s="8"/>
      <c r="AJ2155" s="8"/>
      <c r="AK2155" s="8"/>
      <c r="AL2155" s="8"/>
      <c r="AM2155" s="8"/>
      <c r="AN2155" s="8"/>
      <c r="AO2155" s="8"/>
      <c r="AP2155" s="8"/>
      <c r="AQ2155" s="8"/>
      <c r="AR2155" s="8"/>
      <c r="AS2155" s="8"/>
      <c r="AT2155" s="8"/>
      <c r="AU2155" s="8"/>
      <c r="AV2155" s="8"/>
      <c r="AW2155" s="8"/>
      <c r="AX2155" s="8"/>
      <c r="AY2155" s="8"/>
    </row>
    <row r="2156" spans="1:51" ht="13.2" x14ac:dyDescent="0.25">
      <c r="A2156" s="12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12"/>
      <c r="AA2156" s="12"/>
      <c r="AB2156" s="12"/>
      <c r="AC2156" s="12"/>
      <c r="AD2156" s="12"/>
      <c r="AE2156" s="12"/>
      <c r="AF2156" s="8"/>
      <c r="AG2156" s="8"/>
      <c r="AH2156" s="8"/>
      <c r="AI2156" s="8"/>
      <c r="AJ2156" s="8"/>
      <c r="AK2156" s="8"/>
      <c r="AL2156" s="8"/>
      <c r="AM2156" s="8"/>
      <c r="AN2156" s="8"/>
      <c r="AO2156" s="8"/>
      <c r="AP2156" s="8"/>
      <c r="AQ2156" s="8"/>
      <c r="AR2156" s="8"/>
      <c r="AS2156" s="8"/>
      <c r="AT2156" s="8"/>
      <c r="AU2156" s="8"/>
      <c r="AV2156" s="8"/>
      <c r="AW2156" s="8"/>
      <c r="AX2156" s="8"/>
      <c r="AY2156" s="8"/>
    </row>
    <row r="2157" spans="1:51" ht="13.2" x14ac:dyDescent="0.25">
      <c r="A2157" s="12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12"/>
      <c r="Z2157" s="12"/>
      <c r="AA2157" s="12"/>
      <c r="AB2157" s="12"/>
      <c r="AC2157" s="12"/>
      <c r="AD2157" s="12"/>
      <c r="AE2157" s="12"/>
      <c r="AF2157" s="8"/>
      <c r="AG2157" s="8"/>
      <c r="AH2157" s="8"/>
      <c r="AI2157" s="8"/>
      <c r="AJ2157" s="8"/>
      <c r="AK2157" s="8"/>
      <c r="AL2157" s="8"/>
      <c r="AM2157" s="8"/>
      <c r="AN2157" s="8"/>
      <c r="AO2157" s="8"/>
      <c r="AP2157" s="8"/>
      <c r="AQ2157" s="8"/>
      <c r="AR2157" s="8"/>
      <c r="AS2157" s="8"/>
      <c r="AT2157" s="8"/>
      <c r="AU2157" s="8"/>
      <c r="AV2157" s="8"/>
      <c r="AW2157" s="8"/>
      <c r="AX2157" s="8"/>
      <c r="AY2157" s="8"/>
    </row>
    <row r="2158" spans="1:51" ht="13.2" x14ac:dyDescent="0.25">
      <c r="A2158" s="12"/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12"/>
      <c r="AA2158" s="12"/>
      <c r="AB2158" s="12"/>
      <c r="AC2158" s="12"/>
      <c r="AD2158" s="12"/>
      <c r="AE2158" s="12"/>
      <c r="AF2158" s="8"/>
      <c r="AG2158" s="8"/>
      <c r="AH2158" s="8"/>
      <c r="AI2158" s="8"/>
      <c r="AJ2158" s="8"/>
      <c r="AK2158" s="8"/>
      <c r="AL2158" s="8"/>
      <c r="AM2158" s="8"/>
      <c r="AN2158" s="8"/>
      <c r="AO2158" s="8"/>
      <c r="AP2158" s="8"/>
      <c r="AQ2158" s="8"/>
      <c r="AR2158" s="8"/>
      <c r="AS2158" s="8"/>
      <c r="AT2158" s="8"/>
      <c r="AU2158" s="8"/>
      <c r="AV2158" s="8"/>
      <c r="AW2158" s="8"/>
      <c r="AX2158" s="8"/>
      <c r="AY2158" s="8"/>
    </row>
    <row r="2159" spans="1:51" ht="13.2" x14ac:dyDescent="0.25">
      <c r="A2159" s="12"/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12"/>
      <c r="AA2159" s="12"/>
      <c r="AB2159" s="12"/>
      <c r="AC2159" s="12"/>
      <c r="AD2159" s="12"/>
      <c r="AE2159" s="12"/>
      <c r="AF2159" s="8"/>
      <c r="AG2159" s="8"/>
      <c r="AH2159" s="8"/>
      <c r="AI2159" s="8"/>
      <c r="AJ2159" s="8"/>
      <c r="AK2159" s="8"/>
      <c r="AL2159" s="8"/>
      <c r="AM2159" s="8"/>
      <c r="AN2159" s="8"/>
      <c r="AO2159" s="8"/>
      <c r="AP2159" s="8"/>
      <c r="AQ2159" s="8"/>
      <c r="AR2159" s="8"/>
      <c r="AS2159" s="8"/>
      <c r="AT2159" s="8"/>
      <c r="AU2159" s="8"/>
      <c r="AV2159" s="8"/>
      <c r="AW2159" s="8"/>
      <c r="AX2159" s="8"/>
      <c r="AY2159" s="8"/>
    </row>
    <row r="2160" spans="1:51" ht="13.2" x14ac:dyDescent="0.25">
      <c r="A2160" s="12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12"/>
      <c r="AA2160" s="12"/>
      <c r="AB2160" s="12"/>
      <c r="AC2160" s="12"/>
      <c r="AD2160" s="12"/>
      <c r="AE2160" s="12"/>
      <c r="AF2160" s="8"/>
      <c r="AG2160" s="8"/>
      <c r="AH2160" s="8"/>
      <c r="AI2160" s="8"/>
      <c r="AJ2160" s="8"/>
      <c r="AK2160" s="8"/>
      <c r="AL2160" s="8"/>
      <c r="AM2160" s="8"/>
      <c r="AN2160" s="8"/>
      <c r="AO2160" s="8"/>
      <c r="AP2160" s="8"/>
      <c r="AQ2160" s="8"/>
      <c r="AR2160" s="8"/>
      <c r="AS2160" s="8"/>
      <c r="AT2160" s="8"/>
      <c r="AU2160" s="8"/>
      <c r="AV2160" s="8"/>
      <c r="AW2160" s="8"/>
      <c r="AX2160" s="8"/>
      <c r="AY2160" s="8"/>
    </row>
    <row r="2161" spans="1:51" ht="13.2" x14ac:dyDescent="0.25">
      <c r="A2161" s="12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12"/>
      <c r="AA2161" s="12"/>
      <c r="AB2161" s="12"/>
      <c r="AC2161" s="12"/>
      <c r="AD2161" s="12"/>
      <c r="AE2161" s="12"/>
      <c r="AF2161" s="8"/>
      <c r="AG2161" s="8"/>
      <c r="AH2161" s="8"/>
      <c r="AI2161" s="8"/>
      <c r="AJ2161" s="8"/>
      <c r="AK2161" s="8"/>
      <c r="AL2161" s="8"/>
      <c r="AM2161" s="8"/>
      <c r="AN2161" s="8"/>
      <c r="AO2161" s="8"/>
      <c r="AP2161" s="8"/>
      <c r="AQ2161" s="8"/>
      <c r="AR2161" s="8"/>
      <c r="AS2161" s="8"/>
      <c r="AT2161" s="8"/>
      <c r="AU2161" s="8"/>
      <c r="AV2161" s="8"/>
      <c r="AW2161" s="8"/>
      <c r="AX2161" s="8"/>
      <c r="AY2161" s="8"/>
    </row>
    <row r="2162" spans="1:51" ht="13.2" x14ac:dyDescent="0.25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12"/>
      <c r="AA2162" s="12"/>
      <c r="AB2162" s="12"/>
      <c r="AC2162" s="12"/>
      <c r="AD2162" s="12"/>
      <c r="AE2162" s="12"/>
      <c r="AF2162" s="8"/>
      <c r="AG2162" s="8"/>
      <c r="AH2162" s="8"/>
      <c r="AI2162" s="8"/>
      <c r="AJ2162" s="8"/>
      <c r="AK2162" s="8"/>
      <c r="AL2162" s="8"/>
      <c r="AM2162" s="8"/>
      <c r="AN2162" s="8"/>
      <c r="AO2162" s="8"/>
      <c r="AP2162" s="8"/>
      <c r="AQ2162" s="8"/>
      <c r="AR2162" s="8"/>
      <c r="AS2162" s="8"/>
      <c r="AT2162" s="8"/>
      <c r="AU2162" s="8"/>
      <c r="AV2162" s="8"/>
      <c r="AW2162" s="8"/>
      <c r="AX2162" s="8"/>
      <c r="AY2162" s="8"/>
    </row>
    <row r="2163" spans="1:51" ht="13.2" x14ac:dyDescent="0.25">
      <c r="A2163" s="12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12"/>
      <c r="AA2163" s="12"/>
      <c r="AB2163" s="12"/>
      <c r="AC2163" s="12"/>
      <c r="AD2163" s="12"/>
      <c r="AE2163" s="12"/>
      <c r="AF2163" s="8"/>
      <c r="AG2163" s="8"/>
      <c r="AH2163" s="8"/>
      <c r="AI2163" s="8"/>
      <c r="AJ2163" s="8"/>
      <c r="AK2163" s="8"/>
      <c r="AL2163" s="8"/>
      <c r="AM2163" s="8"/>
      <c r="AN2163" s="8"/>
      <c r="AO2163" s="8"/>
      <c r="AP2163" s="8"/>
      <c r="AQ2163" s="8"/>
      <c r="AR2163" s="8"/>
      <c r="AS2163" s="8"/>
      <c r="AT2163" s="8"/>
      <c r="AU2163" s="8"/>
      <c r="AV2163" s="8"/>
      <c r="AW2163" s="8"/>
      <c r="AX2163" s="8"/>
      <c r="AY2163" s="8"/>
    </row>
    <row r="2164" spans="1:51" ht="13.2" x14ac:dyDescent="0.25">
      <c r="A2164" s="12"/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12"/>
      <c r="AA2164" s="12"/>
      <c r="AB2164" s="12"/>
      <c r="AC2164" s="12"/>
      <c r="AD2164" s="12"/>
      <c r="AE2164" s="12"/>
      <c r="AF2164" s="8"/>
      <c r="AG2164" s="8"/>
      <c r="AH2164" s="8"/>
      <c r="AI2164" s="8"/>
      <c r="AJ2164" s="8"/>
      <c r="AK2164" s="8"/>
      <c r="AL2164" s="8"/>
      <c r="AM2164" s="8"/>
      <c r="AN2164" s="8"/>
      <c r="AO2164" s="8"/>
      <c r="AP2164" s="8"/>
      <c r="AQ2164" s="8"/>
      <c r="AR2164" s="8"/>
      <c r="AS2164" s="8"/>
      <c r="AT2164" s="8"/>
      <c r="AU2164" s="8"/>
      <c r="AV2164" s="8"/>
      <c r="AW2164" s="8"/>
      <c r="AX2164" s="8"/>
      <c r="AY2164" s="8"/>
    </row>
    <row r="2165" spans="1:51" ht="13.2" x14ac:dyDescent="0.25">
      <c r="A2165" s="12"/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12"/>
      <c r="AA2165" s="12"/>
      <c r="AB2165" s="12"/>
      <c r="AC2165" s="12"/>
      <c r="AD2165" s="12"/>
      <c r="AE2165" s="12"/>
      <c r="AF2165" s="8"/>
      <c r="AG2165" s="8"/>
      <c r="AH2165" s="8"/>
      <c r="AI2165" s="8"/>
      <c r="AJ2165" s="8"/>
      <c r="AK2165" s="8"/>
      <c r="AL2165" s="8"/>
      <c r="AM2165" s="8"/>
      <c r="AN2165" s="8"/>
      <c r="AO2165" s="8"/>
      <c r="AP2165" s="8"/>
      <c r="AQ2165" s="8"/>
      <c r="AR2165" s="8"/>
      <c r="AS2165" s="8"/>
      <c r="AT2165" s="8"/>
      <c r="AU2165" s="8"/>
      <c r="AV2165" s="8"/>
      <c r="AW2165" s="8"/>
      <c r="AX2165" s="8"/>
      <c r="AY2165" s="8"/>
    </row>
    <row r="2166" spans="1:51" ht="13.2" x14ac:dyDescent="0.25">
      <c r="A2166" s="12"/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12"/>
      <c r="AA2166" s="12"/>
      <c r="AB2166" s="12"/>
      <c r="AC2166" s="12"/>
      <c r="AD2166" s="12"/>
      <c r="AE2166" s="12"/>
      <c r="AF2166" s="8"/>
      <c r="AG2166" s="8"/>
      <c r="AH2166" s="8"/>
      <c r="AI2166" s="8"/>
      <c r="AJ2166" s="8"/>
      <c r="AK2166" s="8"/>
      <c r="AL2166" s="8"/>
      <c r="AM2166" s="8"/>
      <c r="AN2166" s="8"/>
      <c r="AO2166" s="8"/>
      <c r="AP2166" s="8"/>
      <c r="AQ2166" s="8"/>
      <c r="AR2166" s="8"/>
      <c r="AS2166" s="8"/>
      <c r="AT2166" s="8"/>
      <c r="AU2166" s="8"/>
      <c r="AV2166" s="8"/>
      <c r="AW2166" s="8"/>
      <c r="AX2166" s="8"/>
      <c r="AY2166" s="8"/>
    </row>
    <row r="2167" spans="1:51" ht="13.2" x14ac:dyDescent="0.25">
      <c r="A2167" s="12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12"/>
      <c r="AA2167" s="12"/>
      <c r="AB2167" s="12"/>
      <c r="AC2167" s="12"/>
      <c r="AD2167" s="12"/>
      <c r="AE2167" s="12"/>
      <c r="AF2167" s="8"/>
      <c r="AG2167" s="8"/>
      <c r="AH2167" s="8"/>
      <c r="AI2167" s="8"/>
      <c r="AJ2167" s="8"/>
      <c r="AK2167" s="8"/>
      <c r="AL2167" s="8"/>
      <c r="AM2167" s="8"/>
      <c r="AN2167" s="8"/>
      <c r="AO2167" s="8"/>
      <c r="AP2167" s="8"/>
      <c r="AQ2167" s="8"/>
      <c r="AR2167" s="8"/>
      <c r="AS2167" s="8"/>
      <c r="AT2167" s="8"/>
      <c r="AU2167" s="8"/>
      <c r="AV2167" s="8"/>
      <c r="AW2167" s="8"/>
      <c r="AX2167" s="8"/>
      <c r="AY2167" s="8"/>
    </row>
    <row r="2168" spans="1:51" ht="13.2" x14ac:dyDescent="0.25">
      <c r="A2168" s="12"/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12"/>
      <c r="AA2168" s="12"/>
      <c r="AB2168" s="12"/>
      <c r="AC2168" s="12"/>
      <c r="AD2168" s="12"/>
      <c r="AE2168" s="12"/>
      <c r="AF2168" s="8"/>
      <c r="AG2168" s="8"/>
      <c r="AH2168" s="8"/>
      <c r="AI2168" s="8"/>
      <c r="AJ2168" s="8"/>
      <c r="AK2168" s="8"/>
      <c r="AL2168" s="8"/>
      <c r="AM2168" s="8"/>
      <c r="AN2168" s="8"/>
      <c r="AO2168" s="8"/>
      <c r="AP2168" s="8"/>
      <c r="AQ2168" s="8"/>
      <c r="AR2168" s="8"/>
      <c r="AS2168" s="8"/>
      <c r="AT2168" s="8"/>
      <c r="AU2168" s="8"/>
      <c r="AV2168" s="8"/>
      <c r="AW2168" s="8"/>
      <c r="AX2168" s="8"/>
      <c r="AY2168" s="8"/>
    </row>
    <row r="2169" spans="1:51" ht="13.2" x14ac:dyDescent="0.25">
      <c r="A2169" s="12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12"/>
      <c r="Z2169" s="12"/>
      <c r="AA2169" s="12"/>
      <c r="AB2169" s="12"/>
      <c r="AC2169" s="12"/>
      <c r="AD2169" s="12"/>
      <c r="AE2169" s="12"/>
      <c r="AF2169" s="8"/>
      <c r="AG2169" s="8"/>
      <c r="AH2169" s="8"/>
      <c r="AI2169" s="8"/>
      <c r="AJ2169" s="8"/>
      <c r="AK2169" s="8"/>
      <c r="AL2169" s="8"/>
      <c r="AM2169" s="8"/>
      <c r="AN2169" s="8"/>
      <c r="AO2169" s="8"/>
      <c r="AP2169" s="8"/>
      <c r="AQ2169" s="8"/>
      <c r="AR2169" s="8"/>
      <c r="AS2169" s="8"/>
      <c r="AT2169" s="8"/>
      <c r="AU2169" s="8"/>
      <c r="AV2169" s="8"/>
      <c r="AW2169" s="8"/>
      <c r="AX2169" s="8"/>
      <c r="AY2169" s="8"/>
    </row>
    <row r="2170" spans="1:51" ht="13.2" x14ac:dyDescent="0.25">
      <c r="A2170" s="12"/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12"/>
      <c r="AA2170" s="12"/>
      <c r="AB2170" s="12"/>
      <c r="AC2170" s="12"/>
      <c r="AD2170" s="12"/>
      <c r="AE2170" s="12"/>
      <c r="AF2170" s="8"/>
      <c r="AG2170" s="8"/>
      <c r="AH2170" s="8"/>
      <c r="AI2170" s="8"/>
      <c r="AJ2170" s="8"/>
      <c r="AK2170" s="8"/>
      <c r="AL2170" s="8"/>
      <c r="AM2170" s="8"/>
      <c r="AN2170" s="8"/>
      <c r="AO2170" s="8"/>
      <c r="AP2170" s="8"/>
      <c r="AQ2170" s="8"/>
      <c r="AR2170" s="8"/>
      <c r="AS2170" s="8"/>
      <c r="AT2170" s="8"/>
      <c r="AU2170" s="8"/>
      <c r="AV2170" s="8"/>
      <c r="AW2170" s="8"/>
      <c r="AX2170" s="8"/>
      <c r="AY2170" s="8"/>
    </row>
    <row r="2171" spans="1:51" ht="13.2" x14ac:dyDescent="0.25">
      <c r="A2171" s="12"/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12"/>
      <c r="Z2171" s="12"/>
      <c r="AA2171" s="12"/>
      <c r="AB2171" s="12"/>
      <c r="AC2171" s="12"/>
      <c r="AD2171" s="12"/>
      <c r="AE2171" s="12"/>
      <c r="AF2171" s="8"/>
      <c r="AG2171" s="8"/>
      <c r="AH2171" s="8"/>
      <c r="AI2171" s="8"/>
      <c r="AJ2171" s="8"/>
      <c r="AK2171" s="8"/>
      <c r="AL2171" s="8"/>
      <c r="AM2171" s="8"/>
      <c r="AN2171" s="8"/>
      <c r="AO2171" s="8"/>
      <c r="AP2171" s="8"/>
      <c r="AQ2171" s="8"/>
      <c r="AR2171" s="8"/>
      <c r="AS2171" s="8"/>
      <c r="AT2171" s="8"/>
      <c r="AU2171" s="8"/>
      <c r="AV2171" s="8"/>
      <c r="AW2171" s="8"/>
      <c r="AX2171" s="8"/>
      <c r="AY2171" s="8"/>
    </row>
    <row r="2172" spans="1:51" ht="13.2" x14ac:dyDescent="0.25">
      <c r="A2172" s="12"/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12"/>
      <c r="AA2172" s="12"/>
      <c r="AB2172" s="12"/>
      <c r="AC2172" s="12"/>
      <c r="AD2172" s="12"/>
      <c r="AE2172" s="12"/>
      <c r="AF2172" s="8"/>
      <c r="AG2172" s="8"/>
      <c r="AH2172" s="8"/>
      <c r="AI2172" s="8"/>
      <c r="AJ2172" s="8"/>
      <c r="AK2172" s="8"/>
      <c r="AL2172" s="8"/>
      <c r="AM2172" s="8"/>
      <c r="AN2172" s="8"/>
      <c r="AO2172" s="8"/>
      <c r="AP2172" s="8"/>
      <c r="AQ2172" s="8"/>
      <c r="AR2172" s="8"/>
      <c r="AS2172" s="8"/>
      <c r="AT2172" s="8"/>
      <c r="AU2172" s="8"/>
      <c r="AV2172" s="8"/>
      <c r="AW2172" s="8"/>
      <c r="AX2172" s="8"/>
      <c r="AY2172" s="8"/>
    </row>
    <row r="2173" spans="1:51" ht="13.2" x14ac:dyDescent="0.25">
      <c r="A2173" s="12"/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12"/>
      <c r="AA2173" s="12"/>
      <c r="AB2173" s="12"/>
      <c r="AC2173" s="12"/>
      <c r="AD2173" s="12"/>
      <c r="AE2173" s="12"/>
      <c r="AF2173" s="8"/>
      <c r="AG2173" s="8"/>
      <c r="AH2173" s="8"/>
      <c r="AI2173" s="8"/>
      <c r="AJ2173" s="8"/>
      <c r="AK2173" s="8"/>
      <c r="AL2173" s="8"/>
      <c r="AM2173" s="8"/>
      <c r="AN2173" s="8"/>
      <c r="AO2173" s="8"/>
      <c r="AP2173" s="8"/>
      <c r="AQ2173" s="8"/>
      <c r="AR2173" s="8"/>
      <c r="AS2173" s="8"/>
      <c r="AT2173" s="8"/>
      <c r="AU2173" s="8"/>
      <c r="AV2173" s="8"/>
      <c r="AW2173" s="8"/>
      <c r="AX2173" s="8"/>
      <c r="AY2173" s="8"/>
    </row>
    <row r="2174" spans="1:51" ht="13.2" x14ac:dyDescent="0.25">
      <c r="A2174" s="12"/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12"/>
      <c r="AA2174" s="12"/>
      <c r="AB2174" s="12"/>
      <c r="AC2174" s="12"/>
      <c r="AD2174" s="12"/>
      <c r="AE2174" s="12"/>
      <c r="AF2174" s="8"/>
      <c r="AG2174" s="8"/>
      <c r="AH2174" s="8"/>
      <c r="AI2174" s="8"/>
      <c r="AJ2174" s="8"/>
      <c r="AK2174" s="8"/>
      <c r="AL2174" s="8"/>
      <c r="AM2174" s="8"/>
      <c r="AN2174" s="8"/>
      <c r="AO2174" s="8"/>
      <c r="AP2174" s="8"/>
      <c r="AQ2174" s="8"/>
      <c r="AR2174" s="8"/>
      <c r="AS2174" s="8"/>
      <c r="AT2174" s="8"/>
      <c r="AU2174" s="8"/>
      <c r="AV2174" s="8"/>
      <c r="AW2174" s="8"/>
      <c r="AX2174" s="8"/>
      <c r="AY2174" s="8"/>
    </row>
    <row r="2175" spans="1:51" ht="13.2" x14ac:dyDescent="0.25">
      <c r="A2175" s="12"/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12"/>
      <c r="AA2175" s="12"/>
      <c r="AB2175" s="12"/>
      <c r="AC2175" s="12"/>
      <c r="AD2175" s="12"/>
      <c r="AE2175" s="12"/>
      <c r="AF2175" s="8"/>
      <c r="AG2175" s="8"/>
      <c r="AH2175" s="8"/>
      <c r="AI2175" s="8"/>
      <c r="AJ2175" s="8"/>
      <c r="AK2175" s="8"/>
      <c r="AL2175" s="8"/>
      <c r="AM2175" s="8"/>
      <c r="AN2175" s="8"/>
      <c r="AO2175" s="8"/>
      <c r="AP2175" s="8"/>
      <c r="AQ2175" s="8"/>
      <c r="AR2175" s="8"/>
      <c r="AS2175" s="8"/>
      <c r="AT2175" s="8"/>
      <c r="AU2175" s="8"/>
      <c r="AV2175" s="8"/>
      <c r="AW2175" s="8"/>
      <c r="AX2175" s="8"/>
      <c r="AY2175" s="8"/>
    </row>
    <row r="2176" spans="1:51" ht="13.2" x14ac:dyDescent="0.25">
      <c r="A2176" s="12"/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12"/>
      <c r="AA2176" s="12"/>
      <c r="AB2176" s="12"/>
      <c r="AC2176" s="12"/>
      <c r="AD2176" s="12"/>
      <c r="AE2176" s="12"/>
      <c r="AF2176" s="8"/>
      <c r="AG2176" s="8"/>
      <c r="AH2176" s="8"/>
      <c r="AI2176" s="8"/>
      <c r="AJ2176" s="8"/>
      <c r="AK2176" s="8"/>
      <c r="AL2176" s="8"/>
      <c r="AM2176" s="8"/>
      <c r="AN2176" s="8"/>
      <c r="AO2176" s="8"/>
      <c r="AP2176" s="8"/>
      <c r="AQ2176" s="8"/>
      <c r="AR2176" s="8"/>
      <c r="AS2176" s="8"/>
      <c r="AT2176" s="8"/>
      <c r="AU2176" s="8"/>
      <c r="AV2176" s="8"/>
      <c r="AW2176" s="8"/>
      <c r="AX2176" s="8"/>
      <c r="AY2176" s="8"/>
    </row>
    <row r="2177" spans="1:51" ht="13.2" x14ac:dyDescent="0.25">
      <c r="A2177" s="12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12"/>
      <c r="AA2177" s="12"/>
      <c r="AB2177" s="12"/>
      <c r="AC2177" s="12"/>
      <c r="AD2177" s="12"/>
      <c r="AE2177" s="12"/>
      <c r="AF2177" s="8"/>
      <c r="AG2177" s="8"/>
      <c r="AH2177" s="8"/>
      <c r="AI2177" s="8"/>
      <c r="AJ2177" s="8"/>
      <c r="AK2177" s="8"/>
      <c r="AL2177" s="8"/>
      <c r="AM2177" s="8"/>
      <c r="AN2177" s="8"/>
      <c r="AO2177" s="8"/>
      <c r="AP2177" s="8"/>
      <c r="AQ2177" s="8"/>
      <c r="AR2177" s="8"/>
      <c r="AS2177" s="8"/>
      <c r="AT2177" s="8"/>
      <c r="AU2177" s="8"/>
      <c r="AV2177" s="8"/>
      <c r="AW2177" s="8"/>
      <c r="AX2177" s="8"/>
      <c r="AY2177" s="8"/>
    </row>
  </sheetData>
  <dataValidations count="2">
    <dataValidation type="list" allowBlank="1" sqref="D1" xr:uid="{00000000-0002-0000-0000-000000000000}">
      <formula1>"1,2,3,4,5,6,7,8,9"</formula1>
    </dataValidation>
    <dataValidation type="list" allowBlank="1" sqref="F1" xr:uid="{00000000-0002-0000-0000-000001000000}">
      <formula1>"Sample,Group"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2177"/>
  <sheetViews>
    <sheetView workbookViewId="0">
      <pane ySplit="2" topLeftCell="A9" activePane="bottomLeft" state="frozen"/>
      <selection pane="bottomLeft" activeCell="B4" sqref="B4"/>
    </sheetView>
  </sheetViews>
  <sheetFormatPr defaultColWidth="12.6640625" defaultRowHeight="15.75" customHeight="1" x14ac:dyDescent="0.25"/>
  <cols>
    <col min="1" max="1" width="50.44140625" customWidth="1"/>
  </cols>
  <sheetData>
    <row r="1" spans="1:38" ht="26.4" x14ac:dyDescent="0.25">
      <c r="A1" s="1" t="s">
        <v>0</v>
      </c>
      <c r="B1" s="2" t="s">
        <v>1</v>
      </c>
      <c r="C1" s="3" t="s">
        <v>2</v>
      </c>
      <c r="D1" s="4">
        <v>9</v>
      </c>
      <c r="E1" s="5" t="s">
        <v>3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Z1" s="8"/>
      <c r="AA1" s="8"/>
      <c r="AB1" s="8"/>
      <c r="AC1" s="9"/>
      <c r="AD1" s="9"/>
      <c r="AE1" s="9"/>
      <c r="AF1" s="8"/>
      <c r="AG1" s="8"/>
      <c r="AH1" s="8"/>
      <c r="AI1" s="9"/>
      <c r="AJ1" s="9"/>
      <c r="AK1" s="9"/>
      <c r="AL1" s="9"/>
    </row>
    <row r="2" spans="1:38" ht="52.8" x14ac:dyDescent="0.25">
      <c r="A2" s="10" t="str">
        <f ca="1">IFERROR(__xludf.DUMMYFUNCTION("IF(F1=""Sample"",QUERY('Raw Data'!1:1679,""Select A,BG,BH,BI,BJ,BK,BL,BM,BN,BO,BP,BQ,BR,BS,BT,BU,BV,BW,BX,BY,BZ,CA,CB,CC,CD,CE,CF,CG,CH,CI,CJ,CK,CL,CM,CN,CO,CP,CQ,CR,CS,CT where  (LOWER(A) contains LOWER('""&amp;B1&amp;""')) and B='Y' and D&lt;=""&amp;D1 ,1), QUERY('Raw"&amp;" Data'!1:1679,""Select A,CU,CV,CW,CX,CY,CZ,DA,DB,DC,DD,DE,DF,DG where  (LOWER(A) contains LOWER('""&amp;B1&amp;""')) and  B='Y' and D&lt;=""&amp;D1 ,1))"),"Region")</f>
        <v>Region</v>
      </c>
      <c r="B2" s="7" t="str">
        <f ca="1">IFERROR(__xludf.DUMMYFUNCTION("""COMPUTED_VALUE"""),"AVERAGE density (cells/mm^3) 6DET_F")</f>
        <v>AVERAGE density (cells/mm^3) 6DET_F</v>
      </c>
      <c r="C2" s="7" t="str">
        <f ca="1">IFERROR(__xludf.DUMMYFUNCTION("""COMPUTED_VALUE"""),"AVERAGE density (cells/mm^3) 6DET_M")</f>
        <v>AVERAGE density (cells/mm^3) 6DET_M</v>
      </c>
      <c r="D2" s="7" t="str">
        <f ca="1">IFERROR(__xludf.DUMMYFUNCTION("""COMPUTED_VALUE"""),"AVERAGE density (cells/mm^3) A-SSRI_F")</f>
        <v>AVERAGE density (cells/mm^3) A-SSRI_F</v>
      </c>
      <c r="E2" s="7" t="str">
        <f ca="1">IFERROR(__xludf.DUMMYFUNCTION("""COMPUTED_VALUE"""),"AVERAGE density (cells/mm^3) A-SSRI_M")</f>
        <v>AVERAGE density (cells/mm^3) A-SSRI_M</v>
      </c>
      <c r="F2" s="7" t="str">
        <f ca="1">IFERROR(__xludf.DUMMYFUNCTION("""COMPUTED_VALUE"""),"AVERAGE density (cells/mm^3) C-SSRI_F")</f>
        <v>AVERAGE density (cells/mm^3) C-SSRI_F</v>
      </c>
      <c r="G2" s="7" t="str">
        <f ca="1">IFERROR(__xludf.DUMMYFUNCTION("""COMPUTED_VALUE"""),"AVERAGE density (cells/mm^3) C-SSRI_M")</f>
        <v>AVERAGE density (cells/mm^3) C-SSRI_M</v>
      </c>
      <c r="H2" s="7" t="str">
        <f ca="1">IFERROR(__xludf.DUMMYFUNCTION("""COMPUTED_VALUE"""),"AVERAGE density (cells/mm^3) DMT_F")</f>
        <v>AVERAGE density (cells/mm^3) DMT_F</v>
      </c>
      <c r="I2" s="7" t="str">
        <f ca="1">IFERROR(__xludf.DUMMYFUNCTION("""COMPUTED_VALUE"""),"AVERAGE density (cells/mm^3) DMT_M")</f>
        <v>AVERAGE density (cells/mm^3) DMT_M</v>
      </c>
      <c r="J2" s="7" t="str">
        <f ca="1">IFERROR(__xludf.DUMMYFUNCTION("""COMPUTED_VALUE"""),"AVERAGE density (cells/mm^3) PSI_F")</f>
        <v>AVERAGE density (cells/mm^3) PSI_F</v>
      </c>
      <c r="K2" s="7" t="str">
        <f ca="1">IFERROR(__xludf.DUMMYFUNCTION("""COMPUTED_VALUE"""),"AVERAGE density (cells/mm^3) PSI_M")</f>
        <v>AVERAGE density (cells/mm^3) PSI_M</v>
      </c>
      <c r="L2" s="7" t="str">
        <f ca="1">IFERROR(__xludf.DUMMYFUNCTION("""COMPUTED_VALUE"""),"AVERAGE density (cells/mm^3) SAL_F")</f>
        <v>AVERAGE density (cells/mm^3) SAL_F</v>
      </c>
      <c r="M2" s="7" t="str">
        <f ca="1">IFERROR(__xludf.DUMMYFUNCTION("""COMPUTED_VALUE"""),"AVERAGE density (cells/mm^3) SAL_M")</f>
        <v>AVERAGE density (cells/mm^3) SAL_M</v>
      </c>
      <c r="N2" s="7" t="str">
        <f ca="1">IFERROR(__xludf.DUMMYFUNCTION("""COMPUTED_VALUE"""),"AVERAGE density (cells/mm^3) All Samples")</f>
        <v>AVERAGE density (cells/mm^3) All Samples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15.75" customHeight="1" x14ac:dyDescent="0.25">
      <c r="A3" s="11" t="str">
        <f ca="1">IFERROR(__xludf.DUMMYFUNCTION("""COMPUTED_VALUE"""),"left root")</f>
        <v>left root</v>
      </c>
      <c r="B3" s="12">
        <f ca="1">IFERROR(__xludf.DUMMYFUNCTION("""COMPUTED_VALUE"""),7615)</f>
        <v>7615</v>
      </c>
      <c r="C3" s="12">
        <f ca="1">IFERROR(__xludf.DUMMYFUNCTION("""COMPUTED_VALUE"""),5616)</f>
        <v>5616</v>
      </c>
      <c r="D3" s="12">
        <f ca="1">IFERROR(__xludf.DUMMYFUNCTION("""COMPUTED_VALUE"""),3981)</f>
        <v>3981</v>
      </c>
      <c r="E3" s="12">
        <f ca="1">IFERROR(__xludf.DUMMYFUNCTION("""COMPUTED_VALUE"""),4852)</f>
        <v>4852</v>
      </c>
      <c r="F3" s="12">
        <f ca="1">IFERROR(__xludf.DUMMYFUNCTION("""COMPUTED_VALUE"""),2896)</f>
        <v>2896</v>
      </c>
      <c r="G3" s="12">
        <f ca="1">IFERROR(__xludf.DUMMYFUNCTION("""COMPUTED_VALUE"""),2412)</f>
        <v>2412</v>
      </c>
      <c r="H3" s="12">
        <f ca="1">IFERROR(__xludf.DUMMYFUNCTION("""COMPUTED_VALUE"""),5988)</f>
        <v>5988</v>
      </c>
      <c r="I3" s="12">
        <f ca="1">IFERROR(__xludf.DUMMYFUNCTION("""COMPUTED_VALUE"""),7738)</f>
        <v>7738</v>
      </c>
      <c r="J3" s="12">
        <f ca="1">IFERROR(__xludf.DUMMYFUNCTION("""COMPUTED_VALUE"""),5220)</f>
        <v>5220</v>
      </c>
      <c r="K3" s="12">
        <f ca="1">IFERROR(__xludf.DUMMYFUNCTION("""COMPUTED_VALUE"""),3519)</f>
        <v>3519</v>
      </c>
      <c r="L3" s="12">
        <f ca="1">IFERROR(__xludf.DUMMYFUNCTION("""COMPUTED_VALUE"""),3410)</f>
        <v>3410</v>
      </c>
      <c r="M3" s="12">
        <f ca="1">IFERROR(__xludf.DUMMYFUNCTION("""COMPUTED_VALUE"""),6596)</f>
        <v>6596</v>
      </c>
      <c r="N3" s="12">
        <f ca="1">IFERROR(__xludf.DUMMYFUNCTION("""COMPUTED_VALUE"""),4997)</f>
        <v>4997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15.75" customHeight="1" x14ac:dyDescent="0.25">
      <c r="A4" s="11" t="str">
        <f ca="1">IFERROR(__xludf.DUMMYFUNCTION("""COMPUTED_VALUE"""),"      left Cerebrum")</f>
        <v xml:space="preserve">      left Cerebrum</v>
      </c>
      <c r="B4" s="12">
        <f ca="1">IFERROR(__xludf.DUMMYFUNCTION("""COMPUTED_VALUE"""),11189)</f>
        <v>11189</v>
      </c>
      <c r="C4" s="12">
        <f ca="1">IFERROR(__xludf.DUMMYFUNCTION("""COMPUTED_VALUE"""),8088)</f>
        <v>8088</v>
      </c>
      <c r="D4" s="12">
        <f ca="1">IFERROR(__xludf.DUMMYFUNCTION("""COMPUTED_VALUE"""),5579)</f>
        <v>5579</v>
      </c>
      <c r="E4" s="12">
        <f ca="1">IFERROR(__xludf.DUMMYFUNCTION("""COMPUTED_VALUE"""),6443)</f>
        <v>6443</v>
      </c>
      <c r="F4" s="12">
        <f ca="1">IFERROR(__xludf.DUMMYFUNCTION("""COMPUTED_VALUE"""),3869)</f>
        <v>3869</v>
      </c>
      <c r="G4" s="12">
        <f ca="1">IFERROR(__xludf.DUMMYFUNCTION("""COMPUTED_VALUE"""),3226)</f>
        <v>3226</v>
      </c>
      <c r="H4" s="12">
        <f ca="1">IFERROR(__xludf.DUMMYFUNCTION("""COMPUTED_VALUE"""),8418)</f>
        <v>8418</v>
      </c>
      <c r="I4" s="12">
        <f ca="1">IFERROR(__xludf.DUMMYFUNCTION("""COMPUTED_VALUE"""),10820)</f>
        <v>10820</v>
      </c>
      <c r="J4" s="12">
        <f ca="1">IFERROR(__xludf.DUMMYFUNCTION("""COMPUTED_VALUE"""),7484)</f>
        <v>7484</v>
      </c>
      <c r="K4" s="12">
        <f ca="1">IFERROR(__xludf.DUMMYFUNCTION("""COMPUTED_VALUE"""),5023)</f>
        <v>5023</v>
      </c>
      <c r="L4" s="12">
        <f ca="1">IFERROR(__xludf.DUMMYFUNCTION("""COMPUTED_VALUE"""),5068)</f>
        <v>5068</v>
      </c>
      <c r="M4" s="12">
        <f ca="1">IFERROR(__xludf.DUMMYFUNCTION("""COMPUTED_VALUE"""),9720)</f>
        <v>9720</v>
      </c>
      <c r="N4" s="12">
        <f ca="1">IFERROR(__xludf.DUMMYFUNCTION("""COMPUTED_VALUE"""),7050)</f>
        <v>7050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15.75" customHeight="1" x14ac:dyDescent="0.25">
      <c r="A5" s="11" t="str">
        <f ca="1">IFERROR(__xludf.DUMMYFUNCTION("""COMPUTED_VALUE"""),"         left Cerebral cortex")</f>
        <v xml:space="preserve">         left Cerebral cortex</v>
      </c>
      <c r="B5" s="12">
        <f ca="1">IFERROR(__xludf.DUMMYFUNCTION("""COMPUTED_VALUE"""),12138)</f>
        <v>12138</v>
      </c>
      <c r="C5" s="12">
        <f ca="1">IFERROR(__xludf.DUMMYFUNCTION("""COMPUTED_VALUE"""),8526)</f>
        <v>8526</v>
      </c>
      <c r="D5" s="12">
        <f ca="1">IFERROR(__xludf.DUMMYFUNCTION("""COMPUTED_VALUE"""),5836)</f>
        <v>5836</v>
      </c>
      <c r="E5" s="12">
        <f ca="1">IFERROR(__xludf.DUMMYFUNCTION("""COMPUTED_VALUE"""),6895)</f>
        <v>6895</v>
      </c>
      <c r="F5" s="12">
        <f ca="1">IFERROR(__xludf.DUMMYFUNCTION("""COMPUTED_VALUE"""),4203)</f>
        <v>4203</v>
      </c>
      <c r="G5" s="12">
        <f ca="1">IFERROR(__xludf.DUMMYFUNCTION("""COMPUTED_VALUE"""),3495)</f>
        <v>3495</v>
      </c>
      <c r="H5" s="12">
        <f ca="1">IFERROR(__xludf.DUMMYFUNCTION("""COMPUTED_VALUE"""),8884)</f>
        <v>8884</v>
      </c>
      <c r="I5" s="12">
        <f ca="1">IFERROR(__xludf.DUMMYFUNCTION("""COMPUTED_VALUE"""),11497)</f>
        <v>11497</v>
      </c>
      <c r="J5" s="12">
        <f ca="1">IFERROR(__xludf.DUMMYFUNCTION("""COMPUTED_VALUE"""),8283)</f>
        <v>8283</v>
      </c>
      <c r="K5" s="12">
        <f ca="1">IFERROR(__xludf.DUMMYFUNCTION("""COMPUTED_VALUE"""),5604)</f>
        <v>5604</v>
      </c>
      <c r="L5" s="12">
        <f ca="1">IFERROR(__xludf.DUMMYFUNCTION("""COMPUTED_VALUE"""),5701)</f>
        <v>5701</v>
      </c>
      <c r="M5" s="12">
        <f ca="1">IFERROR(__xludf.DUMMYFUNCTION("""COMPUTED_VALUE"""),11091)</f>
        <v>11091</v>
      </c>
      <c r="N5" s="12">
        <f ca="1">IFERROR(__xludf.DUMMYFUNCTION("""COMPUTED_VALUE"""),7591)</f>
        <v>7591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15.75" customHeight="1" x14ac:dyDescent="0.25">
      <c r="A6" s="11" t="str">
        <f ca="1">IFERROR(__xludf.DUMMYFUNCTION("""COMPUTED_VALUE"""),"            left Cortical plate")</f>
        <v xml:space="preserve">            left Cortical plate</v>
      </c>
      <c r="B6" s="12">
        <f ca="1">IFERROR(__xludf.DUMMYFUNCTION("""COMPUTED_VALUE"""),12258)</f>
        <v>12258</v>
      </c>
      <c r="C6" s="12">
        <f ca="1">IFERROR(__xludf.DUMMYFUNCTION("""COMPUTED_VALUE"""),8604)</f>
        <v>8604</v>
      </c>
      <c r="D6" s="12">
        <f ca="1">IFERROR(__xludf.DUMMYFUNCTION("""COMPUTED_VALUE"""),5773)</f>
        <v>5773</v>
      </c>
      <c r="E6" s="12">
        <f ca="1">IFERROR(__xludf.DUMMYFUNCTION("""COMPUTED_VALUE"""),6890)</f>
        <v>6890</v>
      </c>
      <c r="F6" s="12">
        <f ca="1">IFERROR(__xludf.DUMMYFUNCTION("""COMPUTED_VALUE"""),4203)</f>
        <v>4203</v>
      </c>
      <c r="G6" s="12">
        <f ca="1">IFERROR(__xludf.DUMMYFUNCTION("""COMPUTED_VALUE"""),3461)</f>
        <v>3461</v>
      </c>
      <c r="H6" s="12">
        <f ca="1">IFERROR(__xludf.DUMMYFUNCTION("""COMPUTED_VALUE"""),8903)</f>
        <v>8903</v>
      </c>
      <c r="I6" s="12">
        <f ca="1">IFERROR(__xludf.DUMMYFUNCTION("""COMPUTED_VALUE"""),11531)</f>
        <v>11531</v>
      </c>
      <c r="J6" s="12">
        <f ca="1">IFERROR(__xludf.DUMMYFUNCTION("""COMPUTED_VALUE"""),8360)</f>
        <v>8360</v>
      </c>
      <c r="K6" s="12">
        <f ca="1">IFERROR(__xludf.DUMMYFUNCTION("""COMPUTED_VALUE"""),5608)</f>
        <v>5608</v>
      </c>
      <c r="L6" s="12">
        <f ca="1">IFERROR(__xludf.DUMMYFUNCTION("""COMPUTED_VALUE"""),5700)</f>
        <v>5700</v>
      </c>
      <c r="M6" s="12">
        <f ca="1">IFERROR(__xludf.DUMMYFUNCTION("""COMPUTED_VALUE"""),11294)</f>
        <v>11294</v>
      </c>
      <c r="N6" s="12">
        <f ca="1">IFERROR(__xludf.DUMMYFUNCTION("""COMPUTED_VALUE"""),7619)</f>
        <v>7619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15.75" customHeight="1" x14ac:dyDescent="0.25">
      <c r="A7" s="11" t="str">
        <f ca="1">IFERROR(__xludf.DUMMYFUNCTION("""COMPUTED_VALUE"""),"               left Isocortex")</f>
        <v xml:space="preserve">               left Isocortex</v>
      </c>
      <c r="B7" s="12">
        <f ca="1">IFERROR(__xludf.DUMMYFUNCTION("""COMPUTED_VALUE"""),15359)</f>
        <v>15359</v>
      </c>
      <c r="C7" s="12">
        <f ca="1">IFERROR(__xludf.DUMMYFUNCTION("""COMPUTED_VALUE"""),10122)</f>
        <v>10122</v>
      </c>
      <c r="D7" s="12">
        <f ca="1">IFERROR(__xludf.DUMMYFUNCTION("""COMPUTED_VALUE"""),5487)</f>
        <v>5487</v>
      </c>
      <c r="E7" s="12">
        <f ca="1">IFERROR(__xludf.DUMMYFUNCTION("""COMPUTED_VALUE"""),7860)</f>
        <v>7860</v>
      </c>
      <c r="F7" s="12">
        <f ca="1">IFERROR(__xludf.DUMMYFUNCTION("""COMPUTED_VALUE"""),4827)</f>
        <v>4827</v>
      </c>
      <c r="G7" s="12">
        <f ca="1">IFERROR(__xludf.DUMMYFUNCTION("""COMPUTED_VALUE"""),3485)</f>
        <v>3485</v>
      </c>
      <c r="H7" s="12">
        <f ca="1">IFERROR(__xludf.DUMMYFUNCTION("""COMPUTED_VALUE"""),10704)</f>
        <v>10704</v>
      </c>
      <c r="I7" s="12">
        <f ca="1">IFERROR(__xludf.DUMMYFUNCTION("""COMPUTED_VALUE"""),15026)</f>
        <v>15026</v>
      </c>
      <c r="J7" s="12">
        <f ca="1">IFERROR(__xludf.DUMMYFUNCTION("""COMPUTED_VALUE"""),10609)</f>
        <v>10609</v>
      </c>
      <c r="K7" s="12">
        <f ca="1">IFERROR(__xludf.DUMMYFUNCTION("""COMPUTED_VALUE"""),7054)</f>
        <v>7054</v>
      </c>
      <c r="L7" s="12">
        <f ca="1">IFERROR(__xludf.DUMMYFUNCTION("""COMPUTED_VALUE"""),6649)</f>
        <v>6649</v>
      </c>
      <c r="M7" s="12">
        <f ca="1">IFERROR(__xludf.DUMMYFUNCTION("""COMPUTED_VALUE"""),13960)</f>
        <v>13960</v>
      </c>
      <c r="N7" s="12">
        <f ca="1">IFERROR(__xludf.DUMMYFUNCTION("""COMPUTED_VALUE"""),9070)</f>
        <v>9070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15.75" customHeight="1" x14ac:dyDescent="0.25">
      <c r="A8" s="11" t="str">
        <f ca="1">IFERROR(__xludf.DUMMYFUNCTION("""COMPUTED_VALUE"""),"                  left Frontal pole, cerebral cortex")</f>
        <v xml:space="preserve">                  left Frontal pole, cerebral cortex</v>
      </c>
      <c r="B8" s="12">
        <f ca="1">IFERROR(__xludf.DUMMYFUNCTION("""COMPUTED_VALUE"""),11122)</f>
        <v>11122</v>
      </c>
      <c r="C8" s="12">
        <f ca="1">IFERROR(__xludf.DUMMYFUNCTION("""COMPUTED_VALUE"""),10870)</f>
        <v>10870</v>
      </c>
      <c r="D8" s="12">
        <f ca="1">IFERROR(__xludf.DUMMYFUNCTION("""COMPUTED_VALUE"""),3331)</f>
        <v>3331</v>
      </c>
      <c r="E8" s="12">
        <f ca="1">IFERROR(__xludf.DUMMYFUNCTION("""COMPUTED_VALUE"""),3564)</f>
        <v>3564</v>
      </c>
      <c r="F8" s="12">
        <f ca="1">IFERROR(__xludf.DUMMYFUNCTION("""COMPUTED_VALUE"""),1050)</f>
        <v>1050</v>
      </c>
      <c r="G8" s="12">
        <f ca="1">IFERROR(__xludf.DUMMYFUNCTION("""COMPUTED_VALUE"""),944)</f>
        <v>944</v>
      </c>
      <c r="H8" s="12">
        <f ca="1">IFERROR(__xludf.DUMMYFUNCTION("""COMPUTED_VALUE"""),7161)</f>
        <v>7161</v>
      </c>
      <c r="I8" s="12">
        <f ca="1">IFERROR(__xludf.DUMMYFUNCTION("""COMPUTED_VALUE"""),12086)</f>
        <v>12086</v>
      </c>
      <c r="J8" s="12">
        <f ca="1">IFERROR(__xludf.DUMMYFUNCTION("""COMPUTED_VALUE"""),4284)</f>
        <v>4284</v>
      </c>
      <c r="K8" s="12">
        <f ca="1">IFERROR(__xludf.DUMMYFUNCTION("""COMPUTED_VALUE"""),5979)</f>
        <v>5979</v>
      </c>
      <c r="L8" s="12">
        <f ca="1">IFERROR(__xludf.DUMMYFUNCTION("""COMPUTED_VALUE"""),5841)</f>
        <v>5841</v>
      </c>
      <c r="M8" s="12">
        <f ca="1">IFERROR(__xludf.DUMMYFUNCTION("""COMPUTED_VALUE"""),7231)</f>
        <v>7231</v>
      </c>
      <c r="N8" s="12">
        <f ca="1">IFERROR(__xludf.DUMMYFUNCTION("""COMPUTED_VALUE"""),6173)</f>
        <v>6173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15.75" customHeight="1" x14ac:dyDescent="0.25">
      <c r="A9" s="11" t="str">
        <f ca="1">IFERROR(__xludf.DUMMYFUNCTION("""COMPUTED_VALUE"""),"                  left Somatomotor areas")</f>
        <v xml:space="preserve">                  left Somatomotor areas</v>
      </c>
      <c r="B9" s="12">
        <f ca="1">IFERROR(__xludf.DUMMYFUNCTION("""COMPUTED_VALUE"""),9031)</f>
        <v>9031</v>
      </c>
      <c r="C9" s="12">
        <f ca="1">IFERROR(__xludf.DUMMYFUNCTION("""COMPUTED_VALUE"""),8448)</f>
        <v>8448</v>
      </c>
      <c r="D9" s="12">
        <f ca="1">IFERROR(__xludf.DUMMYFUNCTION("""COMPUTED_VALUE"""),2710)</f>
        <v>2710</v>
      </c>
      <c r="E9" s="12">
        <f ca="1">IFERROR(__xludf.DUMMYFUNCTION("""COMPUTED_VALUE"""),3311)</f>
        <v>3311</v>
      </c>
      <c r="F9" s="12">
        <f ca="1">IFERROR(__xludf.DUMMYFUNCTION("""COMPUTED_VALUE"""),2055)</f>
        <v>2055</v>
      </c>
      <c r="G9" s="12">
        <f ca="1">IFERROR(__xludf.DUMMYFUNCTION("""COMPUTED_VALUE"""),1162)</f>
        <v>1162</v>
      </c>
      <c r="H9" s="12">
        <f ca="1">IFERROR(__xludf.DUMMYFUNCTION("""COMPUTED_VALUE"""),7769)</f>
        <v>7769</v>
      </c>
      <c r="I9" s="12">
        <f ca="1">IFERROR(__xludf.DUMMYFUNCTION("""COMPUTED_VALUE"""),12292)</f>
        <v>12292</v>
      </c>
      <c r="J9" s="12">
        <f ca="1">IFERROR(__xludf.DUMMYFUNCTION("""COMPUTED_VALUE"""),7386)</f>
        <v>7386</v>
      </c>
      <c r="K9" s="12">
        <f ca="1">IFERROR(__xludf.DUMMYFUNCTION("""COMPUTED_VALUE"""),5792)</f>
        <v>5792</v>
      </c>
      <c r="L9" s="12">
        <f ca="1">IFERROR(__xludf.DUMMYFUNCTION("""COMPUTED_VALUE"""),3987)</f>
        <v>3987</v>
      </c>
      <c r="M9" s="12">
        <f ca="1">IFERROR(__xludf.DUMMYFUNCTION("""COMPUTED_VALUE"""),7423)</f>
        <v>7423</v>
      </c>
      <c r="N9" s="12">
        <f ca="1">IFERROR(__xludf.DUMMYFUNCTION("""COMPUTED_VALUE"""),5893)</f>
        <v>5893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15.75" customHeight="1" x14ac:dyDescent="0.25">
      <c r="A10" s="11" t="str">
        <f ca="1">IFERROR(__xludf.DUMMYFUNCTION("""COMPUTED_VALUE"""),"                     left Primary motor area")</f>
        <v xml:space="preserve">                     left Primary motor area</v>
      </c>
      <c r="B10" s="12">
        <f ca="1">IFERROR(__xludf.DUMMYFUNCTION("""COMPUTED_VALUE"""),7811)</f>
        <v>7811</v>
      </c>
      <c r="C10" s="12">
        <f ca="1">IFERROR(__xludf.DUMMYFUNCTION("""COMPUTED_VALUE"""),7938)</f>
        <v>7938</v>
      </c>
      <c r="D10" s="12">
        <f ca="1">IFERROR(__xludf.DUMMYFUNCTION("""COMPUTED_VALUE"""),2213)</f>
        <v>2213</v>
      </c>
      <c r="E10" s="12">
        <f ca="1">IFERROR(__xludf.DUMMYFUNCTION("""COMPUTED_VALUE"""),3329)</f>
        <v>3329</v>
      </c>
      <c r="F10" s="12">
        <f ca="1">IFERROR(__xludf.DUMMYFUNCTION("""COMPUTED_VALUE"""),2210)</f>
        <v>2210</v>
      </c>
      <c r="G10" s="12">
        <f ca="1">IFERROR(__xludf.DUMMYFUNCTION("""COMPUTED_VALUE"""),1116)</f>
        <v>1116</v>
      </c>
      <c r="H10" s="12">
        <f ca="1">IFERROR(__xludf.DUMMYFUNCTION("""COMPUTED_VALUE"""),8239)</f>
        <v>8239</v>
      </c>
      <c r="I10" s="12">
        <f ca="1">IFERROR(__xludf.DUMMYFUNCTION("""COMPUTED_VALUE"""),13160)</f>
        <v>13160</v>
      </c>
      <c r="J10" s="12">
        <f ca="1">IFERROR(__xludf.DUMMYFUNCTION("""COMPUTED_VALUE"""),8974)</f>
        <v>8974</v>
      </c>
      <c r="K10" s="12">
        <f ca="1">IFERROR(__xludf.DUMMYFUNCTION("""COMPUTED_VALUE"""),5932)</f>
        <v>5932</v>
      </c>
      <c r="L10" s="12">
        <f ca="1">IFERROR(__xludf.DUMMYFUNCTION("""COMPUTED_VALUE"""),3378)</f>
        <v>3378</v>
      </c>
      <c r="M10" s="12">
        <f ca="1">IFERROR(__xludf.DUMMYFUNCTION("""COMPUTED_VALUE"""),5413)</f>
        <v>5413</v>
      </c>
      <c r="N10" s="12">
        <f ca="1">IFERROR(__xludf.DUMMYFUNCTION("""COMPUTED_VALUE"""),5790)</f>
        <v>5790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15.75" customHeight="1" x14ac:dyDescent="0.25">
      <c r="A11" s="11" t="str">
        <f ca="1">IFERROR(__xludf.DUMMYFUNCTION("""COMPUTED_VALUE"""),"                     left Secondary motor area")</f>
        <v xml:space="preserve">                     left Secondary motor area</v>
      </c>
      <c r="B11" s="12">
        <f ca="1">IFERROR(__xludf.DUMMYFUNCTION("""COMPUTED_VALUE"""),10088)</f>
        <v>10088</v>
      </c>
      <c r="C11" s="12">
        <f ca="1">IFERROR(__xludf.DUMMYFUNCTION("""COMPUTED_VALUE"""),8890)</f>
        <v>8890</v>
      </c>
      <c r="D11" s="12">
        <f ca="1">IFERROR(__xludf.DUMMYFUNCTION("""COMPUTED_VALUE"""),3140)</f>
        <v>3140</v>
      </c>
      <c r="E11" s="12">
        <f ca="1">IFERROR(__xludf.DUMMYFUNCTION("""COMPUTED_VALUE"""),3294)</f>
        <v>3294</v>
      </c>
      <c r="F11" s="12">
        <f ca="1">IFERROR(__xludf.DUMMYFUNCTION("""COMPUTED_VALUE"""),1922)</f>
        <v>1922</v>
      </c>
      <c r="G11" s="12">
        <f ca="1">IFERROR(__xludf.DUMMYFUNCTION("""COMPUTED_VALUE"""),1203)</f>
        <v>1203</v>
      </c>
      <c r="H11" s="12">
        <f ca="1">IFERROR(__xludf.DUMMYFUNCTION("""COMPUTED_VALUE"""),7362)</f>
        <v>7362</v>
      </c>
      <c r="I11" s="12">
        <f ca="1">IFERROR(__xludf.DUMMYFUNCTION("""COMPUTED_VALUE"""),11541)</f>
        <v>11541</v>
      </c>
      <c r="J11" s="12">
        <f ca="1">IFERROR(__xludf.DUMMYFUNCTION("""COMPUTED_VALUE"""),6011)</f>
        <v>6011</v>
      </c>
      <c r="K11" s="12">
        <f ca="1">IFERROR(__xludf.DUMMYFUNCTION("""COMPUTED_VALUE"""),5671)</f>
        <v>5671</v>
      </c>
      <c r="L11" s="12">
        <f ca="1">IFERROR(__xludf.DUMMYFUNCTION("""COMPUTED_VALUE"""),4515)</f>
        <v>4515</v>
      </c>
      <c r="M11" s="12">
        <f ca="1">IFERROR(__xludf.DUMMYFUNCTION("""COMPUTED_VALUE"""),9163)</f>
        <v>9163</v>
      </c>
      <c r="N11" s="12">
        <f ca="1">IFERROR(__xludf.DUMMYFUNCTION("""COMPUTED_VALUE"""),5982)</f>
        <v>5982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15.75" customHeight="1" x14ac:dyDescent="0.25">
      <c r="A12" s="11" t="str">
        <f ca="1">IFERROR(__xludf.DUMMYFUNCTION("""COMPUTED_VALUE"""),"                  left Somatosensory areas")</f>
        <v xml:space="preserve">                  left Somatosensory areas</v>
      </c>
      <c r="B12" s="12">
        <f ca="1">IFERROR(__xludf.DUMMYFUNCTION("""COMPUTED_VALUE"""),13574)</f>
        <v>13574</v>
      </c>
      <c r="C12" s="12">
        <f ca="1">IFERROR(__xludf.DUMMYFUNCTION("""COMPUTED_VALUE"""),9072)</f>
        <v>9072</v>
      </c>
      <c r="D12" s="12">
        <f ca="1">IFERROR(__xludf.DUMMYFUNCTION("""COMPUTED_VALUE"""),2764)</f>
        <v>2764</v>
      </c>
      <c r="E12" s="12">
        <f ca="1">IFERROR(__xludf.DUMMYFUNCTION("""COMPUTED_VALUE"""),5148)</f>
        <v>5148</v>
      </c>
      <c r="F12" s="12">
        <f ca="1">IFERROR(__xludf.DUMMYFUNCTION("""COMPUTED_VALUE"""),3315)</f>
        <v>3315</v>
      </c>
      <c r="G12" s="12">
        <f ca="1">IFERROR(__xludf.DUMMYFUNCTION("""COMPUTED_VALUE"""),1710)</f>
        <v>1710</v>
      </c>
      <c r="H12" s="12">
        <f ca="1">IFERROR(__xludf.DUMMYFUNCTION("""COMPUTED_VALUE"""),11202)</f>
        <v>11202</v>
      </c>
      <c r="I12" s="12">
        <f ca="1">IFERROR(__xludf.DUMMYFUNCTION("""COMPUTED_VALUE"""),17562)</f>
        <v>17562</v>
      </c>
      <c r="J12" s="12">
        <f ca="1">IFERROR(__xludf.DUMMYFUNCTION("""COMPUTED_VALUE"""),12748)</f>
        <v>12748</v>
      </c>
      <c r="K12" s="12">
        <f ca="1">IFERROR(__xludf.DUMMYFUNCTION("""COMPUTED_VALUE"""),5793)</f>
        <v>5793</v>
      </c>
      <c r="L12" s="12">
        <f ca="1">IFERROR(__xludf.DUMMYFUNCTION("""COMPUTED_VALUE"""),4805)</f>
        <v>4805</v>
      </c>
      <c r="M12" s="12">
        <f ca="1">IFERROR(__xludf.DUMMYFUNCTION("""COMPUTED_VALUE"""),12355)</f>
        <v>12355</v>
      </c>
      <c r="N12" s="12">
        <f ca="1">IFERROR(__xludf.DUMMYFUNCTION("""COMPUTED_VALUE"""),8107)</f>
        <v>8107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15.75" customHeight="1" x14ac:dyDescent="0.25">
      <c r="A13" s="11" t="str">
        <f ca="1">IFERROR(__xludf.DUMMYFUNCTION("""COMPUTED_VALUE"""),"                     left Primary somatosensory area")</f>
        <v xml:space="preserve">                     left Primary somatosensory area</v>
      </c>
      <c r="B13" s="12">
        <f ca="1">IFERROR(__xludf.DUMMYFUNCTION("""COMPUTED_VALUE"""),12547)</f>
        <v>12547</v>
      </c>
      <c r="C13" s="12">
        <f ca="1">IFERROR(__xludf.DUMMYFUNCTION("""COMPUTED_VALUE"""),8338)</f>
        <v>8338</v>
      </c>
      <c r="D13" s="12">
        <f ca="1">IFERROR(__xludf.DUMMYFUNCTION("""COMPUTED_VALUE"""),2634)</f>
        <v>2634</v>
      </c>
      <c r="E13" s="12">
        <f ca="1">IFERROR(__xludf.DUMMYFUNCTION("""COMPUTED_VALUE"""),4992)</f>
        <v>4992</v>
      </c>
      <c r="F13" s="12">
        <f ca="1">IFERROR(__xludf.DUMMYFUNCTION("""COMPUTED_VALUE"""),3236)</f>
        <v>3236</v>
      </c>
      <c r="G13" s="12">
        <f ca="1">IFERROR(__xludf.DUMMYFUNCTION("""COMPUTED_VALUE"""),1623)</f>
        <v>1623</v>
      </c>
      <c r="H13" s="12">
        <f ca="1">IFERROR(__xludf.DUMMYFUNCTION("""COMPUTED_VALUE"""),10915)</f>
        <v>10915</v>
      </c>
      <c r="I13" s="12">
        <f ca="1">IFERROR(__xludf.DUMMYFUNCTION("""COMPUTED_VALUE"""),17701)</f>
        <v>17701</v>
      </c>
      <c r="J13" s="12">
        <f ca="1">IFERROR(__xludf.DUMMYFUNCTION("""COMPUTED_VALUE"""),12484)</f>
        <v>12484</v>
      </c>
      <c r="K13" s="12">
        <f ca="1">IFERROR(__xludf.DUMMYFUNCTION("""COMPUTED_VALUE"""),6235)</f>
        <v>6235</v>
      </c>
      <c r="L13" s="12">
        <f ca="1">IFERROR(__xludf.DUMMYFUNCTION("""COMPUTED_VALUE"""),4888)</f>
        <v>4888</v>
      </c>
      <c r="M13" s="12">
        <f ca="1">IFERROR(__xludf.DUMMYFUNCTION("""COMPUTED_VALUE"""),12514)</f>
        <v>12514</v>
      </c>
      <c r="N13" s="12">
        <f ca="1">IFERROR(__xludf.DUMMYFUNCTION("""COMPUTED_VALUE"""),7899)</f>
        <v>7899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15.75" customHeight="1" x14ac:dyDescent="0.25">
      <c r="A14" s="11" t="str">
        <f ca="1">IFERROR(__xludf.DUMMYFUNCTION("""COMPUTED_VALUE"""),"                        left Primary somatosensory area, nose")</f>
        <v xml:space="preserve">                        left Primary somatosensory area, nose</v>
      </c>
      <c r="B14" s="12">
        <f ca="1">IFERROR(__xludf.DUMMYFUNCTION("""COMPUTED_VALUE"""),14723)</f>
        <v>14723</v>
      </c>
      <c r="C14" s="12">
        <f ca="1">IFERROR(__xludf.DUMMYFUNCTION("""COMPUTED_VALUE"""),8814)</f>
        <v>8814</v>
      </c>
      <c r="D14" s="12">
        <f ca="1">IFERROR(__xludf.DUMMYFUNCTION("""COMPUTED_VALUE"""),2244)</f>
        <v>2244</v>
      </c>
      <c r="E14" s="12">
        <f ca="1">IFERROR(__xludf.DUMMYFUNCTION("""COMPUTED_VALUE"""),3020)</f>
        <v>3020</v>
      </c>
      <c r="F14" s="12">
        <f ca="1">IFERROR(__xludf.DUMMYFUNCTION("""COMPUTED_VALUE"""),2691)</f>
        <v>2691</v>
      </c>
      <c r="G14" s="12">
        <f ca="1">IFERROR(__xludf.DUMMYFUNCTION("""COMPUTED_VALUE"""),607)</f>
        <v>607</v>
      </c>
      <c r="H14" s="12">
        <f ca="1">IFERROR(__xludf.DUMMYFUNCTION("""COMPUTED_VALUE"""),14046)</f>
        <v>14046</v>
      </c>
      <c r="I14" s="12">
        <f ca="1">IFERROR(__xludf.DUMMYFUNCTION("""COMPUTED_VALUE"""),22959)</f>
        <v>22959</v>
      </c>
      <c r="J14" s="12">
        <f ca="1">IFERROR(__xludf.DUMMYFUNCTION("""COMPUTED_VALUE"""),18655)</f>
        <v>18655</v>
      </c>
      <c r="K14" s="12">
        <f ca="1">IFERROR(__xludf.DUMMYFUNCTION("""COMPUTED_VALUE"""),5015)</f>
        <v>5015</v>
      </c>
      <c r="L14" s="12">
        <f ca="1">IFERROR(__xludf.DUMMYFUNCTION("""COMPUTED_VALUE"""),4740)</f>
        <v>4740</v>
      </c>
      <c r="M14" s="12">
        <f ca="1">IFERROR(__xludf.DUMMYFUNCTION("""COMPUTED_VALUE"""),16724)</f>
        <v>16724</v>
      </c>
      <c r="N14" s="12">
        <f ca="1">IFERROR(__xludf.DUMMYFUNCTION("""COMPUTED_VALUE"""),9019)</f>
        <v>9019</v>
      </c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15.75" customHeight="1" x14ac:dyDescent="0.25">
      <c r="A15" s="11" t="str">
        <f ca="1">IFERROR(__xludf.DUMMYFUNCTION("""COMPUTED_VALUE"""),"                        left Primary somatosensory area, barrel field")</f>
        <v xml:space="preserve">                        left Primary somatosensory area, barrel field</v>
      </c>
      <c r="B15" s="12">
        <f ca="1">IFERROR(__xludf.DUMMYFUNCTION("""COMPUTED_VALUE"""),17127)</f>
        <v>17127</v>
      </c>
      <c r="C15" s="12">
        <f ca="1">IFERROR(__xludf.DUMMYFUNCTION("""COMPUTED_VALUE"""),9178)</f>
        <v>9178</v>
      </c>
      <c r="D15" s="12">
        <f ca="1">IFERROR(__xludf.DUMMYFUNCTION("""COMPUTED_VALUE"""),3925)</f>
        <v>3925</v>
      </c>
      <c r="E15" s="12">
        <f ca="1">IFERROR(__xludf.DUMMYFUNCTION("""COMPUTED_VALUE"""),7120)</f>
        <v>7120</v>
      </c>
      <c r="F15" s="12">
        <f ca="1">IFERROR(__xludf.DUMMYFUNCTION("""COMPUTED_VALUE"""),4761)</f>
        <v>4761</v>
      </c>
      <c r="G15" s="12">
        <f ca="1">IFERROR(__xludf.DUMMYFUNCTION("""COMPUTED_VALUE"""),2572)</f>
        <v>2572</v>
      </c>
      <c r="H15" s="12">
        <f ca="1">IFERROR(__xludf.DUMMYFUNCTION("""COMPUTED_VALUE"""),13376)</f>
        <v>13376</v>
      </c>
      <c r="I15" s="12">
        <f ca="1">IFERROR(__xludf.DUMMYFUNCTION("""COMPUTED_VALUE"""),22120)</f>
        <v>22120</v>
      </c>
      <c r="J15" s="12">
        <f ca="1">IFERROR(__xludf.DUMMYFUNCTION("""COMPUTED_VALUE"""),13913)</f>
        <v>13913</v>
      </c>
      <c r="K15" s="12">
        <f ca="1">IFERROR(__xludf.DUMMYFUNCTION("""COMPUTED_VALUE"""),8795)</f>
        <v>8795</v>
      </c>
      <c r="L15" s="12">
        <f ca="1">IFERROR(__xludf.DUMMYFUNCTION("""COMPUTED_VALUE"""),6464)</f>
        <v>6464</v>
      </c>
      <c r="M15" s="12">
        <f ca="1">IFERROR(__xludf.DUMMYFUNCTION("""COMPUTED_VALUE"""),18691)</f>
        <v>18691</v>
      </c>
      <c r="N15" s="12">
        <f ca="1">IFERROR(__xludf.DUMMYFUNCTION("""COMPUTED_VALUE"""),10212)</f>
        <v>10212</v>
      </c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15.75" customHeight="1" x14ac:dyDescent="0.25">
      <c r="A16" s="11" t="str">
        <f ca="1">IFERROR(__xludf.DUMMYFUNCTION("""COMPUTED_VALUE"""),"                        left Primary somatosensory area, lower limb")</f>
        <v xml:space="preserve">                        left Primary somatosensory area, lower limb</v>
      </c>
      <c r="B16" s="12">
        <f ca="1">IFERROR(__xludf.DUMMYFUNCTION("""COMPUTED_VALUE"""),7849)</f>
        <v>7849</v>
      </c>
      <c r="C16" s="12">
        <f ca="1">IFERROR(__xludf.DUMMYFUNCTION("""COMPUTED_VALUE"""),8258)</f>
        <v>8258</v>
      </c>
      <c r="D16" s="12">
        <f ca="1">IFERROR(__xludf.DUMMYFUNCTION("""COMPUTED_VALUE"""),1701)</f>
        <v>1701</v>
      </c>
      <c r="E16" s="12">
        <f ca="1">IFERROR(__xludf.DUMMYFUNCTION("""COMPUTED_VALUE"""),6236)</f>
        <v>6236</v>
      </c>
      <c r="F16" s="12">
        <f ca="1">IFERROR(__xludf.DUMMYFUNCTION("""COMPUTED_VALUE"""),3622)</f>
        <v>3622</v>
      </c>
      <c r="G16" s="12">
        <f ca="1">IFERROR(__xludf.DUMMYFUNCTION("""COMPUTED_VALUE"""),2288)</f>
        <v>2288</v>
      </c>
      <c r="H16" s="12">
        <f ca="1">IFERROR(__xludf.DUMMYFUNCTION("""COMPUTED_VALUE"""),9147)</f>
        <v>9147</v>
      </c>
      <c r="I16" s="12">
        <f ca="1">IFERROR(__xludf.DUMMYFUNCTION("""COMPUTED_VALUE"""),13855)</f>
        <v>13855</v>
      </c>
      <c r="J16" s="12">
        <f ca="1">IFERROR(__xludf.DUMMYFUNCTION("""COMPUTED_VALUE"""),8460)</f>
        <v>8460</v>
      </c>
      <c r="K16" s="12">
        <f ca="1">IFERROR(__xludf.DUMMYFUNCTION("""COMPUTED_VALUE"""),2869)</f>
        <v>2869</v>
      </c>
      <c r="L16" s="12">
        <f ca="1">IFERROR(__xludf.DUMMYFUNCTION("""COMPUTED_VALUE"""),3946)</f>
        <v>3946</v>
      </c>
      <c r="M16" s="12">
        <f ca="1">IFERROR(__xludf.DUMMYFUNCTION("""COMPUTED_VALUE"""),8610)</f>
        <v>8610</v>
      </c>
      <c r="N16" s="12">
        <f ca="1">IFERROR(__xludf.DUMMYFUNCTION("""COMPUTED_VALUE"""),6500)</f>
        <v>6500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15.75" customHeight="1" x14ac:dyDescent="0.25">
      <c r="A17" s="11" t="str">
        <f ca="1">IFERROR(__xludf.DUMMYFUNCTION("""COMPUTED_VALUE"""),"                        left Primary somatosensory area, mouth")</f>
        <v xml:space="preserve">                        left Primary somatosensory area, mouth</v>
      </c>
      <c r="B17" s="12">
        <f ca="1">IFERROR(__xludf.DUMMYFUNCTION("""COMPUTED_VALUE"""),13243)</f>
        <v>13243</v>
      </c>
      <c r="C17" s="12">
        <f ca="1">IFERROR(__xludf.DUMMYFUNCTION("""COMPUTED_VALUE"""),8778)</f>
        <v>8778</v>
      </c>
      <c r="D17" s="12">
        <f ca="1">IFERROR(__xludf.DUMMYFUNCTION("""COMPUTED_VALUE"""),2419)</f>
        <v>2419</v>
      </c>
      <c r="E17" s="12">
        <f ca="1">IFERROR(__xludf.DUMMYFUNCTION("""COMPUTED_VALUE"""),2726)</f>
        <v>2726</v>
      </c>
      <c r="F17" s="12">
        <f ca="1">IFERROR(__xludf.DUMMYFUNCTION("""COMPUTED_VALUE"""),2004)</f>
        <v>2004</v>
      </c>
      <c r="G17" s="12">
        <f ca="1">IFERROR(__xludf.DUMMYFUNCTION("""COMPUTED_VALUE"""),788)</f>
        <v>788</v>
      </c>
      <c r="H17" s="12">
        <f ca="1">IFERROR(__xludf.DUMMYFUNCTION("""COMPUTED_VALUE"""),9240)</f>
        <v>9240</v>
      </c>
      <c r="I17" s="12">
        <f ca="1">IFERROR(__xludf.DUMMYFUNCTION("""COMPUTED_VALUE"""),13403)</f>
        <v>13403</v>
      </c>
      <c r="J17" s="12">
        <f ca="1">IFERROR(__xludf.DUMMYFUNCTION("""COMPUTED_VALUE"""),10356)</f>
        <v>10356</v>
      </c>
      <c r="K17" s="12">
        <f ca="1">IFERROR(__xludf.DUMMYFUNCTION("""COMPUTED_VALUE"""),6523)</f>
        <v>6523</v>
      </c>
      <c r="L17" s="12">
        <f ca="1">IFERROR(__xludf.DUMMYFUNCTION("""COMPUTED_VALUE"""),3698)</f>
        <v>3698</v>
      </c>
      <c r="M17" s="12">
        <f ca="1">IFERROR(__xludf.DUMMYFUNCTION("""COMPUTED_VALUE"""),7588)</f>
        <v>7588</v>
      </c>
      <c r="N17" s="12">
        <f ca="1">IFERROR(__xludf.DUMMYFUNCTION("""COMPUTED_VALUE"""),6557)</f>
        <v>6557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15.75" customHeight="1" x14ac:dyDescent="0.25">
      <c r="A18" s="11" t="str">
        <f ca="1">IFERROR(__xludf.DUMMYFUNCTION("""COMPUTED_VALUE"""),"                        left Primary somatosensory area, upper limb")</f>
        <v xml:space="preserve">                        left Primary somatosensory area, upper limb</v>
      </c>
      <c r="B18" s="12">
        <f ca="1">IFERROR(__xludf.DUMMYFUNCTION("""COMPUTED_VALUE"""),8321)</f>
        <v>8321</v>
      </c>
      <c r="C18" s="12">
        <f ca="1">IFERROR(__xludf.DUMMYFUNCTION("""COMPUTED_VALUE"""),7675)</f>
        <v>7675</v>
      </c>
      <c r="D18" s="12">
        <f ca="1">IFERROR(__xludf.DUMMYFUNCTION("""COMPUTED_VALUE"""),1945)</f>
        <v>1945</v>
      </c>
      <c r="E18" s="12">
        <f ca="1">IFERROR(__xludf.DUMMYFUNCTION("""COMPUTED_VALUE"""),4949)</f>
        <v>4949</v>
      </c>
      <c r="F18" s="12">
        <f ca="1">IFERROR(__xludf.DUMMYFUNCTION("""COMPUTED_VALUE"""),2976)</f>
        <v>2976</v>
      </c>
      <c r="G18" s="12">
        <f ca="1">IFERROR(__xludf.DUMMYFUNCTION("""COMPUTED_VALUE"""),1364)</f>
        <v>1364</v>
      </c>
      <c r="H18" s="12">
        <f ca="1">IFERROR(__xludf.DUMMYFUNCTION("""COMPUTED_VALUE"""),9393)</f>
        <v>9393</v>
      </c>
      <c r="I18" s="12">
        <f ca="1">IFERROR(__xludf.DUMMYFUNCTION("""COMPUTED_VALUE"""),17117)</f>
        <v>17117</v>
      </c>
      <c r="J18" s="12">
        <f ca="1">IFERROR(__xludf.DUMMYFUNCTION("""COMPUTED_VALUE"""),13803)</f>
        <v>13803</v>
      </c>
      <c r="K18" s="12">
        <f ca="1">IFERROR(__xludf.DUMMYFUNCTION("""COMPUTED_VALUE"""),5614)</f>
        <v>5614</v>
      </c>
      <c r="L18" s="12">
        <f ca="1">IFERROR(__xludf.DUMMYFUNCTION("""COMPUTED_VALUE"""),4419)</f>
        <v>4419</v>
      </c>
      <c r="M18" s="12">
        <f ca="1">IFERROR(__xludf.DUMMYFUNCTION("""COMPUTED_VALUE"""),9687)</f>
        <v>9687</v>
      </c>
      <c r="N18" s="12">
        <f ca="1">IFERROR(__xludf.DUMMYFUNCTION("""COMPUTED_VALUE"""),7034)</f>
        <v>7034</v>
      </c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15.75" customHeight="1" x14ac:dyDescent="0.25">
      <c r="A19" s="11" t="str">
        <f ca="1">IFERROR(__xludf.DUMMYFUNCTION("""COMPUTED_VALUE"""),"                        left Primary somatosensory area, trunk")</f>
        <v xml:space="preserve">                        left Primary somatosensory area, trunk</v>
      </c>
      <c r="B19" s="12">
        <f ca="1">IFERROR(__xludf.DUMMYFUNCTION("""COMPUTED_VALUE"""),7500)</f>
        <v>7500</v>
      </c>
      <c r="C19" s="12">
        <f ca="1">IFERROR(__xludf.DUMMYFUNCTION("""COMPUTED_VALUE"""),4880)</f>
        <v>4880</v>
      </c>
      <c r="D19" s="12">
        <f ca="1">IFERROR(__xludf.DUMMYFUNCTION("""COMPUTED_VALUE"""),2398)</f>
        <v>2398</v>
      </c>
      <c r="E19" s="12">
        <f ca="1">IFERROR(__xludf.DUMMYFUNCTION("""COMPUTED_VALUE"""),7570)</f>
        <v>7570</v>
      </c>
      <c r="F19" s="12">
        <f ca="1">IFERROR(__xludf.DUMMYFUNCTION("""COMPUTED_VALUE"""),2838)</f>
        <v>2838</v>
      </c>
      <c r="G19" s="12">
        <f ca="1">IFERROR(__xludf.DUMMYFUNCTION("""COMPUTED_VALUE"""),2653)</f>
        <v>2653</v>
      </c>
      <c r="H19" s="12">
        <f ca="1">IFERROR(__xludf.DUMMYFUNCTION("""COMPUTED_VALUE"""),7675)</f>
        <v>7675</v>
      </c>
      <c r="I19" s="12">
        <f ca="1">IFERROR(__xludf.DUMMYFUNCTION("""COMPUTED_VALUE"""),11815)</f>
        <v>11815</v>
      </c>
      <c r="J19" s="12">
        <f ca="1">IFERROR(__xludf.DUMMYFUNCTION("""COMPUTED_VALUE"""),4007)</f>
        <v>4007</v>
      </c>
      <c r="K19" s="12">
        <f ca="1">IFERROR(__xludf.DUMMYFUNCTION("""COMPUTED_VALUE"""),2899)</f>
        <v>2899</v>
      </c>
      <c r="L19" s="12">
        <f ca="1">IFERROR(__xludf.DUMMYFUNCTION("""COMPUTED_VALUE"""),5473)</f>
        <v>5473</v>
      </c>
      <c r="M19" s="12">
        <f ca="1">IFERROR(__xludf.DUMMYFUNCTION("""COMPUTED_VALUE"""),11199)</f>
        <v>11199</v>
      </c>
      <c r="N19" s="12">
        <f ca="1">IFERROR(__xludf.DUMMYFUNCTION("""COMPUTED_VALUE"""),5846)</f>
        <v>5846</v>
      </c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15.75" customHeight="1" x14ac:dyDescent="0.25">
      <c r="A20" s="11" t="str">
        <f ca="1">IFERROR(__xludf.DUMMYFUNCTION("""COMPUTED_VALUE"""),"                        left Primary somatosensory area, unassigned")</f>
        <v xml:space="preserve">                        left Primary somatosensory area, unassigned</v>
      </c>
      <c r="B20" s="12">
        <f ca="1">IFERROR(__xludf.DUMMYFUNCTION("""COMPUTED_VALUE"""),8069)</f>
        <v>8069</v>
      </c>
      <c r="C20" s="12">
        <f ca="1">IFERROR(__xludf.DUMMYFUNCTION("""COMPUTED_VALUE"""),6804)</f>
        <v>6804</v>
      </c>
      <c r="D20" s="12">
        <f ca="1">IFERROR(__xludf.DUMMYFUNCTION("""COMPUTED_VALUE"""),2238)</f>
        <v>2238</v>
      </c>
      <c r="E20" s="12">
        <f ca="1">IFERROR(__xludf.DUMMYFUNCTION("""COMPUTED_VALUE"""),5200)</f>
        <v>5200</v>
      </c>
      <c r="F20" s="12">
        <f ca="1">IFERROR(__xludf.DUMMYFUNCTION("""COMPUTED_VALUE"""),3492)</f>
        <v>3492</v>
      </c>
      <c r="G20" s="12">
        <f ca="1">IFERROR(__xludf.DUMMYFUNCTION("""COMPUTED_VALUE"""),1824)</f>
        <v>1824</v>
      </c>
      <c r="H20" s="12">
        <f ca="1">IFERROR(__xludf.DUMMYFUNCTION("""COMPUTED_VALUE"""),10832)</f>
        <v>10832</v>
      </c>
      <c r="I20" s="12">
        <f ca="1">IFERROR(__xludf.DUMMYFUNCTION("""COMPUTED_VALUE"""),19681)</f>
        <v>19681</v>
      </c>
      <c r="J20" s="12">
        <f ca="1">IFERROR(__xludf.DUMMYFUNCTION("""COMPUTED_VALUE"""),14033)</f>
        <v>14033</v>
      </c>
      <c r="K20" s="12">
        <f ca="1">IFERROR(__xludf.DUMMYFUNCTION("""COMPUTED_VALUE"""),6808)</f>
        <v>6808</v>
      </c>
      <c r="L20" s="12">
        <f ca="1">IFERROR(__xludf.DUMMYFUNCTION("""COMPUTED_VALUE"""),5755)</f>
        <v>5755</v>
      </c>
      <c r="M20" s="12">
        <f ca="1">IFERROR(__xludf.DUMMYFUNCTION("""COMPUTED_VALUE"""),13082)</f>
        <v>13082</v>
      </c>
      <c r="N20" s="12">
        <f ca="1">IFERROR(__xludf.DUMMYFUNCTION("""COMPUTED_VALUE"""),7766)</f>
        <v>7766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15.75" customHeight="1" x14ac:dyDescent="0.25">
      <c r="A21" s="11" t="str">
        <f ca="1">IFERROR(__xludf.DUMMYFUNCTION("""COMPUTED_VALUE"""),"                     left Supplemental somatosensory area")</f>
        <v xml:space="preserve">                     left Supplemental somatosensory area</v>
      </c>
      <c r="B21" s="12">
        <f ca="1">IFERROR(__xludf.DUMMYFUNCTION("""COMPUTED_VALUE"""),16339)</f>
        <v>16339</v>
      </c>
      <c r="C21" s="12">
        <f ca="1">IFERROR(__xludf.DUMMYFUNCTION("""COMPUTED_VALUE"""),11051)</f>
        <v>11051</v>
      </c>
      <c r="D21" s="12">
        <f ca="1">IFERROR(__xludf.DUMMYFUNCTION("""COMPUTED_VALUE"""),3115)</f>
        <v>3115</v>
      </c>
      <c r="E21" s="12">
        <f ca="1">IFERROR(__xludf.DUMMYFUNCTION("""COMPUTED_VALUE"""),5570)</f>
        <v>5570</v>
      </c>
      <c r="F21" s="12">
        <f ca="1">IFERROR(__xludf.DUMMYFUNCTION("""COMPUTED_VALUE"""),3528)</f>
        <v>3528</v>
      </c>
      <c r="G21" s="12">
        <f ca="1">IFERROR(__xludf.DUMMYFUNCTION("""COMPUTED_VALUE"""),1944)</f>
        <v>1944</v>
      </c>
      <c r="H21" s="12">
        <f ca="1">IFERROR(__xludf.DUMMYFUNCTION("""COMPUTED_VALUE"""),11976)</f>
        <v>11976</v>
      </c>
      <c r="I21" s="12">
        <f ca="1">IFERROR(__xludf.DUMMYFUNCTION("""COMPUTED_VALUE"""),17190)</f>
        <v>17190</v>
      </c>
      <c r="J21" s="12">
        <f ca="1">IFERROR(__xludf.DUMMYFUNCTION("""COMPUTED_VALUE"""),13461)</f>
        <v>13461</v>
      </c>
      <c r="K21" s="12">
        <f ca="1">IFERROR(__xludf.DUMMYFUNCTION("""COMPUTED_VALUE"""),4602)</f>
        <v>4602</v>
      </c>
      <c r="L21" s="12">
        <f ca="1">IFERROR(__xludf.DUMMYFUNCTION("""COMPUTED_VALUE"""),4580)</f>
        <v>4580</v>
      </c>
      <c r="M21" s="12">
        <f ca="1">IFERROR(__xludf.DUMMYFUNCTION("""COMPUTED_VALUE"""),11926)</f>
        <v>11926</v>
      </c>
      <c r="N21" s="12">
        <f ca="1">IFERROR(__xludf.DUMMYFUNCTION("""COMPUTED_VALUE"""),8668)</f>
        <v>8668</v>
      </c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15.75" customHeight="1" x14ac:dyDescent="0.25">
      <c r="A22" s="11" t="str">
        <f ca="1">IFERROR(__xludf.DUMMYFUNCTION("""COMPUTED_VALUE"""),"                  left Gustatory areas")</f>
        <v xml:space="preserve">                  left Gustatory areas</v>
      </c>
      <c r="B22" s="12">
        <f ca="1">IFERROR(__xludf.DUMMYFUNCTION("""COMPUTED_VALUE"""),17397)</f>
        <v>17397</v>
      </c>
      <c r="C22" s="12">
        <f ca="1">IFERROR(__xludf.DUMMYFUNCTION("""COMPUTED_VALUE"""),14616)</f>
        <v>14616</v>
      </c>
      <c r="D22" s="12">
        <f ca="1">IFERROR(__xludf.DUMMYFUNCTION("""COMPUTED_VALUE"""),4178)</f>
        <v>4178</v>
      </c>
      <c r="E22" s="12">
        <f ca="1">IFERROR(__xludf.DUMMYFUNCTION("""COMPUTED_VALUE"""),4172)</f>
        <v>4172</v>
      </c>
      <c r="F22" s="12">
        <f ca="1">IFERROR(__xludf.DUMMYFUNCTION("""COMPUTED_VALUE"""),1975)</f>
        <v>1975</v>
      </c>
      <c r="G22" s="12">
        <f ca="1">IFERROR(__xludf.DUMMYFUNCTION("""COMPUTED_VALUE"""),1929)</f>
        <v>1929</v>
      </c>
      <c r="H22" s="12">
        <f ca="1">IFERROR(__xludf.DUMMYFUNCTION("""COMPUTED_VALUE"""),10919)</f>
        <v>10919</v>
      </c>
      <c r="I22" s="12">
        <f ca="1">IFERROR(__xludf.DUMMYFUNCTION("""COMPUTED_VALUE"""),15887)</f>
        <v>15887</v>
      </c>
      <c r="J22" s="12">
        <f ca="1">IFERROR(__xludf.DUMMYFUNCTION("""COMPUTED_VALUE"""),11823)</f>
        <v>11823</v>
      </c>
      <c r="K22" s="12">
        <f ca="1">IFERROR(__xludf.DUMMYFUNCTION("""COMPUTED_VALUE"""),4321)</f>
        <v>4321</v>
      </c>
      <c r="L22" s="12">
        <f ca="1">IFERROR(__xludf.DUMMYFUNCTION("""COMPUTED_VALUE"""),4621)</f>
        <v>4621</v>
      </c>
      <c r="M22" s="12">
        <f ca="1">IFERROR(__xludf.DUMMYFUNCTION("""COMPUTED_VALUE"""),7761)</f>
        <v>7761</v>
      </c>
      <c r="N22" s="12">
        <f ca="1">IFERROR(__xludf.DUMMYFUNCTION("""COMPUTED_VALUE"""),8464)</f>
        <v>8464</v>
      </c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15.75" customHeight="1" x14ac:dyDescent="0.25">
      <c r="A23" s="11" t="str">
        <f ca="1">IFERROR(__xludf.DUMMYFUNCTION("""COMPUTED_VALUE"""),"                  left Visceral area")</f>
        <v xml:space="preserve">                  left Visceral area</v>
      </c>
      <c r="B23" s="12">
        <f ca="1">IFERROR(__xludf.DUMMYFUNCTION("""COMPUTED_VALUE"""),16785)</f>
        <v>16785</v>
      </c>
      <c r="C23" s="12">
        <f ca="1">IFERROR(__xludf.DUMMYFUNCTION("""COMPUTED_VALUE"""),10980)</f>
        <v>10980</v>
      </c>
      <c r="D23" s="12">
        <f ca="1">IFERROR(__xludf.DUMMYFUNCTION("""COMPUTED_VALUE"""),4502)</f>
        <v>4502</v>
      </c>
      <c r="E23" s="12">
        <f ca="1">IFERROR(__xludf.DUMMYFUNCTION("""COMPUTED_VALUE"""),4323)</f>
        <v>4323</v>
      </c>
      <c r="F23" s="12">
        <f ca="1">IFERROR(__xludf.DUMMYFUNCTION("""COMPUTED_VALUE"""),2147)</f>
        <v>2147</v>
      </c>
      <c r="G23" s="12">
        <f ca="1">IFERROR(__xludf.DUMMYFUNCTION("""COMPUTED_VALUE"""),1561)</f>
        <v>1561</v>
      </c>
      <c r="H23" s="12">
        <f ca="1">IFERROR(__xludf.DUMMYFUNCTION("""COMPUTED_VALUE"""),9871)</f>
        <v>9871</v>
      </c>
      <c r="I23" s="12">
        <f ca="1">IFERROR(__xludf.DUMMYFUNCTION("""COMPUTED_VALUE"""),14091)</f>
        <v>14091</v>
      </c>
      <c r="J23" s="12">
        <f ca="1">IFERROR(__xludf.DUMMYFUNCTION("""COMPUTED_VALUE"""),12329)</f>
        <v>12329</v>
      </c>
      <c r="K23" s="12">
        <f ca="1">IFERROR(__xludf.DUMMYFUNCTION("""COMPUTED_VALUE"""),4924)</f>
        <v>4924</v>
      </c>
      <c r="L23" s="12">
        <f ca="1">IFERROR(__xludf.DUMMYFUNCTION("""COMPUTED_VALUE"""),2764)</f>
        <v>2764</v>
      </c>
      <c r="M23" s="12">
        <f ca="1">IFERROR(__xludf.DUMMYFUNCTION("""COMPUTED_VALUE"""),9327)</f>
        <v>9327</v>
      </c>
      <c r="N23" s="12">
        <f ca="1">IFERROR(__xludf.DUMMYFUNCTION("""COMPUTED_VALUE"""),7748)</f>
        <v>7748</v>
      </c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15.75" customHeight="1" x14ac:dyDescent="0.25">
      <c r="A24" s="11" t="str">
        <f ca="1">IFERROR(__xludf.DUMMYFUNCTION("""COMPUTED_VALUE"""),"                  left Auditory areas")</f>
        <v xml:space="preserve">                  left Auditory areas</v>
      </c>
      <c r="B24" s="12">
        <f ca="1">IFERROR(__xludf.DUMMYFUNCTION("""COMPUTED_VALUE"""),25636)</f>
        <v>25636</v>
      </c>
      <c r="C24" s="12">
        <f ca="1">IFERROR(__xludf.DUMMYFUNCTION("""COMPUTED_VALUE"""),14190)</f>
        <v>14190</v>
      </c>
      <c r="D24" s="12">
        <f ca="1">IFERROR(__xludf.DUMMYFUNCTION("""COMPUTED_VALUE"""),12459)</f>
        <v>12459</v>
      </c>
      <c r="E24" s="12">
        <f ca="1">IFERROR(__xludf.DUMMYFUNCTION("""COMPUTED_VALUE"""),16075)</f>
        <v>16075</v>
      </c>
      <c r="F24" s="12">
        <f ca="1">IFERROR(__xludf.DUMMYFUNCTION("""COMPUTED_VALUE"""),7305)</f>
        <v>7305</v>
      </c>
      <c r="G24" s="12">
        <f ca="1">IFERROR(__xludf.DUMMYFUNCTION("""COMPUTED_VALUE"""),7839)</f>
        <v>7839</v>
      </c>
      <c r="H24" s="12">
        <f ca="1">IFERROR(__xludf.DUMMYFUNCTION("""COMPUTED_VALUE"""),20915)</f>
        <v>20915</v>
      </c>
      <c r="I24" s="12">
        <f ca="1">IFERROR(__xludf.DUMMYFUNCTION("""COMPUTED_VALUE"""),21924)</f>
        <v>21924</v>
      </c>
      <c r="J24" s="12">
        <f ca="1">IFERROR(__xludf.DUMMYFUNCTION("""COMPUTED_VALUE"""),17003)</f>
        <v>17003</v>
      </c>
      <c r="K24" s="12">
        <f ca="1">IFERROR(__xludf.DUMMYFUNCTION("""COMPUTED_VALUE"""),7810)</f>
        <v>7810</v>
      </c>
      <c r="L24" s="12">
        <f ca="1">IFERROR(__xludf.DUMMYFUNCTION("""COMPUTED_VALUE"""),8558)</f>
        <v>8558</v>
      </c>
      <c r="M24" s="12">
        <f ca="1">IFERROR(__xludf.DUMMYFUNCTION("""COMPUTED_VALUE"""),25503)</f>
        <v>25503</v>
      </c>
      <c r="N24" s="12">
        <f ca="1">IFERROR(__xludf.DUMMYFUNCTION("""COMPUTED_VALUE"""),15292)</f>
        <v>15292</v>
      </c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15.75" customHeight="1" x14ac:dyDescent="0.25">
      <c r="A25" s="11" t="str">
        <f ca="1">IFERROR(__xludf.DUMMYFUNCTION("""COMPUTED_VALUE"""),"                     left Dorsal auditory area")</f>
        <v xml:space="preserve">                     left Dorsal auditory area</v>
      </c>
      <c r="B25" s="12">
        <f ca="1">IFERROR(__xludf.DUMMYFUNCTION("""COMPUTED_VALUE"""),16217)</f>
        <v>16217</v>
      </c>
      <c r="C25" s="12">
        <f ca="1">IFERROR(__xludf.DUMMYFUNCTION("""COMPUTED_VALUE"""),8809)</f>
        <v>8809</v>
      </c>
      <c r="D25" s="12">
        <f ca="1">IFERROR(__xludf.DUMMYFUNCTION("""COMPUTED_VALUE"""),6197)</f>
        <v>6197</v>
      </c>
      <c r="E25" s="12">
        <f ca="1">IFERROR(__xludf.DUMMYFUNCTION("""COMPUTED_VALUE"""),12108)</f>
        <v>12108</v>
      </c>
      <c r="F25" s="12">
        <f ca="1">IFERROR(__xludf.DUMMYFUNCTION("""COMPUTED_VALUE"""),7659)</f>
        <v>7659</v>
      </c>
      <c r="G25" s="12">
        <f ca="1">IFERROR(__xludf.DUMMYFUNCTION("""COMPUTED_VALUE"""),5590)</f>
        <v>5590</v>
      </c>
      <c r="H25" s="12">
        <f ca="1">IFERROR(__xludf.DUMMYFUNCTION("""COMPUTED_VALUE"""),16246)</f>
        <v>16246</v>
      </c>
      <c r="I25" s="12">
        <f ca="1">IFERROR(__xludf.DUMMYFUNCTION("""COMPUTED_VALUE"""),19208)</f>
        <v>19208</v>
      </c>
      <c r="J25" s="12">
        <f ca="1">IFERROR(__xludf.DUMMYFUNCTION("""COMPUTED_VALUE"""),13775)</f>
        <v>13775</v>
      </c>
      <c r="K25" s="12">
        <f ca="1">IFERROR(__xludf.DUMMYFUNCTION("""COMPUTED_VALUE"""),6118)</f>
        <v>6118</v>
      </c>
      <c r="L25" s="12">
        <f ca="1">IFERROR(__xludf.DUMMYFUNCTION("""COMPUTED_VALUE"""),6513)</f>
        <v>6513</v>
      </c>
      <c r="M25" s="12">
        <f ca="1">IFERROR(__xludf.DUMMYFUNCTION("""COMPUTED_VALUE"""),21161)</f>
        <v>21161</v>
      </c>
      <c r="N25" s="12">
        <f ca="1">IFERROR(__xludf.DUMMYFUNCTION("""COMPUTED_VALUE"""),11397)</f>
        <v>11397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15.75" customHeight="1" x14ac:dyDescent="0.25">
      <c r="A26" s="11" t="str">
        <f ca="1">IFERROR(__xludf.DUMMYFUNCTION("""COMPUTED_VALUE"""),"                     left Primary auditory area")</f>
        <v xml:space="preserve">                     left Primary auditory area</v>
      </c>
      <c r="B26" s="12">
        <f ca="1">IFERROR(__xludf.DUMMYFUNCTION("""COMPUTED_VALUE"""),26261)</f>
        <v>26261</v>
      </c>
      <c r="C26" s="12">
        <f ca="1">IFERROR(__xludf.DUMMYFUNCTION("""COMPUTED_VALUE"""),16075)</f>
        <v>16075</v>
      </c>
      <c r="D26" s="12">
        <f ca="1">IFERROR(__xludf.DUMMYFUNCTION("""COMPUTED_VALUE"""),13413)</f>
        <v>13413</v>
      </c>
      <c r="E26" s="12">
        <f ca="1">IFERROR(__xludf.DUMMYFUNCTION("""COMPUTED_VALUE"""),17941)</f>
        <v>17941</v>
      </c>
      <c r="F26" s="12">
        <f ca="1">IFERROR(__xludf.DUMMYFUNCTION("""COMPUTED_VALUE"""),6913)</f>
        <v>6913</v>
      </c>
      <c r="G26" s="12">
        <f ca="1">IFERROR(__xludf.DUMMYFUNCTION("""COMPUTED_VALUE"""),8755)</f>
        <v>8755</v>
      </c>
      <c r="H26" s="12">
        <f ca="1">IFERROR(__xludf.DUMMYFUNCTION("""COMPUTED_VALUE"""),20303)</f>
        <v>20303</v>
      </c>
      <c r="I26" s="12">
        <f ca="1">IFERROR(__xludf.DUMMYFUNCTION("""COMPUTED_VALUE"""),21204)</f>
        <v>21204</v>
      </c>
      <c r="J26" s="12">
        <f ca="1">IFERROR(__xludf.DUMMYFUNCTION("""COMPUTED_VALUE"""),18472)</f>
        <v>18472</v>
      </c>
      <c r="K26" s="12">
        <f ca="1">IFERROR(__xludf.DUMMYFUNCTION("""COMPUTED_VALUE"""),7088)</f>
        <v>7088</v>
      </c>
      <c r="L26" s="12">
        <f ca="1">IFERROR(__xludf.DUMMYFUNCTION("""COMPUTED_VALUE"""),9720)</f>
        <v>9720</v>
      </c>
      <c r="M26" s="12">
        <f ca="1">IFERROR(__xludf.DUMMYFUNCTION("""COMPUTED_VALUE"""),28039)</f>
        <v>28039</v>
      </c>
      <c r="N26" s="12">
        <f ca="1">IFERROR(__xludf.DUMMYFUNCTION("""COMPUTED_VALUE"""),15998)</f>
        <v>15998</v>
      </c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15.75" customHeight="1" x14ac:dyDescent="0.25">
      <c r="A27" s="11" t="str">
        <f ca="1">IFERROR(__xludf.DUMMYFUNCTION("""COMPUTED_VALUE"""),"                     left Posterior auditory area")</f>
        <v xml:space="preserve">                     left Posterior auditory area</v>
      </c>
      <c r="B27" s="12">
        <f ca="1">IFERROR(__xludf.DUMMYFUNCTION("""COMPUTED_VALUE"""),27176)</f>
        <v>27176</v>
      </c>
      <c r="C27" s="12">
        <f ca="1">IFERROR(__xludf.DUMMYFUNCTION("""COMPUTED_VALUE"""),10713)</f>
        <v>10713</v>
      </c>
      <c r="D27" s="12">
        <f ca="1">IFERROR(__xludf.DUMMYFUNCTION("""COMPUTED_VALUE"""),11757)</f>
        <v>11757</v>
      </c>
      <c r="E27" s="12">
        <f ca="1">IFERROR(__xludf.DUMMYFUNCTION("""COMPUTED_VALUE"""),20503)</f>
        <v>20503</v>
      </c>
      <c r="F27" s="12">
        <f ca="1">IFERROR(__xludf.DUMMYFUNCTION("""COMPUTED_VALUE"""),6572)</f>
        <v>6572</v>
      </c>
      <c r="G27" s="12">
        <f ca="1">IFERROR(__xludf.DUMMYFUNCTION("""COMPUTED_VALUE"""),8935)</f>
        <v>8935</v>
      </c>
      <c r="H27" s="12">
        <f ca="1">IFERROR(__xludf.DUMMYFUNCTION("""COMPUTED_VALUE"""),19228)</f>
        <v>19228</v>
      </c>
      <c r="I27" s="12">
        <f ca="1">IFERROR(__xludf.DUMMYFUNCTION("""COMPUTED_VALUE"""),20940)</f>
        <v>20940</v>
      </c>
      <c r="J27" s="12">
        <f ca="1">IFERROR(__xludf.DUMMYFUNCTION("""COMPUTED_VALUE"""),17301)</f>
        <v>17301</v>
      </c>
      <c r="K27" s="12">
        <f ca="1">IFERROR(__xludf.DUMMYFUNCTION("""COMPUTED_VALUE"""),5947)</f>
        <v>5947</v>
      </c>
      <c r="L27" s="12">
        <f ca="1">IFERROR(__xludf.DUMMYFUNCTION("""COMPUTED_VALUE"""),7192)</f>
        <v>7192</v>
      </c>
      <c r="M27" s="12">
        <f ca="1">IFERROR(__xludf.DUMMYFUNCTION("""COMPUTED_VALUE"""),24644)</f>
        <v>24644</v>
      </c>
      <c r="N27" s="12">
        <f ca="1">IFERROR(__xludf.DUMMYFUNCTION("""COMPUTED_VALUE"""),14925)</f>
        <v>14925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15.75" customHeight="1" x14ac:dyDescent="0.25">
      <c r="A28" s="11" t="str">
        <f ca="1">IFERROR(__xludf.DUMMYFUNCTION("""COMPUTED_VALUE"""),"                     left Ventral auditory area")</f>
        <v xml:space="preserve">                     left Ventral auditory area</v>
      </c>
      <c r="B28" s="12">
        <f ca="1">IFERROR(__xludf.DUMMYFUNCTION("""COMPUTED_VALUE"""),30648)</f>
        <v>30648</v>
      </c>
      <c r="C28" s="12">
        <f ca="1">IFERROR(__xludf.DUMMYFUNCTION("""COMPUTED_VALUE"""),16715)</f>
        <v>16715</v>
      </c>
      <c r="D28" s="12">
        <f ca="1">IFERROR(__xludf.DUMMYFUNCTION("""COMPUTED_VALUE"""),15736)</f>
        <v>15736</v>
      </c>
      <c r="E28" s="12">
        <f ca="1">IFERROR(__xludf.DUMMYFUNCTION("""COMPUTED_VALUE"""),15025)</f>
        <v>15025</v>
      </c>
      <c r="F28" s="12">
        <f ca="1">IFERROR(__xludf.DUMMYFUNCTION("""COMPUTED_VALUE"""),7779)</f>
        <v>7779</v>
      </c>
      <c r="G28" s="12">
        <f ca="1">IFERROR(__xludf.DUMMYFUNCTION("""COMPUTED_VALUE"""),7885)</f>
        <v>7885</v>
      </c>
      <c r="H28" s="12">
        <f ca="1">IFERROR(__xludf.DUMMYFUNCTION("""COMPUTED_VALUE"""),25310)</f>
        <v>25310</v>
      </c>
      <c r="I28" s="12">
        <f ca="1">IFERROR(__xludf.DUMMYFUNCTION("""COMPUTED_VALUE"""),24913)</f>
        <v>24913</v>
      </c>
      <c r="J28" s="12">
        <f ca="1">IFERROR(__xludf.DUMMYFUNCTION("""COMPUTED_VALUE"""),17319)</f>
        <v>17319</v>
      </c>
      <c r="K28" s="12">
        <f ca="1">IFERROR(__xludf.DUMMYFUNCTION("""COMPUTED_VALUE"""),10412)</f>
        <v>10412</v>
      </c>
      <c r="L28" s="12">
        <f ca="1">IFERROR(__xludf.DUMMYFUNCTION("""COMPUTED_VALUE"""),9006)</f>
        <v>9006</v>
      </c>
      <c r="M28" s="12">
        <f ca="1">IFERROR(__xludf.DUMMYFUNCTION("""COMPUTED_VALUE"""),25690)</f>
        <v>25690</v>
      </c>
      <c r="N28" s="12">
        <f ca="1">IFERROR(__xludf.DUMMYFUNCTION("""COMPUTED_VALUE"""),17174)</f>
        <v>17174</v>
      </c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15.75" customHeight="1" x14ac:dyDescent="0.25">
      <c r="A29" s="11" t="str">
        <f ca="1">IFERROR(__xludf.DUMMYFUNCTION("""COMPUTED_VALUE"""),"                  left Visual areas")</f>
        <v xml:space="preserve">                  left Visual areas</v>
      </c>
      <c r="B29" s="12">
        <f ca="1">IFERROR(__xludf.DUMMYFUNCTION("""COMPUTED_VALUE"""),24668)</f>
        <v>24668</v>
      </c>
      <c r="C29" s="12">
        <f ca="1">IFERROR(__xludf.DUMMYFUNCTION("""COMPUTED_VALUE"""),13104)</f>
        <v>13104</v>
      </c>
      <c r="D29" s="12">
        <f ca="1">IFERROR(__xludf.DUMMYFUNCTION("""COMPUTED_VALUE"""),8399)</f>
        <v>8399</v>
      </c>
      <c r="E29" s="12">
        <f ca="1">IFERROR(__xludf.DUMMYFUNCTION("""COMPUTED_VALUE"""),15883)</f>
        <v>15883</v>
      </c>
      <c r="F29" s="12">
        <f ca="1">IFERROR(__xludf.DUMMYFUNCTION("""COMPUTED_VALUE"""),9571)</f>
        <v>9571</v>
      </c>
      <c r="G29" s="12">
        <f ca="1">IFERROR(__xludf.DUMMYFUNCTION("""COMPUTED_VALUE"""),7640)</f>
        <v>7640</v>
      </c>
      <c r="H29" s="12">
        <f ca="1">IFERROR(__xludf.DUMMYFUNCTION("""COMPUTED_VALUE"""),11365)</f>
        <v>11365</v>
      </c>
      <c r="I29" s="12">
        <f ca="1">IFERROR(__xludf.DUMMYFUNCTION("""COMPUTED_VALUE"""),14577)</f>
        <v>14577</v>
      </c>
      <c r="J29" s="12">
        <f ca="1">IFERROR(__xludf.DUMMYFUNCTION("""COMPUTED_VALUE"""),14239)</f>
        <v>14239</v>
      </c>
      <c r="K29" s="12">
        <f ca="1">IFERROR(__xludf.DUMMYFUNCTION("""COMPUTED_VALUE"""),12472)</f>
        <v>12472</v>
      </c>
      <c r="L29" s="12">
        <f ca="1">IFERROR(__xludf.DUMMYFUNCTION("""COMPUTED_VALUE"""),12683)</f>
        <v>12683</v>
      </c>
      <c r="M29" s="12">
        <f ca="1">IFERROR(__xludf.DUMMYFUNCTION("""COMPUTED_VALUE"""),28279)</f>
        <v>28279</v>
      </c>
      <c r="N29" s="12">
        <f ca="1">IFERROR(__xludf.DUMMYFUNCTION("""COMPUTED_VALUE"""),13615)</f>
        <v>13615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15.75" customHeight="1" x14ac:dyDescent="0.25">
      <c r="A30" s="11" t="str">
        <f ca="1">IFERROR(__xludf.DUMMYFUNCTION("""COMPUTED_VALUE"""),"                     left Anterolateral visual area")</f>
        <v xml:space="preserve">                     left Anterolateral visual area</v>
      </c>
      <c r="B30" s="12">
        <f ca="1">IFERROR(__xludf.DUMMYFUNCTION("""COMPUTED_VALUE"""),21363)</f>
        <v>21363</v>
      </c>
      <c r="C30" s="12">
        <f ca="1">IFERROR(__xludf.DUMMYFUNCTION("""COMPUTED_VALUE"""),7159)</f>
        <v>7159</v>
      </c>
      <c r="D30" s="12">
        <f ca="1">IFERROR(__xludf.DUMMYFUNCTION("""COMPUTED_VALUE"""),5722)</f>
        <v>5722</v>
      </c>
      <c r="E30" s="12">
        <f ca="1">IFERROR(__xludf.DUMMYFUNCTION("""COMPUTED_VALUE"""),14782)</f>
        <v>14782</v>
      </c>
      <c r="F30" s="12">
        <f ca="1">IFERROR(__xludf.DUMMYFUNCTION("""COMPUTED_VALUE"""),10335)</f>
        <v>10335</v>
      </c>
      <c r="G30" s="12">
        <f ca="1">IFERROR(__xludf.DUMMYFUNCTION("""COMPUTED_VALUE"""),6816)</f>
        <v>6816</v>
      </c>
      <c r="H30" s="12">
        <f ca="1">IFERROR(__xludf.DUMMYFUNCTION("""COMPUTED_VALUE"""),15150)</f>
        <v>15150</v>
      </c>
      <c r="I30" s="12">
        <f ca="1">IFERROR(__xludf.DUMMYFUNCTION("""COMPUTED_VALUE"""),18699)</f>
        <v>18699</v>
      </c>
      <c r="J30" s="12">
        <f ca="1">IFERROR(__xludf.DUMMYFUNCTION("""COMPUTED_VALUE"""),12283)</f>
        <v>12283</v>
      </c>
      <c r="K30" s="12">
        <f ca="1">IFERROR(__xludf.DUMMYFUNCTION("""COMPUTED_VALUE"""),8411)</f>
        <v>8411</v>
      </c>
      <c r="L30" s="12">
        <f ca="1">IFERROR(__xludf.DUMMYFUNCTION("""COMPUTED_VALUE"""),6070)</f>
        <v>6070</v>
      </c>
      <c r="M30" s="12">
        <f ca="1">IFERROR(__xludf.DUMMYFUNCTION("""COMPUTED_VALUE"""),27672)</f>
        <v>27672</v>
      </c>
      <c r="N30" s="12">
        <f ca="1">IFERROR(__xludf.DUMMYFUNCTION("""COMPUTED_VALUE"""),12369)</f>
        <v>12369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15.75" customHeight="1" x14ac:dyDescent="0.25">
      <c r="A31" s="11" t="str">
        <f ca="1">IFERROR(__xludf.DUMMYFUNCTION("""COMPUTED_VALUE"""),"                     left Anteromedial visual area")</f>
        <v xml:space="preserve">                     left Anteromedial visual area</v>
      </c>
      <c r="B31" s="12">
        <f ca="1">IFERROR(__xludf.DUMMYFUNCTION("""COMPUTED_VALUE"""),14338)</f>
        <v>14338</v>
      </c>
      <c r="C31" s="12">
        <f ca="1">IFERROR(__xludf.DUMMYFUNCTION("""COMPUTED_VALUE"""),6664)</f>
        <v>6664</v>
      </c>
      <c r="D31" s="12">
        <f ca="1">IFERROR(__xludf.DUMMYFUNCTION("""COMPUTED_VALUE"""),8892)</f>
        <v>8892</v>
      </c>
      <c r="E31" s="12">
        <f ca="1">IFERROR(__xludf.DUMMYFUNCTION("""COMPUTED_VALUE"""),11660)</f>
        <v>11660</v>
      </c>
      <c r="F31" s="12">
        <f ca="1">IFERROR(__xludf.DUMMYFUNCTION("""COMPUTED_VALUE"""),8268)</f>
        <v>8268</v>
      </c>
      <c r="G31" s="12">
        <f ca="1">IFERROR(__xludf.DUMMYFUNCTION("""COMPUTED_VALUE"""),4836)</f>
        <v>4836</v>
      </c>
      <c r="H31" s="12">
        <f ca="1">IFERROR(__xludf.DUMMYFUNCTION("""COMPUTED_VALUE"""),6534)</f>
        <v>6534</v>
      </c>
      <c r="I31" s="12">
        <f ca="1">IFERROR(__xludf.DUMMYFUNCTION("""COMPUTED_VALUE"""),11647)</f>
        <v>11647</v>
      </c>
      <c r="J31" s="12">
        <f ca="1">IFERROR(__xludf.DUMMYFUNCTION("""COMPUTED_VALUE"""),9553)</f>
        <v>9553</v>
      </c>
      <c r="K31" s="12">
        <f ca="1">IFERROR(__xludf.DUMMYFUNCTION("""COMPUTED_VALUE"""),10882)</f>
        <v>10882</v>
      </c>
      <c r="L31" s="12">
        <f ca="1">IFERROR(__xludf.DUMMYFUNCTION("""COMPUTED_VALUE"""),10441)</f>
        <v>10441</v>
      </c>
      <c r="M31" s="12">
        <f ca="1">IFERROR(__xludf.DUMMYFUNCTION("""COMPUTED_VALUE"""),17189)</f>
        <v>17189</v>
      </c>
      <c r="N31" s="12">
        <f ca="1">IFERROR(__xludf.DUMMYFUNCTION("""COMPUTED_VALUE"""),9495)</f>
        <v>9495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15.75" customHeight="1" x14ac:dyDescent="0.25">
      <c r="A32" s="11" t="str">
        <f ca="1">IFERROR(__xludf.DUMMYFUNCTION("""COMPUTED_VALUE"""),"                     left Lateral visual area")</f>
        <v xml:space="preserve">                     left Lateral visual area</v>
      </c>
      <c r="B32" s="12">
        <f ca="1">IFERROR(__xludf.DUMMYFUNCTION("""COMPUTED_VALUE"""),33155)</f>
        <v>33155</v>
      </c>
      <c r="C32" s="12">
        <f ca="1">IFERROR(__xludf.DUMMYFUNCTION("""COMPUTED_VALUE"""),19175)</f>
        <v>19175</v>
      </c>
      <c r="D32" s="12">
        <f ca="1">IFERROR(__xludf.DUMMYFUNCTION("""COMPUTED_VALUE"""),9580)</f>
        <v>9580</v>
      </c>
      <c r="E32" s="12">
        <f ca="1">IFERROR(__xludf.DUMMYFUNCTION("""COMPUTED_VALUE"""),20039)</f>
        <v>20039</v>
      </c>
      <c r="F32" s="12">
        <f ca="1">IFERROR(__xludf.DUMMYFUNCTION("""COMPUTED_VALUE"""),12738)</f>
        <v>12738</v>
      </c>
      <c r="G32" s="12">
        <f ca="1">IFERROR(__xludf.DUMMYFUNCTION("""COMPUTED_VALUE"""),10392)</f>
        <v>10392</v>
      </c>
      <c r="H32" s="12">
        <f ca="1">IFERROR(__xludf.DUMMYFUNCTION("""COMPUTED_VALUE"""),15383)</f>
        <v>15383</v>
      </c>
      <c r="I32" s="12">
        <f ca="1">IFERROR(__xludf.DUMMYFUNCTION("""COMPUTED_VALUE"""),16212)</f>
        <v>16212</v>
      </c>
      <c r="J32" s="12">
        <f ca="1">IFERROR(__xludf.DUMMYFUNCTION("""COMPUTED_VALUE"""),15292)</f>
        <v>15292</v>
      </c>
      <c r="K32" s="12">
        <f ca="1">IFERROR(__xludf.DUMMYFUNCTION("""COMPUTED_VALUE"""),10787)</f>
        <v>10787</v>
      </c>
      <c r="L32" s="12">
        <f ca="1">IFERROR(__xludf.DUMMYFUNCTION("""COMPUTED_VALUE"""),11187)</f>
        <v>11187</v>
      </c>
      <c r="M32" s="12">
        <f ca="1">IFERROR(__xludf.DUMMYFUNCTION("""COMPUTED_VALUE"""),30990)</f>
        <v>30990</v>
      </c>
      <c r="N32" s="12">
        <f ca="1">IFERROR(__xludf.DUMMYFUNCTION("""COMPUTED_VALUE"""),16731)</f>
        <v>16731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15.75" customHeight="1" x14ac:dyDescent="0.25">
      <c r="A33" s="11" t="str">
        <f ca="1">IFERROR(__xludf.DUMMYFUNCTION("""COMPUTED_VALUE"""),"                     left Primary visual area")</f>
        <v xml:space="preserve">                     left Primary visual area</v>
      </c>
      <c r="B33" s="12">
        <f ca="1">IFERROR(__xludf.DUMMYFUNCTION("""COMPUTED_VALUE"""),23880)</f>
        <v>23880</v>
      </c>
      <c r="C33" s="12">
        <f ca="1">IFERROR(__xludf.DUMMYFUNCTION("""COMPUTED_VALUE"""),13857)</f>
        <v>13857</v>
      </c>
      <c r="D33" s="12">
        <f ca="1">IFERROR(__xludf.DUMMYFUNCTION("""COMPUTED_VALUE"""),7913)</f>
        <v>7913</v>
      </c>
      <c r="E33" s="12">
        <f ca="1">IFERROR(__xludf.DUMMYFUNCTION("""COMPUTED_VALUE"""),16390)</f>
        <v>16390</v>
      </c>
      <c r="F33" s="12">
        <f ca="1">IFERROR(__xludf.DUMMYFUNCTION("""COMPUTED_VALUE"""),9301)</f>
        <v>9301</v>
      </c>
      <c r="G33" s="12">
        <f ca="1">IFERROR(__xludf.DUMMYFUNCTION("""COMPUTED_VALUE"""),7295)</f>
        <v>7295</v>
      </c>
      <c r="H33" s="12">
        <f ca="1">IFERROR(__xludf.DUMMYFUNCTION("""COMPUTED_VALUE"""),10232)</f>
        <v>10232</v>
      </c>
      <c r="I33" s="12">
        <f ca="1">IFERROR(__xludf.DUMMYFUNCTION("""COMPUTED_VALUE"""),13289)</f>
        <v>13289</v>
      </c>
      <c r="J33" s="12">
        <f ca="1">IFERROR(__xludf.DUMMYFUNCTION("""COMPUTED_VALUE"""),14525)</f>
        <v>14525</v>
      </c>
      <c r="K33" s="12">
        <f ca="1">IFERROR(__xludf.DUMMYFUNCTION("""COMPUTED_VALUE"""),14493)</f>
        <v>14493</v>
      </c>
      <c r="L33" s="12">
        <f ca="1">IFERROR(__xludf.DUMMYFUNCTION("""COMPUTED_VALUE"""),14671)</f>
        <v>14671</v>
      </c>
      <c r="M33" s="12">
        <f ca="1">IFERROR(__xludf.DUMMYFUNCTION("""COMPUTED_VALUE"""),27850)</f>
        <v>27850</v>
      </c>
      <c r="N33" s="12">
        <f ca="1">IFERROR(__xludf.DUMMYFUNCTION("""COMPUTED_VALUE"""),13542)</f>
        <v>13542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15.75" customHeight="1" x14ac:dyDescent="0.25">
      <c r="A34" s="11" t="str">
        <f ca="1">IFERROR(__xludf.DUMMYFUNCTION("""COMPUTED_VALUE"""),"                     left Posterolateral visual area")</f>
        <v xml:space="preserve">                     left Posterolateral visual area</v>
      </c>
      <c r="B34" s="12">
        <f ca="1">IFERROR(__xludf.DUMMYFUNCTION("""COMPUTED_VALUE"""),20368)</f>
        <v>20368</v>
      </c>
      <c r="C34" s="12">
        <f ca="1">IFERROR(__xludf.DUMMYFUNCTION("""COMPUTED_VALUE"""),10770)</f>
        <v>10770</v>
      </c>
      <c r="D34" s="12">
        <f ca="1">IFERROR(__xludf.DUMMYFUNCTION("""COMPUTED_VALUE"""),11676)</f>
        <v>11676</v>
      </c>
      <c r="E34" s="12">
        <f ca="1">IFERROR(__xludf.DUMMYFUNCTION("""COMPUTED_VALUE"""),15201)</f>
        <v>15201</v>
      </c>
      <c r="F34" s="12">
        <f ca="1">IFERROR(__xludf.DUMMYFUNCTION("""COMPUTED_VALUE"""),10389)</f>
        <v>10389</v>
      </c>
      <c r="G34" s="12">
        <f ca="1">IFERROR(__xludf.DUMMYFUNCTION("""COMPUTED_VALUE"""),8145)</f>
        <v>8145</v>
      </c>
      <c r="H34" s="12">
        <f ca="1">IFERROR(__xludf.DUMMYFUNCTION("""COMPUTED_VALUE"""),8730)</f>
        <v>8730</v>
      </c>
      <c r="I34" s="12">
        <f ca="1">IFERROR(__xludf.DUMMYFUNCTION("""COMPUTED_VALUE"""),12347)</f>
        <v>12347</v>
      </c>
      <c r="J34" s="12">
        <f ca="1">IFERROR(__xludf.DUMMYFUNCTION("""COMPUTED_VALUE"""),14430)</f>
        <v>14430</v>
      </c>
      <c r="K34" s="12">
        <f ca="1">IFERROR(__xludf.DUMMYFUNCTION("""COMPUTED_VALUE"""),11240)</f>
        <v>11240</v>
      </c>
      <c r="L34" s="12">
        <f ca="1">IFERROR(__xludf.DUMMYFUNCTION("""COMPUTED_VALUE"""),16752)</f>
        <v>16752</v>
      </c>
      <c r="M34" s="12">
        <f ca="1">IFERROR(__xludf.DUMMYFUNCTION("""COMPUTED_VALUE"""),29718)</f>
        <v>29718</v>
      </c>
      <c r="N34" s="12">
        <f ca="1">IFERROR(__xludf.DUMMYFUNCTION("""COMPUTED_VALUE"""),13130)</f>
        <v>13130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15.75" customHeight="1" x14ac:dyDescent="0.25">
      <c r="A35" s="11" t="str">
        <f ca="1">IFERROR(__xludf.DUMMYFUNCTION("""COMPUTED_VALUE"""),"                     left posteromedial visual area")</f>
        <v xml:space="preserve">                     left posteromedial visual area</v>
      </c>
      <c r="B35" s="12">
        <f ca="1">IFERROR(__xludf.DUMMYFUNCTION("""COMPUTED_VALUE"""),19441)</f>
        <v>19441</v>
      </c>
      <c r="C35" s="12">
        <f ca="1">IFERROR(__xludf.DUMMYFUNCTION("""COMPUTED_VALUE"""),7221)</f>
        <v>7221</v>
      </c>
      <c r="D35" s="12">
        <f ca="1">IFERROR(__xludf.DUMMYFUNCTION("""COMPUTED_VALUE"""),7732)</f>
        <v>7732</v>
      </c>
      <c r="E35" s="12">
        <f ca="1">IFERROR(__xludf.DUMMYFUNCTION("""COMPUTED_VALUE"""),12716)</f>
        <v>12716</v>
      </c>
      <c r="F35" s="12">
        <f ca="1">IFERROR(__xludf.DUMMYFUNCTION("""COMPUTED_VALUE"""),10276)</f>
        <v>10276</v>
      </c>
      <c r="G35" s="12">
        <f ca="1">IFERROR(__xludf.DUMMYFUNCTION("""COMPUTED_VALUE"""),7846)</f>
        <v>7846</v>
      </c>
      <c r="H35" s="12">
        <f ca="1">IFERROR(__xludf.DUMMYFUNCTION("""COMPUTED_VALUE"""),7198)</f>
        <v>7198</v>
      </c>
      <c r="I35" s="12">
        <f ca="1">IFERROR(__xludf.DUMMYFUNCTION("""COMPUTED_VALUE"""),14127)</f>
        <v>14127</v>
      </c>
      <c r="J35" s="12">
        <f ca="1">IFERROR(__xludf.DUMMYFUNCTION("""COMPUTED_VALUE"""),14318)</f>
        <v>14318</v>
      </c>
      <c r="K35" s="12">
        <f ca="1">IFERROR(__xludf.DUMMYFUNCTION("""COMPUTED_VALUE"""),11485)</f>
        <v>11485</v>
      </c>
      <c r="L35" s="12">
        <f ca="1">IFERROR(__xludf.DUMMYFUNCTION("""COMPUTED_VALUE"""),12169)</f>
        <v>12169</v>
      </c>
      <c r="M35" s="12">
        <f ca="1">IFERROR(__xludf.DUMMYFUNCTION("""COMPUTED_VALUE"""),23379)</f>
        <v>23379</v>
      </c>
      <c r="N35" s="12">
        <f ca="1">IFERROR(__xludf.DUMMYFUNCTION("""COMPUTED_VALUE"""),11418)</f>
        <v>11418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15.75" customHeight="1" x14ac:dyDescent="0.25">
      <c r="A36" s="11" t="str">
        <f ca="1">IFERROR(__xludf.DUMMYFUNCTION("""COMPUTED_VALUE"""),"                     left Laterointermediate area")</f>
        <v xml:space="preserve">                     left Laterointermediate area</v>
      </c>
      <c r="B36" s="12">
        <f ca="1">IFERROR(__xludf.DUMMYFUNCTION("""COMPUTED_VALUE"""),38521)</f>
        <v>38521</v>
      </c>
      <c r="C36" s="12">
        <f ca="1">IFERROR(__xludf.DUMMYFUNCTION("""COMPUTED_VALUE"""),18282)</f>
        <v>18282</v>
      </c>
      <c r="D36" s="12">
        <f ca="1">IFERROR(__xludf.DUMMYFUNCTION("""COMPUTED_VALUE"""),10620)</f>
        <v>10620</v>
      </c>
      <c r="E36" s="12">
        <f ca="1">IFERROR(__xludf.DUMMYFUNCTION("""COMPUTED_VALUE"""),19934)</f>
        <v>19934</v>
      </c>
      <c r="F36" s="12">
        <f ca="1">IFERROR(__xludf.DUMMYFUNCTION("""COMPUTED_VALUE"""),9410)</f>
        <v>9410</v>
      </c>
      <c r="G36" s="12">
        <f ca="1">IFERROR(__xludf.DUMMYFUNCTION("""COMPUTED_VALUE"""),10478)</f>
        <v>10478</v>
      </c>
      <c r="H36" s="12">
        <f ca="1">IFERROR(__xludf.DUMMYFUNCTION("""COMPUTED_VALUE"""),19370)</f>
        <v>19370</v>
      </c>
      <c r="I36" s="12">
        <f ca="1">IFERROR(__xludf.DUMMYFUNCTION("""COMPUTED_VALUE"""),17859)</f>
        <v>17859</v>
      </c>
      <c r="J36" s="12">
        <f ca="1">IFERROR(__xludf.DUMMYFUNCTION("""COMPUTED_VALUE"""),16530)</f>
        <v>16530</v>
      </c>
      <c r="K36" s="12">
        <f ca="1">IFERROR(__xludf.DUMMYFUNCTION("""COMPUTED_VALUE"""),8520)</f>
        <v>8520</v>
      </c>
      <c r="L36" s="12">
        <f ca="1">IFERROR(__xludf.DUMMYFUNCTION("""COMPUTED_VALUE"""),9060)</f>
        <v>9060</v>
      </c>
      <c r="M36" s="12">
        <f ca="1">IFERROR(__xludf.DUMMYFUNCTION("""COMPUTED_VALUE"""),33228)</f>
        <v>33228</v>
      </c>
      <c r="N36" s="12">
        <f ca="1">IFERROR(__xludf.DUMMYFUNCTION("""COMPUTED_VALUE"""),17308)</f>
        <v>17308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15.75" customHeight="1" x14ac:dyDescent="0.25">
      <c r="A37" s="11" t="str">
        <f ca="1">IFERROR(__xludf.DUMMYFUNCTION("""COMPUTED_VALUE"""),"                     left Postrhinal area")</f>
        <v xml:space="preserve">                     left Postrhinal area</v>
      </c>
      <c r="B37" s="12">
        <f ca="1">IFERROR(__xludf.DUMMYFUNCTION("""COMPUTED_VALUE"""),30824)</f>
        <v>30824</v>
      </c>
      <c r="C37" s="12">
        <f ca="1">IFERROR(__xludf.DUMMYFUNCTION("""COMPUTED_VALUE"""),14877)</f>
        <v>14877</v>
      </c>
      <c r="D37" s="12">
        <f ca="1">IFERROR(__xludf.DUMMYFUNCTION("""COMPUTED_VALUE"""),8889)</f>
        <v>8889</v>
      </c>
      <c r="E37" s="12">
        <f ca="1">IFERROR(__xludf.DUMMYFUNCTION("""COMPUTED_VALUE"""),13815)</f>
        <v>13815</v>
      </c>
      <c r="F37" s="12">
        <f ca="1">IFERROR(__xludf.DUMMYFUNCTION("""COMPUTED_VALUE"""),7364)</f>
        <v>7364</v>
      </c>
      <c r="G37" s="12">
        <f ca="1">IFERROR(__xludf.DUMMYFUNCTION("""COMPUTED_VALUE"""),7558)</f>
        <v>7558</v>
      </c>
      <c r="H37" s="12">
        <f ca="1">IFERROR(__xludf.DUMMYFUNCTION("""COMPUTED_VALUE"""),16460)</f>
        <v>16460</v>
      </c>
      <c r="I37" s="12">
        <f ca="1">IFERROR(__xludf.DUMMYFUNCTION("""COMPUTED_VALUE"""),19972)</f>
        <v>19972</v>
      </c>
      <c r="J37" s="12">
        <f ca="1">IFERROR(__xludf.DUMMYFUNCTION("""COMPUTED_VALUE"""),14635)</f>
        <v>14635</v>
      </c>
      <c r="K37" s="12">
        <f ca="1">IFERROR(__xludf.DUMMYFUNCTION("""COMPUTED_VALUE"""),9402)</f>
        <v>9402</v>
      </c>
      <c r="L37" s="12">
        <f ca="1">IFERROR(__xludf.DUMMYFUNCTION("""COMPUTED_VALUE"""),7727)</f>
        <v>7727</v>
      </c>
      <c r="M37" s="12">
        <f ca="1">IFERROR(__xludf.DUMMYFUNCTION("""COMPUTED_VALUE"""),36446)</f>
        <v>36446</v>
      </c>
      <c r="N37" s="12">
        <f ca="1">IFERROR(__xludf.DUMMYFUNCTION("""COMPUTED_VALUE"""),14988)</f>
        <v>14988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5.75" customHeight="1" x14ac:dyDescent="0.25">
      <c r="A38" s="11" t="str">
        <f ca="1">IFERROR(__xludf.DUMMYFUNCTION("""COMPUTED_VALUE"""),"                  left Anterior cingulate area")</f>
        <v xml:space="preserve">                  left Anterior cingulate area</v>
      </c>
      <c r="B38" s="12">
        <f ca="1">IFERROR(__xludf.DUMMYFUNCTION("""COMPUTED_VALUE"""),16326)</f>
        <v>16326</v>
      </c>
      <c r="C38" s="12">
        <f ca="1">IFERROR(__xludf.DUMMYFUNCTION("""COMPUTED_VALUE"""),10438)</f>
        <v>10438</v>
      </c>
      <c r="D38" s="12">
        <f ca="1">IFERROR(__xludf.DUMMYFUNCTION("""COMPUTED_VALUE"""),9827)</f>
        <v>9827</v>
      </c>
      <c r="E38" s="12">
        <f ca="1">IFERROR(__xludf.DUMMYFUNCTION("""COMPUTED_VALUE"""),12082)</f>
        <v>12082</v>
      </c>
      <c r="F38" s="12">
        <f ca="1">IFERROR(__xludf.DUMMYFUNCTION("""COMPUTED_VALUE"""),10310)</f>
        <v>10310</v>
      </c>
      <c r="G38" s="12">
        <f ca="1">IFERROR(__xludf.DUMMYFUNCTION("""COMPUTED_VALUE"""),6039)</f>
        <v>6039</v>
      </c>
      <c r="H38" s="12">
        <f ca="1">IFERROR(__xludf.DUMMYFUNCTION("""COMPUTED_VALUE"""),8221)</f>
        <v>8221</v>
      </c>
      <c r="I38" s="12">
        <f ca="1">IFERROR(__xludf.DUMMYFUNCTION("""COMPUTED_VALUE"""),11255)</f>
        <v>11255</v>
      </c>
      <c r="J38" s="12">
        <f ca="1">IFERROR(__xludf.DUMMYFUNCTION("""COMPUTED_VALUE"""),6742)</f>
        <v>6742</v>
      </c>
      <c r="K38" s="12">
        <f ca="1">IFERROR(__xludf.DUMMYFUNCTION("""COMPUTED_VALUE"""),8281)</f>
        <v>8281</v>
      </c>
      <c r="L38" s="12">
        <f ca="1">IFERROR(__xludf.DUMMYFUNCTION("""COMPUTED_VALUE"""),7268)</f>
        <v>7268</v>
      </c>
      <c r="M38" s="12">
        <f ca="1">IFERROR(__xludf.DUMMYFUNCTION("""COMPUTED_VALUE"""),11037)</f>
        <v>11037</v>
      </c>
      <c r="N38" s="12">
        <f ca="1">IFERROR(__xludf.DUMMYFUNCTION("""COMPUTED_VALUE"""),9969)</f>
        <v>9969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15.75" customHeight="1" x14ac:dyDescent="0.25">
      <c r="A39" s="11" t="str">
        <f ca="1">IFERROR(__xludf.DUMMYFUNCTION("""COMPUTED_VALUE"""),"                     left Anterior cingulate area, dorsal part")</f>
        <v xml:space="preserve">                     left Anterior cingulate area, dorsal part</v>
      </c>
      <c r="B39" s="12">
        <f ca="1">IFERROR(__xludf.DUMMYFUNCTION("""COMPUTED_VALUE"""),16487)</f>
        <v>16487</v>
      </c>
      <c r="C39" s="12">
        <f ca="1">IFERROR(__xludf.DUMMYFUNCTION("""COMPUTED_VALUE"""),9980)</f>
        <v>9980</v>
      </c>
      <c r="D39" s="12">
        <f ca="1">IFERROR(__xludf.DUMMYFUNCTION("""COMPUTED_VALUE"""),8048)</f>
        <v>8048</v>
      </c>
      <c r="E39" s="12">
        <f ca="1">IFERROR(__xludf.DUMMYFUNCTION("""COMPUTED_VALUE"""),10042)</f>
        <v>10042</v>
      </c>
      <c r="F39" s="12">
        <f ca="1">IFERROR(__xludf.DUMMYFUNCTION("""COMPUTED_VALUE"""),8248)</f>
        <v>8248</v>
      </c>
      <c r="G39" s="12">
        <f ca="1">IFERROR(__xludf.DUMMYFUNCTION("""COMPUTED_VALUE"""),4777)</f>
        <v>4777</v>
      </c>
      <c r="H39" s="12">
        <f ca="1">IFERROR(__xludf.DUMMYFUNCTION("""COMPUTED_VALUE"""),7542)</f>
        <v>7542</v>
      </c>
      <c r="I39" s="12">
        <f ca="1">IFERROR(__xludf.DUMMYFUNCTION("""COMPUTED_VALUE"""),11680)</f>
        <v>11680</v>
      </c>
      <c r="J39" s="12">
        <f ca="1">IFERROR(__xludf.DUMMYFUNCTION("""COMPUTED_VALUE"""),5422)</f>
        <v>5422</v>
      </c>
      <c r="K39" s="12">
        <f ca="1">IFERROR(__xludf.DUMMYFUNCTION("""COMPUTED_VALUE"""),8086)</f>
        <v>8086</v>
      </c>
      <c r="L39" s="12">
        <f ca="1">IFERROR(__xludf.DUMMYFUNCTION("""COMPUTED_VALUE"""),7048)</f>
        <v>7048</v>
      </c>
      <c r="M39" s="12">
        <f ca="1">IFERROR(__xludf.DUMMYFUNCTION("""COMPUTED_VALUE"""),13516)</f>
        <v>13516</v>
      </c>
      <c r="N39" s="12">
        <f ca="1">IFERROR(__xludf.DUMMYFUNCTION("""COMPUTED_VALUE"""),9221)</f>
        <v>9221</v>
      </c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13.2" x14ac:dyDescent="0.25">
      <c r="A40" s="11" t="str">
        <f ca="1">IFERROR(__xludf.DUMMYFUNCTION("""COMPUTED_VALUE"""),"                     left Anterior cingulate area, ventral part")</f>
        <v xml:space="preserve">                     left Anterior cingulate area, ventral part</v>
      </c>
      <c r="B40" s="12">
        <f ca="1">IFERROR(__xludf.DUMMYFUNCTION("""COMPUTED_VALUE"""),16118)</f>
        <v>16118</v>
      </c>
      <c r="C40" s="12">
        <f ca="1">IFERROR(__xludf.DUMMYFUNCTION("""COMPUTED_VALUE"""),11034)</f>
        <v>11034</v>
      </c>
      <c r="D40" s="12">
        <f ca="1">IFERROR(__xludf.DUMMYFUNCTION("""COMPUTED_VALUE"""),12138)</f>
        <v>12138</v>
      </c>
      <c r="E40" s="12">
        <f ca="1">IFERROR(__xludf.DUMMYFUNCTION("""COMPUTED_VALUE"""),14732)</f>
        <v>14732</v>
      </c>
      <c r="F40" s="12">
        <f ca="1">IFERROR(__xludf.DUMMYFUNCTION("""COMPUTED_VALUE"""),12989)</f>
        <v>12989</v>
      </c>
      <c r="G40" s="12">
        <f ca="1">IFERROR(__xludf.DUMMYFUNCTION("""COMPUTED_VALUE"""),7679)</f>
        <v>7679</v>
      </c>
      <c r="H40" s="12">
        <f ca="1">IFERROR(__xludf.DUMMYFUNCTION("""COMPUTED_VALUE"""),9105)</f>
        <v>9105</v>
      </c>
      <c r="I40" s="12">
        <f ca="1">IFERROR(__xludf.DUMMYFUNCTION("""COMPUTED_VALUE"""),10702)</f>
        <v>10702</v>
      </c>
      <c r="J40" s="12">
        <f ca="1">IFERROR(__xludf.DUMMYFUNCTION("""COMPUTED_VALUE"""),8456)</f>
        <v>8456</v>
      </c>
      <c r="K40" s="12">
        <f ca="1">IFERROR(__xludf.DUMMYFUNCTION("""COMPUTED_VALUE"""),8534)</f>
        <v>8534</v>
      </c>
      <c r="L40" s="12">
        <f ca="1">IFERROR(__xludf.DUMMYFUNCTION("""COMPUTED_VALUE"""),7554)</f>
        <v>7554</v>
      </c>
      <c r="M40" s="12">
        <f ca="1">IFERROR(__xludf.DUMMYFUNCTION("""COMPUTED_VALUE"""),7815)</f>
        <v>7815</v>
      </c>
      <c r="N40" s="12">
        <f ca="1">IFERROR(__xludf.DUMMYFUNCTION("""COMPUTED_VALUE"""),10940)</f>
        <v>10940</v>
      </c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13.2" x14ac:dyDescent="0.25">
      <c r="A41" s="11" t="str">
        <f ca="1">IFERROR(__xludf.DUMMYFUNCTION("""COMPUTED_VALUE"""),"                  left Prelimbic area")</f>
        <v xml:space="preserve">                  left Prelimbic area</v>
      </c>
      <c r="B41" s="12">
        <f ca="1">IFERROR(__xludf.DUMMYFUNCTION("""COMPUTED_VALUE"""),18877)</f>
        <v>18877</v>
      </c>
      <c r="C41" s="12">
        <f ca="1">IFERROR(__xludf.DUMMYFUNCTION("""COMPUTED_VALUE"""),11918)</f>
        <v>11918</v>
      </c>
      <c r="D41" s="12">
        <f ca="1">IFERROR(__xludf.DUMMYFUNCTION("""COMPUTED_VALUE"""),10703)</f>
        <v>10703</v>
      </c>
      <c r="E41" s="12">
        <f ca="1">IFERROR(__xludf.DUMMYFUNCTION("""COMPUTED_VALUE"""),10876)</f>
        <v>10876</v>
      </c>
      <c r="F41" s="12">
        <f ca="1">IFERROR(__xludf.DUMMYFUNCTION("""COMPUTED_VALUE"""),7647)</f>
        <v>7647</v>
      </c>
      <c r="G41" s="12">
        <f ca="1">IFERROR(__xludf.DUMMYFUNCTION("""COMPUTED_VALUE"""),5533)</f>
        <v>5533</v>
      </c>
      <c r="H41" s="12">
        <f ca="1">IFERROR(__xludf.DUMMYFUNCTION("""COMPUTED_VALUE"""),10059)</f>
        <v>10059</v>
      </c>
      <c r="I41" s="12">
        <f ca="1">IFERROR(__xludf.DUMMYFUNCTION("""COMPUTED_VALUE"""),13883)</f>
        <v>13883</v>
      </c>
      <c r="J41" s="12">
        <f ca="1">IFERROR(__xludf.DUMMYFUNCTION("""COMPUTED_VALUE"""),7465)</f>
        <v>7465</v>
      </c>
      <c r="K41" s="12">
        <f ca="1">IFERROR(__xludf.DUMMYFUNCTION("""COMPUTED_VALUE"""),9017)</f>
        <v>9017</v>
      </c>
      <c r="L41" s="12">
        <f ca="1">IFERROR(__xludf.DUMMYFUNCTION("""COMPUTED_VALUE"""),10694)</f>
        <v>10694</v>
      </c>
      <c r="M41" s="12">
        <f ca="1">IFERROR(__xludf.DUMMYFUNCTION("""COMPUTED_VALUE"""),11112)</f>
        <v>11112</v>
      </c>
      <c r="N41" s="12">
        <f ca="1">IFERROR(__xludf.DUMMYFUNCTION("""COMPUTED_VALUE"""),10690)</f>
        <v>10690</v>
      </c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13.2" x14ac:dyDescent="0.25">
      <c r="A42" s="11" t="str">
        <f ca="1">IFERROR(__xludf.DUMMYFUNCTION("""COMPUTED_VALUE"""),"                  left Infralimbic area")</f>
        <v xml:space="preserve">                  left Infralimbic area</v>
      </c>
      <c r="B42" s="12">
        <f ca="1">IFERROR(__xludf.DUMMYFUNCTION("""COMPUTED_VALUE"""),14630)</f>
        <v>14630</v>
      </c>
      <c r="C42" s="12">
        <f ca="1">IFERROR(__xludf.DUMMYFUNCTION("""COMPUTED_VALUE"""),10334)</f>
        <v>10334</v>
      </c>
      <c r="D42" s="12">
        <f ca="1">IFERROR(__xludf.DUMMYFUNCTION("""COMPUTED_VALUE"""),13448)</f>
        <v>13448</v>
      </c>
      <c r="E42" s="12">
        <f ca="1">IFERROR(__xludf.DUMMYFUNCTION("""COMPUTED_VALUE"""),13515)</f>
        <v>13515</v>
      </c>
      <c r="F42" s="12">
        <f ca="1">IFERROR(__xludf.DUMMYFUNCTION("""COMPUTED_VALUE"""),9322)</f>
        <v>9322</v>
      </c>
      <c r="G42" s="12">
        <f ca="1">IFERROR(__xludf.DUMMYFUNCTION("""COMPUTED_VALUE"""),6066)</f>
        <v>6066</v>
      </c>
      <c r="H42" s="12">
        <f ca="1">IFERROR(__xludf.DUMMYFUNCTION("""COMPUTED_VALUE"""),13345)</f>
        <v>13345</v>
      </c>
      <c r="I42" s="12">
        <f ca="1">IFERROR(__xludf.DUMMYFUNCTION("""COMPUTED_VALUE"""),13835)</f>
        <v>13835</v>
      </c>
      <c r="J42" s="12">
        <f ca="1">IFERROR(__xludf.DUMMYFUNCTION("""COMPUTED_VALUE"""),8836)</f>
        <v>8836</v>
      </c>
      <c r="K42" s="12">
        <f ca="1">IFERROR(__xludf.DUMMYFUNCTION("""COMPUTED_VALUE"""),7839)</f>
        <v>7839</v>
      </c>
      <c r="L42" s="12">
        <f ca="1">IFERROR(__xludf.DUMMYFUNCTION("""COMPUTED_VALUE"""),11005)</f>
        <v>11005</v>
      </c>
      <c r="M42" s="12">
        <f ca="1">IFERROR(__xludf.DUMMYFUNCTION("""COMPUTED_VALUE"""),8726)</f>
        <v>8726</v>
      </c>
      <c r="N42" s="12">
        <f ca="1">IFERROR(__xludf.DUMMYFUNCTION("""COMPUTED_VALUE"""),11162)</f>
        <v>11162</v>
      </c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3.2" x14ac:dyDescent="0.25">
      <c r="A43" s="11" t="str">
        <f ca="1">IFERROR(__xludf.DUMMYFUNCTION("""COMPUTED_VALUE"""),"                  left Orbital area")</f>
        <v xml:space="preserve">                  left Orbital area</v>
      </c>
      <c r="B43" s="12">
        <f ca="1">IFERROR(__xludf.DUMMYFUNCTION("""COMPUTED_VALUE"""),14399)</f>
        <v>14399</v>
      </c>
      <c r="C43" s="12">
        <f ca="1">IFERROR(__xludf.DUMMYFUNCTION("""COMPUTED_VALUE"""),12528)</f>
        <v>12528</v>
      </c>
      <c r="D43" s="12">
        <f ca="1">IFERROR(__xludf.DUMMYFUNCTION("""COMPUTED_VALUE"""),7355)</f>
        <v>7355</v>
      </c>
      <c r="E43" s="12">
        <f ca="1">IFERROR(__xludf.DUMMYFUNCTION("""COMPUTED_VALUE"""),13083)</f>
        <v>13083</v>
      </c>
      <c r="F43" s="12">
        <f ca="1">IFERROR(__xludf.DUMMYFUNCTION("""COMPUTED_VALUE"""),7762)</f>
        <v>7762</v>
      </c>
      <c r="G43" s="12">
        <f ca="1">IFERROR(__xludf.DUMMYFUNCTION("""COMPUTED_VALUE"""),5594)</f>
        <v>5594</v>
      </c>
      <c r="H43" s="12">
        <f ca="1">IFERROR(__xludf.DUMMYFUNCTION("""COMPUTED_VALUE"""),12993)</f>
        <v>12993</v>
      </c>
      <c r="I43" s="12">
        <f ca="1">IFERROR(__xludf.DUMMYFUNCTION("""COMPUTED_VALUE"""),21755)</f>
        <v>21755</v>
      </c>
      <c r="J43" s="12">
        <f ca="1">IFERROR(__xludf.DUMMYFUNCTION("""COMPUTED_VALUE"""),10707)</f>
        <v>10707</v>
      </c>
      <c r="K43" s="12">
        <f ca="1">IFERROR(__xludf.DUMMYFUNCTION("""COMPUTED_VALUE"""),7661)</f>
        <v>7661</v>
      </c>
      <c r="L43" s="12">
        <f ca="1">IFERROR(__xludf.DUMMYFUNCTION("""COMPUTED_VALUE"""),9921)</f>
        <v>9921</v>
      </c>
      <c r="M43" s="12">
        <f ca="1">IFERROR(__xludf.DUMMYFUNCTION("""COMPUTED_VALUE"""),7813)</f>
        <v>7813</v>
      </c>
      <c r="N43" s="12">
        <f ca="1">IFERROR(__xludf.DUMMYFUNCTION("""COMPUTED_VALUE"""),11305)</f>
        <v>11305</v>
      </c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13.2" x14ac:dyDescent="0.25">
      <c r="A44" s="11" t="str">
        <f ca="1">IFERROR(__xludf.DUMMYFUNCTION("""COMPUTED_VALUE"""),"                     left Orbital area, lateral part")</f>
        <v xml:space="preserve">                     left Orbital area, lateral part</v>
      </c>
      <c r="B44" s="12">
        <f ca="1">IFERROR(__xludf.DUMMYFUNCTION("""COMPUTED_VALUE"""),17642)</f>
        <v>17642</v>
      </c>
      <c r="C44" s="12">
        <f ca="1">IFERROR(__xludf.DUMMYFUNCTION("""COMPUTED_VALUE"""),14798)</f>
        <v>14798</v>
      </c>
      <c r="D44" s="12">
        <f ca="1">IFERROR(__xludf.DUMMYFUNCTION("""COMPUTED_VALUE"""),6013)</f>
        <v>6013</v>
      </c>
      <c r="E44" s="12">
        <f ca="1">IFERROR(__xludf.DUMMYFUNCTION("""COMPUTED_VALUE"""),10758)</f>
        <v>10758</v>
      </c>
      <c r="F44" s="12">
        <f ca="1">IFERROR(__xludf.DUMMYFUNCTION("""COMPUTED_VALUE"""),5990)</f>
        <v>5990</v>
      </c>
      <c r="G44" s="12">
        <f ca="1">IFERROR(__xludf.DUMMYFUNCTION("""COMPUTED_VALUE"""),4050)</f>
        <v>4050</v>
      </c>
      <c r="H44" s="12">
        <f ca="1">IFERROR(__xludf.DUMMYFUNCTION("""COMPUTED_VALUE"""),15749)</f>
        <v>15749</v>
      </c>
      <c r="I44" s="12">
        <f ca="1">IFERROR(__xludf.DUMMYFUNCTION("""COMPUTED_VALUE"""),26292)</f>
        <v>26292</v>
      </c>
      <c r="J44" s="12">
        <f ca="1">IFERROR(__xludf.DUMMYFUNCTION("""COMPUTED_VALUE"""),12287)</f>
        <v>12287</v>
      </c>
      <c r="K44" s="12">
        <f ca="1">IFERROR(__xludf.DUMMYFUNCTION("""COMPUTED_VALUE"""),7747)</f>
        <v>7747</v>
      </c>
      <c r="L44" s="12">
        <f ca="1">IFERROR(__xludf.DUMMYFUNCTION("""COMPUTED_VALUE"""),10283)</f>
        <v>10283</v>
      </c>
      <c r="M44" s="12">
        <f ca="1">IFERROR(__xludf.DUMMYFUNCTION("""COMPUTED_VALUE"""),8039)</f>
        <v>8039</v>
      </c>
      <c r="N44" s="12">
        <f ca="1">IFERROR(__xludf.DUMMYFUNCTION("""COMPUTED_VALUE"""),11976)</f>
        <v>11976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13.2" x14ac:dyDescent="0.25">
      <c r="A45" s="11" t="str">
        <f ca="1">IFERROR(__xludf.DUMMYFUNCTION("""COMPUTED_VALUE"""),"                     left Orbital area, medial part")</f>
        <v xml:space="preserve">                     left Orbital area, medial part</v>
      </c>
      <c r="B45" s="12">
        <f ca="1">IFERROR(__xludf.DUMMYFUNCTION("""COMPUTED_VALUE"""),9958)</f>
        <v>9958</v>
      </c>
      <c r="C45" s="12">
        <f ca="1">IFERROR(__xludf.DUMMYFUNCTION("""COMPUTED_VALUE"""),9385)</f>
        <v>9385</v>
      </c>
      <c r="D45" s="12">
        <f ca="1">IFERROR(__xludf.DUMMYFUNCTION("""COMPUTED_VALUE"""),8885)</f>
        <v>8885</v>
      </c>
      <c r="E45" s="12">
        <f ca="1">IFERROR(__xludf.DUMMYFUNCTION("""COMPUTED_VALUE"""),11093)</f>
        <v>11093</v>
      </c>
      <c r="F45" s="12">
        <f ca="1">IFERROR(__xludf.DUMMYFUNCTION("""COMPUTED_VALUE"""),7418)</f>
        <v>7418</v>
      </c>
      <c r="G45" s="12">
        <f ca="1">IFERROR(__xludf.DUMMYFUNCTION("""COMPUTED_VALUE"""),5011)</f>
        <v>5011</v>
      </c>
      <c r="H45" s="12">
        <f ca="1">IFERROR(__xludf.DUMMYFUNCTION("""COMPUTED_VALUE"""),8862)</f>
        <v>8862</v>
      </c>
      <c r="I45" s="12">
        <f ca="1">IFERROR(__xludf.DUMMYFUNCTION("""COMPUTED_VALUE"""),12582)</f>
        <v>12582</v>
      </c>
      <c r="J45" s="12">
        <f ca="1">IFERROR(__xludf.DUMMYFUNCTION("""COMPUTED_VALUE"""),7008)</f>
        <v>7008</v>
      </c>
      <c r="K45" s="12">
        <f ca="1">IFERROR(__xludf.DUMMYFUNCTION("""COMPUTED_VALUE"""),6614)</f>
        <v>6614</v>
      </c>
      <c r="L45" s="12">
        <f ca="1">IFERROR(__xludf.DUMMYFUNCTION("""COMPUTED_VALUE"""),9428)</f>
        <v>9428</v>
      </c>
      <c r="M45" s="12">
        <f ca="1">IFERROR(__xludf.DUMMYFUNCTION("""COMPUTED_VALUE"""),8133)</f>
        <v>8133</v>
      </c>
      <c r="N45" s="12">
        <f ca="1">IFERROR(__xludf.DUMMYFUNCTION("""COMPUTED_VALUE"""),8864)</f>
        <v>8864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13.2" x14ac:dyDescent="0.25">
      <c r="A46" s="11" t="str">
        <f ca="1">IFERROR(__xludf.DUMMYFUNCTION("""COMPUTED_VALUE"""),"                     left Orbital area, ventrolateral part")</f>
        <v xml:space="preserve">                     left Orbital area, ventrolateral part</v>
      </c>
      <c r="B46" s="12">
        <f ca="1">IFERROR(__xludf.DUMMYFUNCTION("""COMPUTED_VALUE"""),12894)</f>
        <v>12894</v>
      </c>
      <c r="C46" s="12">
        <f ca="1">IFERROR(__xludf.DUMMYFUNCTION("""COMPUTED_VALUE"""),11501)</f>
        <v>11501</v>
      </c>
      <c r="D46" s="12">
        <f ca="1">IFERROR(__xludf.DUMMYFUNCTION("""COMPUTED_VALUE"""),8217)</f>
        <v>8217</v>
      </c>
      <c r="E46" s="12">
        <f ca="1">IFERROR(__xludf.DUMMYFUNCTION("""COMPUTED_VALUE"""),18205)</f>
        <v>18205</v>
      </c>
      <c r="F46" s="12">
        <f ca="1">IFERROR(__xludf.DUMMYFUNCTION("""COMPUTED_VALUE"""),10748)</f>
        <v>10748</v>
      </c>
      <c r="G46" s="12">
        <f ca="1">IFERROR(__xludf.DUMMYFUNCTION("""COMPUTED_VALUE"""),8421)</f>
        <v>8421</v>
      </c>
      <c r="H46" s="12">
        <f ca="1">IFERROR(__xludf.DUMMYFUNCTION("""COMPUTED_VALUE"""),11996)</f>
        <v>11996</v>
      </c>
      <c r="I46" s="12">
        <f ca="1">IFERROR(__xludf.DUMMYFUNCTION("""COMPUTED_VALUE"""),21968)</f>
        <v>21968</v>
      </c>
      <c r="J46" s="12">
        <f ca="1">IFERROR(__xludf.DUMMYFUNCTION("""COMPUTED_VALUE"""),11174)</f>
        <v>11174</v>
      </c>
      <c r="K46" s="12">
        <f ca="1">IFERROR(__xludf.DUMMYFUNCTION("""COMPUTED_VALUE"""),8349)</f>
        <v>8349</v>
      </c>
      <c r="L46" s="12">
        <f ca="1">IFERROR(__xludf.DUMMYFUNCTION("""COMPUTED_VALUE"""),9751)</f>
        <v>9751</v>
      </c>
      <c r="M46" s="12">
        <f ca="1">IFERROR(__xludf.DUMMYFUNCTION("""COMPUTED_VALUE"""),7216)</f>
        <v>7216</v>
      </c>
      <c r="N46" s="12">
        <f ca="1">IFERROR(__xludf.DUMMYFUNCTION("""COMPUTED_VALUE"""),12185)</f>
        <v>12185</v>
      </c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3.2" x14ac:dyDescent="0.25">
      <c r="A47" s="11" t="str">
        <f ca="1">IFERROR(__xludf.DUMMYFUNCTION("""COMPUTED_VALUE"""),"                  left Agranular insular area")</f>
        <v xml:space="preserve">                  left Agranular insular area</v>
      </c>
      <c r="B47" s="12">
        <f ca="1">IFERROR(__xludf.DUMMYFUNCTION("""COMPUTED_VALUE"""),12976)</f>
        <v>12976</v>
      </c>
      <c r="C47" s="12">
        <f ca="1">IFERROR(__xludf.DUMMYFUNCTION("""COMPUTED_VALUE"""),11693)</f>
        <v>11693</v>
      </c>
      <c r="D47" s="12">
        <f ca="1">IFERROR(__xludf.DUMMYFUNCTION("""COMPUTED_VALUE"""),5615)</f>
        <v>5615</v>
      </c>
      <c r="E47" s="12">
        <f ca="1">IFERROR(__xludf.DUMMYFUNCTION("""COMPUTED_VALUE"""),4153)</f>
        <v>4153</v>
      </c>
      <c r="F47" s="12">
        <f ca="1">IFERROR(__xludf.DUMMYFUNCTION("""COMPUTED_VALUE"""),2318)</f>
        <v>2318</v>
      </c>
      <c r="G47" s="12">
        <f ca="1">IFERROR(__xludf.DUMMYFUNCTION("""COMPUTED_VALUE"""),2208)</f>
        <v>2208</v>
      </c>
      <c r="H47" s="12">
        <f ca="1">IFERROR(__xludf.DUMMYFUNCTION("""COMPUTED_VALUE"""),10103)</f>
        <v>10103</v>
      </c>
      <c r="I47" s="12">
        <f ca="1">IFERROR(__xludf.DUMMYFUNCTION("""COMPUTED_VALUE"""),14726)</f>
        <v>14726</v>
      </c>
      <c r="J47" s="12">
        <f ca="1">IFERROR(__xludf.DUMMYFUNCTION("""COMPUTED_VALUE"""),9235)</f>
        <v>9235</v>
      </c>
      <c r="K47" s="12">
        <f ca="1">IFERROR(__xludf.DUMMYFUNCTION("""COMPUTED_VALUE"""),4616)</f>
        <v>4616</v>
      </c>
      <c r="L47" s="12">
        <f ca="1">IFERROR(__xludf.DUMMYFUNCTION("""COMPUTED_VALUE"""),6516)</f>
        <v>6516</v>
      </c>
      <c r="M47" s="12">
        <f ca="1">IFERROR(__xludf.DUMMYFUNCTION("""COMPUTED_VALUE"""),8756)</f>
        <v>8756</v>
      </c>
      <c r="N47" s="12">
        <f ca="1">IFERROR(__xludf.DUMMYFUNCTION("""COMPUTED_VALUE"""),7803)</f>
        <v>7803</v>
      </c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3.2" x14ac:dyDescent="0.25">
      <c r="A48" s="11" t="str">
        <f ca="1">IFERROR(__xludf.DUMMYFUNCTION("""COMPUTED_VALUE"""),"                     left Agranular insular area, dorsal part")</f>
        <v xml:space="preserve">                     left Agranular insular area, dorsal part</v>
      </c>
      <c r="B48" s="12">
        <f ca="1">IFERROR(__xludf.DUMMYFUNCTION("""COMPUTED_VALUE"""),13337)</f>
        <v>13337</v>
      </c>
      <c r="C48" s="12">
        <f ca="1">IFERROR(__xludf.DUMMYFUNCTION("""COMPUTED_VALUE"""),14460)</f>
        <v>14460</v>
      </c>
      <c r="D48" s="12">
        <f ca="1">IFERROR(__xludf.DUMMYFUNCTION("""COMPUTED_VALUE"""),4247)</f>
        <v>4247</v>
      </c>
      <c r="E48" s="12">
        <f ca="1">IFERROR(__xludf.DUMMYFUNCTION("""COMPUTED_VALUE"""),2833)</f>
        <v>2833</v>
      </c>
      <c r="F48" s="12">
        <f ca="1">IFERROR(__xludf.DUMMYFUNCTION("""COMPUTED_VALUE"""),1776)</f>
        <v>1776</v>
      </c>
      <c r="G48" s="12">
        <f ca="1">IFERROR(__xludf.DUMMYFUNCTION("""COMPUTED_VALUE"""),1453)</f>
        <v>1453</v>
      </c>
      <c r="H48" s="12">
        <f ca="1">IFERROR(__xludf.DUMMYFUNCTION("""COMPUTED_VALUE"""),11560)</f>
        <v>11560</v>
      </c>
      <c r="I48" s="12">
        <f ca="1">IFERROR(__xludf.DUMMYFUNCTION("""COMPUTED_VALUE"""),17955)</f>
        <v>17955</v>
      </c>
      <c r="J48" s="12">
        <f ca="1">IFERROR(__xludf.DUMMYFUNCTION("""COMPUTED_VALUE"""),10223)</f>
        <v>10223</v>
      </c>
      <c r="K48" s="12">
        <f ca="1">IFERROR(__xludf.DUMMYFUNCTION("""COMPUTED_VALUE"""),5424)</f>
        <v>5424</v>
      </c>
      <c r="L48" s="12">
        <f ca="1">IFERROR(__xludf.DUMMYFUNCTION("""COMPUTED_VALUE"""),6797)</f>
        <v>6797</v>
      </c>
      <c r="M48" s="12">
        <f ca="1">IFERROR(__xludf.DUMMYFUNCTION("""COMPUTED_VALUE"""),7274)</f>
        <v>7274</v>
      </c>
      <c r="N48" s="12">
        <f ca="1">IFERROR(__xludf.DUMMYFUNCTION("""COMPUTED_VALUE"""),8276)</f>
        <v>8276</v>
      </c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1:38" ht="13.2" x14ac:dyDescent="0.25">
      <c r="A49" s="11" t="str">
        <f ca="1">IFERROR(__xludf.DUMMYFUNCTION("""COMPUTED_VALUE"""),"                     left Agranular insular area, posterior part")</f>
        <v xml:space="preserve">                     left Agranular insular area, posterior part</v>
      </c>
      <c r="B49" s="12">
        <f ca="1">IFERROR(__xludf.DUMMYFUNCTION("""COMPUTED_VALUE"""),11753)</f>
        <v>11753</v>
      </c>
      <c r="C49" s="12">
        <f ca="1">IFERROR(__xludf.DUMMYFUNCTION("""COMPUTED_VALUE"""),7207)</f>
        <v>7207</v>
      </c>
      <c r="D49" s="12">
        <f ca="1">IFERROR(__xludf.DUMMYFUNCTION("""COMPUTED_VALUE"""),5788)</f>
        <v>5788</v>
      </c>
      <c r="E49" s="12">
        <f ca="1">IFERROR(__xludf.DUMMYFUNCTION("""COMPUTED_VALUE"""),4253)</f>
        <v>4253</v>
      </c>
      <c r="F49" s="12">
        <f ca="1">IFERROR(__xludf.DUMMYFUNCTION("""COMPUTED_VALUE"""),1890)</f>
        <v>1890</v>
      </c>
      <c r="G49" s="12">
        <f ca="1">IFERROR(__xludf.DUMMYFUNCTION("""COMPUTED_VALUE"""),1979)</f>
        <v>1979</v>
      </c>
      <c r="H49" s="12">
        <f ca="1">IFERROR(__xludf.DUMMYFUNCTION("""COMPUTED_VALUE"""),6716)</f>
        <v>6716</v>
      </c>
      <c r="I49" s="12">
        <f ca="1">IFERROR(__xludf.DUMMYFUNCTION("""COMPUTED_VALUE"""),8213)</f>
        <v>8213</v>
      </c>
      <c r="J49" s="12">
        <f ca="1">IFERROR(__xludf.DUMMYFUNCTION("""COMPUTED_VALUE"""),7290)</f>
        <v>7290</v>
      </c>
      <c r="K49" s="12">
        <f ca="1">IFERROR(__xludf.DUMMYFUNCTION("""COMPUTED_VALUE"""),2686)</f>
        <v>2686</v>
      </c>
      <c r="L49" s="12">
        <f ca="1">IFERROR(__xludf.DUMMYFUNCTION("""COMPUTED_VALUE"""),5035)</f>
        <v>5035</v>
      </c>
      <c r="M49" s="12">
        <f ca="1">IFERROR(__xludf.DUMMYFUNCTION("""COMPUTED_VALUE"""),9542)</f>
        <v>9542</v>
      </c>
      <c r="N49" s="12">
        <f ca="1">IFERROR(__xludf.DUMMYFUNCTION("""COMPUTED_VALUE"""),5894)</f>
        <v>5894</v>
      </c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1:38" ht="13.2" x14ac:dyDescent="0.25">
      <c r="A50" s="11" t="str">
        <f ca="1">IFERROR(__xludf.DUMMYFUNCTION("""COMPUTED_VALUE"""),"                     left Agranular insular area, ventral part")</f>
        <v xml:space="preserve">                     left Agranular insular area, ventral part</v>
      </c>
      <c r="B50" s="12">
        <f ca="1">IFERROR(__xludf.DUMMYFUNCTION("""COMPUTED_VALUE"""),13913)</f>
        <v>13913</v>
      </c>
      <c r="C50" s="12">
        <f ca="1">IFERROR(__xludf.DUMMYFUNCTION("""COMPUTED_VALUE"""),12042)</f>
        <v>12042</v>
      </c>
      <c r="D50" s="12">
        <f ca="1">IFERROR(__xludf.DUMMYFUNCTION("""COMPUTED_VALUE"""),8309)</f>
        <v>8309</v>
      </c>
      <c r="E50" s="12">
        <f ca="1">IFERROR(__xludf.DUMMYFUNCTION("""COMPUTED_VALUE"""),6843)</f>
        <v>6843</v>
      </c>
      <c r="F50" s="12">
        <f ca="1">IFERROR(__xludf.DUMMYFUNCTION("""COMPUTED_VALUE"""),4079)</f>
        <v>4079</v>
      </c>
      <c r="G50" s="12">
        <f ca="1">IFERROR(__xludf.DUMMYFUNCTION("""COMPUTED_VALUE"""),4150)</f>
        <v>4150</v>
      </c>
      <c r="H50" s="12">
        <f ca="1">IFERROR(__xludf.DUMMYFUNCTION("""COMPUTED_VALUE"""),11724)</f>
        <v>11724</v>
      </c>
      <c r="I50" s="12">
        <f ca="1">IFERROR(__xludf.DUMMYFUNCTION("""COMPUTED_VALUE"""),16921)</f>
        <v>16921</v>
      </c>
      <c r="J50" s="12">
        <f ca="1">IFERROR(__xludf.DUMMYFUNCTION("""COMPUTED_VALUE"""),9841)</f>
        <v>9841</v>
      </c>
      <c r="K50" s="12">
        <f ca="1">IFERROR(__xludf.DUMMYFUNCTION("""COMPUTED_VALUE"""),5588)</f>
        <v>5588</v>
      </c>
      <c r="L50" s="12">
        <f ca="1">IFERROR(__xludf.DUMMYFUNCTION("""COMPUTED_VALUE"""),7986)</f>
        <v>7986</v>
      </c>
      <c r="M50" s="12">
        <f ca="1">IFERROR(__xludf.DUMMYFUNCTION("""COMPUTED_VALUE"""),10831)</f>
        <v>10831</v>
      </c>
      <c r="N50" s="12">
        <f ca="1">IFERROR(__xludf.DUMMYFUNCTION("""COMPUTED_VALUE"""),9464)</f>
        <v>9464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1:38" ht="13.2" x14ac:dyDescent="0.25">
      <c r="A51" s="11" t="str">
        <f ca="1">IFERROR(__xludf.DUMMYFUNCTION("""COMPUTED_VALUE"""),"                  left Retrosplenial area")</f>
        <v xml:space="preserve">                  left Retrosplenial area</v>
      </c>
      <c r="B51" s="12">
        <f ca="1">IFERROR(__xludf.DUMMYFUNCTION("""COMPUTED_VALUE"""),11014)</f>
        <v>11014</v>
      </c>
      <c r="C51" s="12">
        <f ca="1">IFERROR(__xludf.DUMMYFUNCTION("""COMPUTED_VALUE"""),5654)</f>
        <v>5654</v>
      </c>
      <c r="D51" s="12">
        <f ca="1">IFERROR(__xludf.DUMMYFUNCTION("""COMPUTED_VALUE"""),5273)</f>
        <v>5273</v>
      </c>
      <c r="E51" s="12">
        <f ca="1">IFERROR(__xludf.DUMMYFUNCTION("""COMPUTED_VALUE"""),8373)</f>
        <v>8373</v>
      </c>
      <c r="F51" s="12">
        <f ca="1">IFERROR(__xludf.DUMMYFUNCTION("""COMPUTED_VALUE"""),5350)</f>
        <v>5350</v>
      </c>
      <c r="G51" s="12">
        <f ca="1">IFERROR(__xludf.DUMMYFUNCTION("""COMPUTED_VALUE"""),3922)</f>
        <v>3922</v>
      </c>
      <c r="H51" s="12">
        <f ca="1">IFERROR(__xludf.DUMMYFUNCTION("""COMPUTED_VALUE"""),3853)</f>
        <v>3853</v>
      </c>
      <c r="I51" s="12">
        <f ca="1">IFERROR(__xludf.DUMMYFUNCTION("""COMPUTED_VALUE"""),5164)</f>
        <v>5164</v>
      </c>
      <c r="J51" s="12">
        <f ca="1">IFERROR(__xludf.DUMMYFUNCTION("""COMPUTED_VALUE"""),4440)</f>
        <v>4440</v>
      </c>
      <c r="K51" s="12">
        <f ca="1">IFERROR(__xludf.DUMMYFUNCTION("""COMPUTED_VALUE"""),5936)</f>
        <v>5936</v>
      </c>
      <c r="L51" s="12">
        <f ca="1">IFERROR(__xludf.DUMMYFUNCTION("""COMPUTED_VALUE"""),6803)</f>
        <v>6803</v>
      </c>
      <c r="M51" s="12">
        <f ca="1">IFERROR(__xludf.DUMMYFUNCTION("""COMPUTED_VALUE"""),15099)</f>
        <v>15099</v>
      </c>
      <c r="N51" s="12">
        <f ca="1">IFERROR(__xludf.DUMMYFUNCTION("""COMPUTED_VALUE"""),6340)</f>
        <v>6340</v>
      </c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1:38" ht="13.2" x14ac:dyDescent="0.25">
      <c r="A52" s="11" t="str">
        <f ca="1">IFERROR(__xludf.DUMMYFUNCTION("""COMPUTED_VALUE"""),"                     left Retrosplenial area, lateral agranular part")</f>
        <v xml:space="preserve">                     left Retrosplenial area, lateral agranular part</v>
      </c>
      <c r="B52" s="12">
        <f ca="1">IFERROR(__xludf.DUMMYFUNCTION("""COMPUTED_VALUE"""),11793)</f>
        <v>11793</v>
      </c>
      <c r="C52" s="12">
        <f ca="1">IFERROR(__xludf.DUMMYFUNCTION("""COMPUTED_VALUE"""),6347)</f>
        <v>6347</v>
      </c>
      <c r="D52" s="12">
        <f ca="1">IFERROR(__xludf.DUMMYFUNCTION("""COMPUTED_VALUE"""),5308)</f>
        <v>5308</v>
      </c>
      <c r="E52" s="12">
        <f ca="1">IFERROR(__xludf.DUMMYFUNCTION("""COMPUTED_VALUE"""),10598)</f>
        <v>10598</v>
      </c>
      <c r="F52" s="12">
        <f ca="1">IFERROR(__xludf.DUMMYFUNCTION("""COMPUTED_VALUE"""),5327)</f>
        <v>5327</v>
      </c>
      <c r="G52" s="12">
        <f ca="1">IFERROR(__xludf.DUMMYFUNCTION("""COMPUTED_VALUE"""),5015)</f>
        <v>5015</v>
      </c>
      <c r="H52" s="12">
        <f ca="1">IFERROR(__xludf.DUMMYFUNCTION("""COMPUTED_VALUE"""),5763)</f>
        <v>5763</v>
      </c>
      <c r="I52" s="12">
        <f ca="1">IFERROR(__xludf.DUMMYFUNCTION("""COMPUTED_VALUE"""),8594)</f>
        <v>8594</v>
      </c>
      <c r="J52" s="12">
        <f ca="1">IFERROR(__xludf.DUMMYFUNCTION("""COMPUTED_VALUE"""),6762)</f>
        <v>6762</v>
      </c>
      <c r="K52" s="12">
        <f ca="1">IFERROR(__xludf.DUMMYFUNCTION("""COMPUTED_VALUE"""),7360)</f>
        <v>7360</v>
      </c>
      <c r="L52" s="12">
        <f ca="1">IFERROR(__xludf.DUMMYFUNCTION("""COMPUTED_VALUE"""),10286)</f>
        <v>10286</v>
      </c>
      <c r="M52" s="12">
        <f ca="1">IFERROR(__xludf.DUMMYFUNCTION("""COMPUTED_VALUE"""),18176)</f>
        <v>18176</v>
      </c>
      <c r="N52" s="12">
        <f ca="1">IFERROR(__xludf.DUMMYFUNCTION("""COMPUTED_VALUE"""),7868)</f>
        <v>7868</v>
      </c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1:38" ht="13.2" x14ac:dyDescent="0.25">
      <c r="A53" s="11" t="str">
        <f ca="1">IFERROR(__xludf.DUMMYFUNCTION("""COMPUTED_VALUE"""),"                     left Retrosplenial area, dorsal part")</f>
        <v xml:space="preserve">                     left Retrosplenial area, dorsal part</v>
      </c>
      <c r="B53" s="12">
        <f ca="1">IFERROR(__xludf.DUMMYFUNCTION("""COMPUTED_VALUE"""),11313)</f>
        <v>11313</v>
      </c>
      <c r="C53" s="12">
        <f ca="1">IFERROR(__xludf.DUMMYFUNCTION("""COMPUTED_VALUE"""),5803)</f>
        <v>5803</v>
      </c>
      <c r="D53" s="12">
        <f ca="1">IFERROR(__xludf.DUMMYFUNCTION("""COMPUTED_VALUE"""),4530)</f>
        <v>4530</v>
      </c>
      <c r="E53" s="12">
        <f ca="1">IFERROR(__xludf.DUMMYFUNCTION("""COMPUTED_VALUE"""),7770)</f>
        <v>7770</v>
      </c>
      <c r="F53" s="12">
        <f ca="1">IFERROR(__xludf.DUMMYFUNCTION("""COMPUTED_VALUE"""),4064)</f>
        <v>4064</v>
      </c>
      <c r="G53" s="12">
        <f ca="1">IFERROR(__xludf.DUMMYFUNCTION("""COMPUTED_VALUE"""),3458)</f>
        <v>3458</v>
      </c>
      <c r="H53" s="12">
        <f ca="1">IFERROR(__xludf.DUMMYFUNCTION("""COMPUTED_VALUE"""),3998)</f>
        <v>3998</v>
      </c>
      <c r="I53" s="12">
        <f ca="1">IFERROR(__xludf.DUMMYFUNCTION("""COMPUTED_VALUE"""),4831)</f>
        <v>4831</v>
      </c>
      <c r="J53" s="12">
        <f ca="1">IFERROR(__xludf.DUMMYFUNCTION("""COMPUTED_VALUE"""),4196)</f>
        <v>4196</v>
      </c>
      <c r="K53" s="12">
        <f ca="1">IFERROR(__xludf.DUMMYFUNCTION("""COMPUTED_VALUE"""),5237)</f>
        <v>5237</v>
      </c>
      <c r="L53" s="12">
        <f ca="1">IFERROR(__xludf.DUMMYFUNCTION("""COMPUTED_VALUE"""),7368)</f>
        <v>7368</v>
      </c>
      <c r="M53" s="12">
        <f ca="1">IFERROR(__xludf.DUMMYFUNCTION("""COMPUTED_VALUE"""),14165)</f>
        <v>14165</v>
      </c>
      <c r="N53" s="12">
        <f ca="1">IFERROR(__xludf.DUMMYFUNCTION("""COMPUTED_VALUE"""),5987)</f>
        <v>5987</v>
      </c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1:38" ht="13.2" x14ac:dyDescent="0.25">
      <c r="A54" s="11" t="str">
        <f ca="1">IFERROR(__xludf.DUMMYFUNCTION("""COMPUTED_VALUE"""),"                     left Retrosplenial area, ventral part")</f>
        <v xml:space="preserve">                     left Retrosplenial area, ventral part</v>
      </c>
      <c r="B54" s="12">
        <f ca="1">IFERROR(__xludf.DUMMYFUNCTION("""COMPUTED_VALUE"""),10328)</f>
        <v>10328</v>
      </c>
      <c r="C54" s="12">
        <f ca="1">IFERROR(__xludf.DUMMYFUNCTION("""COMPUTED_VALUE"""),5147)</f>
        <v>5147</v>
      </c>
      <c r="D54" s="12">
        <f ca="1">IFERROR(__xludf.DUMMYFUNCTION("""COMPUTED_VALUE"""),5905)</f>
        <v>5905</v>
      </c>
      <c r="E54" s="12">
        <f ca="1">IFERROR(__xludf.DUMMYFUNCTION("""COMPUTED_VALUE"""),7691)</f>
        <v>7691</v>
      </c>
      <c r="F54" s="12">
        <f ca="1">IFERROR(__xludf.DUMMYFUNCTION("""COMPUTED_VALUE"""),6491)</f>
        <v>6491</v>
      </c>
      <c r="G54" s="12">
        <f ca="1">IFERROR(__xludf.DUMMYFUNCTION("""COMPUTED_VALUE"""),3734)</f>
        <v>3734</v>
      </c>
      <c r="H54" s="12">
        <f ca="1">IFERROR(__xludf.DUMMYFUNCTION("""COMPUTED_VALUE"""),2686)</f>
        <v>2686</v>
      </c>
      <c r="I54" s="12">
        <f ca="1">IFERROR(__xludf.DUMMYFUNCTION("""COMPUTED_VALUE"""),3591)</f>
        <v>3591</v>
      </c>
      <c r="J54" s="12">
        <f ca="1">IFERROR(__xludf.DUMMYFUNCTION("""COMPUTED_VALUE"""),3391)</f>
        <v>3391</v>
      </c>
      <c r="K54" s="12">
        <f ca="1">IFERROR(__xludf.DUMMYFUNCTION("""COMPUTED_VALUE"""),5774)</f>
        <v>5774</v>
      </c>
      <c r="L54" s="12">
        <f ca="1">IFERROR(__xludf.DUMMYFUNCTION("""COMPUTED_VALUE"""),4413)</f>
        <v>4413</v>
      </c>
      <c r="M54" s="12">
        <f ca="1">IFERROR(__xludf.DUMMYFUNCTION("""COMPUTED_VALUE"""),14243)</f>
        <v>14243</v>
      </c>
      <c r="N54" s="12">
        <f ca="1">IFERROR(__xludf.DUMMYFUNCTION("""COMPUTED_VALUE"""),5819)</f>
        <v>5819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1:38" ht="13.2" x14ac:dyDescent="0.25">
      <c r="A55" s="11" t="str">
        <f ca="1">IFERROR(__xludf.DUMMYFUNCTION("""COMPUTED_VALUE"""),"                  left Posterior parietal association areas")</f>
        <v xml:space="preserve">                  left Posterior parietal association areas</v>
      </c>
      <c r="B55" s="12">
        <f ca="1">IFERROR(__xludf.DUMMYFUNCTION("""COMPUTED_VALUE"""),15122)</f>
        <v>15122</v>
      </c>
      <c r="C55" s="12">
        <f ca="1">IFERROR(__xludf.DUMMYFUNCTION("""COMPUTED_VALUE"""),6494)</f>
        <v>6494</v>
      </c>
      <c r="D55" s="12">
        <f ca="1">IFERROR(__xludf.DUMMYFUNCTION("""COMPUTED_VALUE"""),5961)</f>
        <v>5961</v>
      </c>
      <c r="E55" s="12">
        <f ca="1">IFERROR(__xludf.DUMMYFUNCTION("""COMPUTED_VALUE"""),9970)</f>
        <v>9970</v>
      </c>
      <c r="F55" s="12">
        <f ca="1">IFERROR(__xludf.DUMMYFUNCTION("""COMPUTED_VALUE"""),6883)</f>
        <v>6883</v>
      </c>
      <c r="G55" s="12">
        <f ca="1">IFERROR(__xludf.DUMMYFUNCTION("""COMPUTED_VALUE"""),5890)</f>
        <v>5890</v>
      </c>
      <c r="H55" s="12">
        <f ca="1">IFERROR(__xludf.DUMMYFUNCTION("""COMPUTED_VALUE"""),10027)</f>
        <v>10027</v>
      </c>
      <c r="I55" s="12">
        <f ca="1">IFERROR(__xludf.DUMMYFUNCTION("""COMPUTED_VALUE"""),16690)</f>
        <v>16690</v>
      </c>
      <c r="J55" s="12">
        <f ca="1">IFERROR(__xludf.DUMMYFUNCTION("""COMPUTED_VALUE"""),10650)</f>
        <v>10650</v>
      </c>
      <c r="K55" s="12">
        <f ca="1">IFERROR(__xludf.DUMMYFUNCTION("""COMPUTED_VALUE"""),10665)</f>
        <v>10665</v>
      </c>
      <c r="L55" s="12">
        <f ca="1">IFERROR(__xludf.DUMMYFUNCTION("""COMPUTED_VALUE"""),6454)</f>
        <v>6454</v>
      </c>
      <c r="M55" s="12">
        <f ca="1">IFERROR(__xludf.DUMMYFUNCTION("""COMPUTED_VALUE"""),19057)</f>
        <v>19057</v>
      </c>
      <c r="N55" s="12">
        <f ca="1">IFERROR(__xludf.DUMMYFUNCTION("""COMPUTED_VALUE"""),9829)</f>
        <v>9829</v>
      </c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1:38" ht="13.2" x14ac:dyDescent="0.25">
      <c r="A56" s="11" t="str">
        <f ca="1">IFERROR(__xludf.DUMMYFUNCTION("""COMPUTED_VALUE"""),"                     left Anterior area")</f>
        <v xml:space="preserve">                     left Anterior area</v>
      </c>
      <c r="B56" s="12">
        <f ca="1">IFERROR(__xludf.DUMMYFUNCTION("""COMPUTED_VALUE"""),9321)</f>
        <v>9321</v>
      </c>
      <c r="C56" s="12">
        <f ca="1">IFERROR(__xludf.DUMMYFUNCTION("""COMPUTED_VALUE"""),5182)</f>
        <v>5182</v>
      </c>
      <c r="D56" s="12">
        <f ca="1">IFERROR(__xludf.DUMMYFUNCTION("""COMPUTED_VALUE"""),5189)</f>
        <v>5189</v>
      </c>
      <c r="E56" s="12">
        <f ca="1">IFERROR(__xludf.DUMMYFUNCTION("""COMPUTED_VALUE"""),9437)</f>
        <v>9437</v>
      </c>
      <c r="F56" s="12">
        <f ca="1">IFERROR(__xludf.DUMMYFUNCTION("""COMPUTED_VALUE"""),5922)</f>
        <v>5922</v>
      </c>
      <c r="G56" s="12">
        <f ca="1">IFERROR(__xludf.DUMMYFUNCTION("""COMPUTED_VALUE"""),5133)</f>
        <v>5133</v>
      </c>
      <c r="H56" s="12">
        <f ca="1">IFERROR(__xludf.DUMMYFUNCTION("""COMPUTED_VALUE"""),8045)</f>
        <v>8045</v>
      </c>
      <c r="I56" s="12">
        <f ca="1">IFERROR(__xludf.DUMMYFUNCTION("""COMPUTED_VALUE"""),11253)</f>
        <v>11253</v>
      </c>
      <c r="J56" s="12">
        <f ca="1">IFERROR(__xludf.DUMMYFUNCTION("""COMPUTED_VALUE"""),7217)</f>
        <v>7217</v>
      </c>
      <c r="K56" s="12">
        <f ca="1">IFERROR(__xludf.DUMMYFUNCTION("""COMPUTED_VALUE"""),6719)</f>
        <v>6719</v>
      </c>
      <c r="L56" s="12">
        <f ca="1">IFERROR(__xludf.DUMMYFUNCTION("""COMPUTED_VALUE"""),6744)</f>
        <v>6744</v>
      </c>
      <c r="M56" s="12">
        <f ca="1">IFERROR(__xludf.DUMMYFUNCTION("""COMPUTED_VALUE"""),15827)</f>
        <v>15827</v>
      </c>
      <c r="N56" s="12">
        <f ca="1">IFERROR(__xludf.DUMMYFUNCTION("""COMPUTED_VALUE"""),7670)</f>
        <v>7670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1:38" ht="13.2" x14ac:dyDescent="0.25">
      <c r="A57" s="11" t="str">
        <f ca="1">IFERROR(__xludf.DUMMYFUNCTION("""COMPUTED_VALUE"""),"                     left Rostrolateral visual area")</f>
        <v xml:space="preserve">                     left Rostrolateral visual area</v>
      </c>
      <c r="B57" s="12">
        <f ca="1">IFERROR(__xludf.DUMMYFUNCTION("""COMPUTED_VALUE"""),23332)</f>
        <v>23332</v>
      </c>
      <c r="C57" s="12">
        <f ca="1">IFERROR(__xludf.DUMMYFUNCTION("""COMPUTED_VALUE"""),8351)</f>
        <v>8351</v>
      </c>
      <c r="D57" s="12">
        <f ca="1">IFERROR(__xludf.DUMMYFUNCTION("""COMPUTED_VALUE"""),7054)</f>
        <v>7054</v>
      </c>
      <c r="E57" s="12">
        <f ca="1">IFERROR(__xludf.DUMMYFUNCTION("""COMPUTED_VALUE"""),10726)</f>
        <v>10726</v>
      </c>
      <c r="F57" s="12">
        <f ca="1">IFERROR(__xludf.DUMMYFUNCTION("""COMPUTED_VALUE"""),8243)</f>
        <v>8243</v>
      </c>
      <c r="G57" s="12">
        <f ca="1">IFERROR(__xludf.DUMMYFUNCTION("""COMPUTED_VALUE"""),6961)</f>
        <v>6961</v>
      </c>
      <c r="H57" s="12">
        <f ca="1">IFERROR(__xludf.DUMMYFUNCTION("""COMPUTED_VALUE"""),12833)</f>
        <v>12833</v>
      </c>
      <c r="I57" s="12">
        <f ca="1">IFERROR(__xludf.DUMMYFUNCTION("""COMPUTED_VALUE"""),24384)</f>
        <v>24384</v>
      </c>
      <c r="J57" s="12">
        <f ca="1">IFERROR(__xludf.DUMMYFUNCTION("""COMPUTED_VALUE"""),15508)</f>
        <v>15508</v>
      </c>
      <c r="K57" s="12">
        <f ca="1">IFERROR(__xludf.DUMMYFUNCTION("""COMPUTED_VALUE"""),16249)</f>
        <v>16249</v>
      </c>
      <c r="L57" s="12">
        <f ca="1">IFERROR(__xludf.DUMMYFUNCTION("""COMPUTED_VALUE"""),6043)</f>
        <v>6043</v>
      </c>
      <c r="M57" s="12">
        <f ca="1">IFERROR(__xludf.DUMMYFUNCTION("""COMPUTED_VALUE"""),23628)</f>
        <v>23628</v>
      </c>
      <c r="N57" s="12">
        <f ca="1">IFERROR(__xludf.DUMMYFUNCTION("""COMPUTED_VALUE"""),12885)</f>
        <v>12885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1:38" ht="13.2" x14ac:dyDescent="0.25">
      <c r="A58" s="11" t="str">
        <f ca="1">IFERROR(__xludf.DUMMYFUNCTION("""COMPUTED_VALUE"""),"                  left Temporal association areas")</f>
        <v xml:space="preserve">                  left Temporal association areas</v>
      </c>
      <c r="B58" s="12">
        <f ca="1">IFERROR(__xludf.DUMMYFUNCTION("""COMPUTED_VALUE"""),33418)</f>
        <v>33418</v>
      </c>
      <c r="C58" s="12">
        <f ca="1">IFERROR(__xludf.DUMMYFUNCTION("""COMPUTED_VALUE"""),16107)</f>
        <v>16107</v>
      </c>
      <c r="D58" s="12">
        <f ca="1">IFERROR(__xludf.DUMMYFUNCTION("""COMPUTED_VALUE"""),13535)</f>
        <v>13535</v>
      </c>
      <c r="E58" s="12">
        <f ca="1">IFERROR(__xludf.DUMMYFUNCTION("""COMPUTED_VALUE"""),14074)</f>
        <v>14074</v>
      </c>
      <c r="F58" s="12">
        <f ca="1">IFERROR(__xludf.DUMMYFUNCTION("""COMPUTED_VALUE"""),7139)</f>
        <v>7139</v>
      </c>
      <c r="G58" s="12">
        <f ca="1">IFERROR(__xludf.DUMMYFUNCTION("""COMPUTED_VALUE"""),7394)</f>
        <v>7394</v>
      </c>
      <c r="H58" s="12">
        <f ca="1">IFERROR(__xludf.DUMMYFUNCTION("""COMPUTED_VALUE"""),25958)</f>
        <v>25958</v>
      </c>
      <c r="I58" s="12">
        <f ca="1">IFERROR(__xludf.DUMMYFUNCTION("""COMPUTED_VALUE"""),24506)</f>
        <v>24506</v>
      </c>
      <c r="J58" s="12">
        <f ca="1">IFERROR(__xludf.DUMMYFUNCTION("""COMPUTED_VALUE"""),17266)</f>
        <v>17266</v>
      </c>
      <c r="K58" s="12">
        <f ca="1">IFERROR(__xludf.DUMMYFUNCTION("""COMPUTED_VALUE"""),10084)</f>
        <v>10084</v>
      </c>
      <c r="L58" s="12">
        <f ca="1">IFERROR(__xludf.DUMMYFUNCTION("""COMPUTED_VALUE"""),8482)</f>
        <v>8482</v>
      </c>
      <c r="M58" s="12">
        <f ca="1">IFERROR(__xludf.DUMMYFUNCTION("""COMPUTED_VALUE"""),26307)</f>
        <v>26307</v>
      </c>
      <c r="N58" s="12">
        <f ca="1">IFERROR(__xludf.DUMMYFUNCTION("""COMPUTED_VALUE"""),16887)</f>
        <v>16887</v>
      </c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1:38" ht="13.2" x14ac:dyDescent="0.25">
      <c r="A59" s="11" t="str">
        <f ca="1">IFERROR(__xludf.DUMMYFUNCTION("""COMPUTED_VALUE"""),"                  left Perirhinal area")</f>
        <v xml:space="preserve">                  left Perirhinal area</v>
      </c>
      <c r="B59" s="12">
        <f ca="1">IFERROR(__xludf.DUMMYFUNCTION("""COMPUTED_VALUE"""),21293)</f>
        <v>21293</v>
      </c>
      <c r="C59" s="12">
        <f ca="1">IFERROR(__xludf.DUMMYFUNCTION("""COMPUTED_VALUE"""),11283)</f>
        <v>11283</v>
      </c>
      <c r="D59" s="12">
        <f ca="1">IFERROR(__xludf.DUMMYFUNCTION("""COMPUTED_VALUE"""),5499)</f>
        <v>5499</v>
      </c>
      <c r="E59" s="12">
        <f ca="1">IFERROR(__xludf.DUMMYFUNCTION("""COMPUTED_VALUE"""),4354)</f>
        <v>4354</v>
      </c>
      <c r="F59" s="12">
        <f ca="1">IFERROR(__xludf.DUMMYFUNCTION("""COMPUTED_VALUE"""),2842)</f>
        <v>2842</v>
      </c>
      <c r="G59" s="12">
        <f ca="1">IFERROR(__xludf.DUMMYFUNCTION("""COMPUTED_VALUE"""),2023)</f>
        <v>2023</v>
      </c>
      <c r="H59" s="12">
        <f ca="1">IFERROR(__xludf.DUMMYFUNCTION("""COMPUTED_VALUE"""),16942)</f>
        <v>16942</v>
      </c>
      <c r="I59" s="12">
        <f ca="1">IFERROR(__xludf.DUMMYFUNCTION("""COMPUTED_VALUE"""),12265)</f>
        <v>12265</v>
      </c>
      <c r="J59" s="12">
        <f ca="1">IFERROR(__xludf.DUMMYFUNCTION("""COMPUTED_VALUE"""),9143)</f>
        <v>9143</v>
      </c>
      <c r="K59" s="12">
        <f ca="1">IFERROR(__xludf.DUMMYFUNCTION("""COMPUTED_VALUE"""),4995)</f>
        <v>4995</v>
      </c>
      <c r="L59" s="12">
        <f ca="1">IFERROR(__xludf.DUMMYFUNCTION("""COMPUTED_VALUE"""),8057)</f>
        <v>8057</v>
      </c>
      <c r="M59" s="12">
        <f ca="1">IFERROR(__xludf.DUMMYFUNCTION("""COMPUTED_VALUE"""),18822)</f>
        <v>18822</v>
      </c>
      <c r="N59" s="12">
        <f ca="1">IFERROR(__xludf.DUMMYFUNCTION("""COMPUTED_VALUE"""),9451)</f>
        <v>9451</v>
      </c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1:38" ht="13.2" x14ac:dyDescent="0.25">
      <c r="A60" s="11" t="str">
        <f ca="1">IFERROR(__xludf.DUMMYFUNCTION("""COMPUTED_VALUE"""),"                  left Ectorhinal area")</f>
        <v xml:space="preserve">                  left Ectorhinal area</v>
      </c>
      <c r="B60" s="12">
        <f ca="1">IFERROR(__xludf.DUMMYFUNCTION("""COMPUTED_VALUE"""),28835)</f>
        <v>28835</v>
      </c>
      <c r="C60" s="12">
        <f ca="1">IFERROR(__xludf.DUMMYFUNCTION("""COMPUTED_VALUE"""),12975)</f>
        <v>12975</v>
      </c>
      <c r="D60" s="12">
        <f ca="1">IFERROR(__xludf.DUMMYFUNCTION("""COMPUTED_VALUE"""),9409)</f>
        <v>9409</v>
      </c>
      <c r="E60" s="12">
        <f ca="1">IFERROR(__xludf.DUMMYFUNCTION("""COMPUTED_VALUE"""),8534)</f>
        <v>8534</v>
      </c>
      <c r="F60" s="12">
        <f ca="1">IFERROR(__xludf.DUMMYFUNCTION("""COMPUTED_VALUE"""),5147)</f>
        <v>5147</v>
      </c>
      <c r="G60" s="12">
        <f ca="1">IFERROR(__xludf.DUMMYFUNCTION("""COMPUTED_VALUE"""),3205)</f>
        <v>3205</v>
      </c>
      <c r="H60" s="12">
        <f ca="1">IFERROR(__xludf.DUMMYFUNCTION("""COMPUTED_VALUE"""),20882)</f>
        <v>20882</v>
      </c>
      <c r="I60" s="12">
        <f ca="1">IFERROR(__xludf.DUMMYFUNCTION("""COMPUTED_VALUE"""),21526)</f>
        <v>21526</v>
      </c>
      <c r="J60" s="12">
        <f ca="1">IFERROR(__xludf.DUMMYFUNCTION("""COMPUTED_VALUE"""),14771)</f>
        <v>14771</v>
      </c>
      <c r="K60" s="12">
        <f ca="1">IFERROR(__xludf.DUMMYFUNCTION("""COMPUTED_VALUE"""),10044)</f>
        <v>10044</v>
      </c>
      <c r="L60" s="12">
        <f ca="1">IFERROR(__xludf.DUMMYFUNCTION("""COMPUTED_VALUE"""),9496)</f>
        <v>9496</v>
      </c>
      <c r="M60" s="12">
        <f ca="1">IFERROR(__xludf.DUMMYFUNCTION("""COMPUTED_VALUE"""),25629)</f>
        <v>25629</v>
      </c>
      <c r="N60" s="12">
        <f ca="1">IFERROR(__xludf.DUMMYFUNCTION("""COMPUTED_VALUE"""),13652)</f>
        <v>13652</v>
      </c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1:38" ht="13.2" x14ac:dyDescent="0.25">
      <c r="A61" s="11" t="str">
        <f ca="1">IFERROR(__xludf.DUMMYFUNCTION("""COMPUTED_VALUE"""),"               left Olfactory areas")</f>
        <v xml:space="preserve">               left Olfactory areas</v>
      </c>
      <c r="B61" s="12">
        <f ca="1">IFERROR(__xludf.DUMMYFUNCTION("""COMPUTED_VALUE"""),8427)</f>
        <v>8427</v>
      </c>
      <c r="C61" s="12">
        <f ca="1">IFERROR(__xludf.DUMMYFUNCTION("""COMPUTED_VALUE"""),7864)</f>
        <v>7864</v>
      </c>
      <c r="D61" s="12">
        <f ca="1">IFERROR(__xludf.DUMMYFUNCTION("""COMPUTED_VALUE"""),7931)</f>
        <v>7931</v>
      </c>
      <c r="E61" s="12">
        <f ca="1">IFERROR(__xludf.DUMMYFUNCTION("""COMPUTED_VALUE"""),6638)</f>
        <v>6638</v>
      </c>
      <c r="F61" s="12">
        <f ca="1">IFERROR(__xludf.DUMMYFUNCTION("""COMPUTED_VALUE"""),3125)</f>
        <v>3125</v>
      </c>
      <c r="G61" s="12">
        <f ca="1">IFERROR(__xludf.DUMMYFUNCTION("""COMPUTED_VALUE"""),4370)</f>
        <v>4370</v>
      </c>
      <c r="H61" s="12">
        <f ca="1">IFERROR(__xludf.DUMMYFUNCTION("""COMPUTED_VALUE"""),8549)</f>
        <v>8549</v>
      </c>
      <c r="I61" s="12">
        <f ca="1">IFERROR(__xludf.DUMMYFUNCTION("""COMPUTED_VALUE"""),9317)</f>
        <v>9317</v>
      </c>
      <c r="J61" s="12">
        <f ca="1">IFERROR(__xludf.DUMMYFUNCTION("""COMPUTED_VALUE"""),7023)</f>
        <v>7023</v>
      </c>
      <c r="K61" s="12">
        <f ca="1">IFERROR(__xludf.DUMMYFUNCTION("""COMPUTED_VALUE"""),4100)</f>
        <v>4100</v>
      </c>
      <c r="L61" s="12">
        <f ca="1">IFERROR(__xludf.DUMMYFUNCTION("""COMPUTED_VALUE"""),4959)</f>
        <v>4959</v>
      </c>
      <c r="M61" s="12">
        <f ca="1">IFERROR(__xludf.DUMMYFUNCTION("""COMPUTED_VALUE"""),7517)</f>
        <v>7517</v>
      </c>
      <c r="N61" s="12">
        <f ca="1">IFERROR(__xludf.DUMMYFUNCTION("""COMPUTED_VALUE"""),6788)</f>
        <v>6788</v>
      </c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1:38" ht="13.2" x14ac:dyDescent="0.25">
      <c r="A62" s="11" t="str">
        <f ca="1">IFERROR(__xludf.DUMMYFUNCTION("""COMPUTED_VALUE"""),"                  left Main olfactory bulb")</f>
        <v xml:space="preserve">                  left Main olfactory bulb</v>
      </c>
      <c r="B62" s="12">
        <f ca="1">IFERROR(__xludf.DUMMYFUNCTION("""COMPUTED_VALUE"""),7209)</f>
        <v>7209</v>
      </c>
      <c r="C62" s="12">
        <f ca="1">IFERROR(__xludf.DUMMYFUNCTION("""COMPUTED_VALUE"""),7258)</f>
        <v>7258</v>
      </c>
      <c r="D62" s="12">
        <f ca="1">IFERROR(__xludf.DUMMYFUNCTION("""COMPUTED_VALUE"""),8471)</f>
        <v>8471</v>
      </c>
      <c r="E62" s="12">
        <f ca="1">IFERROR(__xludf.DUMMYFUNCTION("""COMPUTED_VALUE"""),6247)</f>
        <v>6247</v>
      </c>
      <c r="F62" s="12">
        <f ca="1">IFERROR(__xludf.DUMMYFUNCTION("""COMPUTED_VALUE"""),3273)</f>
        <v>3273</v>
      </c>
      <c r="G62" s="12">
        <f ca="1">IFERROR(__xludf.DUMMYFUNCTION("""COMPUTED_VALUE"""),5586)</f>
        <v>5586</v>
      </c>
      <c r="H62" s="12">
        <f ca="1">IFERROR(__xludf.DUMMYFUNCTION("""COMPUTED_VALUE"""),8060)</f>
        <v>8060</v>
      </c>
      <c r="I62" s="12">
        <f ca="1">IFERROR(__xludf.DUMMYFUNCTION("""COMPUTED_VALUE"""),9306)</f>
        <v>9306</v>
      </c>
      <c r="J62" s="12">
        <f ca="1">IFERROR(__xludf.DUMMYFUNCTION("""COMPUTED_VALUE"""),6308)</f>
        <v>6308</v>
      </c>
      <c r="K62" s="12">
        <f ca="1">IFERROR(__xludf.DUMMYFUNCTION("""COMPUTED_VALUE"""),4166)</f>
        <v>4166</v>
      </c>
      <c r="L62" s="12">
        <f ca="1">IFERROR(__xludf.DUMMYFUNCTION("""COMPUTED_VALUE"""),3766)</f>
        <v>3766</v>
      </c>
      <c r="M62" s="12">
        <f ca="1">IFERROR(__xludf.DUMMYFUNCTION("""COMPUTED_VALUE"""),5651)</f>
        <v>5651</v>
      </c>
      <c r="N62" s="12">
        <f ca="1">IFERROR(__xludf.DUMMYFUNCTION("""COMPUTED_VALUE"""),6537)</f>
        <v>6537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1:38" ht="13.2" x14ac:dyDescent="0.25">
      <c r="A63" s="11" t="str">
        <f ca="1">IFERROR(__xludf.DUMMYFUNCTION("""COMPUTED_VALUE"""),"                  left Accessory olfactory bulb")</f>
        <v xml:space="preserve">                  left Accessory olfactory bulb</v>
      </c>
      <c r="B63" s="12">
        <f ca="1">IFERROR(__xludf.DUMMYFUNCTION("""COMPUTED_VALUE"""),7046)</f>
        <v>7046</v>
      </c>
      <c r="C63" s="12">
        <f ca="1">IFERROR(__xludf.DUMMYFUNCTION("""COMPUTED_VALUE"""),14587)</f>
        <v>14587</v>
      </c>
      <c r="D63" s="12">
        <f ca="1">IFERROR(__xludf.DUMMYFUNCTION("""COMPUTED_VALUE"""),12928)</f>
        <v>12928</v>
      </c>
      <c r="E63" s="12">
        <f ca="1">IFERROR(__xludf.DUMMYFUNCTION("""COMPUTED_VALUE"""),11284)</f>
        <v>11284</v>
      </c>
      <c r="F63" s="12">
        <f ca="1">IFERROR(__xludf.DUMMYFUNCTION("""COMPUTED_VALUE"""),3782)</f>
        <v>3782</v>
      </c>
      <c r="G63" s="12">
        <f ca="1">IFERROR(__xludf.DUMMYFUNCTION("""COMPUTED_VALUE"""),5856)</f>
        <v>5856</v>
      </c>
      <c r="H63" s="12">
        <f ca="1">IFERROR(__xludf.DUMMYFUNCTION("""COMPUTED_VALUE"""),15880)</f>
        <v>15880</v>
      </c>
      <c r="I63" s="12">
        <f ca="1">IFERROR(__xludf.DUMMYFUNCTION("""COMPUTED_VALUE"""),8670)</f>
        <v>8670</v>
      </c>
      <c r="J63" s="12">
        <f ca="1">IFERROR(__xludf.DUMMYFUNCTION("""COMPUTED_VALUE"""),10209)</f>
        <v>10209</v>
      </c>
      <c r="K63" s="12">
        <f ca="1">IFERROR(__xludf.DUMMYFUNCTION("""COMPUTED_VALUE"""),4783)</f>
        <v>4783</v>
      </c>
      <c r="L63" s="12">
        <f ca="1">IFERROR(__xludf.DUMMYFUNCTION("""COMPUTED_VALUE"""),7493)</f>
        <v>7493</v>
      </c>
      <c r="M63" s="12">
        <f ca="1">IFERROR(__xludf.DUMMYFUNCTION("""COMPUTED_VALUE"""),18384)</f>
        <v>18384</v>
      </c>
      <c r="N63" s="12">
        <f ca="1">IFERROR(__xludf.DUMMYFUNCTION("""COMPUTED_VALUE"""),10235)</f>
        <v>10235</v>
      </c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1:38" ht="13.2" x14ac:dyDescent="0.25">
      <c r="A64" s="11" t="str">
        <f ca="1">IFERROR(__xludf.DUMMYFUNCTION("""COMPUTED_VALUE"""),"                  left Anterior olfactory nucleus")</f>
        <v xml:space="preserve">                  left Anterior olfactory nucleus</v>
      </c>
      <c r="B64" s="12">
        <f ca="1">IFERROR(__xludf.DUMMYFUNCTION("""COMPUTED_VALUE"""),10343)</f>
        <v>10343</v>
      </c>
      <c r="C64" s="12">
        <f ca="1">IFERROR(__xludf.DUMMYFUNCTION("""COMPUTED_VALUE"""),11979)</f>
        <v>11979</v>
      </c>
      <c r="D64" s="12">
        <f ca="1">IFERROR(__xludf.DUMMYFUNCTION("""COMPUTED_VALUE"""),10569)</f>
        <v>10569</v>
      </c>
      <c r="E64" s="12">
        <f ca="1">IFERROR(__xludf.DUMMYFUNCTION("""COMPUTED_VALUE"""),11700)</f>
        <v>11700</v>
      </c>
      <c r="F64" s="12">
        <f ca="1">IFERROR(__xludf.DUMMYFUNCTION("""COMPUTED_VALUE"""),5260)</f>
        <v>5260</v>
      </c>
      <c r="G64" s="12">
        <f ca="1">IFERROR(__xludf.DUMMYFUNCTION("""COMPUTED_VALUE"""),5666)</f>
        <v>5666</v>
      </c>
      <c r="H64" s="12">
        <f ca="1">IFERROR(__xludf.DUMMYFUNCTION("""COMPUTED_VALUE"""),10481)</f>
        <v>10481</v>
      </c>
      <c r="I64" s="12">
        <f ca="1">IFERROR(__xludf.DUMMYFUNCTION("""COMPUTED_VALUE"""),11261)</f>
        <v>11261</v>
      </c>
      <c r="J64" s="12">
        <f ca="1">IFERROR(__xludf.DUMMYFUNCTION("""COMPUTED_VALUE"""),11024)</f>
        <v>11024</v>
      </c>
      <c r="K64" s="12">
        <f ca="1">IFERROR(__xludf.DUMMYFUNCTION("""COMPUTED_VALUE"""),5754)</f>
        <v>5754</v>
      </c>
      <c r="L64" s="12">
        <f ca="1">IFERROR(__xludf.DUMMYFUNCTION("""COMPUTED_VALUE"""),7047)</f>
        <v>7047</v>
      </c>
      <c r="M64" s="12">
        <f ca="1">IFERROR(__xludf.DUMMYFUNCTION("""COMPUTED_VALUE"""),9400)</f>
        <v>9400</v>
      </c>
      <c r="N64" s="12">
        <f ca="1">IFERROR(__xludf.DUMMYFUNCTION("""COMPUTED_VALUE"""),9428)</f>
        <v>9428</v>
      </c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1:38" ht="13.2" x14ac:dyDescent="0.25">
      <c r="A65" s="11" t="str">
        <f ca="1">IFERROR(__xludf.DUMMYFUNCTION("""COMPUTED_VALUE"""),"                  left Taenia tecta")</f>
        <v xml:space="preserve">                  left Taenia tecta</v>
      </c>
      <c r="B65" s="12">
        <f ca="1">IFERROR(__xludf.DUMMYFUNCTION("""COMPUTED_VALUE"""),4928)</f>
        <v>4928</v>
      </c>
      <c r="C65" s="12">
        <f ca="1">IFERROR(__xludf.DUMMYFUNCTION("""COMPUTED_VALUE"""),5832)</f>
        <v>5832</v>
      </c>
      <c r="D65" s="12">
        <f ca="1">IFERROR(__xludf.DUMMYFUNCTION("""COMPUTED_VALUE"""),6382)</f>
        <v>6382</v>
      </c>
      <c r="E65" s="12">
        <f ca="1">IFERROR(__xludf.DUMMYFUNCTION("""COMPUTED_VALUE"""),5335)</f>
        <v>5335</v>
      </c>
      <c r="F65" s="12">
        <f ca="1">IFERROR(__xludf.DUMMYFUNCTION("""COMPUTED_VALUE"""),3345)</f>
        <v>3345</v>
      </c>
      <c r="G65" s="12">
        <f ca="1">IFERROR(__xludf.DUMMYFUNCTION("""COMPUTED_VALUE"""),3443)</f>
        <v>3443</v>
      </c>
      <c r="H65" s="12">
        <f ca="1">IFERROR(__xludf.DUMMYFUNCTION("""COMPUTED_VALUE"""),6122)</f>
        <v>6122</v>
      </c>
      <c r="I65" s="12">
        <f ca="1">IFERROR(__xludf.DUMMYFUNCTION("""COMPUTED_VALUE"""),7180)</f>
        <v>7180</v>
      </c>
      <c r="J65" s="12">
        <f ca="1">IFERROR(__xludf.DUMMYFUNCTION("""COMPUTED_VALUE"""),4850)</f>
        <v>4850</v>
      </c>
      <c r="K65" s="12">
        <f ca="1">IFERROR(__xludf.DUMMYFUNCTION("""COMPUTED_VALUE"""),2925)</f>
        <v>2925</v>
      </c>
      <c r="L65" s="12">
        <f ca="1">IFERROR(__xludf.DUMMYFUNCTION("""COMPUTED_VALUE"""),4416)</f>
        <v>4416</v>
      </c>
      <c r="M65" s="12">
        <f ca="1">IFERROR(__xludf.DUMMYFUNCTION("""COMPUTED_VALUE"""),2586)</f>
        <v>2586</v>
      </c>
      <c r="N65" s="12">
        <f ca="1">IFERROR(__xludf.DUMMYFUNCTION("""COMPUTED_VALUE"""),5018)</f>
        <v>5018</v>
      </c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1:38" ht="13.2" x14ac:dyDescent="0.25">
      <c r="A66" s="11" t="str">
        <f ca="1">IFERROR(__xludf.DUMMYFUNCTION("""COMPUTED_VALUE"""),"                  left Dorsal peduncular area")</f>
        <v xml:space="preserve">                  left Dorsal peduncular area</v>
      </c>
      <c r="B66" s="12">
        <f ca="1">IFERROR(__xludf.DUMMYFUNCTION("""COMPUTED_VALUE"""),11052)</f>
        <v>11052</v>
      </c>
      <c r="C66" s="12">
        <f ca="1">IFERROR(__xludf.DUMMYFUNCTION("""COMPUTED_VALUE"""),7302)</f>
        <v>7302</v>
      </c>
      <c r="D66" s="12">
        <f ca="1">IFERROR(__xludf.DUMMYFUNCTION("""COMPUTED_VALUE"""),9390)</f>
        <v>9390</v>
      </c>
      <c r="E66" s="12">
        <f ca="1">IFERROR(__xludf.DUMMYFUNCTION("""COMPUTED_VALUE"""),8602)</f>
        <v>8602</v>
      </c>
      <c r="F66" s="12">
        <f ca="1">IFERROR(__xludf.DUMMYFUNCTION("""COMPUTED_VALUE"""),6008)</f>
        <v>6008</v>
      </c>
      <c r="G66" s="12">
        <f ca="1">IFERROR(__xludf.DUMMYFUNCTION("""COMPUTED_VALUE"""),4552)</f>
        <v>4552</v>
      </c>
      <c r="H66" s="12">
        <f ca="1">IFERROR(__xludf.DUMMYFUNCTION("""COMPUTED_VALUE"""),8961)</f>
        <v>8961</v>
      </c>
      <c r="I66" s="12">
        <f ca="1">IFERROR(__xludf.DUMMYFUNCTION("""COMPUTED_VALUE"""),9584)</f>
        <v>9584</v>
      </c>
      <c r="J66" s="12">
        <f ca="1">IFERROR(__xludf.DUMMYFUNCTION("""COMPUTED_VALUE"""),6824)</f>
        <v>6824</v>
      </c>
      <c r="K66" s="12">
        <f ca="1">IFERROR(__xludf.DUMMYFUNCTION("""COMPUTED_VALUE"""),4651)</f>
        <v>4651</v>
      </c>
      <c r="L66" s="12">
        <f ca="1">IFERROR(__xludf.DUMMYFUNCTION("""COMPUTED_VALUE"""),7283)</f>
        <v>7283</v>
      </c>
      <c r="M66" s="12">
        <f ca="1">IFERROR(__xludf.DUMMYFUNCTION("""COMPUTED_VALUE"""),6742)</f>
        <v>6742</v>
      </c>
      <c r="N66" s="12">
        <f ca="1">IFERROR(__xludf.DUMMYFUNCTION("""COMPUTED_VALUE"""),7726)</f>
        <v>7726</v>
      </c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1:38" ht="13.2" x14ac:dyDescent="0.25">
      <c r="A67" s="11" t="str">
        <f ca="1">IFERROR(__xludf.DUMMYFUNCTION("""COMPUTED_VALUE"""),"                  left Piriform area")</f>
        <v xml:space="preserve">                  left Piriform area</v>
      </c>
      <c r="B67" s="12">
        <f ca="1">IFERROR(__xludf.DUMMYFUNCTION("""COMPUTED_VALUE"""),11496)</f>
        <v>11496</v>
      </c>
      <c r="C67" s="12">
        <f ca="1">IFERROR(__xludf.DUMMYFUNCTION("""COMPUTED_VALUE"""),9088)</f>
        <v>9088</v>
      </c>
      <c r="D67" s="12">
        <f ca="1">IFERROR(__xludf.DUMMYFUNCTION("""COMPUTED_VALUE"""),8406)</f>
        <v>8406</v>
      </c>
      <c r="E67" s="12">
        <f ca="1">IFERROR(__xludf.DUMMYFUNCTION("""COMPUTED_VALUE"""),6878)</f>
        <v>6878</v>
      </c>
      <c r="F67" s="12">
        <f ca="1">IFERROR(__xludf.DUMMYFUNCTION("""COMPUTED_VALUE"""),3271)</f>
        <v>3271</v>
      </c>
      <c r="G67" s="12">
        <f ca="1">IFERROR(__xludf.DUMMYFUNCTION("""COMPUTED_VALUE"""),3946)</f>
        <v>3946</v>
      </c>
      <c r="H67" s="12">
        <f ca="1">IFERROR(__xludf.DUMMYFUNCTION("""COMPUTED_VALUE"""),9360)</f>
        <v>9360</v>
      </c>
      <c r="I67" s="12">
        <f ca="1">IFERROR(__xludf.DUMMYFUNCTION("""COMPUTED_VALUE"""),10012)</f>
        <v>10012</v>
      </c>
      <c r="J67" s="12">
        <f ca="1">IFERROR(__xludf.DUMMYFUNCTION("""COMPUTED_VALUE"""),8971)</f>
        <v>8971</v>
      </c>
      <c r="K67" s="12">
        <f ca="1">IFERROR(__xludf.DUMMYFUNCTION("""COMPUTED_VALUE"""),4153)</f>
        <v>4153</v>
      </c>
      <c r="L67" s="12">
        <f ca="1">IFERROR(__xludf.DUMMYFUNCTION("""COMPUTED_VALUE"""),6751)</f>
        <v>6751</v>
      </c>
      <c r="M67" s="12">
        <f ca="1">IFERROR(__xludf.DUMMYFUNCTION("""COMPUTED_VALUE"""),11132)</f>
        <v>11132</v>
      </c>
      <c r="N67" s="12">
        <f ca="1">IFERROR(__xludf.DUMMYFUNCTION("""COMPUTED_VALUE"""),7736)</f>
        <v>7736</v>
      </c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1:38" ht="13.2" x14ac:dyDescent="0.25">
      <c r="A68" s="11" t="str">
        <f ca="1">IFERROR(__xludf.DUMMYFUNCTION("""COMPUTED_VALUE"""),"                  left Nucleus of the lateral olfactory tract")</f>
        <v xml:space="preserve">                  left Nucleus of the lateral olfactory tract</v>
      </c>
      <c r="B68" s="12">
        <f ca="1">IFERROR(__xludf.DUMMYFUNCTION("""COMPUTED_VALUE"""),6223)</f>
        <v>6223</v>
      </c>
      <c r="C68" s="12">
        <f ca="1">IFERROR(__xludf.DUMMYFUNCTION("""COMPUTED_VALUE"""),5486)</f>
        <v>5486</v>
      </c>
      <c r="D68" s="12">
        <f ca="1">IFERROR(__xludf.DUMMYFUNCTION("""COMPUTED_VALUE"""),4451)</f>
        <v>4451</v>
      </c>
      <c r="E68" s="12">
        <f ca="1">IFERROR(__xludf.DUMMYFUNCTION("""COMPUTED_VALUE"""),6437)</f>
        <v>6437</v>
      </c>
      <c r="F68" s="12">
        <f ca="1">IFERROR(__xludf.DUMMYFUNCTION("""COMPUTED_VALUE"""),797)</f>
        <v>797</v>
      </c>
      <c r="G68" s="12">
        <f ca="1">IFERROR(__xludf.DUMMYFUNCTION("""COMPUTED_VALUE"""),2009)</f>
        <v>2009</v>
      </c>
      <c r="H68" s="12">
        <f ca="1">IFERROR(__xludf.DUMMYFUNCTION("""COMPUTED_VALUE"""),5227)</f>
        <v>5227</v>
      </c>
      <c r="I68" s="12">
        <f ca="1">IFERROR(__xludf.DUMMYFUNCTION("""COMPUTED_VALUE"""),4808)</f>
        <v>4808</v>
      </c>
      <c r="J68" s="12">
        <f ca="1">IFERROR(__xludf.DUMMYFUNCTION("""COMPUTED_VALUE"""),3796)</f>
        <v>3796</v>
      </c>
      <c r="K68" s="12">
        <f ca="1">IFERROR(__xludf.DUMMYFUNCTION("""COMPUTED_VALUE"""),1349)</f>
        <v>1349</v>
      </c>
      <c r="L68" s="12">
        <f ca="1">IFERROR(__xludf.DUMMYFUNCTION("""COMPUTED_VALUE"""),4010)</f>
        <v>4010</v>
      </c>
      <c r="M68" s="12">
        <f ca="1">IFERROR(__xludf.DUMMYFUNCTION("""COMPUTED_VALUE"""),6194)</f>
        <v>6194</v>
      </c>
      <c r="N68" s="12">
        <f ca="1">IFERROR(__xludf.DUMMYFUNCTION("""COMPUTED_VALUE"""),4293)</f>
        <v>4293</v>
      </c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1:38" ht="13.2" x14ac:dyDescent="0.25">
      <c r="A69" s="11" t="str">
        <f ca="1">IFERROR(__xludf.DUMMYFUNCTION("""COMPUTED_VALUE"""),"                  left Cortical amygdalar area")</f>
        <v xml:space="preserve">                  left Cortical amygdalar area</v>
      </c>
      <c r="B69" s="12">
        <f ca="1">IFERROR(__xludf.DUMMYFUNCTION("""COMPUTED_VALUE"""),6544)</f>
        <v>6544</v>
      </c>
      <c r="C69" s="12">
        <f ca="1">IFERROR(__xludf.DUMMYFUNCTION("""COMPUTED_VALUE"""),5822)</f>
        <v>5822</v>
      </c>
      <c r="D69" s="12">
        <f ca="1">IFERROR(__xludf.DUMMYFUNCTION("""COMPUTED_VALUE"""),5683)</f>
        <v>5683</v>
      </c>
      <c r="E69" s="12">
        <f ca="1">IFERROR(__xludf.DUMMYFUNCTION("""COMPUTED_VALUE"""),4355)</f>
        <v>4355</v>
      </c>
      <c r="F69" s="12">
        <f ca="1">IFERROR(__xludf.DUMMYFUNCTION("""COMPUTED_VALUE"""),820)</f>
        <v>820</v>
      </c>
      <c r="G69" s="12">
        <f ca="1">IFERROR(__xludf.DUMMYFUNCTION("""COMPUTED_VALUE"""),1767)</f>
        <v>1767</v>
      </c>
      <c r="H69" s="12">
        <f ca="1">IFERROR(__xludf.DUMMYFUNCTION("""COMPUTED_VALUE"""),8064)</f>
        <v>8064</v>
      </c>
      <c r="I69" s="12">
        <f ca="1">IFERROR(__xludf.DUMMYFUNCTION("""COMPUTED_VALUE"""),6527)</f>
        <v>6527</v>
      </c>
      <c r="J69" s="12">
        <f ca="1">IFERROR(__xludf.DUMMYFUNCTION("""COMPUTED_VALUE"""),3564)</f>
        <v>3564</v>
      </c>
      <c r="K69" s="12">
        <f ca="1">IFERROR(__xludf.DUMMYFUNCTION("""COMPUTED_VALUE"""),1923)</f>
        <v>1923</v>
      </c>
      <c r="L69" s="12">
        <f ca="1">IFERROR(__xludf.DUMMYFUNCTION("""COMPUTED_VALUE"""),4566)</f>
        <v>4566</v>
      </c>
      <c r="M69" s="12">
        <f ca="1">IFERROR(__xludf.DUMMYFUNCTION("""COMPUTED_VALUE"""),6736)</f>
        <v>6736</v>
      </c>
      <c r="N69" s="12">
        <f ca="1">IFERROR(__xludf.DUMMYFUNCTION("""COMPUTED_VALUE"""),4780)</f>
        <v>4780</v>
      </c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1:38" ht="13.2" x14ac:dyDescent="0.25">
      <c r="A70" s="11" t="str">
        <f ca="1">IFERROR(__xludf.DUMMYFUNCTION("""COMPUTED_VALUE"""),"                     left Cortical amygdalar area, anterior part")</f>
        <v xml:space="preserve">                     left Cortical amygdalar area, anterior part</v>
      </c>
      <c r="B70" s="12">
        <f ca="1">IFERROR(__xludf.DUMMYFUNCTION("""COMPUTED_VALUE"""),9356)</f>
        <v>9356</v>
      </c>
      <c r="C70" s="12">
        <f ca="1">IFERROR(__xludf.DUMMYFUNCTION("""COMPUTED_VALUE"""),8221)</f>
        <v>8221</v>
      </c>
      <c r="D70" s="12">
        <f ca="1">IFERROR(__xludf.DUMMYFUNCTION("""COMPUTED_VALUE"""),7287)</f>
        <v>7287</v>
      </c>
      <c r="E70" s="12">
        <f ca="1">IFERROR(__xludf.DUMMYFUNCTION("""COMPUTED_VALUE"""),7190)</f>
        <v>7190</v>
      </c>
      <c r="F70" s="12">
        <f ca="1">IFERROR(__xludf.DUMMYFUNCTION("""COMPUTED_VALUE"""),1271)</f>
        <v>1271</v>
      </c>
      <c r="G70" s="12">
        <f ca="1">IFERROR(__xludf.DUMMYFUNCTION("""COMPUTED_VALUE"""),3151)</f>
        <v>3151</v>
      </c>
      <c r="H70" s="12">
        <f ca="1">IFERROR(__xludf.DUMMYFUNCTION("""COMPUTED_VALUE"""),8559)</f>
        <v>8559</v>
      </c>
      <c r="I70" s="12">
        <f ca="1">IFERROR(__xludf.DUMMYFUNCTION("""COMPUTED_VALUE"""),9904)</f>
        <v>9904</v>
      </c>
      <c r="J70" s="12">
        <f ca="1">IFERROR(__xludf.DUMMYFUNCTION("""COMPUTED_VALUE"""),6784)</f>
        <v>6784</v>
      </c>
      <c r="K70" s="12">
        <f ca="1">IFERROR(__xludf.DUMMYFUNCTION("""COMPUTED_VALUE"""),2506)</f>
        <v>2506</v>
      </c>
      <c r="L70" s="12">
        <f ca="1">IFERROR(__xludf.DUMMYFUNCTION("""COMPUTED_VALUE"""),4720)</f>
        <v>4720</v>
      </c>
      <c r="M70" s="12">
        <f ca="1">IFERROR(__xludf.DUMMYFUNCTION("""COMPUTED_VALUE"""),10625)</f>
        <v>10625</v>
      </c>
      <c r="N70" s="12">
        <f ca="1">IFERROR(__xludf.DUMMYFUNCTION("""COMPUTED_VALUE"""),6697)</f>
        <v>6697</v>
      </c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1:38" ht="13.2" x14ac:dyDescent="0.25">
      <c r="A71" s="11" t="str">
        <f ca="1">IFERROR(__xludf.DUMMYFUNCTION("""COMPUTED_VALUE"""),"                     left Cortical amygdalar area, posterior part")</f>
        <v xml:space="preserve">                     left Cortical amygdalar area, posterior part</v>
      </c>
      <c r="B71" s="12">
        <f ca="1">IFERROR(__xludf.DUMMYFUNCTION("""COMPUTED_VALUE"""),5680)</f>
        <v>5680</v>
      </c>
      <c r="C71" s="12">
        <f ca="1">IFERROR(__xludf.DUMMYFUNCTION("""COMPUTED_VALUE"""),5084)</f>
        <v>5084</v>
      </c>
      <c r="D71" s="12">
        <f ca="1">IFERROR(__xludf.DUMMYFUNCTION("""COMPUTED_VALUE"""),5190)</f>
        <v>5190</v>
      </c>
      <c r="E71" s="12">
        <f ca="1">IFERROR(__xludf.DUMMYFUNCTION("""COMPUTED_VALUE"""),3483)</f>
        <v>3483</v>
      </c>
      <c r="F71" s="12">
        <f ca="1">IFERROR(__xludf.DUMMYFUNCTION("""COMPUTED_VALUE"""),681)</f>
        <v>681</v>
      </c>
      <c r="G71" s="12">
        <f ca="1">IFERROR(__xludf.DUMMYFUNCTION("""COMPUTED_VALUE"""),1342)</f>
        <v>1342</v>
      </c>
      <c r="H71" s="12">
        <f ca="1">IFERROR(__xludf.DUMMYFUNCTION("""COMPUTED_VALUE"""),7912)</f>
        <v>7912</v>
      </c>
      <c r="I71" s="12">
        <f ca="1">IFERROR(__xludf.DUMMYFUNCTION("""COMPUTED_VALUE"""),5490)</f>
        <v>5490</v>
      </c>
      <c r="J71" s="12">
        <f ca="1">IFERROR(__xludf.DUMMYFUNCTION("""COMPUTED_VALUE"""),2574)</f>
        <v>2574</v>
      </c>
      <c r="K71" s="12">
        <f ca="1">IFERROR(__xludf.DUMMYFUNCTION("""COMPUTED_VALUE"""),1744)</f>
        <v>1744</v>
      </c>
      <c r="L71" s="12">
        <f ca="1">IFERROR(__xludf.DUMMYFUNCTION("""COMPUTED_VALUE"""),4519)</f>
        <v>4519</v>
      </c>
      <c r="M71" s="12">
        <f ca="1">IFERROR(__xludf.DUMMYFUNCTION("""COMPUTED_VALUE"""),5541)</f>
        <v>5541</v>
      </c>
      <c r="N71" s="12">
        <f ca="1">IFERROR(__xludf.DUMMYFUNCTION("""COMPUTED_VALUE"""),4190)</f>
        <v>4190</v>
      </c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1:38" ht="13.2" x14ac:dyDescent="0.25">
      <c r="A72" s="11" t="str">
        <f ca="1">IFERROR(__xludf.DUMMYFUNCTION("""COMPUTED_VALUE"""),"                  left Piriform-amygdalar area")</f>
        <v xml:space="preserve">                  left Piriform-amygdalar area</v>
      </c>
      <c r="B72" s="12">
        <f ca="1">IFERROR(__xludf.DUMMYFUNCTION("""COMPUTED_VALUE"""),4814)</f>
        <v>4814</v>
      </c>
      <c r="C72" s="12">
        <f ca="1">IFERROR(__xludf.DUMMYFUNCTION("""COMPUTED_VALUE"""),3759)</f>
        <v>3759</v>
      </c>
      <c r="D72" s="12">
        <f ca="1">IFERROR(__xludf.DUMMYFUNCTION("""COMPUTED_VALUE"""),4344)</f>
        <v>4344</v>
      </c>
      <c r="E72" s="12">
        <f ca="1">IFERROR(__xludf.DUMMYFUNCTION("""COMPUTED_VALUE"""),3565)</f>
        <v>3565</v>
      </c>
      <c r="F72" s="12">
        <f ca="1">IFERROR(__xludf.DUMMYFUNCTION("""COMPUTED_VALUE"""),1011)</f>
        <v>1011</v>
      </c>
      <c r="G72" s="12">
        <f ca="1">IFERROR(__xludf.DUMMYFUNCTION("""COMPUTED_VALUE"""),1665)</f>
        <v>1665</v>
      </c>
      <c r="H72" s="12">
        <f ca="1">IFERROR(__xludf.DUMMYFUNCTION("""COMPUTED_VALUE"""),5103)</f>
        <v>5103</v>
      </c>
      <c r="I72" s="12">
        <f ca="1">IFERROR(__xludf.DUMMYFUNCTION("""COMPUTED_VALUE"""),5989)</f>
        <v>5989</v>
      </c>
      <c r="J72" s="12">
        <f ca="1">IFERROR(__xludf.DUMMYFUNCTION("""COMPUTED_VALUE"""),3725)</f>
        <v>3725</v>
      </c>
      <c r="K72" s="12">
        <f ca="1">IFERROR(__xludf.DUMMYFUNCTION("""COMPUTED_VALUE"""),1794)</f>
        <v>1794</v>
      </c>
      <c r="L72" s="12">
        <f ca="1">IFERROR(__xludf.DUMMYFUNCTION("""COMPUTED_VALUE"""),3163)</f>
        <v>3163</v>
      </c>
      <c r="M72" s="12">
        <f ca="1">IFERROR(__xludf.DUMMYFUNCTION("""COMPUTED_VALUE"""),5650)</f>
        <v>5650</v>
      </c>
      <c r="N72" s="12">
        <f ca="1">IFERROR(__xludf.DUMMYFUNCTION("""COMPUTED_VALUE"""),3715)</f>
        <v>3715</v>
      </c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1:38" ht="13.2" x14ac:dyDescent="0.25">
      <c r="A73" s="11" t="str">
        <f ca="1">IFERROR(__xludf.DUMMYFUNCTION("""COMPUTED_VALUE"""),"                  left Postpiriform transition area")</f>
        <v xml:space="preserve">                  left Postpiriform transition area</v>
      </c>
      <c r="B73" s="12">
        <f ca="1">IFERROR(__xludf.DUMMYFUNCTION("""COMPUTED_VALUE"""),7938)</f>
        <v>7938</v>
      </c>
      <c r="C73" s="12">
        <f ca="1">IFERROR(__xludf.DUMMYFUNCTION("""COMPUTED_VALUE"""),5022)</f>
        <v>5022</v>
      </c>
      <c r="D73" s="12">
        <f ca="1">IFERROR(__xludf.DUMMYFUNCTION("""COMPUTED_VALUE"""),3587)</f>
        <v>3587</v>
      </c>
      <c r="E73" s="12">
        <f ca="1">IFERROR(__xludf.DUMMYFUNCTION("""COMPUTED_VALUE"""),2863)</f>
        <v>2863</v>
      </c>
      <c r="F73" s="12">
        <f ca="1">IFERROR(__xludf.DUMMYFUNCTION("""COMPUTED_VALUE"""),1429)</f>
        <v>1429</v>
      </c>
      <c r="G73" s="12">
        <f ca="1">IFERROR(__xludf.DUMMYFUNCTION("""COMPUTED_VALUE"""),1822)</f>
        <v>1822</v>
      </c>
      <c r="H73" s="12">
        <f ca="1">IFERROR(__xludf.DUMMYFUNCTION("""COMPUTED_VALUE"""),7736)</f>
        <v>7736</v>
      </c>
      <c r="I73" s="12">
        <f ca="1">IFERROR(__xludf.DUMMYFUNCTION("""COMPUTED_VALUE"""),3967)</f>
        <v>3967</v>
      </c>
      <c r="J73" s="12">
        <f ca="1">IFERROR(__xludf.DUMMYFUNCTION("""COMPUTED_VALUE"""),3926)</f>
        <v>3926</v>
      </c>
      <c r="K73" s="12">
        <f ca="1">IFERROR(__xludf.DUMMYFUNCTION("""COMPUTED_VALUE"""),1862)</f>
        <v>1862</v>
      </c>
      <c r="L73" s="12">
        <f ca="1">IFERROR(__xludf.DUMMYFUNCTION("""COMPUTED_VALUE"""),4274)</f>
        <v>4274</v>
      </c>
      <c r="M73" s="12">
        <f ca="1">IFERROR(__xludf.DUMMYFUNCTION("""COMPUTED_VALUE"""),5744)</f>
        <v>5744</v>
      </c>
      <c r="N73" s="12">
        <f ca="1">IFERROR(__xludf.DUMMYFUNCTION("""COMPUTED_VALUE"""),4154)</f>
        <v>4154</v>
      </c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1:38" ht="13.2" x14ac:dyDescent="0.25">
      <c r="A74" s="11" t="str">
        <f ca="1">IFERROR(__xludf.DUMMYFUNCTION("""COMPUTED_VALUE"""),"               left Hippocampal formation")</f>
        <v xml:space="preserve">               left Hippocampal formation</v>
      </c>
      <c r="B74" s="12">
        <f ca="1">IFERROR(__xludf.DUMMYFUNCTION("""COMPUTED_VALUE"""),7490)</f>
        <v>7490</v>
      </c>
      <c r="C74" s="12">
        <f ca="1">IFERROR(__xludf.DUMMYFUNCTION("""COMPUTED_VALUE"""),5027)</f>
        <v>5027</v>
      </c>
      <c r="D74" s="12">
        <f ca="1">IFERROR(__xludf.DUMMYFUNCTION("""COMPUTED_VALUE"""),4232)</f>
        <v>4232</v>
      </c>
      <c r="E74" s="12">
        <f ca="1">IFERROR(__xludf.DUMMYFUNCTION("""COMPUTED_VALUE"""),4362)</f>
        <v>4362</v>
      </c>
      <c r="F74" s="12">
        <f ca="1">IFERROR(__xludf.DUMMYFUNCTION("""COMPUTED_VALUE"""),3580)</f>
        <v>3580</v>
      </c>
      <c r="G74" s="12">
        <f ca="1">IFERROR(__xludf.DUMMYFUNCTION("""COMPUTED_VALUE"""),2394)</f>
        <v>2394</v>
      </c>
      <c r="H74" s="12">
        <f ca="1">IFERROR(__xludf.DUMMYFUNCTION("""COMPUTED_VALUE"""),4087)</f>
        <v>4087</v>
      </c>
      <c r="I74" s="12">
        <f ca="1">IFERROR(__xludf.DUMMYFUNCTION("""COMPUTED_VALUE"""),3854)</f>
        <v>3854</v>
      </c>
      <c r="J74" s="12">
        <f ca="1">IFERROR(__xludf.DUMMYFUNCTION("""COMPUTED_VALUE"""),3325)</f>
        <v>3325</v>
      </c>
      <c r="K74" s="12">
        <f ca="1">IFERROR(__xludf.DUMMYFUNCTION("""COMPUTED_VALUE"""),3078)</f>
        <v>3078</v>
      </c>
      <c r="L74" s="12">
        <f ca="1">IFERROR(__xludf.DUMMYFUNCTION("""COMPUTED_VALUE"""),3766)</f>
        <v>3766</v>
      </c>
      <c r="M74" s="12">
        <f ca="1">IFERROR(__xludf.DUMMYFUNCTION("""COMPUTED_VALUE"""),7723)</f>
        <v>7723</v>
      </c>
      <c r="N74" s="12">
        <f ca="1">IFERROR(__xludf.DUMMYFUNCTION("""COMPUTED_VALUE"""),4336)</f>
        <v>4336</v>
      </c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1:38" ht="13.2" x14ac:dyDescent="0.25">
      <c r="A75" s="11" t="str">
        <f ca="1">IFERROR(__xludf.DUMMYFUNCTION("""COMPUTED_VALUE"""),"                  left Hippocampal region")</f>
        <v xml:space="preserve">                  left Hippocampal region</v>
      </c>
      <c r="B75" s="12">
        <f ca="1">IFERROR(__xludf.DUMMYFUNCTION("""COMPUTED_VALUE"""),4670)</f>
        <v>4670</v>
      </c>
      <c r="C75" s="12">
        <f ca="1">IFERROR(__xludf.DUMMYFUNCTION("""COMPUTED_VALUE"""),3908)</f>
        <v>3908</v>
      </c>
      <c r="D75" s="12">
        <f ca="1">IFERROR(__xludf.DUMMYFUNCTION("""COMPUTED_VALUE"""),4397)</f>
        <v>4397</v>
      </c>
      <c r="E75" s="12">
        <f ca="1">IFERROR(__xludf.DUMMYFUNCTION("""COMPUTED_VALUE"""),3136)</f>
        <v>3136</v>
      </c>
      <c r="F75" s="12">
        <f ca="1">IFERROR(__xludf.DUMMYFUNCTION("""COMPUTED_VALUE"""),2854)</f>
        <v>2854</v>
      </c>
      <c r="G75" s="12">
        <f ca="1">IFERROR(__xludf.DUMMYFUNCTION("""COMPUTED_VALUE"""),1650)</f>
        <v>1650</v>
      </c>
      <c r="H75" s="12">
        <f ca="1">IFERROR(__xludf.DUMMYFUNCTION("""COMPUTED_VALUE"""),3240)</f>
        <v>3240</v>
      </c>
      <c r="I75" s="12">
        <f ca="1">IFERROR(__xludf.DUMMYFUNCTION("""COMPUTED_VALUE"""),3111)</f>
        <v>3111</v>
      </c>
      <c r="J75" s="12">
        <f ca="1">IFERROR(__xludf.DUMMYFUNCTION("""COMPUTED_VALUE"""),2317)</f>
        <v>2317</v>
      </c>
      <c r="K75" s="12">
        <f ca="1">IFERROR(__xludf.DUMMYFUNCTION("""COMPUTED_VALUE"""),2402)</f>
        <v>2402</v>
      </c>
      <c r="L75" s="12">
        <f ca="1">IFERROR(__xludf.DUMMYFUNCTION("""COMPUTED_VALUE"""),2443)</f>
        <v>2443</v>
      </c>
      <c r="M75" s="12">
        <f ca="1">IFERROR(__xludf.DUMMYFUNCTION("""COMPUTED_VALUE"""),5128)</f>
        <v>5128</v>
      </c>
      <c r="N75" s="12">
        <f ca="1">IFERROR(__xludf.DUMMYFUNCTION("""COMPUTED_VALUE"""),3292)</f>
        <v>3292</v>
      </c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1:38" ht="13.2" x14ac:dyDescent="0.25">
      <c r="A76" s="11" t="str">
        <f ca="1">IFERROR(__xludf.DUMMYFUNCTION("""COMPUTED_VALUE"""),"                     left Ammon's horn")</f>
        <v xml:space="preserve">                     left Ammon's horn</v>
      </c>
      <c r="B76" s="12">
        <f ca="1">IFERROR(__xludf.DUMMYFUNCTION("""COMPUTED_VALUE"""),5230)</f>
        <v>5230</v>
      </c>
      <c r="C76" s="12">
        <f ca="1">IFERROR(__xludf.DUMMYFUNCTION("""COMPUTED_VALUE"""),4155)</f>
        <v>4155</v>
      </c>
      <c r="D76" s="12">
        <f ca="1">IFERROR(__xludf.DUMMYFUNCTION("""COMPUTED_VALUE"""),5053)</f>
        <v>5053</v>
      </c>
      <c r="E76" s="12">
        <f ca="1">IFERROR(__xludf.DUMMYFUNCTION("""COMPUTED_VALUE"""),3680)</f>
        <v>3680</v>
      </c>
      <c r="F76" s="12">
        <f ca="1">IFERROR(__xludf.DUMMYFUNCTION("""COMPUTED_VALUE"""),3345)</f>
        <v>3345</v>
      </c>
      <c r="G76" s="12">
        <f ca="1">IFERROR(__xludf.DUMMYFUNCTION("""COMPUTED_VALUE"""),2008)</f>
        <v>2008</v>
      </c>
      <c r="H76" s="12">
        <f ca="1">IFERROR(__xludf.DUMMYFUNCTION("""COMPUTED_VALUE"""),3728)</f>
        <v>3728</v>
      </c>
      <c r="I76" s="12">
        <f ca="1">IFERROR(__xludf.DUMMYFUNCTION("""COMPUTED_VALUE"""),3623)</f>
        <v>3623</v>
      </c>
      <c r="J76" s="12">
        <f ca="1">IFERROR(__xludf.DUMMYFUNCTION("""COMPUTED_VALUE"""),2783)</f>
        <v>2783</v>
      </c>
      <c r="K76" s="12">
        <f ca="1">IFERROR(__xludf.DUMMYFUNCTION("""COMPUTED_VALUE"""),2804)</f>
        <v>2804</v>
      </c>
      <c r="L76" s="12">
        <f ca="1">IFERROR(__xludf.DUMMYFUNCTION("""COMPUTED_VALUE"""),2732)</f>
        <v>2732</v>
      </c>
      <c r="M76" s="12">
        <f ca="1">IFERROR(__xludf.DUMMYFUNCTION("""COMPUTED_VALUE"""),5852)</f>
        <v>5852</v>
      </c>
      <c r="N76" s="12">
        <f ca="1">IFERROR(__xludf.DUMMYFUNCTION("""COMPUTED_VALUE"""),3764)</f>
        <v>3764</v>
      </c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1:38" ht="13.2" x14ac:dyDescent="0.25">
      <c r="A77" s="11" t="str">
        <f ca="1">IFERROR(__xludf.DUMMYFUNCTION("""COMPUTED_VALUE"""),"                        left Field CA1")</f>
        <v xml:space="preserve">                        left Field CA1</v>
      </c>
      <c r="B77" s="12">
        <f ca="1">IFERROR(__xludf.DUMMYFUNCTION("""COMPUTED_VALUE"""),6907)</f>
        <v>6907</v>
      </c>
      <c r="C77" s="12">
        <f ca="1">IFERROR(__xludf.DUMMYFUNCTION("""COMPUTED_VALUE"""),5076)</f>
        <v>5076</v>
      </c>
      <c r="D77" s="12">
        <f ca="1">IFERROR(__xludf.DUMMYFUNCTION("""COMPUTED_VALUE"""),5726)</f>
        <v>5726</v>
      </c>
      <c r="E77" s="12">
        <f ca="1">IFERROR(__xludf.DUMMYFUNCTION("""COMPUTED_VALUE"""),4295)</f>
        <v>4295</v>
      </c>
      <c r="F77" s="12">
        <f ca="1">IFERROR(__xludf.DUMMYFUNCTION("""COMPUTED_VALUE"""),3816)</f>
        <v>3816</v>
      </c>
      <c r="G77" s="12">
        <f ca="1">IFERROR(__xludf.DUMMYFUNCTION("""COMPUTED_VALUE"""),2287)</f>
        <v>2287</v>
      </c>
      <c r="H77" s="12">
        <f ca="1">IFERROR(__xludf.DUMMYFUNCTION("""COMPUTED_VALUE"""),4292)</f>
        <v>4292</v>
      </c>
      <c r="I77" s="12">
        <f ca="1">IFERROR(__xludf.DUMMYFUNCTION("""COMPUTED_VALUE"""),3987)</f>
        <v>3987</v>
      </c>
      <c r="J77" s="12">
        <f ca="1">IFERROR(__xludf.DUMMYFUNCTION("""COMPUTED_VALUE"""),3258)</f>
        <v>3258</v>
      </c>
      <c r="K77" s="12">
        <f ca="1">IFERROR(__xludf.DUMMYFUNCTION("""COMPUTED_VALUE"""),3324)</f>
        <v>3324</v>
      </c>
      <c r="L77" s="12">
        <f ca="1">IFERROR(__xludf.DUMMYFUNCTION("""COMPUTED_VALUE"""),3585)</f>
        <v>3585</v>
      </c>
      <c r="M77" s="12">
        <f ca="1">IFERROR(__xludf.DUMMYFUNCTION("""COMPUTED_VALUE"""),7676)</f>
        <v>7676</v>
      </c>
      <c r="N77" s="12">
        <f ca="1">IFERROR(__xludf.DUMMYFUNCTION("""COMPUTED_VALUE"""),4485)</f>
        <v>4485</v>
      </c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1:38" ht="13.2" x14ac:dyDescent="0.25">
      <c r="A78" s="11" t="str">
        <f ca="1">IFERROR(__xludf.DUMMYFUNCTION("""COMPUTED_VALUE"""),"                        left Field CA2")</f>
        <v xml:space="preserve">                        left Field CA2</v>
      </c>
      <c r="B78" s="12">
        <f ca="1">IFERROR(__xludf.DUMMYFUNCTION("""COMPUTED_VALUE"""),2962)</f>
        <v>2962</v>
      </c>
      <c r="C78" s="12">
        <f ca="1">IFERROR(__xludf.DUMMYFUNCTION("""COMPUTED_VALUE"""),3022)</f>
        <v>3022</v>
      </c>
      <c r="D78" s="12">
        <f ca="1">IFERROR(__xludf.DUMMYFUNCTION("""COMPUTED_VALUE"""),4115)</f>
        <v>4115</v>
      </c>
      <c r="E78" s="12">
        <f ca="1">IFERROR(__xludf.DUMMYFUNCTION("""COMPUTED_VALUE"""),2396)</f>
        <v>2396</v>
      </c>
      <c r="F78" s="12">
        <f ca="1">IFERROR(__xludf.DUMMYFUNCTION("""COMPUTED_VALUE"""),2614)</f>
        <v>2614</v>
      </c>
      <c r="G78" s="12">
        <f ca="1">IFERROR(__xludf.DUMMYFUNCTION("""COMPUTED_VALUE"""),1547)</f>
        <v>1547</v>
      </c>
      <c r="H78" s="12">
        <f ca="1">IFERROR(__xludf.DUMMYFUNCTION("""COMPUTED_VALUE"""),2785)</f>
        <v>2785</v>
      </c>
      <c r="I78" s="12">
        <f ca="1">IFERROR(__xludf.DUMMYFUNCTION("""COMPUTED_VALUE"""),2930)</f>
        <v>2930</v>
      </c>
      <c r="J78" s="12">
        <f ca="1">IFERROR(__xludf.DUMMYFUNCTION("""COMPUTED_VALUE"""),1666)</f>
        <v>1666</v>
      </c>
      <c r="K78" s="12">
        <f ca="1">IFERROR(__xludf.DUMMYFUNCTION("""COMPUTED_VALUE"""),1866)</f>
        <v>1866</v>
      </c>
      <c r="L78" s="12">
        <f ca="1">IFERROR(__xludf.DUMMYFUNCTION("""COMPUTED_VALUE"""),1582)</f>
        <v>1582</v>
      </c>
      <c r="M78" s="12">
        <f ca="1">IFERROR(__xludf.DUMMYFUNCTION("""COMPUTED_VALUE"""),3037)</f>
        <v>3037</v>
      </c>
      <c r="N78" s="12">
        <f ca="1">IFERROR(__xludf.DUMMYFUNCTION("""COMPUTED_VALUE"""),2646)</f>
        <v>2646</v>
      </c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1:38" ht="13.2" x14ac:dyDescent="0.25">
      <c r="A79" s="11" t="str">
        <f ca="1">IFERROR(__xludf.DUMMYFUNCTION("""COMPUTED_VALUE"""),"                        left Field CA3")</f>
        <v xml:space="preserve">                        left Field CA3</v>
      </c>
      <c r="B79" s="12">
        <f ca="1">IFERROR(__xludf.DUMMYFUNCTION("""COMPUTED_VALUE"""),2668)</f>
        <v>2668</v>
      </c>
      <c r="C79" s="12">
        <f ca="1">IFERROR(__xludf.DUMMYFUNCTION("""COMPUTED_VALUE"""),2740)</f>
        <v>2740</v>
      </c>
      <c r="D79" s="12">
        <f ca="1">IFERROR(__xludf.DUMMYFUNCTION("""COMPUTED_VALUE"""),4028)</f>
        <v>4028</v>
      </c>
      <c r="E79" s="12">
        <f ca="1">IFERROR(__xludf.DUMMYFUNCTION("""COMPUTED_VALUE"""),2774)</f>
        <v>2774</v>
      </c>
      <c r="F79" s="12">
        <f ca="1">IFERROR(__xludf.DUMMYFUNCTION("""COMPUTED_VALUE"""),2633)</f>
        <v>2633</v>
      </c>
      <c r="G79" s="12">
        <f ca="1">IFERROR(__xludf.DUMMYFUNCTION("""COMPUTED_VALUE"""),1587)</f>
        <v>1587</v>
      </c>
      <c r="H79" s="12">
        <f ca="1">IFERROR(__xludf.DUMMYFUNCTION("""COMPUTED_VALUE"""),2881)</f>
        <v>2881</v>
      </c>
      <c r="I79" s="12">
        <f ca="1">IFERROR(__xludf.DUMMYFUNCTION("""COMPUTED_VALUE"""),3083)</f>
        <v>3083</v>
      </c>
      <c r="J79" s="12">
        <f ca="1">IFERROR(__xludf.DUMMYFUNCTION("""COMPUTED_VALUE"""),2095)</f>
        <v>2095</v>
      </c>
      <c r="K79" s="12">
        <f ca="1">IFERROR(__xludf.DUMMYFUNCTION("""COMPUTED_VALUE"""),2028)</f>
        <v>2028</v>
      </c>
      <c r="L79" s="12">
        <f ca="1">IFERROR(__xludf.DUMMYFUNCTION("""COMPUTED_VALUE"""),1429)</f>
        <v>1429</v>
      </c>
      <c r="M79" s="12">
        <f ca="1">IFERROR(__xludf.DUMMYFUNCTION("""COMPUTED_VALUE"""),3094)</f>
        <v>3094</v>
      </c>
      <c r="N79" s="12">
        <f ca="1">IFERROR(__xludf.DUMMYFUNCTION("""COMPUTED_VALUE"""),2674)</f>
        <v>2674</v>
      </c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1:38" ht="13.2" x14ac:dyDescent="0.25">
      <c r="A80" s="11" t="str">
        <f ca="1">IFERROR(__xludf.DUMMYFUNCTION("""COMPUTED_VALUE"""),"                     left Dentate gyrus ")</f>
        <v xml:space="preserve">                     left Dentate gyrus </v>
      </c>
      <c r="B80" s="12">
        <f ca="1">IFERROR(__xludf.DUMMYFUNCTION("""COMPUTED_VALUE"""),3341)</f>
        <v>3341</v>
      </c>
      <c r="C80" s="12">
        <f ca="1">IFERROR(__xludf.DUMMYFUNCTION("""COMPUTED_VALUE"""),3321)</f>
        <v>3321</v>
      </c>
      <c r="D80" s="12">
        <f ca="1">IFERROR(__xludf.DUMMYFUNCTION("""COMPUTED_VALUE"""),2718)</f>
        <v>2718</v>
      </c>
      <c r="E80" s="12">
        <f ca="1">IFERROR(__xludf.DUMMYFUNCTION("""COMPUTED_VALUE"""),1758)</f>
        <v>1758</v>
      </c>
      <c r="F80" s="12">
        <f ca="1">IFERROR(__xludf.DUMMYFUNCTION("""COMPUTED_VALUE"""),1648)</f>
        <v>1648</v>
      </c>
      <c r="G80" s="12">
        <f ca="1">IFERROR(__xludf.DUMMYFUNCTION("""COMPUTED_VALUE"""),763)</f>
        <v>763</v>
      </c>
      <c r="H80" s="12">
        <f ca="1">IFERROR(__xludf.DUMMYFUNCTION("""COMPUTED_VALUE"""),1982)</f>
        <v>1982</v>
      </c>
      <c r="I80" s="12">
        <f ca="1">IFERROR(__xludf.DUMMYFUNCTION("""COMPUTED_VALUE"""),1780)</f>
        <v>1780</v>
      </c>
      <c r="J80" s="12">
        <f ca="1">IFERROR(__xludf.DUMMYFUNCTION("""COMPUTED_VALUE"""),1169)</f>
        <v>1169</v>
      </c>
      <c r="K80" s="12">
        <f ca="1">IFERROR(__xludf.DUMMYFUNCTION("""COMPUTED_VALUE"""),1426)</f>
        <v>1426</v>
      </c>
      <c r="L80" s="12">
        <f ca="1">IFERROR(__xludf.DUMMYFUNCTION("""COMPUTED_VALUE"""),1735)</f>
        <v>1735</v>
      </c>
      <c r="M80" s="12">
        <f ca="1">IFERROR(__xludf.DUMMYFUNCTION("""COMPUTED_VALUE"""),3384)</f>
        <v>3384</v>
      </c>
      <c r="N80" s="12">
        <f ca="1">IFERROR(__xludf.DUMMYFUNCTION("""COMPUTED_VALUE"""),2116)</f>
        <v>2116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1:38" ht="13.2" x14ac:dyDescent="0.25">
      <c r="A81" s="11" t="str">
        <f ca="1">IFERROR(__xludf.DUMMYFUNCTION("""COMPUTED_VALUE"""),"                        left Dentate gyrus, molecular layer")</f>
        <v xml:space="preserve">                        left Dentate gyrus, molecular layer</v>
      </c>
      <c r="B81" s="12">
        <f ca="1">IFERROR(__xludf.DUMMYFUNCTION("""COMPUTED_VALUE"""),3031)</f>
        <v>3031</v>
      </c>
      <c r="C81" s="12">
        <f ca="1">IFERROR(__xludf.DUMMYFUNCTION("""COMPUTED_VALUE"""),3280)</f>
        <v>3280</v>
      </c>
      <c r="D81" s="12">
        <f ca="1">IFERROR(__xludf.DUMMYFUNCTION("""COMPUTED_VALUE"""),2233)</f>
        <v>2233</v>
      </c>
      <c r="E81" s="12">
        <f ca="1">IFERROR(__xludf.DUMMYFUNCTION("""COMPUTED_VALUE"""),1004)</f>
        <v>1004</v>
      </c>
      <c r="F81" s="12">
        <f ca="1">IFERROR(__xludf.DUMMYFUNCTION("""COMPUTED_VALUE"""),1050)</f>
        <v>1050</v>
      </c>
      <c r="G81" s="12">
        <f ca="1">IFERROR(__xludf.DUMMYFUNCTION("""COMPUTED_VALUE"""),360)</f>
        <v>360</v>
      </c>
      <c r="H81" s="12">
        <f ca="1">IFERROR(__xludf.DUMMYFUNCTION("""COMPUTED_VALUE"""),1599)</f>
        <v>1599</v>
      </c>
      <c r="I81" s="12">
        <f ca="1">IFERROR(__xludf.DUMMYFUNCTION("""COMPUTED_VALUE"""),1477)</f>
        <v>1477</v>
      </c>
      <c r="J81" s="12">
        <f ca="1">IFERROR(__xludf.DUMMYFUNCTION("""COMPUTED_VALUE"""),588)</f>
        <v>588</v>
      </c>
      <c r="K81" s="12">
        <f ca="1">IFERROR(__xludf.DUMMYFUNCTION("""COMPUTED_VALUE"""),978)</f>
        <v>978</v>
      </c>
      <c r="L81" s="12">
        <f ca="1">IFERROR(__xludf.DUMMYFUNCTION("""COMPUTED_VALUE"""),1525)</f>
        <v>1525</v>
      </c>
      <c r="M81" s="12">
        <f ca="1">IFERROR(__xludf.DUMMYFUNCTION("""COMPUTED_VALUE"""),3151)</f>
        <v>3151</v>
      </c>
      <c r="N81" s="12">
        <f ca="1">IFERROR(__xludf.DUMMYFUNCTION("""COMPUTED_VALUE"""),1722)</f>
        <v>1722</v>
      </c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1:38" ht="13.2" x14ac:dyDescent="0.25">
      <c r="A82" s="11" t="str">
        <f ca="1">IFERROR(__xludf.DUMMYFUNCTION("""COMPUTED_VALUE"""),"                        left Dentate gyrus, polymorph layer")</f>
        <v xml:space="preserve">                        left Dentate gyrus, polymorph layer</v>
      </c>
      <c r="B82" s="12">
        <f ca="1">IFERROR(__xludf.DUMMYFUNCTION("""COMPUTED_VALUE"""),4038)</f>
        <v>4038</v>
      </c>
      <c r="C82" s="12">
        <f ca="1">IFERROR(__xludf.DUMMYFUNCTION("""COMPUTED_VALUE"""),3400)</f>
        <v>3400</v>
      </c>
      <c r="D82" s="12">
        <f ca="1">IFERROR(__xludf.DUMMYFUNCTION("""COMPUTED_VALUE"""),3909)</f>
        <v>3909</v>
      </c>
      <c r="E82" s="12">
        <f ca="1">IFERROR(__xludf.DUMMYFUNCTION("""COMPUTED_VALUE"""),3963)</f>
        <v>3963</v>
      </c>
      <c r="F82" s="12">
        <f ca="1">IFERROR(__xludf.DUMMYFUNCTION("""COMPUTED_VALUE"""),3980)</f>
        <v>3980</v>
      </c>
      <c r="G82" s="12">
        <f ca="1">IFERROR(__xludf.DUMMYFUNCTION("""COMPUTED_VALUE"""),2065)</f>
        <v>2065</v>
      </c>
      <c r="H82" s="12">
        <f ca="1">IFERROR(__xludf.DUMMYFUNCTION("""COMPUTED_VALUE"""),3010)</f>
        <v>3010</v>
      </c>
      <c r="I82" s="12">
        <f ca="1">IFERROR(__xludf.DUMMYFUNCTION("""COMPUTED_VALUE"""),3178)</f>
        <v>3178</v>
      </c>
      <c r="J82" s="12">
        <f ca="1">IFERROR(__xludf.DUMMYFUNCTION("""COMPUTED_VALUE"""),2376)</f>
        <v>2376</v>
      </c>
      <c r="K82" s="12">
        <f ca="1">IFERROR(__xludf.DUMMYFUNCTION("""COMPUTED_VALUE"""),2361)</f>
        <v>2361</v>
      </c>
      <c r="L82" s="12">
        <f ca="1">IFERROR(__xludf.DUMMYFUNCTION("""COMPUTED_VALUE"""),1947)</f>
        <v>1947</v>
      </c>
      <c r="M82" s="12">
        <f ca="1">IFERROR(__xludf.DUMMYFUNCTION("""COMPUTED_VALUE"""),4671)</f>
        <v>4671</v>
      </c>
      <c r="N82" s="12">
        <f ca="1">IFERROR(__xludf.DUMMYFUNCTION("""COMPUTED_VALUE"""),3306)</f>
        <v>3306</v>
      </c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1:38" ht="13.2" x14ac:dyDescent="0.25">
      <c r="A83" s="11" t="str">
        <f ca="1">IFERROR(__xludf.DUMMYFUNCTION("""COMPUTED_VALUE"""),"                        left Dentate gyrus, granule cell layer")</f>
        <v xml:space="preserve">                        left Dentate gyrus, granule cell layer</v>
      </c>
      <c r="B83" s="12">
        <f ca="1">IFERROR(__xludf.DUMMYFUNCTION("""COMPUTED_VALUE"""),3875)</f>
        <v>3875</v>
      </c>
      <c r="C83" s="12">
        <f ca="1">IFERROR(__xludf.DUMMYFUNCTION("""COMPUTED_VALUE"""),3396)</f>
        <v>3396</v>
      </c>
      <c r="D83" s="12">
        <f ca="1">IFERROR(__xludf.DUMMYFUNCTION("""COMPUTED_VALUE"""),3511)</f>
        <v>3511</v>
      </c>
      <c r="E83" s="12">
        <f ca="1">IFERROR(__xludf.DUMMYFUNCTION("""COMPUTED_VALUE"""),2844)</f>
        <v>2844</v>
      </c>
      <c r="F83" s="12">
        <f ca="1">IFERROR(__xludf.DUMMYFUNCTION("""COMPUTED_VALUE"""),2258)</f>
        <v>2258</v>
      </c>
      <c r="G83" s="12">
        <f ca="1">IFERROR(__xludf.DUMMYFUNCTION("""COMPUTED_VALUE"""),1287)</f>
        <v>1287</v>
      </c>
      <c r="H83" s="12">
        <f ca="1">IFERROR(__xludf.DUMMYFUNCTION("""COMPUTED_VALUE"""),2574)</f>
        <v>2574</v>
      </c>
      <c r="I83" s="12">
        <f ca="1">IFERROR(__xludf.DUMMYFUNCTION("""COMPUTED_VALUE"""),1997)</f>
        <v>1997</v>
      </c>
      <c r="J83" s="12">
        <f ca="1">IFERROR(__xludf.DUMMYFUNCTION("""COMPUTED_VALUE"""),2212)</f>
        <v>2212</v>
      </c>
      <c r="K83" s="12">
        <f ca="1">IFERROR(__xludf.DUMMYFUNCTION("""COMPUTED_VALUE"""),2227)</f>
        <v>2227</v>
      </c>
      <c r="L83" s="12">
        <f ca="1">IFERROR(__xludf.DUMMYFUNCTION("""COMPUTED_VALUE"""),2211)</f>
        <v>2211</v>
      </c>
      <c r="M83" s="12">
        <f ca="1">IFERROR(__xludf.DUMMYFUNCTION("""COMPUTED_VALUE"""),3460)</f>
        <v>3460</v>
      </c>
      <c r="N83" s="12">
        <f ca="1">IFERROR(__xludf.DUMMYFUNCTION("""COMPUTED_VALUE"""),2668)</f>
        <v>2668</v>
      </c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1:38" ht="13.2" x14ac:dyDescent="0.25">
      <c r="A84" s="11" t="str">
        <f ca="1">IFERROR(__xludf.DUMMYFUNCTION("""COMPUTED_VALUE"""),"                  left Retrohippocampal region")</f>
        <v xml:space="preserve">                  left Retrohippocampal region</v>
      </c>
      <c r="B84" s="12">
        <f ca="1">IFERROR(__xludf.DUMMYFUNCTION("""COMPUTED_VALUE"""),10991)</f>
        <v>10991</v>
      </c>
      <c r="C84" s="12">
        <f ca="1">IFERROR(__xludf.DUMMYFUNCTION("""COMPUTED_VALUE"""),6415)</f>
        <v>6415</v>
      </c>
      <c r="D84" s="12">
        <f ca="1">IFERROR(__xludf.DUMMYFUNCTION("""COMPUTED_VALUE"""),4047)</f>
        <v>4047</v>
      </c>
      <c r="E84" s="12">
        <f ca="1">IFERROR(__xludf.DUMMYFUNCTION("""COMPUTED_VALUE"""),5933)</f>
        <v>5933</v>
      </c>
      <c r="F84" s="12">
        <f ca="1">IFERROR(__xludf.DUMMYFUNCTION("""COMPUTED_VALUE"""),4519)</f>
        <v>4519</v>
      </c>
      <c r="G84" s="12">
        <f ca="1">IFERROR(__xludf.DUMMYFUNCTION("""COMPUTED_VALUE"""),3353)</f>
        <v>3353</v>
      </c>
      <c r="H84" s="12">
        <f ca="1">IFERROR(__xludf.DUMMYFUNCTION("""COMPUTED_VALUE"""),5130)</f>
        <v>5130</v>
      </c>
      <c r="I84" s="12">
        <f ca="1">IFERROR(__xludf.DUMMYFUNCTION("""COMPUTED_VALUE"""),4798)</f>
        <v>4798</v>
      </c>
      <c r="J84" s="12">
        <f ca="1">IFERROR(__xludf.DUMMYFUNCTION("""COMPUTED_VALUE"""),4633)</f>
        <v>4633</v>
      </c>
      <c r="K84" s="12">
        <f ca="1">IFERROR(__xludf.DUMMYFUNCTION("""COMPUTED_VALUE"""),3954)</f>
        <v>3954</v>
      </c>
      <c r="L84" s="12">
        <f ca="1">IFERROR(__xludf.DUMMYFUNCTION("""COMPUTED_VALUE"""),5434)</f>
        <v>5434</v>
      </c>
      <c r="M84" s="12">
        <f ca="1">IFERROR(__xludf.DUMMYFUNCTION("""COMPUTED_VALUE"""),10955)</f>
        <v>10955</v>
      </c>
      <c r="N84" s="12">
        <f ca="1">IFERROR(__xludf.DUMMYFUNCTION("""COMPUTED_VALUE"""),5653)</f>
        <v>5653</v>
      </c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1:38" ht="13.2" x14ac:dyDescent="0.25">
      <c r="A85" s="11" t="str">
        <f ca="1">IFERROR(__xludf.DUMMYFUNCTION("""COMPUTED_VALUE"""),"                     left Entorhinal area")</f>
        <v xml:space="preserve">                     left Entorhinal area</v>
      </c>
      <c r="B85" s="12">
        <f ca="1">IFERROR(__xludf.DUMMYFUNCTION("""COMPUTED_VALUE"""),12013)</f>
        <v>12013</v>
      </c>
      <c r="C85" s="12">
        <f ca="1">IFERROR(__xludf.DUMMYFUNCTION("""COMPUTED_VALUE"""),6123)</f>
        <v>6123</v>
      </c>
      <c r="D85" s="12">
        <f ca="1">IFERROR(__xludf.DUMMYFUNCTION("""COMPUTED_VALUE"""),3963)</f>
        <v>3963</v>
      </c>
      <c r="E85" s="12">
        <f ca="1">IFERROR(__xludf.DUMMYFUNCTION("""COMPUTED_VALUE"""),5156)</f>
        <v>5156</v>
      </c>
      <c r="F85" s="12">
        <f ca="1">IFERROR(__xludf.DUMMYFUNCTION("""COMPUTED_VALUE"""),3843)</f>
        <v>3843</v>
      </c>
      <c r="G85" s="12">
        <f ca="1">IFERROR(__xludf.DUMMYFUNCTION("""COMPUTED_VALUE"""),3410)</f>
        <v>3410</v>
      </c>
      <c r="H85" s="12">
        <f ca="1">IFERROR(__xludf.DUMMYFUNCTION("""COMPUTED_VALUE"""),5477)</f>
        <v>5477</v>
      </c>
      <c r="I85" s="12">
        <f ca="1">IFERROR(__xludf.DUMMYFUNCTION("""COMPUTED_VALUE"""),4801)</f>
        <v>4801</v>
      </c>
      <c r="J85" s="12">
        <f ca="1">IFERROR(__xludf.DUMMYFUNCTION("""COMPUTED_VALUE"""),4906)</f>
        <v>4906</v>
      </c>
      <c r="K85" s="12">
        <f ca="1">IFERROR(__xludf.DUMMYFUNCTION("""COMPUTED_VALUE"""),3709)</f>
        <v>3709</v>
      </c>
      <c r="L85" s="12">
        <f ca="1">IFERROR(__xludf.DUMMYFUNCTION("""COMPUTED_VALUE"""),5547)</f>
        <v>5547</v>
      </c>
      <c r="M85" s="12">
        <f ca="1">IFERROR(__xludf.DUMMYFUNCTION("""COMPUTED_VALUE"""),11405)</f>
        <v>11405</v>
      </c>
      <c r="N85" s="12">
        <f ca="1">IFERROR(__xludf.DUMMYFUNCTION("""COMPUTED_VALUE"""),5610)</f>
        <v>5610</v>
      </c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1:38" ht="13.2" x14ac:dyDescent="0.25">
      <c r="A86" s="11" t="str">
        <f ca="1">IFERROR(__xludf.DUMMYFUNCTION("""COMPUTED_VALUE"""),"                        left Entorhinal area, lateral part")</f>
        <v xml:space="preserve">                        left Entorhinal area, lateral part</v>
      </c>
      <c r="B86" s="12">
        <f ca="1">IFERROR(__xludf.DUMMYFUNCTION("""COMPUTED_VALUE"""),16341)</f>
        <v>16341</v>
      </c>
      <c r="C86" s="12">
        <f ca="1">IFERROR(__xludf.DUMMYFUNCTION("""COMPUTED_VALUE"""),8601)</f>
        <v>8601</v>
      </c>
      <c r="D86" s="12">
        <f ca="1">IFERROR(__xludf.DUMMYFUNCTION("""COMPUTED_VALUE"""),5363)</f>
        <v>5363</v>
      </c>
      <c r="E86" s="12">
        <f ca="1">IFERROR(__xludf.DUMMYFUNCTION("""COMPUTED_VALUE"""),5292)</f>
        <v>5292</v>
      </c>
      <c r="F86" s="12">
        <f ca="1">IFERROR(__xludf.DUMMYFUNCTION("""COMPUTED_VALUE"""),3692)</f>
        <v>3692</v>
      </c>
      <c r="G86" s="12">
        <f ca="1">IFERROR(__xludf.DUMMYFUNCTION("""COMPUTED_VALUE"""),3242)</f>
        <v>3242</v>
      </c>
      <c r="H86" s="12">
        <f ca="1">IFERROR(__xludf.DUMMYFUNCTION("""COMPUTED_VALUE"""),7853)</f>
        <v>7853</v>
      </c>
      <c r="I86" s="12">
        <f ca="1">IFERROR(__xludf.DUMMYFUNCTION("""COMPUTED_VALUE"""),6207)</f>
        <v>6207</v>
      </c>
      <c r="J86" s="12">
        <f ca="1">IFERROR(__xludf.DUMMYFUNCTION("""COMPUTED_VALUE"""),6213)</f>
        <v>6213</v>
      </c>
      <c r="K86" s="12">
        <f ca="1">IFERROR(__xludf.DUMMYFUNCTION("""COMPUTED_VALUE"""),3862)</f>
        <v>3862</v>
      </c>
      <c r="L86" s="12">
        <f ca="1">IFERROR(__xludf.DUMMYFUNCTION("""COMPUTED_VALUE"""),7392)</f>
        <v>7392</v>
      </c>
      <c r="M86" s="12">
        <f ca="1">IFERROR(__xludf.DUMMYFUNCTION("""COMPUTED_VALUE"""),15339)</f>
        <v>15339</v>
      </c>
      <c r="N86" s="12">
        <f ca="1">IFERROR(__xludf.DUMMYFUNCTION("""COMPUTED_VALUE"""),7106)</f>
        <v>7106</v>
      </c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1:38" ht="13.2" x14ac:dyDescent="0.25">
      <c r="A87" s="11" t="str">
        <f ca="1">IFERROR(__xludf.DUMMYFUNCTION("""COMPUTED_VALUE"""),"                        left Entorhinal area, medial part, dorsal zone")</f>
        <v xml:space="preserve">                        left Entorhinal area, medial part, dorsal zone</v>
      </c>
      <c r="B87" s="12">
        <f ca="1">IFERROR(__xludf.DUMMYFUNCTION("""COMPUTED_VALUE"""),6528)</f>
        <v>6528</v>
      </c>
      <c r="C87" s="12">
        <f ca="1">IFERROR(__xludf.DUMMYFUNCTION("""COMPUTED_VALUE"""),2983)</f>
        <v>2983</v>
      </c>
      <c r="D87" s="12">
        <f ca="1">IFERROR(__xludf.DUMMYFUNCTION("""COMPUTED_VALUE"""),2190)</f>
        <v>2190</v>
      </c>
      <c r="E87" s="12">
        <f ca="1">IFERROR(__xludf.DUMMYFUNCTION("""COMPUTED_VALUE"""),4984)</f>
        <v>4984</v>
      </c>
      <c r="F87" s="12">
        <f ca="1">IFERROR(__xludf.DUMMYFUNCTION("""COMPUTED_VALUE"""),4034)</f>
        <v>4034</v>
      </c>
      <c r="G87" s="12">
        <f ca="1">IFERROR(__xludf.DUMMYFUNCTION("""COMPUTED_VALUE"""),3624)</f>
        <v>3624</v>
      </c>
      <c r="H87" s="12">
        <f ca="1">IFERROR(__xludf.DUMMYFUNCTION("""COMPUTED_VALUE"""),2464)</f>
        <v>2464</v>
      </c>
      <c r="I87" s="12">
        <f ca="1">IFERROR(__xludf.DUMMYFUNCTION("""COMPUTED_VALUE"""),3020)</f>
        <v>3020</v>
      </c>
      <c r="J87" s="12">
        <f ca="1">IFERROR(__xludf.DUMMYFUNCTION("""COMPUTED_VALUE"""),3249)</f>
        <v>3249</v>
      </c>
      <c r="K87" s="12">
        <f ca="1">IFERROR(__xludf.DUMMYFUNCTION("""COMPUTED_VALUE"""),3515)</f>
        <v>3515</v>
      </c>
      <c r="L87" s="12">
        <f ca="1">IFERROR(__xludf.DUMMYFUNCTION("""COMPUTED_VALUE"""),3210)</f>
        <v>3210</v>
      </c>
      <c r="M87" s="12">
        <f ca="1">IFERROR(__xludf.DUMMYFUNCTION("""COMPUTED_VALUE"""),6419)</f>
        <v>6419</v>
      </c>
      <c r="N87" s="12">
        <f ca="1">IFERROR(__xludf.DUMMYFUNCTION("""COMPUTED_VALUE"""),3714)</f>
        <v>3714</v>
      </c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1:38" ht="13.2" x14ac:dyDescent="0.25">
      <c r="A88" s="11" t="str">
        <f ca="1">IFERROR(__xludf.DUMMYFUNCTION("""COMPUTED_VALUE"""),"                     left Parasubiculum")</f>
        <v xml:space="preserve">                     left Parasubiculum</v>
      </c>
      <c r="B88" s="12">
        <f ca="1">IFERROR(__xludf.DUMMYFUNCTION("""COMPUTED_VALUE"""),2063)</f>
        <v>2063</v>
      </c>
      <c r="C88" s="12">
        <f ca="1">IFERROR(__xludf.DUMMYFUNCTION("""COMPUTED_VALUE"""),2469)</f>
        <v>2469</v>
      </c>
      <c r="D88" s="12">
        <f ca="1">IFERROR(__xludf.DUMMYFUNCTION("""COMPUTED_VALUE"""),2457)</f>
        <v>2457</v>
      </c>
      <c r="E88" s="12">
        <f ca="1">IFERROR(__xludf.DUMMYFUNCTION("""COMPUTED_VALUE"""),4040)</f>
        <v>4040</v>
      </c>
      <c r="F88" s="12">
        <f ca="1">IFERROR(__xludf.DUMMYFUNCTION("""COMPUTED_VALUE"""),4784)</f>
        <v>4784</v>
      </c>
      <c r="G88" s="12">
        <f ca="1">IFERROR(__xludf.DUMMYFUNCTION("""COMPUTED_VALUE"""),2384)</f>
        <v>2384</v>
      </c>
      <c r="H88" s="12">
        <f ca="1">IFERROR(__xludf.DUMMYFUNCTION("""COMPUTED_VALUE"""),1953)</f>
        <v>1953</v>
      </c>
      <c r="I88" s="12">
        <f ca="1">IFERROR(__xludf.DUMMYFUNCTION("""COMPUTED_VALUE"""),4182)</f>
        <v>4182</v>
      </c>
      <c r="J88" s="12">
        <f ca="1">IFERROR(__xludf.DUMMYFUNCTION("""COMPUTED_VALUE"""),2055)</f>
        <v>2055</v>
      </c>
      <c r="K88" s="12">
        <f ca="1">IFERROR(__xludf.DUMMYFUNCTION("""COMPUTED_VALUE"""),4426)</f>
        <v>4426</v>
      </c>
      <c r="L88" s="12">
        <f ca="1">IFERROR(__xludf.DUMMYFUNCTION("""COMPUTED_VALUE"""),5537)</f>
        <v>5537</v>
      </c>
      <c r="M88" s="12">
        <f ca="1">IFERROR(__xludf.DUMMYFUNCTION("""COMPUTED_VALUE"""),6343)</f>
        <v>6343</v>
      </c>
      <c r="N88" s="12">
        <f ca="1">IFERROR(__xludf.DUMMYFUNCTION("""COMPUTED_VALUE"""),3361)</f>
        <v>3361</v>
      </c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1:38" ht="13.2" x14ac:dyDescent="0.25">
      <c r="A89" s="11" t="str">
        <f ca="1">IFERROR(__xludf.DUMMYFUNCTION("""COMPUTED_VALUE"""),"                     left Postsubiculum")</f>
        <v xml:space="preserve">                     left Postsubiculum</v>
      </c>
      <c r="B89" s="12">
        <f ca="1">IFERROR(__xludf.DUMMYFUNCTION("""COMPUTED_VALUE"""),10337)</f>
        <v>10337</v>
      </c>
      <c r="C89" s="12">
        <f ca="1">IFERROR(__xludf.DUMMYFUNCTION("""COMPUTED_VALUE"""),10282)</f>
        <v>10282</v>
      </c>
      <c r="D89" s="12">
        <f ca="1">IFERROR(__xludf.DUMMYFUNCTION("""COMPUTED_VALUE"""),4440)</f>
        <v>4440</v>
      </c>
      <c r="E89" s="12">
        <f ca="1">IFERROR(__xludf.DUMMYFUNCTION("""COMPUTED_VALUE"""),10844)</f>
        <v>10844</v>
      </c>
      <c r="F89" s="12">
        <f ca="1">IFERROR(__xludf.DUMMYFUNCTION("""COMPUTED_VALUE"""),8468)</f>
        <v>8468</v>
      </c>
      <c r="G89" s="12">
        <f ca="1">IFERROR(__xludf.DUMMYFUNCTION("""COMPUTED_VALUE"""),4229)</f>
        <v>4229</v>
      </c>
      <c r="H89" s="12">
        <f ca="1">IFERROR(__xludf.DUMMYFUNCTION("""COMPUTED_VALUE"""),4937)</f>
        <v>4937</v>
      </c>
      <c r="I89" s="12">
        <f ca="1">IFERROR(__xludf.DUMMYFUNCTION("""COMPUTED_VALUE"""),2335)</f>
        <v>2335</v>
      </c>
      <c r="J89" s="12">
        <f ca="1">IFERROR(__xludf.DUMMYFUNCTION("""COMPUTED_VALUE"""),4884)</f>
        <v>4884</v>
      </c>
      <c r="K89" s="12">
        <f ca="1">IFERROR(__xludf.DUMMYFUNCTION("""COMPUTED_VALUE"""),3947)</f>
        <v>3947</v>
      </c>
      <c r="L89" s="12">
        <f ca="1">IFERROR(__xludf.DUMMYFUNCTION("""COMPUTED_VALUE"""),6515)</f>
        <v>6515</v>
      </c>
      <c r="M89" s="12">
        <f ca="1">IFERROR(__xludf.DUMMYFUNCTION("""COMPUTED_VALUE"""),14231)</f>
        <v>14231</v>
      </c>
      <c r="N89" s="12">
        <f ca="1">IFERROR(__xludf.DUMMYFUNCTION("""COMPUTED_VALUE"""),7065)</f>
        <v>7065</v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1:38" ht="13.2" x14ac:dyDescent="0.25">
      <c r="A90" s="11" t="str">
        <f ca="1">IFERROR(__xludf.DUMMYFUNCTION("""COMPUTED_VALUE"""),"                     left Presubiculum")</f>
        <v xml:space="preserve">                     left Presubiculum</v>
      </c>
      <c r="B90" s="12">
        <f ca="1">IFERROR(__xludf.DUMMYFUNCTION("""COMPUTED_VALUE"""),2392)</f>
        <v>2392</v>
      </c>
      <c r="C90" s="12">
        <f ca="1">IFERROR(__xludf.DUMMYFUNCTION("""COMPUTED_VALUE"""),5662)</f>
        <v>5662</v>
      </c>
      <c r="D90" s="12">
        <f ca="1">IFERROR(__xludf.DUMMYFUNCTION("""COMPUTED_VALUE"""),2924)</f>
        <v>2924</v>
      </c>
      <c r="E90" s="12">
        <f ca="1">IFERROR(__xludf.DUMMYFUNCTION("""COMPUTED_VALUE"""),8114)</f>
        <v>8114</v>
      </c>
      <c r="F90" s="12">
        <f ca="1">IFERROR(__xludf.DUMMYFUNCTION("""COMPUTED_VALUE"""),6357)</f>
        <v>6357</v>
      </c>
      <c r="G90" s="12">
        <f ca="1">IFERROR(__xludf.DUMMYFUNCTION("""COMPUTED_VALUE"""),3486)</f>
        <v>3486</v>
      </c>
      <c r="H90" s="12">
        <f ca="1">IFERROR(__xludf.DUMMYFUNCTION("""COMPUTED_VALUE"""),3332)</f>
        <v>3332</v>
      </c>
      <c r="I90" s="12">
        <f ca="1">IFERROR(__xludf.DUMMYFUNCTION("""COMPUTED_VALUE"""),3804)</f>
        <v>3804</v>
      </c>
      <c r="J90" s="12">
        <f ca="1">IFERROR(__xludf.DUMMYFUNCTION("""COMPUTED_VALUE"""),4027)</f>
        <v>4027</v>
      </c>
      <c r="K90" s="12">
        <f ca="1">IFERROR(__xludf.DUMMYFUNCTION("""COMPUTED_VALUE"""),4207)</f>
        <v>4207</v>
      </c>
      <c r="L90" s="12">
        <f ca="1">IFERROR(__xludf.DUMMYFUNCTION("""COMPUTED_VALUE"""),6274)</f>
        <v>6274</v>
      </c>
      <c r="M90" s="12">
        <f ca="1">IFERROR(__xludf.DUMMYFUNCTION("""COMPUTED_VALUE"""),7725)</f>
        <v>7725</v>
      </c>
      <c r="N90" s="12">
        <f ca="1">IFERROR(__xludf.DUMMYFUNCTION("""COMPUTED_VALUE"""),4801)</f>
        <v>4801</v>
      </c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1:38" ht="13.2" x14ac:dyDescent="0.25">
      <c r="A91" s="11" t="str">
        <f ca="1">IFERROR(__xludf.DUMMYFUNCTION("""COMPUTED_VALUE"""),"                     left Subiculum")</f>
        <v xml:space="preserve">                     left Subiculum</v>
      </c>
      <c r="B91" s="12">
        <f ca="1">IFERROR(__xludf.DUMMYFUNCTION("""COMPUTED_VALUE"""),12637)</f>
        <v>12637</v>
      </c>
      <c r="C91" s="12">
        <f ca="1">IFERROR(__xludf.DUMMYFUNCTION("""COMPUTED_VALUE"""),5281)</f>
        <v>5281</v>
      </c>
      <c r="D91" s="12">
        <f ca="1">IFERROR(__xludf.DUMMYFUNCTION("""COMPUTED_VALUE"""),4345)</f>
        <v>4345</v>
      </c>
      <c r="E91" s="12">
        <f ca="1">IFERROR(__xludf.DUMMYFUNCTION("""COMPUTED_VALUE"""),6586)</f>
        <v>6586</v>
      </c>
      <c r="F91" s="12">
        <f ca="1">IFERROR(__xludf.DUMMYFUNCTION("""COMPUTED_VALUE"""),4869)</f>
        <v>4869</v>
      </c>
      <c r="G91" s="12">
        <f ca="1">IFERROR(__xludf.DUMMYFUNCTION("""COMPUTED_VALUE"""),2826)</f>
        <v>2826</v>
      </c>
      <c r="H91" s="12">
        <f ca="1">IFERROR(__xludf.DUMMYFUNCTION("""COMPUTED_VALUE"""),4707)</f>
        <v>4707</v>
      </c>
      <c r="I91" s="12">
        <f ca="1">IFERROR(__xludf.DUMMYFUNCTION("""COMPUTED_VALUE"""),5007)</f>
        <v>5007</v>
      </c>
      <c r="J91" s="12">
        <f ca="1">IFERROR(__xludf.DUMMYFUNCTION("""COMPUTED_VALUE"""),4360)</f>
        <v>4360</v>
      </c>
      <c r="K91" s="12">
        <f ca="1">IFERROR(__xludf.DUMMYFUNCTION("""COMPUTED_VALUE"""),3978)</f>
        <v>3978</v>
      </c>
      <c r="L91" s="12">
        <f ca="1">IFERROR(__xludf.DUMMYFUNCTION("""COMPUTED_VALUE"""),3454)</f>
        <v>3454</v>
      </c>
      <c r="M91" s="12">
        <f ca="1">IFERROR(__xludf.DUMMYFUNCTION("""COMPUTED_VALUE"""),10510)</f>
        <v>10510</v>
      </c>
      <c r="N91" s="12">
        <f ca="1">IFERROR(__xludf.DUMMYFUNCTION("""COMPUTED_VALUE"""),5557)</f>
        <v>5557</v>
      </c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1:38" ht="13.2" x14ac:dyDescent="0.25">
      <c r="A92" s="11" t="str">
        <f ca="1">IFERROR(__xludf.DUMMYFUNCTION("""COMPUTED_VALUE"""),"                     left Prosubiculum")</f>
        <v xml:space="preserve">                     left Prosubiculum</v>
      </c>
      <c r="B92" s="12">
        <f ca="1">IFERROR(__xludf.DUMMYFUNCTION("""COMPUTED_VALUE"""),14659)</f>
        <v>14659</v>
      </c>
      <c r="C92" s="12">
        <f ca="1">IFERROR(__xludf.DUMMYFUNCTION("""COMPUTED_VALUE"""),10085)</f>
        <v>10085</v>
      </c>
      <c r="D92" s="12">
        <f ca="1">IFERROR(__xludf.DUMMYFUNCTION("""COMPUTED_VALUE"""),5474)</f>
        <v>5474</v>
      </c>
      <c r="E92" s="12">
        <f ca="1">IFERROR(__xludf.DUMMYFUNCTION("""COMPUTED_VALUE"""),6617)</f>
        <v>6617</v>
      </c>
      <c r="F92" s="12">
        <f ca="1">IFERROR(__xludf.DUMMYFUNCTION("""COMPUTED_VALUE"""),4866)</f>
        <v>4866</v>
      </c>
      <c r="G92" s="12">
        <f ca="1">IFERROR(__xludf.DUMMYFUNCTION("""COMPUTED_VALUE"""),2898)</f>
        <v>2898</v>
      </c>
      <c r="H92" s="12">
        <f ca="1">IFERROR(__xludf.DUMMYFUNCTION("""COMPUTED_VALUE"""),5997)</f>
        <v>5997</v>
      </c>
      <c r="I92" s="12">
        <f ca="1">IFERROR(__xludf.DUMMYFUNCTION("""COMPUTED_VALUE"""),6767)</f>
        <v>6767</v>
      </c>
      <c r="J92" s="12">
        <f ca="1">IFERROR(__xludf.DUMMYFUNCTION("""COMPUTED_VALUE"""),5358)</f>
        <v>5358</v>
      </c>
      <c r="K92" s="12">
        <f ca="1">IFERROR(__xludf.DUMMYFUNCTION("""COMPUTED_VALUE"""),4894)</f>
        <v>4894</v>
      </c>
      <c r="L92" s="12">
        <f ca="1">IFERROR(__xludf.DUMMYFUNCTION("""COMPUTED_VALUE"""),4946)</f>
        <v>4946</v>
      </c>
      <c r="M92" s="12">
        <f ca="1">IFERROR(__xludf.DUMMYFUNCTION("""COMPUTED_VALUE"""),12757)</f>
        <v>12757</v>
      </c>
      <c r="N92" s="12">
        <f ca="1">IFERROR(__xludf.DUMMYFUNCTION("""COMPUTED_VALUE"""),7020)</f>
        <v>7020</v>
      </c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1:38" ht="13.2" x14ac:dyDescent="0.25">
      <c r="A93" s="11" t="str">
        <f ca="1">IFERROR(__xludf.DUMMYFUNCTION("""COMPUTED_VALUE"""),"                     left Hippocampo-amygdalar transition area")</f>
        <v xml:space="preserve">                     left Hippocampo-amygdalar transition area</v>
      </c>
      <c r="B93" s="12">
        <f ca="1">IFERROR(__xludf.DUMMYFUNCTION("""COMPUTED_VALUE"""),5579)</f>
        <v>5579</v>
      </c>
      <c r="C93" s="12">
        <f ca="1">IFERROR(__xludf.DUMMYFUNCTION("""COMPUTED_VALUE"""),4753)</f>
        <v>4753</v>
      </c>
      <c r="D93" s="12">
        <f ca="1">IFERROR(__xludf.DUMMYFUNCTION("""COMPUTED_VALUE"""),4958)</f>
        <v>4958</v>
      </c>
      <c r="E93" s="12">
        <f ca="1">IFERROR(__xludf.DUMMYFUNCTION("""COMPUTED_VALUE"""),6390)</f>
        <v>6390</v>
      </c>
      <c r="F93" s="12">
        <f ca="1">IFERROR(__xludf.DUMMYFUNCTION("""COMPUTED_VALUE"""),2527)</f>
        <v>2527</v>
      </c>
      <c r="G93" s="12">
        <f ca="1">IFERROR(__xludf.DUMMYFUNCTION("""COMPUTED_VALUE"""),4535)</f>
        <v>4535</v>
      </c>
      <c r="H93" s="12">
        <f ca="1">IFERROR(__xludf.DUMMYFUNCTION("""COMPUTED_VALUE"""),5705)</f>
        <v>5705</v>
      </c>
      <c r="I93" s="12">
        <f ca="1">IFERROR(__xludf.DUMMYFUNCTION("""COMPUTED_VALUE"""),8097)</f>
        <v>8097</v>
      </c>
      <c r="J93" s="12">
        <f ca="1">IFERROR(__xludf.DUMMYFUNCTION("""COMPUTED_VALUE"""),3060)</f>
        <v>3060</v>
      </c>
      <c r="K93" s="12">
        <f ca="1">IFERROR(__xludf.DUMMYFUNCTION("""COMPUTED_VALUE"""),4730)</f>
        <v>4730</v>
      </c>
      <c r="L93" s="12">
        <f ca="1">IFERROR(__xludf.DUMMYFUNCTION("""COMPUTED_VALUE"""),4105)</f>
        <v>4105</v>
      </c>
      <c r="M93" s="12">
        <f ca="1">IFERROR(__xludf.DUMMYFUNCTION("""COMPUTED_VALUE"""),4595)</f>
        <v>4595</v>
      </c>
      <c r="N93" s="12">
        <f ca="1">IFERROR(__xludf.DUMMYFUNCTION("""COMPUTED_VALUE"""),5058)</f>
        <v>5058</v>
      </c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1:38" ht="13.2" x14ac:dyDescent="0.25">
      <c r="A94" s="11" t="str">
        <f ca="1">IFERROR(__xludf.DUMMYFUNCTION("""COMPUTED_VALUE"""),"                     left Area prostriata")</f>
        <v xml:space="preserve">                     left Area prostriata</v>
      </c>
      <c r="B94" s="12">
        <f ca="1">IFERROR(__xludf.DUMMYFUNCTION("""COMPUTED_VALUE"""),9023)</f>
        <v>9023</v>
      </c>
      <c r="C94" s="12">
        <f ca="1">IFERROR(__xludf.DUMMYFUNCTION("""COMPUTED_VALUE"""),12115)</f>
        <v>12115</v>
      </c>
      <c r="D94" s="12">
        <f ca="1">IFERROR(__xludf.DUMMYFUNCTION("""COMPUTED_VALUE"""),4613)</f>
        <v>4613</v>
      </c>
      <c r="E94" s="12">
        <f ca="1">IFERROR(__xludf.DUMMYFUNCTION("""COMPUTED_VALUE"""),8583)</f>
        <v>8583</v>
      </c>
      <c r="F94" s="12">
        <f ca="1">IFERROR(__xludf.DUMMYFUNCTION("""COMPUTED_VALUE"""),8082)</f>
        <v>8082</v>
      </c>
      <c r="G94" s="12">
        <f ca="1">IFERROR(__xludf.DUMMYFUNCTION("""COMPUTED_VALUE"""),4529)</f>
        <v>4529</v>
      </c>
      <c r="H94" s="12">
        <f ca="1">IFERROR(__xludf.DUMMYFUNCTION("""COMPUTED_VALUE"""),6365)</f>
        <v>6365</v>
      </c>
      <c r="I94" s="12">
        <f ca="1">IFERROR(__xludf.DUMMYFUNCTION("""COMPUTED_VALUE"""),3966)</f>
        <v>3966</v>
      </c>
      <c r="J94" s="12">
        <f ca="1">IFERROR(__xludf.DUMMYFUNCTION("""COMPUTED_VALUE"""),4267)</f>
        <v>4267</v>
      </c>
      <c r="K94" s="12">
        <f ca="1">IFERROR(__xludf.DUMMYFUNCTION("""COMPUTED_VALUE"""),5589)</f>
        <v>5589</v>
      </c>
      <c r="L94" s="12">
        <f ca="1">IFERROR(__xludf.DUMMYFUNCTION("""COMPUTED_VALUE"""),11735)</f>
        <v>11735</v>
      </c>
      <c r="M94" s="12">
        <f ca="1">IFERROR(__xludf.DUMMYFUNCTION("""COMPUTED_VALUE"""),10614)</f>
        <v>10614</v>
      </c>
      <c r="N94" s="12">
        <f ca="1">IFERROR(__xludf.DUMMYFUNCTION("""COMPUTED_VALUE"""),7415)</f>
        <v>7415</v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1:38" ht="13.2" x14ac:dyDescent="0.25">
      <c r="A95" s="11" t="str">
        <f ca="1">IFERROR(__xludf.DUMMYFUNCTION("""COMPUTED_VALUE"""),"            left Cortical subplate")</f>
        <v xml:space="preserve">            left Cortical subplate</v>
      </c>
      <c r="B95" s="12">
        <f ca="1">IFERROR(__xludf.DUMMYFUNCTION("""COMPUTED_VALUE"""),9276)</f>
        <v>9276</v>
      </c>
      <c r="C95" s="12">
        <f ca="1">IFERROR(__xludf.DUMMYFUNCTION("""COMPUTED_VALUE"""),6669)</f>
        <v>6669</v>
      </c>
      <c r="D95" s="12">
        <f ca="1">IFERROR(__xludf.DUMMYFUNCTION("""COMPUTED_VALUE"""),7359)</f>
        <v>7359</v>
      </c>
      <c r="E95" s="12">
        <f ca="1">IFERROR(__xludf.DUMMYFUNCTION("""COMPUTED_VALUE"""),7016)</f>
        <v>7016</v>
      </c>
      <c r="F95" s="12">
        <f ca="1">IFERROR(__xludf.DUMMYFUNCTION("""COMPUTED_VALUE"""),4214)</f>
        <v>4214</v>
      </c>
      <c r="G95" s="12">
        <f ca="1">IFERROR(__xludf.DUMMYFUNCTION("""COMPUTED_VALUE"""),4322)</f>
        <v>4322</v>
      </c>
      <c r="H95" s="12">
        <f ca="1">IFERROR(__xludf.DUMMYFUNCTION("""COMPUTED_VALUE"""),8433)</f>
        <v>8433</v>
      </c>
      <c r="I95" s="12">
        <f ca="1">IFERROR(__xludf.DUMMYFUNCTION("""COMPUTED_VALUE"""),10675)</f>
        <v>10675</v>
      </c>
      <c r="J95" s="12">
        <f ca="1">IFERROR(__xludf.DUMMYFUNCTION("""COMPUTED_VALUE"""),6450)</f>
        <v>6450</v>
      </c>
      <c r="K95" s="12">
        <f ca="1">IFERROR(__xludf.DUMMYFUNCTION("""COMPUTED_VALUE"""),5521)</f>
        <v>5521</v>
      </c>
      <c r="L95" s="12">
        <f ca="1">IFERROR(__xludf.DUMMYFUNCTION("""COMPUTED_VALUE"""),5741)</f>
        <v>5741</v>
      </c>
      <c r="M95" s="12">
        <f ca="1">IFERROR(__xludf.DUMMYFUNCTION("""COMPUTED_VALUE"""),6253)</f>
        <v>6253</v>
      </c>
      <c r="N95" s="12">
        <f ca="1">IFERROR(__xludf.DUMMYFUNCTION("""COMPUTED_VALUE"""),6929)</f>
        <v>6929</v>
      </c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1:38" ht="13.2" x14ac:dyDescent="0.25">
      <c r="A96" s="11" t="str">
        <f ca="1">IFERROR(__xludf.DUMMYFUNCTION("""COMPUTED_VALUE"""),"               left Claustrum")</f>
        <v xml:space="preserve">               left Claustrum</v>
      </c>
      <c r="B96" s="12">
        <f ca="1">IFERROR(__xludf.DUMMYFUNCTION("""COMPUTED_VALUE"""),17677)</f>
        <v>17677</v>
      </c>
      <c r="C96" s="12">
        <f ca="1">IFERROR(__xludf.DUMMYFUNCTION("""COMPUTED_VALUE"""),10029)</f>
        <v>10029</v>
      </c>
      <c r="D96" s="12">
        <f ca="1">IFERROR(__xludf.DUMMYFUNCTION("""COMPUTED_VALUE"""),9289)</f>
        <v>9289</v>
      </c>
      <c r="E96" s="12">
        <f ca="1">IFERROR(__xludf.DUMMYFUNCTION("""COMPUTED_VALUE"""),11141)</f>
        <v>11141</v>
      </c>
      <c r="F96" s="12">
        <f ca="1">IFERROR(__xludf.DUMMYFUNCTION("""COMPUTED_VALUE"""),7799)</f>
        <v>7799</v>
      </c>
      <c r="G96" s="12">
        <f ca="1">IFERROR(__xludf.DUMMYFUNCTION("""COMPUTED_VALUE"""),7645)</f>
        <v>7645</v>
      </c>
      <c r="H96" s="12">
        <f ca="1">IFERROR(__xludf.DUMMYFUNCTION("""COMPUTED_VALUE"""),10332)</f>
        <v>10332</v>
      </c>
      <c r="I96" s="12">
        <f ca="1">IFERROR(__xludf.DUMMYFUNCTION("""COMPUTED_VALUE"""),22515)</f>
        <v>22515</v>
      </c>
      <c r="J96" s="12">
        <f ca="1">IFERROR(__xludf.DUMMYFUNCTION("""COMPUTED_VALUE"""),16964)</f>
        <v>16964</v>
      </c>
      <c r="K96" s="12">
        <f ca="1">IFERROR(__xludf.DUMMYFUNCTION("""COMPUTED_VALUE"""),10195)</f>
        <v>10195</v>
      </c>
      <c r="L96" s="12">
        <f ca="1">IFERROR(__xludf.DUMMYFUNCTION("""COMPUTED_VALUE"""),7436)</f>
        <v>7436</v>
      </c>
      <c r="M96" s="12">
        <f ca="1">IFERROR(__xludf.DUMMYFUNCTION("""COMPUTED_VALUE"""),5191)</f>
        <v>5191</v>
      </c>
      <c r="N96" s="12">
        <f ca="1">IFERROR(__xludf.DUMMYFUNCTION("""COMPUTED_VALUE"""),11441)</f>
        <v>11441</v>
      </c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1:38" ht="13.2" x14ac:dyDescent="0.25">
      <c r="A97" s="11" t="str">
        <f ca="1">IFERROR(__xludf.DUMMYFUNCTION("""COMPUTED_VALUE"""),"               left Endopiriform nucleus")</f>
        <v xml:space="preserve">               left Endopiriform nucleus</v>
      </c>
      <c r="B97" s="12">
        <f ca="1">IFERROR(__xludf.DUMMYFUNCTION("""COMPUTED_VALUE"""),8895)</f>
        <v>8895</v>
      </c>
      <c r="C97" s="12">
        <f ca="1">IFERROR(__xludf.DUMMYFUNCTION("""COMPUTED_VALUE"""),6334)</f>
        <v>6334</v>
      </c>
      <c r="D97" s="12">
        <f ca="1">IFERROR(__xludf.DUMMYFUNCTION("""COMPUTED_VALUE"""),6246)</f>
        <v>6246</v>
      </c>
      <c r="E97" s="12">
        <f ca="1">IFERROR(__xludf.DUMMYFUNCTION("""COMPUTED_VALUE"""),6386)</f>
        <v>6386</v>
      </c>
      <c r="F97" s="12">
        <f ca="1">IFERROR(__xludf.DUMMYFUNCTION("""COMPUTED_VALUE"""),4078)</f>
        <v>4078</v>
      </c>
      <c r="G97" s="12">
        <f ca="1">IFERROR(__xludf.DUMMYFUNCTION("""COMPUTED_VALUE"""),4213)</f>
        <v>4213</v>
      </c>
      <c r="H97" s="12">
        <f ca="1">IFERROR(__xludf.DUMMYFUNCTION("""COMPUTED_VALUE"""),6726)</f>
        <v>6726</v>
      </c>
      <c r="I97" s="12">
        <f ca="1">IFERROR(__xludf.DUMMYFUNCTION("""COMPUTED_VALUE"""),8399)</f>
        <v>8399</v>
      </c>
      <c r="J97" s="12">
        <f ca="1">IFERROR(__xludf.DUMMYFUNCTION("""COMPUTED_VALUE"""),6955)</f>
        <v>6955</v>
      </c>
      <c r="K97" s="12">
        <f ca="1">IFERROR(__xludf.DUMMYFUNCTION("""COMPUTED_VALUE"""),4168)</f>
        <v>4168</v>
      </c>
      <c r="L97" s="12">
        <f ca="1">IFERROR(__xludf.DUMMYFUNCTION("""COMPUTED_VALUE"""),4776)</f>
        <v>4776</v>
      </c>
      <c r="M97" s="12">
        <f ca="1">IFERROR(__xludf.DUMMYFUNCTION("""COMPUTED_VALUE"""),6056)</f>
        <v>6056</v>
      </c>
      <c r="N97" s="12">
        <f ca="1">IFERROR(__xludf.DUMMYFUNCTION("""COMPUTED_VALUE"""),6162)</f>
        <v>6162</v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1:38" ht="13.2" x14ac:dyDescent="0.25">
      <c r="A98" s="11" t="str">
        <f ca="1">IFERROR(__xludf.DUMMYFUNCTION("""COMPUTED_VALUE"""),"                  left Endopiriform nucleus, dorsal part")</f>
        <v xml:space="preserve">                  left Endopiriform nucleus, dorsal part</v>
      </c>
      <c r="B98" s="12">
        <f ca="1">IFERROR(__xludf.DUMMYFUNCTION("""COMPUTED_VALUE"""),10133)</f>
        <v>10133</v>
      </c>
      <c r="C98" s="12">
        <f ca="1">IFERROR(__xludf.DUMMYFUNCTION("""COMPUTED_VALUE"""),6772)</f>
        <v>6772</v>
      </c>
      <c r="D98" s="12">
        <f ca="1">IFERROR(__xludf.DUMMYFUNCTION("""COMPUTED_VALUE"""),6678)</f>
        <v>6678</v>
      </c>
      <c r="E98" s="12">
        <f ca="1">IFERROR(__xludf.DUMMYFUNCTION("""COMPUTED_VALUE"""),7068)</f>
        <v>7068</v>
      </c>
      <c r="F98" s="12">
        <f ca="1">IFERROR(__xludf.DUMMYFUNCTION("""COMPUTED_VALUE"""),4371)</f>
        <v>4371</v>
      </c>
      <c r="G98" s="12">
        <f ca="1">IFERROR(__xludf.DUMMYFUNCTION("""COMPUTED_VALUE"""),4516)</f>
        <v>4516</v>
      </c>
      <c r="H98" s="12">
        <f ca="1">IFERROR(__xludf.DUMMYFUNCTION("""COMPUTED_VALUE"""),7710)</f>
        <v>7710</v>
      </c>
      <c r="I98" s="12">
        <f ca="1">IFERROR(__xludf.DUMMYFUNCTION("""COMPUTED_VALUE"""),9942)</f>
        <v>9942</v>
      </c>
      <c r="J98" s="12">
        <f ca="1">IFERROR(__xludf.DUMMYFUNCTION("""COMPUTED_VALUE"""),8177)</f>
        <v>8177</v>
      </c>
      <c r="K98" s="12">
        <f ca="1">IFERROR(__xludf.DUMMYFUNCTION("""COMPUTED_VALUE"""),4544)</f>
        <v>4544</v>
      </c>
      <c r="L98" s="12">
        <f ca="1">IFERROR(__xludf.DUMMYFUNCTION("""COMPUTED_VALUE"""),4809)</f>
        <v>4809</v>
      </c>
      <c r="M98" s="12">
        <f ca="1">IFERROR(__xludf.DUMMYFUNCTION("""COMPUTED_VALUE"""),6526)</f>
        <v>6526</v>
      </c>
      <c r="N98" s="12">
        <f ca="1">IFERROR(__xludf.DUMMYFUNCTION("""COMPUTED_VALUE"""),6838)</f>
        <v>6838</v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1:38" ht="13.2" x14ac:dyDescent="0.25">
      <c r="A99" s="11" t="str">
        <f ca="1">IFERROR(__xludf.DUMMYFUNCTION("""COMPUTED_VALUE"""),"                  left Endopiriform nucleus, ventral part")</f>
        <v xml:space="preserve">                  left Endopiriform nucleus, ventral part</v>
      </c>
      <c r="B99" s="12">
        <f ca="1">IFERROR(__xludf.DUMMYFUNCTION("""COMPUTED_VALUE"""),6583)</f>
        <v>6583</v>
      </c>
      <c r="C99" s="12">
        <f ca="1">IFERROR(__xludf.DUMMYFUNCTION("""COMPUTED_VALUE"""),5516)</f>
        <v>5516</v>
      </c>
      <c r="D99" s="12">
        <f ca="1">IFERROR(__xludf.DUMMYFUNCTION("""COMPUTED_VALUE"""),5437)</f>
        <v>5437</v>
      </c>
      <c r="E99" s="12">
        <f ca="1">IFERROR(__xludf.DUMMYFUNCTION("""COMPUTED_VALUE"""),5113)</f>
        <v>5113</v>
      </c>
      <c r="F99" s="12">
        <f ca="1">IFERROR(__xludf.DUMMYFUNCTION("""COMPUTED_VALUE"""),3529)</f>
        <v>3529</v>
      </c>
      <c r="G99" s="12">
        <f ca="1">IFERROR(__xludf.DUMMYFUNCTION("""COMPUTED_VALUE"""),3647)</f>
        <v>3647</v>
      </c>
      <c r="H99" s="12">
        <f ca="1">IFERROR(__xludf.DUMMYFUNCTION("""COMPUTED_VALUE"""),4888)</f>
        <v>4888</v>
      </c>
      <c r="I99" s="12">
        <f ca="1">IFERROR(__xludf.DUMMYFUNCTION("""COMPUTED_VALUE"""),5516)</f>
        <v>5516</v>
      </c>
      <c r="J99" s="12">
        <f ca="1">IFERROR(__xludf.DUMMYFUNCTION("""COMPUTED_VALUE"""),4673)</f>
        <v>4673</v>
      </c>
      <c r="K99" s="12">
        <f ca="1">IFERROR(__xludf.DUMMYFUNCTION("""COMPUTED_VALUE"""),3466)</f>
        <v>3466</v>
      </c>
      <c r="L99" s="12">
        <f ca="1">IFERROR(__xludf.DUMMYFUNCTION("""COMPUTED_VALUE"""),4714)</f>
        <v>4714</v>
      </c>
      <c r="M99" s="12">
        <f ca="1">IFERROR(__xludf.DUMMYFUNCTION("""COMPUTED_VALUE"""),5177)</f>
        <v>5177</v>
      </c>
      <c r="N99" s="12">
        <f ca="1">IFERROR(__xludf.DUMMYFUNCTION("""COMPUTED_VALUE"""),4898)</f>
        <v>4898</v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1:38" ht="13.2" x14ac:dyDescent="0.25">
      <c r="A100" s="11" t="str">
        <f ca="1">IFERROR(__xludf.DUMMYFUNCTION("""COMPUTED_VALUE"""),"               left Lateral amygdalar nucleus")</f>
        <v xml:space="preserve">               left Lateral amygdalar nucleus</v>
      </c>
      <c r="B100" s="12">
        <f ca="1">IFERROR(__xludf.DUMMYFUNCTION("""COMPUTED_VALUE"""),12755)</f>
        <v>12755</v>
      </c>
      <c r="C100" s="12">
        <f ca="1">IFERROR(__xludf.DUMMYFUNCTION("""COMPUTED_VALUE"""),6780)</f>
        <v>6780</v>
      </c>
      <c r="D100" s="12">
        <f ca="1">IFERROR(__xludf.DUMMYFUNCTION("""COMPUTED_VALUE"""),10218)</f>
        <v>10218</v>
      </c>
      <c r="E100" s="12">
        <f ca="1">IFERROR(__xludf.DUMMYFUNCTION("""COMPUTED_VALUE"""),9094)</f>
        <v>9094</v>
      </c>
      <c r="F100" s="12">
        <f ca="1">IFERROR(__xludf.DUMMYFUNCTION("""COMPUTED_VALUE"""),6727)</f>
        <v>6727</v>
      </c>
      <c r="G100" s="12">
        <f ca="1">IFERROR(__xludf.DUMMYFUNCTION("""COMPUTED_VALUE"""),7326)</f>
        <v>7326</v>
      </c>
      <c r="H100" s="12">
        <f ca="1">IFERROR(__xludf.DUMMYFUNCTION("""COMPUTED_VALUE"""),17423)</f>
        <v>17423</v>
      </c>
      <c r="I100" s="12">
        <f ca="1">IFERROR(__xludf.DUMMYFUNCTION("""COMPUTED_VALUE"""),22704)</f>
        <v>22704</v>
      </c>
      <c r="J100" s="12">
        <f ca="1">IFERROR(__xludf.DUMMYFUNCTION("""COMPUTED_VALUE"""),8843)</f>
        <v>8843</v>
      </c>
      <c r="K100" s="12">
        <f ca="1">IFERROR(__xludf.DUMMYFUNCTION("""COMPUTED_VALUE"""),10376)</f>
        <v>10376</v>
      </c>
      <c r="L100" s="12">
        <f ca="1">IFERROR(__xludf.DUMMYFUNCTION("""COMPUTED_VALUE"""),7157)</f>
        <v>7157</v>
      </c>
      <c r="M100" s="12">
        <f ca="1">IFERROR(__xludf.DUMMYFUNCTION("""COMPUTED_VALUE"""),8700)</f>
        <v>8700</v>
      </c>
      <c r="N100" s="12">
        <f ca="1">IFERROR(__xludf.DUMMYFUNCTION("""COMPUTED_VALUE"""),10907)</f>
        <v>10907</v>
      </c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1:38" ht="13.2" x14ac:dyDescent="0.25">
      <c r="A101" s="11" t="str">
        <f ca="1">IFERROR(__xludf.DUMMYFUNCTION("""COMPUTED_VALUE"""),"               left Basolateral amygdalar nucleus")</f>
        <v xml:space="preserve">               left Basolateral amygdalar nucleus</v>
      </c>
      <c r="B101" s="12">
        <f ca="1">IFERROR(__xludf.DUMMYFUNCTION("""COMPUTED_VALUE"""),8063)</f>
        <v>8063</v>
      </c>
      <c r="C101" s="12">
        <f ca="1">IFERROR(__xludf.DUMMYFUNCTION("""COMPUTED_VALUE"""),6429)</f>
        <v>6429</v>
      </c>
      <c r="D101" s="12">
        <f ca="1">IFERROR(__xludf.DUMMYFUNCTION("""COMPUTED_VALUE"""),6879)</f>
        <v>6879</v>
      </c>
      <c r="E101" s="12">
        <f ca="1">IFERROR(__xludf.DUMMYFUNCTION("""COMPUTED_VALUE"""),6064)</f>
        <v>6064</v>
      </c>
      <c r="F101" s="12">
        <f ca="1">IFERROR(__xludf.DUMMYFUNCTION("""COMPUTED_VALUE"""),3954)</f>
        <v>3954</v>
      </c>
      <c r="G101" s="12">
        <f ca="1">IFERROR(__xludf.DUMMYFUNCTION("""COMPUTED_VALUE"""),3738)</f>
        <v>3738</v>
      </c>
      <c r="H101" s="12">
        <f ca="1">IFERROR(__xludf.DUMMYFUNCTION("""COMPUTED_VALUE"""),7055)</f>
        <v>7055</v>
      </c>
      <c r="I101" s="12">
        <f ca="1">IFERROR(__xludf.DUMMYFUNCTION("""COMPUTED_VALUE"""),9432)</f>
        <v>9432</v>
      </c>
      <c r="J101" s="12">
        <f ca="1">IFERROR(__xludf.DUMMYFUNCTION("""COMPUTED_VALUE"""),4553)</f>
        <v>4553</v>
      </c>
      <c r="K101" s="12">
        <f ca="1">IFERROR(__xludf.DUMMYFUNCTION("""COMPUTED_VALUE"""),5860)</f>
        <v>5860</v>
      </c>
      <c r="L101" s="12">
        <f ca="1">IFERROR(__xludf.DUMMYFUNCTION("""COMPUTED_VALUE"""),5401)</f>
        <v>5401</v>
      </c>
      <c r="M101" s="12">
        <f ca="1">IFERROR(__xludf.DUMMYFUNCTION("""COMPUTED_VALUE"""),5513)</f>
        <v>5513</v>
      </c>
      <c r="N101" s="12">
        <f ca="1">IFERROR(__xludf.DUMMYFUNCTION("""COMPUTED_VALUE"""),6187)</f>
        <v>6187</v>
      </c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1:38" ht="13.2" x14ac:dyDescent="0.25">
      <c r="A102" s="11" t="str">
        <f ca="1">IFERROR(__xludf.DUMMYFUNCTION("""COMPUTED_VALUE"""),"                  left Basolateral amygdalar nucleus, anterior part")</f>
        <v xml:space="preserve">                  left Basolateral amygdalar nucleus, anterior part</v>
      </c>
      <c r="B102" s="12">
        <f ca="1">IFERROR(__xludf.DUMMYFUNCTION("""COMPUTED_VALUE"""),10987)</f>
        <v>10987</v>
      </c>
      <c r="C102" s="12">
        <f ca="1">IFERROR(__xludf.DUMMYFUNCTION("""COMPUTED_VALUE"""),6871)</f>
        <v>6871</v>
      </c>
      <c r="D102" s="12">
        <f ca="1">IFERROR(__xludf.DUMMYFUNCTION("""COMPUTED_VALUE"""),8170)</f>
        <v>8170</v>
      </c>
      <c r="E102" s="12">
        <f ca="1">IFERROR(__xludf.DUMMYFUNCTION("""COMPUTED_VALUE"""),7868)</f>
        <v>7868</v>
      </c>
      <c r="F102" s="12">
        <f ca="1">IFERROR(__xludf.DUMMYFUNCTION("""COMPUTED_VALUE"""),5174)</f>
        <v>5174</v>
      </c>
      <c r="G102" s="12">
        <f ca="1">IFERROR(__xludf.DUMMYFUNCTION("""COMPUTED_VALUE"""),5010)</f>
        <v>5010</v>
      </c>
      <c r="H102" s="12">
        <f ca="1">IFERROR(__xludf.DUMMYFUNCTION("""COMPUTED_VALUE"""),7181)</f>
        <v>7181</v>
      </c>
      <c r="I102" s="12">
        <f ca="1">IFERROR(__xludf.DUMMYFUNCTION("""COMPUTED_VALUE"""),12054)</f>
        <v>12054</v>
      </c>
      <c r="J102" s="12">
        <f ca="1">IFERROR(__xludf.DUMMYFUNCTION("""COMPUTED_VALUE"""),6853)</f>
        <v>6853</v>
      </c>
      <c r="K102" s="12">
        <f ca="1">IFERROR(__xludf.DUMMYFUNCTION("""COMPUTED_VALUE"""),7053)</f>
        <v>7053</v>
      </c>
      <c r="L102" s="12">
        <f ca="1">IFERROR(__xludf.DUMMYFUNCTION("""COMPUTED_VALUE"""),5641)</f>
        <v>5641</v>
      </c>
      <c r="M102" s="12">
        <f ca="1">IFERROR(__xludf.DUMMYFUNCTION("""COMPUTED_VALUE"""),6245)</f>
        <v>6245</v>
      </c>
      <c r="N102" s="12">
        <f ca="1">IFERROR(__xludf.DUMMYFUNCTION("""COMPUTED_VALUE"""),7518)</f>
        <v>7518</v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1:38" ht="13.2" x14ac:dyDescent="0.25">
      <c r="A103" s="11" t="str">
        <f ca="1">IFERROR(__xludf.DUMMYFUNCTION("""COMPUTED_VALUE"""),"                  left Basolateral amygdalar nucleus, posterior part")</f>
        <v xml:space="preserve">                  left Basolateral amygdalar nucleus, posterior part</v>
      </c>
      <c r="B103" s="12">
        <f ca="1">IFERROR(__xludf.DUMMYFUNCTION("""COMPUTED_VALUE"""),7768)</f>
        <v>7768</v>
      </c>
      <c r="C103" s="12">
        <f ca="1">IFERROR(__xludf.DUMMYFUNCTION("""COMPUTED_VALUE"""),7211)</f>
        <v>7211</v>
      </c>
      <c r="D103" s="12">
        <f ca="1">IFERROR(__xludf.DUMMYFUNCTION("""COMPUTED_VALUE"""),7249)</f>
        <v>7249</v>
      </c>
      <c r="E103" s="12">
        <f ca="1">IFERROR(__xludf.DUMMYFUNCTION("""COMPUTED_VALUE"""),5250)</f>
        <v>5250</v>
      </c>
      <c r="F103" s="12">
        <f ca="1">IFERROR(__xludf.DUMMYFUNCTION("""COMPUTED_VALUE"""),3491)</f>
        <v>3491</v>
      </c>
      <c r="G103" s="12">
        <f ca="1">IFERROR(__xludf.DUMMYFUNCTION("""COMPUTED_VALUE"""),3103)</f>
        <v>3103</v>
      </c>
      <c r="H103" s="12">
        <f ca="1">IFERROR(__xludf.DUMMYFUNCTION("""COMPUTED_VALUE"""),9136)</f>
        <v>9136</v>
      </c>
      <c r="I103" s="12">
        <f ca="1">IFERROR(__xludf.DUMMYFUNCTION("""COMPUTED_VALUE"""),9450)</f>
        <v>9450</v>
      </c>
      <c r="J103" s="12">
        <f ca="1">IFERROR(__xludf.DUMMYFUNCTION("""COMPUTED_VALUE"""),3897)</f>
        <v>3897</v>
      </c>
      <c r="K103" s="12">
        <f ca="1">IFERROR(__xludf.DUMMYFUNCTION("""COMPUTED_VALUE"""),6363)</f>
        <v>6363</v>
      </c>
      <c r="L103" s="12">
        <f ca="1">IFERROR(__xludf.DUMMYFUNCTION("""COMPUTED_VALUE"""),5612)</f>
        <v>5612</v>
      </c>
      <c r="M103" s="12">
        <f ca="1">IFERROR(__xludf.DUMMYFUNCTION("""COMPUTED_VALUE"""),5760)</f>
        <v>5760</v>
      </c>
      <c r="N103" s="12">
        <f ca="1">IFERROR(__xludf.DUMMYFUNCTION("""COMPUTED_VALUE"""),6334)</f>
        <v>6334</v>
      </c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1:38" ht="13.2" x14ac:dyDescent="0.25">
      <c r="A104" s="11" t="str">
        <f ca="1">IFERROR(__xludf.DUMMYFUNCTION("""COMPUTED_VALUE"""),"                  left Basolateral amygdalar nucleus, ventral part")</f>
        <v xml:space="preserve">                  left Basolateral amygdalar nucleus, ventral part</v>
      </c>
      <c r="B104" s="12">
        <f ca="1">IFERROR(__xludf.DUMMYFUNCTION("""COMPUTED_VALUE"""),3183)</f>
        <v>3183</v>
      </c>
      <c r="C104" s="12">
        <f ca="1">IFERROR(__xludf.DUMMYFUNCTION("""COMPUTED_VALUE"""),4289)</f>
        <v>4289</v>
      </c>
      <c r="D104" s="12">
        <f ca="1">IFERROR(__xludf.DUMMYFUNCTION("""COMPUTED_VALUE"""),3873)</f>
        <v>3873</v>
      </c>
      <c r="E104" s="12">
        <f ca="1">IFERROR(__xludf.DUMMYFUNCTION("""COMPUTED_VALUE"""),4128)</f>
        <v>4128</v>
      </c>
      <c r="F104" s="12">
        <f ca="1">IFERROR(__xludf.DUMMYFUNCTION("""COMPUTED_VALUE"""),2497)</f>
        <v>2497</v>
      </c>
      <c r="G104" s="12">
        <f ca="1">IFERROR(__xludf.DUMMYFUNCTION("""COMPUTED_VALUE"""),2474)</f>
        <v>2474</v>
      </c>
      <c r="H104" s="12">
        <f ca="1">IFERROR(__xludf.DUMMYFUNCTION("""COMPUTED_VALUE"""),3287)</f>
        <v>3287</v>
      </c>
      <c r="I104" s="12">
        <f ca="1">IFERROR(__xludf.DUMMYFUNCTION("""COMPUTED_VALUE"""),4576)</f>
        <v>4576</v>
      </c>
      <c r="J104" s="12">
        <f ca="1">IFERROR(__xludf.DUMMYFUNCTION("""COMPUTED_VALUE"""),1432)</f>
        <v>1432</v>
      </c>
      <c r="K104" s="12">
        <f ca="1">IFERROR(__xludf.DUMMYFUNCTION("""COMPUTED_VALUE"""),2812)</f>
        <v>2812</v>
      </c>
      <c r="L104" s="12">
        <f ca="1">IFERROR(__xludf.DUMMYFUNCTION("""COMPUTED_VALUE"""),4600)</f>
        <v>4600</v>
      </c>
      <c r="M104" s="12">
        <f ca="1">IFERROR(__xludf.DUMMYFUNCTION("""COMPUTED_VALUE"""),3746)</f>
        <v>3746</v>
      </c>
      <c r="N104" s="12">
        <f ca="1">IFERROR(__xludf.DUMMYFUNCTION("""COMPUTED_VALUE"""),3488)</f>
        <v>3488</v>
      </c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1:38" ht="13.2" x14ac:dyDescent="0.25">
      <c r="A105" s="11" t="str">
        <f ca="1">IFERROR(__xludf.DUMMYFUNCTION("""COMPUTED_VALUE"""),"               left Basomedial amygdalar nucleus")</f>
        <v xml:space="preserve">               left Basomedial amygdalar nucleus</v>
      </c>
      <c r="B105" s="12">
        <f ca="1">IFERROR(__xludf.DUMMYFUNCTION("""COMPUTED_VALUE"""),8237)</f>
        <v>8237</v>
      </c>
      <c r="C105" s="12">
        <f ca="1">IFERROR(__xludf.DUMMYFUNCTION("""COMPUTED_VALUE"""),6823)</f>
        <v>6823</v>
      </c>
      <c r="D105" s="12">
        <f ca="1">IFERROR(__xludf.DUMMYFUNCTION("""COMPUTED_VALUE"""),7947)</f>
        <v>7947</v>
      </c>
      <c r="E105" s="12">
        <f ca="1">IFERROR(__xludf.DUMMYFUNCTION("""COMPUTED_VALUE"""),8561)</f>
        <v>8561</v>
      </c>
      <c r="F105" s="12">
        <f ca="1">IFERROR(__xludf.DUMMYFUNCTION("""COMPUTED_VALUE"""),3347)</f>
        <v>3347</v>
      </c>
      <c r="G105" s="12">
        <f ca="1">IFERROR(__xludf.DUMMYFUNCTION("""COMPUTED_VALUE"""),3931)</f>
        <v>3931</v>
      </c>
      <c r="H105" s="12">
        <f ca="1">IFERROR(__xludf.DUMMYFUNCTION("""COMPUTED_VALUE"""),8042)</f>
        <v>8042</v>
      </c>
      <c r="I105" s="12">
        <f ca="1">IFERROR(__xludf.DUMMYFUNCTION("""COMPUTED_VALUE"""),8639)</f>
        <v>8639</v>
      </c>
      <c r="J105" s="12">
        <f ca="1">IFERROR(__xludf.DUMMYFUNCTION("""COMPUTED_VALUE"""),4763)</f>
        <v>4763</v>
      </c>
      <c r="K105" s="12">
        <f ca="1">IFERROR(__xludf.DUMMYFUNCTION("""COMPUTED_VALUE"""),5028)</f>
        <v>5028</v>
      </c>
      <c r="L105" s="12">
        <f ca="1">IFERROR(__xludf.DUMMYFUNCTION("""COMPUTED_VALUE"""),6904)</f>
        <v>6904</v>
      </c>
      <c r="M105" s="12">
        <f ca="1">IFERROR(__xludf.DUMMYFUNCTION("""COMPUTED_VALUE"""),7013)</f>
        <v>7013</v>
      </c>
      <c r="N105" s="12">
        <f ca="1">IFERROR(__xludf.DUMMYFUNCTION("""COMPUTED_VALUE"""),6703)</f>
        <v>6703</v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1:38" ht="13.2" x14ac:dyDescent="0.25">
      <c r="A106" s="11" t="str">
        <f ca="1">IFERROR(__xludf.DUMMYFUNCTION("""COMPUTED_VALUE"""),"                  left Basomedial amygdalar nucleus, anterior part")</f>
        <v xml:space="preserve">                  left Basomedial amygdalar nucleus, anterior part</v>
      </c>
      <c r="B106" s="12">
        <f ca="1">IFERROR(__xludf.DUMMYFUNCTION("""COMPUTED_VALUE"""),7921)</f>
        <v>7921</v>
      </c>
      <c r="C106" s="12">
        <f ca="1">IFERROR(__xludf.DUMMYFUNCTION("""COMPUTED_VALUE"""),7071)</f>
        <v>7071</v>
      </c>
      <c r="D106" s="12">
        <f ca="1">IFERROR(__xludf.DUMMYFUNCTION("""COMPUTED_VALUE"""),6967)</f>
        <v>6967</v>
      </c>
      <c r="E106" s="12">
        <f ca="1">IFERROR(__xludf.DUMMYFUNCTION("""COMPUTED_VALUE"""),9263)</f>
        <v>9263</v>
      </c>
      <c r="F106" s="12">
        <f ca="1">IFERROR(__xludf.DUMMYFUNCTION("""COMPUTED_VALUE"""),2373)</f>
        <v>2373</v>
      </c>
      <c r="G106" s="12">
        <f ca="1">IFERROR(__xludf.DUMMYFUNCTION("""COMPUTED_VALUE"""),3071)</f>
        <v>3071</v>
      </c>
      <c r="H106" s="12">
        <f ca="1">IFERROR(__xludf.DUMMYFUNCTION("""COMPUTED_VALUE"""),6448)</f>
        <v>6448</v>
      </c>
      <c r="I106" s="12">
        <f ca="1">IFERROR(__xludf.DUMMYFUNCTION("""COMPUTED_VALUE"""),7370)</f>
        <v>7370</v>
      </c>
      <c r="J106" s="12">
        <f ca="1">IFERROR(__xludf.DUMMYFUNCTION("""COMPUTED_VALUE"""),5340)</f>
        <v>5340</v>
      </c>
      <c r="K106" s="12">
        <f ca="1">IFERROR(__xludf.DUMMYFUNCTION("""COMPUTED_VALUE"""),4828)</f>
        <v>4828</v>
      </c>
      <c r="L106" s="12">
        <f ca="1">IFERROR(__xludf.DUMMYFUNCTION("""COMPUTED_VALUE"""),5389)</f>
        <v>5389</v>
      </c>
      <c r="M106" s="12">
        <f ca="1">IFERROR(__xludf.DUMMYFUNCTION("""COMPUTED_VALUE"""),6672)</f>
        <v>6672</v>
      </c>
      <c r="N106" s="12">
        <f ca="1">IFERROR(__xludf.DUMMYFUNCTION("""COMPUTED_VALUE"""),6139)</f>
        <v>6139</v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1:38" ht="13.2" x14ac:dyDescent="0.25">
      <c r="A107" s="11" t="str">
        <f ca="1">IFERROR(__xludf.DUMMYFUNCTION("""COMPUTED_VALUE"""),"                  left Basomedial amygdalar nucleus, posterior part")</f>
        <v xml:space="preserve">                  left Basomedial amygdalar nucleus, posterior part</v>
      </c>
      <c r="B107" s="12">
        <f ca="1">IFERROR(__xludf.DUMMYFUNCTION("""COMPUTED_VALUE"""),8575)</f>
        <v>8575</v>
      </c>
      <c r="C107" s="12">
        <f ca="1">IFERROR(__xludf.DUMMYFUNCTION("""COMPUTED_VALUE"""),6557)</f>
        <v>6557</v>
      </c>
      <c r="D107" s="12">
        <f ca="1">IFERROR(__xludf.DUMMYFUNCTION("""COMPUTED_VALUE"""),8996)</f>
        <v>8996</v>
      </c>
      <c r="E107" s="12">
        <f ca="1">IFERROR(__xludf.DUMMYFUNCTION("""COMPUTED_VALUE"""),7809)</f>
        <v>7809</v>
      </c>
      <c r="F107" s="12">
        <f ca="1">IFERROR(__xludf.DUMMYFUNCTION("""COMPUTED_VALUE"""),4390)</f>
        <v>4390</v>
      </c>
      <c r="G107" s="12">
        <f ca="1">IFERROR(__xludf.DUMMYFUNCTION("""COMPUTED_VALUE"""),4853)</f>
        <v>4853</v>
      </c>
      <c r="H107" s="12">
        <f ca="1">IFERROR(__xludf.DUMMYFUNCTION("""COMPUTED_VALUE"""),9749)</f>
        <v>9749</v>
      </c>
      <c r="I107" s="12">
        <f ca="1">IFERROR(__xludf.DUMMYFUNCTION("""COMPUTED_VALUE"""),9999)</f>
        <v>9999</v>
      </c>
      <c r="J107" s="12">
        <f ca="1">IFERROR(__xludf.DUMMYFUNCTION("""COMPUTED_VALUE"""),4145)</f>
        <v>4145</v>
      </c>
      <c r="K107" s="12">
        <f ca="1">IFERROR(__xludf.DUMMYFUNCTION("""COMPUTED_VALUE"""),5241)</f>
        <v>5241</v>
      </c>
      <c r="L107" s="12">
        <f ca="1">IFERROR(__xludf.DUMMYFUNCTION("""COMPUTED_VALUE"""),8526)</f>
        <v>8526</v>
      </c>
      <c r="M107" s="12">
        <f ca="1">IFERROR(__xludf.DUMMYFUNCTION("""COMPUTED_VALUE"""),7378)</f>
        <v>7378</v>
      </c>
      <c r="N107" s="12">
        <f ca="1">IFERROR(__xludf.DUMMYFUNCTION("""COMPUTED_VALUE"""),7307)</f>
        <v>7307</v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1:38" ht="13.2" x14ac:dyDescent="0.25">
      <c r="A108" s="11" t="str">
        <f ca="1">IFERROR(__xludf.DUMMYFUNCTION("""COMPUTED_VALUE"""),"               left Posterior amygdalar nucleus")</f>
        <v xml:space="preserve">               left Posterior amygdalar nucleus</v>
      </c>
      <c r="B108" s="12">
        <f ca="1">IFERROR(__xludf.DUMMYFUNCTION("""COMPUTED_VALUE"""),7279)</f>
        <v>7279</v>
      </c>
      <c r="C108" s="12">
        <f ca="1">IFERROR(__xludf.DUMMYFUNCTION("""COMPUTED_VALUE"""),6077)</f>
        <v>6077</v>
      </c>
      <c r="D108" s="12">
        <f ca="1">IFERROR(__xludf.DUMMYFUNCTION("""COMPUTED_VALUE"""),7363)</f>
        <v>7363</v>
      </c>
      <c r="E108" s="12">
        <f ca="1">IFERROR(__xludf.DUMMYFUNCTION("""COMPUTED_VALUE"""),4725)</f>
        <v>4725</v>
      </c>
      <c r="F108" s="12">
        <f ca="1">IFERROR(__xludf.DUMMYFUNCTION("""COMPUTED_VALUE"""),2512)</f>
        <v>2512</v>
      </c>
      <c r="G108" s="12">
        <f ca="1">IFERROR(__xludf.DUMMYFUNCTION("""COMPUTED_VALUE"""),2286)</f>
        <v>2286</v>
      </c>
      <c r="H108" s="12">
        <f ca="1">IFERROR(__xludf.DUMMYFUNCTION("""COMPUTED_VALUE"""),8411)</f>
        <v>8411</v>
      </c>
      <c r="I108" s="12">
        <f ca="1">IFERROR(__xludf.DUMMYFUNCTION("""COMPUTED_VALUE"""),6781)</f>
        <v>6781</v>
      </c>
      <c r="J108" s="12">
        <f ca="1">IFERROR(__xludf.DUMMYFUNCTION("""COMPUTED_VALUE"""),3555)</f>
        <v>3555</v>
      </c>
      <c r="K108" s="12">
        <f ca="1">IFERROR(__xludf.DUMMYFUNCTION("""COMPUTED_VALUE"""),3435)</f>
        <v>3435</v>
      </c>
      <c r="L108" s="12">
        <f ca="1">IFERROR(__xludf.DUMMYFUNCTION("""COMPUTED_VALUE"""),5444)</f>
        <v>5444</v>
      </c>
      <c r="M108" s="12">
        <f ca="1">IFERROR(__xludf.DUMMYFUNCTION("""COMPUTED_VALUE"""),6031)</f>
        <v>6031</v>
      </c>
      <c r="N108" s="12">
        <f ca="1">IFERROR(__xludf.DUMMYFUNCTION("""COMPUTED_VALUE"""),5437)</f>
        <v>5437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1:38" ht="13.2" x14ac:dyDescent="0.25">
      <c r="A109" s="12" t="str">
        <f ca="1">IFERROR(__xludf.DUMMYFUNCTION("""COMPUTED_VALUE"""),"         left Cerebral nuclei")</f>
        <v xml:space="preserve">         left Cerebral nuclei</v>
      </c>
      <c r="B109" s="12">
        <f ca="1">IFERROR(__xludf.DUMMYFUNCTION("""COMPUTED_VALUE"""),7316)</f>
        <v>7316</v>
      </c>
      <c r="C109" s="12">
        <f ca="1">IFERROR(__xludf.DUMMYFUNCTION("""COMPUTED_VALUE"""),6298)</f>
        <v>6298</v>
      </c>
      <c r="D109" s="12">
        <f ca="1">IFERROR(__xludf.DUMMYFUNCTION("""COMPUTED_VALUE"""),4530)</f>
        <v>4530</v>
      </c>
      <c r="E109" s="12">
        <f ca="1">IFERROR(__xludf.DUMMYFUNCTION("""COMPUTED_VALUE"""),4600)</f>
        <v>4600</v>
      </c>
      <c r="F109" s="12">
        <f ca="1">IFERROR(__xludf.DUMMYFUNCTION("""COMPUTED_VALUE"""),2504)</f>
        <v>2504</v>
      </c>
      <c r="G109" s="12">
        <f ca="1">IFERROR(__xludf.DUMMYFUNCTION("""COMPUTED_VALUE"""),2128)</f>
        <v>2128</v>
      </c>
      <c r="H109" s="12">
        <f ca="1">IFERROR(__xludf.DUMMYFUNCTION("""COMPUTED_VALUE"""),6516)</f>
        <v>6516</v>
      </c>
      <c r="I109" s="12">
        <f ca="1">IFERROR(__xludf.DUMMYFUNCTION("""COMPUTED_VALUE"""),8057)</f>
        <v>8057</v>
      </c>
      <c r="J109" s="12">
        <f ca="1">IFERROR(__xludf.DUMMYFUNCTION("""COMPUTED_VALUE"""),4223)</f>
        <v>4223</v>
      </c>
      <c r="K109" s="12">
        <f ca="1">IFERROR(__xludf.DUMMYFUNCTION("""COMPUTED_VALUE"""),2652)</f>
        <v>2652</v>
      </c>
      <c r="L109" s="12">
        <f ca="1">IFERROR(__xludf.DUMMYFUNCTION("""COMPUTED_VALUE"""),2483)</f>
        <v>2483</v>
      </c>
      <c r="M109" s="12">
        <f ca="1">IFERROR(__xludf.DUMMYFUNCTION("""COMPUTED_VALUE"""),4127)</f>
        <v>4127</v>
      </c>
      <c r="N109" s="12">
        <f ca="1">IFERROR(__xludf.DUMMYFUNCTION("""COMPUTED_VALUE"""),4844)</f>
        <v>4844</v>
      </c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1:38" ht="13.2" x14ac:dyDescent="0.25">
      <c r="A110" s="12" t="str">
        <f ca="1">IFERROR(__xludf.DUMMYFUNCTION("""COMPUTED_VALUE"""),"            left Striatum")</f>
        <v xml:space="preserve">            left Striatum</v>
      </c>
      <c r="B110" s="12">
        <f ca="1">IFERROR(__xludf.DUMMYFUNCTION("""COMPUTED_VALUE"""),7742)</f>
        <v>7742</v>
      </c>
      <c r="C110" s="12">
        <f ca="1">IFERROR(__xludf.DUMMYFUNCTION("""COMPUTED_VALUE"""),6743)</f>
        <v>6743</v>
      </c>
      <c r="D110" s="12">
        <f ca="1">IFERROR(__xludf.DUMMYFUNCTION("""COMPUTED_VALUE"""),4905)</f>
        <v>4905</v>
      </c>
      <c r="E110" s="12">
        <f ca="1">IFERROR(__xludf.DUMMYFUNCTION("""COMPUTED_VALUE"""),4936)</f>
        <v>4936</v>
      </c>
      <c r="F110" s="12">
        <f ca="1">IFERROR(__xludf.DUMMYFUNCTION("""COMPUTED_VALUE"""),2703)</f>
        <v>2703</v>
      </c>
      <c r="G110" s="12">
        <f ca="1">IFERROR(__xludf.DUMMYFUNCTION("""COMPUTED_VALUE"""),2328)</f>
        <v>2328</v>
      </c>
      <c r="H110" s="12">
        <f ca="1">IFERROR(__xludf.DUMMYFUNCTION("""COMPUTED_VALUE"""),6795)</f>
        <v>6795</v>
      </c>
      <c r="I110" s="12">
        <f ca="1">IFERROR(__xludf.DUMMYFUNCTION("""COMPUTED_VALUE"""),8681)</f>
        <v>8681</v>
      </c>
      <c r="J110" s="12">
        <f ca="1">IFERROR(__xludf.DUMMYFUNCTION("""COMPUTED_VALUE"""),4510)</f>
        <v>4510</v>
      </c>
      <c r="K110" s="12">
        <f ca="1">IFERROR(__xludf.DUMMYFUNCTION("""COMPUTED_VALUE"""),2805)</f>
        <v>2805</v>
      </c>
      <c r="L110" s="12">
        <f ca="1">IFERROR(__xludf.DUMMYFUNCTION("""COMPUTED_VALUE"""),2734)</f>
        <v>2734</v>
      </c>
      <c r="M110" s="12">
        <f ca="1">IFERROR(__xludf.DUMMYFUNCTION("""COMPUTED_VALUE"""),4443)</f>
        <v>4443</v>
      </c>
      <c r="N110" s="12">
        <f ca="1">IFERROR(__xludf.DUMMYFUNCTION("""COMPUTED_VALUE"""),5183)</f>
        <v>5183</v>
      </c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1:38" ht="13.2" x14ac:dyDescent="0.25">
      <c r="A111" s="12" t="str">
        <f ca="1">IFERROR(__xludf.DUMMYFUNCTION("""COMPUTED_VALUE"""),"               left Striatum dorsal region")</f>
        <v xml:space="preserve">               left Striatum dorsal region</v>
      </c>
      <c r="B111" s="12">
        <f ca="1">IFERROR(__xludf.DUMMYFUNCTION("""COMPUTED_VALUE"""),6948)</f>
        <v>6948</v>
      </c>
      <c r="C111" s="12">
        <f ca="1">IFERROR(__xludf.DUMMYFUNCTION("""COMPUTED_VALUE"""),6303)</f>
        <v>6303</v>
      </c>
      <c r="D111" s="12">
        <f ca="1">IFERROR(__xludf.DUMMYFUNCTION("""COMPUTED_VALUE"""),3924)</f>
        <v>3924</v>
      </c>
      <c r="E111" s="12">
        <f ca="1">IFERROR(__xludf.DUMMYFUNCTION("""COMPUTED_VALUE"""),4111)</f>
        <v>4111</v>
      </c>
      <c r="F111" s="12">
        <f ca="1">IFERROR(__xludf.DUMMYFUNCTION("""COMPUTED_VALUE"""),2196)</f>
        <v>2196</v>
      </c>
      <c r="G111" s="12">
        <f ca="1">IFERROR(__xludf.DUMMYFUNCTION("""COMPUTED_VALUE"""),1768)</f>
        <v>1768</v>
      </c>
      <c r="H111" s="12">
        <f ca="1">IFERROR(__xludf.DUMMYFUNCTION("""COMPUTED_VALUE"""),5417)</f>
        <v>5417</v>
      </c>
      <c r="I111" s="12">
        <f ca="1">IFERROR(__xludf.DUMMYFUNCTION("""COMPUTED_VALUE"""),7835)</f>
        <v>7835</v>
      </c>
      <c r="J111" s="12">
        <f ca="1">IFERROR(__xludf.DUMMYFUNCTION("""COMPUTED_VALUE"""),3862)</f>
        <v>3862</v>
      </c>
      <c r="K111" s="12">
        <f ca="1">IFERROR(__xludf.DUMMYFUNCTION("""COMPUTED_VALUE"""),2377)</f>
        <v>2377</v>
      </c>
      <c r="L111" s="12">
        <f ca="1">IFERROR(__xludf.DUMMYFUNCTION("""COMPUTED_VALUE"""),2250)</f>
        <v>2250</v>
      </c>
      <c r="M111" s="12">
        <f ca="1">IFERROR(__xludf.DUMMYFUNCTION("""COMPUTED_VALUE"""),3986)</f>
        <v>3986</v>
      </c>
      <c r="N111" s="12">
        <f ca="1">IFERROR(__xludf.DUMMYFUNCTION("""COMPUTED_VALUE"""),4458)</f>
        <v>4458</v>
      </c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1:38" ht="13.2" x14ac:dyDescent="0.25">
      <c r="A112" s="12" t="str">
        <f ca="1">IFERROR(__xludf.DUMMYFUNCTION("""COMPUTED_VALUE"""),"                  left Caudoputamen")</f>
        <v xml:space="preserve">                  left Caudoputamen</v>
      </c>
      <c r="B112" s="12">
        <f ca="1">IFERROR(__xludf.DUMMYFUNCTION("""COMPUTED_VALUE"""),6948)</f>
        <v>6948</v>
      </c>
      <c r="C112" s="12">
        <f ca="1">IFERROR(__xludf.DUMMYFUNCTION("""COMPUTED_VALUE"""),6303)</f>
        <v>6303</v>
      </c>
      <c r="D112" s="12">
        <f ca="1">IFERROR(__xludf.DUMMYFUNCTION("""COMPUTED_VALUE"""),3924)</f>
        <v>3924</v>
      </c>
      <c r="E112" s="12">
        <f ca="1">IFERROR(__xludf.DUMMYFUNCTION("""COMPUTED_VALUE"""),4111)</f>
        <v>4111</v>
      </c>
      <c r="F112" s="12">
        <f ca="1">IFERROR(__xludf.DUMMYFUNCTION("""COMPUTED_VALUE"""),2196)</f>
        <v>2196</v>
      </c>
      <c r="G112" s="12">
        <f ca="1">IFERROR(__xludf.DUMMYFUNCTION("""COMPUTED_VALUE"""),1768)</f>
        <v>1768</v>
      </c>
      <c r="H112" s="12">
        <f ca="1">IFERROR(__xludf.DUMMYFUNCTION("""COMPUTED_VALUE"""),5417)</f>
        <v>5417</v>
      </c>
      <c r="I112" s="12">
        <f ca="1">IFERROR(__xludf.DUMMYFUNCTION("""COMPUTED_VALUE"""),7835)</f>
        <v>7835</v>
      </c>
      <c r="J112" s="12">
        <f ca="1">IFERROR(__xludf.DUMMYFUNCTION("""COMPUTED_VALUE"""),3862)</f>
        <v>3862</v>
      </c>
      <c r="K112" s="12">
        <f ca="1">IFERROR(__xludf.DUMMYFUNCTION("""COMPUTED_VALUE"""),2377)</f>
        <v>2377</v>
      </c>
      <c r="L112" s="12">
        <f ca="1">IFERROR(__xludf.DUMMYFUNCTION("""COMPUTED_VALUE"""),2250)</f>
        <v>2250</v>
      </c>
      <c r="M112" s="12">
        <f ca="1">IFERROR(__xludf.DUMMYFUNCTION("""COMPUTED_VALUE"""),3986)</f>
        <v>3986</v>
      </c>
      <c r="N112" s="12">
        <f ca="1">IFERROR(__xludf.DUMMYFUNCTION("""COMPUTED_VALUE"""),4458)</f>
        <v>4458</v>
      </c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1:38" ht="13.2" x14ac:dyDescent="0.25">
      <c r="A113" s="12" t="str">
        <f ca="1">IFERROR(__xludf.DUMMYFUNCTION("""COMPUTED_VALUE"""),"               left Striatum ventral region")</f>
        <v xml:space="preserve">               left Striatum ventral region</v>
      </c>
      <c r="B113" s="12">
        <f ca="1">IFERROR(__xludf.DUMMYFUNCTION("""COMPUTED_VALUE"""),7865)</f>
        <v>7865</v>
      </c>
      <c r="C113" s="12">
        <f ca="1">IFERROR(__xludf.DUMMYFUNCTION("""COMPUTED_VALUE"""),7358)</f>
        <v>7358</v>
      </c>
      <c r="D113" s="12">
        <f ca="1">IFERROR(__xludf.DUMMYFUNCTION("""COMPUTED_VALUE"""),5410)</f>
        <v>5410</v>
      </c>
      <c r="E113" s="12">
        <f ca="1">IFERROR(__xludf.DUMMYFUNCTION("""COMPUTED_VALUE"""),4672)</f>
        <v>4672</v>
      </c>
      <c r="F113" s="12">
        <f ca="1">IFERROR(__xludf.DUMMYFUNCTION("""COMPUTED_VALUE"""),1941)</f>
        <v>1941</v>
      </c>
      <c r="G113" s="12">
        <f ca="1">IFERROR(__xludf.DUMMYFUNCTION("""COMPUTED_VALUE"""),1981)</f>
        <v>1981</v>
      </c>
      <c r="H113" s="12">
        <f ca="1">IFERROR(__xludf.DUMMYFUNCTION("""COMPUTED_VALUE"""),9232)</f>
        <v>9232</v>
      </c>
      <c r="I113" s="12">
        <f ca="1">IFERROR(__xludf.DUMMYFUNCTION("""COMPUTED_VALUE"""),9692)</f>
        <v>9692</v>
      </c>
      <c r="J113" s="12">
        <f ca="1">IFERROR(__xludf.DUMMYFUNCTION("""COMPUTED_VALUE"""),5300)</f>
        <v>5300</v>
      </c>
      <c r="K113" s="12">
        <f ca="1">IFERROR(__xludf.DUMMYFUNCTION("""COMPUTED_VALUE"""),2262)</f>
        <v>2262</v>
      </c>
      <c r="L113" s="12">
        <f ca="1">IFERROR(__xludf.DUMMYFUNCTION("""COMPUTED_VALUE"""),2537)</f>
        <v>2537</v>
      </c>
      <c r="M113" s="12">
        <f ca="1">IFERROR(__xludf.DUMMYFUNCTION("""COMPUTED_VALUE"""),3814)</f>
        <v>3814</v>
      </c>
      <c r="N113" s="12">
        <f ca="1">IFERROR(__xludf.DUMMYFUNCTION("""COMPUTED_VALUE"""),5498)</f>
        <v>5498</v>
      </c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1:38" ht="13.2" x14ac:dyDescent="0.25">
      <c r="A114" s="12" t="str">
        <f ca="1">IFERROR(__xludf.DUMMYFUNCTION("""COMPUTED_VALUE"""),"                  left Nucleus accumbens")</f>
        <v xml:space="preserve">                  left Nucleus accumbens</v>
      </c>
      <c r="B114" s="12">
        <f ca="1">IFERROR(__xludf.DUMMYFUNCTION("""COMPUTED_VALUE"""),10178)</f>
        <v>10178</v>
      </c>
      <c r="C114" s="12">
        <f ca="1">IFERROR(__xludf.DUMMYFUNCTION("""COMPUTED_VALUE"""),9200)</f>
        <v>9200</v>
      </c>
      <c r="D114" s="12">
        <f ca="1">IFERROR(__xludf.DUMMYFUNCTION("""COMPUTED_VALUE"""),6593)</f>
        <v>6593</v>
      </c>
      <c r="E114" s="12">
        <f ca="1">IFERROR(__xludf.DUMMYFUNCTION("""COMPUTED_VALUE"""),6578)</f>
        <v>6578</v>
      </c>
      <c r="F114" s="12">
        <f ca="1">IFERROR(__xludf.DUMMYFUNCTION("""COMPUTED_VALUE"""),3205)</f>
        <v>3205</v>
      </c>
      <c r="G114" s="12">
        <f ca="1">IFERROR(__xludf.DUMMYFUNCTION("""COMPUTED_VALUE"""),3244)</f>
        <v>3244</v>
      </c>
      <c r="H114" s="12">
        <f ca="1">IFERROR(__xludf.DUMMYFUNCTION("""COMPUTED_VALUE"""),11206)</f>
        <v>11206</v>
      </c>
      <c r="I114" s="12">
        <f ca="1">IFERROR(__xludf.DUMMYFUNCTION("""COMPUTED_VALUE"""),12438)</f>
        <v>12438</v>
      </c>
      <c r="J114" s="12">
        <f ca="1">IFERROR(__xludf.DUMMYFUNCTION("""COMPUTED_VALUE"""),7283)</f>
        <v>7283</v>
      </c>
      <c r="K114" s="12">
        <f ca="1">IFERROR(__xludf.DUMMYFUNCTION("""COMPUTED_VALUE"""),2991)</f>
        <v>2991</v>
      </c>
      <c r="L114" s="12">
        <f ca="1">IFERROR(__xludf.DUMMYFUNCTION("""COMPUTED_VALUE"""),2759)</f>
        <v>2759</v>
      </c>
      <c r="M114" s="12">
        <f ca="1">IFERROR(__xludf.DUMMYFUNCTION("""COMPUTED_VALUE"""),5103)</f>
        <v>5103</v>
      </c>
      <c r="N114" s="12">
        <f ca="1">IFERROR(__xludf.DUMMYFUNCTION("""COMPUTED_VALUE"""),7147)</f>
        <v>7147</v>
      </c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1:38" ht="13.2" x14ac:dyDescent="0.25">
      <c r="A115" s="12" t="str">
        <f ca="1">IFERROR(__xludf.DUMMYFUNCTION("""COMPUTED_VALUE"""),"                  left Fundus of striatum")</f>
        <v xml:space="preserve">                  left Fundus of striatum</v>
      </c>
      <c r="B115" s="12">
        <f ca="1">IFERROR(__xludf.DUMMYFUNCTION("""COMPUTED_VALUE"""),7033)</f>
        <v>7033</v>
      </c>
      <c r="C115" s="12">
        <f ca="1">IFERROR(__xludf.DUMMYFUNCTION("""COMPUTED_VALUE"""),5966)</f>
        <v>5966</v>
      </c>
      <c r="D115" s="12">
        <f ca="1">IFERROR(__xludf.DUMMYFUNCTION("""COMPUTED_VALUE"""),4451)</f>
        <v>4451</v>
      </c>
      <c r="E115" s="12">
        <f ca="1">IFERROR(__xludf.DUMMYFUNCTION("""COMPUTED_VALUE"""),3072)</f>
        <v>3072</v>
      </c>
      <c r="F115" s="12">
        <f ca="1">IFERROR(__xludf.DUMMYFUNCTION("""COMPUTED_VALUE"""),1838)</f>
        <v>1838</v>
      </c>
      <c r="G115" s="12">
        <f ca="1">IFERROR(__xludf.DUMMYFUNCTION("""COMPUTED_VALUE"""),1121)</f>
        <v>1121</v>
      </c>
      <c r="H115" s="12">
        <f ca="1">IFERROR(__xludf.DUMMYFUNCTION("""COMPUTED_VALUE"""),6396)</f>
        <v>6396</v>
      </c>
      <c r="I115" s="12">
        <f ca="1">IFERROR(__xludf.DUMMYFUNCTION("""COMPUTED_VALUE"""),6741)</f>
        <v>6741</v>
      </c>
      <c r="J115" s="12">
        <f ca="1">IFERROR(__xludf.DUMMYFUNCTION("""COMPUTED_VALUE"""),6211)</f>
        <v>6211</v>
      </c>
      <c r="K115" s="12">
        <f ca="1">IFERROR(__xludf.DUMMYFUNCTION("""COMPUTED_VALUE"""),4320)</f>
        <v>4320</v>
      </c>
      <c r="L115" s="12">
        <f ca="1">IFERROR(__xludf.DUMMYFUNCTION("""COMPUTED_VALUE"""),2006)</f>
        <v>2006</v>
      </c>
      <c r="M115" s="12">
        <f ca="1">IFERROR(__xludf.DUMMYFUNCTION("""COMPUTED_VALUE"""),2091)</f>
        <v>2091</v>
      </c>
      <c r="N115" s="12">
        <f ca="1">IFERROR(__xludf.DUMMYFUNCTION("""COMPUTED_VALUE"""),4366)</f>
        <v>4366</v>
      </c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1:38" ht="13.2" x14ac:dyDescent="0.25">
      <c r="A116" s="12" t="str">
        <f ca="1">IFERROR(__xludf.DUMMYFUNCTION("""COMPUTED_VALUE"""),"                  left Olfactory tubercle")</f>
        <v xml:space="preserve">                  left Olfactory tubercle</v>
      </c>
      <c r="B116" s="12">
        <f ca="1">IFERROR(__xludf.DUMMYFUNCTION("""COMPUTED_VALUE"""),5295)</f>
        <v>5295</v>
      </c>
      <c r="C116" s="12">
        <f ca="1">IFERROR(__xludf.DUMMYFUNCTION("""COMPUTED_VALUE"""),5395)</f>
        <v>5395</v>
      </c>
      <c r="D116" s="12">
        <f ca="1">IFERROR(__xludf.DUMMYFUNCTION("""COMPUTED_VALUE"""),4156)</f>
        <v>4156</v>
      </c>
      <c r="E116" s="12">
        <f ca="1">IFERROR(__xludf.DUMMYFUNCTION("""COMPUTED_VALUE"""),2658)</f>
        <v>2658</v>
      </c>
      <c r="F116" s="12">
        <f ca="1">IFERROR(__xludf.DUMMYFUNCTION("""COMPUTED_VALUE"""),497)</f>
        <v>497</v>
      </c>
      <c r="G116" s="12">
        <f ca="1">IFERROR(__xludf.DUMMYFUNCTION("""COMPUTED_VALUE"""),624)</f>
        <v>624</v>
      </c>
      <c r="H116" s="12">
        <f ca="1">IFERROR(__xludf.DUMMYFUNCTION("""COMPUTED_VALUE"""),7280)</f>
        <v>7280</v>
      </c>
      <c r="I116" s="12">
        <f ca="1">IFERROR(__xludf.DUMMYFUNCTION("""COMPUTED_VALUE"""),6862)</f>
        <v>6862</v>
      </c>
      <c r="J116" s="12">
        <f ca="1">IFERROR(__xludf.DUMMYFUNCTION("""COMPUTED_VALUE"""),2912)</f>
        <v>2912</v>
      </c>
      <c r="K116" s="12">
        <f ca="1">IFERROR(__xludf.DUMMYFUNCTION("""COMPUTED_VALUE"""),1189)</f>
        <v>1189</v>
      </c>
      <c r="L116" s="12">
        <f ca="1">IFERROR(__xludf.DUMMYFUNCTION("""COMPUTED_VALUE"""),2341)</f>
        <v>2341</v>
      </c>
      <c r="M116" s="12">
        <f ca="1">IFERROR(__xludf.DUMMYFUNCTION("""COMPUTED_VALUE"""),2525)</f>
        <v>2525</v>
      </c>
      <c r="N116" s="12">
        <f ca="1">IFERROR(__xludf.DUMMYFUNCTION("""COMPUTED_VALUE"""),3727)</f>
        <v>3727</v>
      </c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1:38" ht="13.2" x14ac:dyDescent="0.25">
      <c r="A117" s="12" t="str">
        <f ca="1">IFERROR(__xludf.DUMMYFUNCTION("""COMPUTED_VALUE"""),"               left Lateral septal complex")</f>
        <v xml:space="preserve">               left Lateral septal complex</v>
      </c>
      <c r="B117" s="12">
        <f ca="1">IFERROR(__xludf.DUMMYFUNCTION("""COMPUTED_VALUE"""),11461)</f>
        <v>11461</v>
      </c>
      <c r="C117" s="12">
        <f ca="1">IFERROR(__xludf.DUMMYFUNCTION("""COMPUTED_VALUE"""),9371)</f>
        <v>9371</v>
      </c>
      <c r="D117" s="12">
        <f ca="1">IFERROR(__xludf.DUMMYFUNCTION("""COMPUTED_VALUE"""),9136)</f>
        <v>9136</v>
      </c>
      <c r="E117" s="12">
        <f ca="1">IFERROR(__xludf.DUMMYFUNCTION("""COMPUTED_VALUE"""),9083)</f>
        <v>9083</v>
      </c>
      <c r="F117" s="12">
        <f ca="1">IFERROR(__xludf.DUMMYFUNCTION("""COMPUTED_VALUE"""),7235)</f>
        <v>7235</v>
      </c>
      <c r="G117" s="12">
        <f ca="1">IFERROR(__xludf.DUMMYFUNCTION("""COMPUTED_VALUE"""),5357)</f>
        <v>5357</v>
      </c>
      <c r="H117" s="12">
        <f ca="1">IFERROR(__xludf.DUMMYFUNCTION("""COMPUTED_VALUE"""),9212)</f>
        <v>9212</v>
      </c>
      <c r="I117" s="12">
        <f ca="1">IFERROR(__xludf.DUMMYFUNCTION("""COMPUTED_VALUE"""),11903)</f>
        <v>11903</v>
      </c>
      <c r="J117" s="12">
        <f ca="1">IFERROR(__xludf.DUMMYFUNCTION("""COMPUTED_VALUE"""),6261)</f>
        <v>6261</v>
      </c>
      <c r="K117" s="12">
        <f ca="1">IFERROR(__xludf.DUMMYFUNCTION("""COMPUTED_VALUE"""),5122)</f>
        <v>5122</v>
      </c>
      <c r="L117" s="12">
        <f ca="1">IFERROR(__xludf.DUMMYFUNCTION("""COMPUTED_VALUE"""),3799)</f>
        <v>3799</v>
      </c>
      <c r="M117" s="12">
        <f ca="1">IFERROR(__xludf.DUMMYFUNCTION("""COMPUTED_VALUE"""),8984)</f>
        <v>8984</v>
      </c>
      <c r="N117" s="12">
        <f ca="1">IFERROR(__xludf.DUMMYFUNCTION("""COMPUTED_VALUE"""),8432)</f>
        <v>8432</v>
      </c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1:38" ht="13.2" x14ac:dyDescent="0.25">
      <c r="A118" s="12" t="str">
        <f ca="1">IFERROR(__xludf.DUMMYFUNCTION("""COMPUTED_VALUE"""),"                  left Lateral septal nucleus")</f>
        <v xml:space="preserve">                  left Lateral septal nucleus</v>
      </c>
      <c r="B118" s="12">
        <f ca="1">IFERROR(__xludf.DUMMYFUNCTION("""COMPUTED_VALUE"""),12049)</f>
        <v>12049</v>
      </c>
      <c r="C118" s="12">
        <f ca="1">IFERROR(__xludf.DUMMYFUNCTION("""COMPUTED_VALUE"""),9793)</f>
        <v>9793</v>
      </c>
      <c r="D118" s="12">
        <f ca="1">IFERROR(__xludf.DUMMYFUNCTION("""COMPUTED_VALUE"""),9696)</f>
        <v>9696</v>
      </c>
      <c r="E118" s="12">
        <f ca="1">IFERROR(__xludf.DUMMYFUNCTION("""COMPUTED_VALUE"""),9970)</f>
        <v>9970</v>
      </c>
      <c r="F118" s="12">
        <f ca="1">IFERROR(__xludf.DUMMYFUNCTION("""COMPUTED_VALUE"""),8082)</f>
        <v>8082</v>
      </c>
      <c r="G118" s="12">
        <f ca="1">IFERROR(__xludf.DUMMYFUNCTION("""COMPUTED_VALUE"""),6015)</f>
        <v>6015</v>
      </c>
      <c r="H118" s="12">
        <f ca="1">IFERROR(__xludf.DUMMYFUNCTION("""COMPUTED_VALUE"""),9893)</f>
        <v>9893</v>
      </c>
      <c r="I118" s="12">
        <f ca="1">IFERROR(__xludf.DUMMYFUNCTION("""COMPUTED_VALUE"""),13112)</f>
        <v>13112</v>
      </c>
      <c r="J118" s="12">
        <f ca="1">IFERROR(__xludf.DUMMYFUNCTION("""COMPUTED_VALUE"""),6895)</f>
        <v>6895</v>
      </c>
      <c r="K118" s="12">
        <f ca="1">IFERROR(__xludf.DUMMYFUNCTION("""COMPUTED_VALUE"""),5511)</f>
        <v>5511</v>
      </c>
      <c r="L118" s="12">
        <f ca="1">IFERROR(__xludf.DUMMYFUNCTION("""COMPUTED_VALUE"""),4159)</f>
        <v>4159</v>
      </c>
      <c r="M118" s="12">
        <f ca="1">IFERROR(__xludf.DUMMYFUNCTION("""COMPUTED_VALUE"""),9832)</f>
        <v>9832</v>
      </c>
      <c r="N118" s="12">
        <f ca="1">IFERROR(__xludf.DUMMYFUNCTION("""COMPUTED_VALUE"""),9125)</f>
        <v>9125</v>
      </c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1:38" ht="13.2" x14ac:dyDescent="0.25">
      <c r="A119" s="12" t="str">
        <f ca="1">IFERROR(__xludf.DUMMYFUNCTION("""COMPUTED_VALUE"""),"               left Striatum-like amygdalar nuclei")</f>
        <v xml:space="preserve">               left Striatum-like amygdalar nuclei</v>
      </c>
      <c r="B119" s="12">
        <f ca="1">IFERROR(__xludf.DUMMYFUNCTION("""COMPUTED_VALUE"""),9276)</f>
        <v>9276</v>
      </c>
      <c r="C119" s="12">
        <f ca="1">IFERROR(__xludf.DUMMYFUNCTION("""COMPUTED_VALUE"""),6253)</f>
        <v>6253</v>
      </c>
      <c r="D119" s="12">
        <f ca="1">IFERROR(__xludf.DUMMYFUNCTION("""COMPUTED_VALUE"""),5788)</f>
        <v>5788</v>
      </c>
      <c r="E119" s="12">
        <f ca="1">IFERROR(__xludf.DUMMYFUNCTION("""COMPUTED_VALUE"""),6384)</f>
        <v>6384</v>
      </c>
      <c r="F119" s="12">
        <f ca="1">IFERROR(__xludf.DUMMYFUNCTION("""COMPUTED_VALUE"""),2589)</f>
        <v>2589</v>
      </c>
      <c r="G119" s="12">
        <f ca="1">IFERROR(__xludf.DUMMYFUNCTION("""COMPUTED_VALUE"""),3076)</f>
        <v>3076</v>
      </c>
      <c r="H119" s="12">
        <f ca="1">IFERROR(__xludf.DUMMYFUNCTION("""COMPUTED_VALUE"""),7399)</f>
        <v>7399</v>
      </c>
      <c r="I119" s="12">
        <f ca="1">IFERROR(__xludf.DUMMYFUNCTION("""COMPUTED_VALUE"""),7782)</f>
        <v>7782</v>
      </c>
      <c r="J119" s="12">
        <f ca="1">IFERROR(__xludf.DUMMYFUNCTION("""COMPUTED_VALUE"""),4966)</f>
        <v>4966</v>
      </c>
      <c r="K119" s="12">
        <f ca="1">IFERROR(__xludf.DUMMYFUNCTION("""COMPUTED_VALUE"""),4021)</f>
        <v>4021</v>
      </c>
      <c r="L119" s="12">
        <f ca="1">IFERROR(__xludf.DUMMYFUNCTION("""COMPUTED_VALUE"""),5163)</f>
        <v>5163</v>
      </c>
      <c r="M119" s="12">
        <f ca="1">IFERROR(__xludf.DUMMYFUNCTION("""COMPUTED_VALUE"""),4951)</f>
        <v>4951</v>
      </c>
      <c r="N119" s="12">
        <f ca="1">IFERROR(__xludf.DUMMYFUNCTION("""COMPUTED_VALUE"""),5734)</f>
        <v>5734</v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1:38" ht="13.2" x14ac:dyDescent="0.25">
      <c r="A120" s="12" t="str">
        <f ca="1">IFERROR(__xludf.DUMMYFUNCTION("""COMPUTED_VALUE"""),"                  left Anterior amygdalar area")</f>
        <v xml:space="preserve">                  left Anterior amygdalar area</v>
      </c>
      <c r="B120" s="12">
        <f ca="1">IFERROR(__xludf.DUMMYFUNCTION("""COMPUTED_VALUE"""),2480)</f>
        <v>2480</v>
      </c>
      <c r="C120" s="12">
        <f ca="1">IFERROR(__xludf.DUMMYFUNCTION("""COMPUTED_VALUE"""),4087)</f>
        <v>4087</v>
      </c>
      <c r="D120" s="12">
        <f ca="1">IFERROR(__xludf.DUMMYFUNCTION("""COMPUTED_VALUE"""),3000)</f>
        <v>3000</v>
      </c>
      <c r="E120" s="12">
        <f ca="1">IFERROR(__xludf.DUMMYFUNCTION("""COMPUTED_VALUE"""),3773)</f>
        <v>3773</v>
      </c>
      <c r="F120" s="12">
        <f ca="1">IFERROR(__xludf.DUMMYFUNCTION("""COMPUTED_VALUE"""),1317)</f>
        <v>1317</v>
      </c>
      <c r="G120" s="12">
        <f ca="1">IFERROR(__xludf.DUMMYFUNCTION("""COMPUTED_VALUE"""),1541)</f>
        <v>1541</v>
      </c>
      <c r="H120" s="12">
        <f ca="1">IFERROR(__xludf.DUMMYFUNCTION("""COMPUTED_VALUE"""),4378)</f>
        <v>4378</v>
      </c>
      <c r="I120" s="12">
        <f ca="1">IFERROR(__xludf.DUMMYFUNCTION("""COMPUTED_VALUE"""),5164)</f>
        <v>5164</v>
      </c>
      <c r="J120" s="12">
        <f ca="1">IFERROR(__xludf.DUMMYFUNCTION("""COMPUTED_VALUE"""),2670)</f>
        <v>2670</v>
      </c>
      <c r="K120" s="12">
        <f ca="1">IFERROR(__xludf.DUMMYFUNCTION("""COMPUTED_VALUE"""),2092)</f>
        <v>2092</v>
      </c>
      <c r="L120" s="12">
        <f ca="1">IFERROR(__xludf.DUMMYFUNCTION("""COMPUTED_VALUE"""),1159)</f>
        <v>1159</v>
      </c>
      <c r="M120" s="12">
        <f ca="1">IFERROR(__xludf.DUMMYFUNCTION("""COMPUTED_VALUE"""),2268)</f>
        <v>2268</v>
      </c>
      <c r="N120" s="12">
        <f ca="1">IFERROR(__xludf.DUMMYFUNCTION("""COMPUTED_VALUE"""),3024)</f>
        <v>3024</v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1:38" ht="13.2" x14ac:dyDescent="0.25">
      <c r="A121" s="12" t="str">
        <f ca="1">IFERROR(__xludf.DUMMYFUNCTION("""COMPUTED_VALUE"""),"                  left Bed nucleus of the accessory olfactory tract")</f>
        <v xml:space="preserve">                  left Bed nucleus of the accessory olfactory tract</v>
      </c>
      <c r="B121" s="12">
        <f ca="1">IFERROR(__xludf.DUMMYFUNCTION("""COMPUTED_VALUE"""),1775)</f>
        <v>1775</v>
      </c>
      <c r="C121" s="12">
        <f ca="1">IFERROR(__xludf.DUMMYFUNCTION("""COMPUTED_VALUE"""),2464)</f>
        <v>2464</v>
      </c>
      <c r="D121" s="12">
        <f ca="1">IFERROR(__xludf.DUMMYFUNCTION("""COMPUTED_VALUE"""),636)</f>
        <v>636</v>
      </c>
      <c r="E121" s="12">
        <f ca="1">IFERROR(__xludf.DUMMYFUNCTION("""COMPUTED_VALUE"""),1431)</f>
        <v>1431</v>
      </c>
      <c r="F121" s="12">
        <f ca="1">IFERROR(__xludf.DUMMYFUNCTION("""COMPUTED_VALUE"""),39)</f>
        <v>39</v>
      </c>
      <c r="G121" s="12">
        <f ca="1">IFERROR(__xludf.DUMMYFUNCTION("""COMPUTED_VALUE"""),1132)</f>
        <v>1132</v>
      </c>
      <c r="H121" s="12">
        <f ca="1">IFERROR(__xludf.DUMMYFUNCTION("""COMPUTED_VALUE"""),4193)</f>
        <v>4193</v>
      </c>
      <c r="I121" s="12">
        <f ca="1">IFERROR(__xludf.DUMMYFUNCTION("""COMPUTED_VALUE"""),4750)</f>
        <v>4750</v>
      </c>
      <c r="J121" s="12">
        <f ca="1">IFERROR(__xludf.DUMMYFUNCTION("""COMPUTED_VALUE"""),516)</f>
        <v>516</v>
      </c>
      <c r="K121" s="12">
        <f ca="1">IFERROR(__xludf.DUMMYFUNCTION("""COMPUTED_VALUE"""),39)</f>
        <v>39</v>
      </c>
      <c r="L121" s="12">
        <f ca="1">IFERROR(__xludf.DUMMYFUNCTION("""COMPUTED_VALUE"""),1470)</f>
        <v>1470</v>
      </c>
      <c r="M121" s="12">
        <f ca="1">IFERROR(__xludf.DUMMYFUNCTION("""COMPUTED_VALUE"""),2504)</f>
        <v>2504</v>
      </c>
      <c r="N121" s="12">
        <f ca="1">IFERROR(__xludf.DUMMYFUNCTION("""COMPUTED_VALUE"""),1886)</f>
        <v>1886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1:38" ht="13.2" x14ac:dyDescent="0.25">
      <c r="A122" s="12" t="str">
        <f ca="1">IFERROR(__xludf.DUMMYFUNCTION("""COMPUTED_VALUE"""),"                  left Central amygdalar nucleus")</f>
        <v xml:space="preserve">                  left Central amygdalar nucleus</v>
      </c>
      <c r="B122" s="12">
        <f ca="1">IFERROR(__xludf.DUMMYFUNCTION("""COMPUTED_VALUE"""),8714)</f>
        <v>8714</v>
      </c>
      <c r="C122" s="12">
        <f ca="1">IFERROR(__xludf.DUMMYFUNCTION("""COMPUTED_VALUE"""),6403)</f>
        <v>6403</v>
      </c>
      <c r="D122" s="12">
        <f ca="1">IFERROR(__xludf.DUMMYFUNCTION("""COMPUTED_VALUE"""),4837)</f>
        <v>4837</v>
      </c>
      <c r="E122" s="12">
        <f ca="1">IFERROR(__xludf.DUMMYFUNCTION("""COMPUTED_VALUE"""),5551)</f>
        <v>5551</v>
      </c>
      <c r="F122" s="12">
        <f ca="1">IFERROR(__xludf.DUMMYFUNCTION("""COMPUTED_VALUE"""),3386)</f>
        <v>3386</v>
      </c>
      <c r="G122" s="12">
        <f ca="1">IFERROR(__xludf.DUMMYFUNCTION("""COMPUTED_VALUE"""),3731)</f>
        <v>3731</v>
      </c>
      <c r="H122" s="12">
        <f ca="1">IFERROR(__xludf.DUMMYFUNCTION("""COMPUTED_VALUE"""),6397)</f>
        <v>6397</v>
      </c>
      <c r="I122" s="12">
        <f ca="1">IFERROR(__xludf.DUMMYFUNCTION("""COMPUTED_VALUE"""),9321)</f>
        <v>9321</v>
      </c>
      <c r="J122" s="12">
        <f ca="1">IFERROR(__xludf.DUMMYFUNCTION("""COMPUTED_VALUE"""),4887)</f>
        <v>4887</v>
      </c>
      <c r="K122" s="12">
        <f ca="1">IFERROR(__xludf.DUMMYFUNCTION("""COMPUTED_VALUE"""),5622)</f>
        <v>5622</v>
      </c>
      <c r="L122" s="12">
        <f ca="1">IFERROR(__xludf.DUMMYFUNCTION("""COMPUTED_VALUE"""),2644)</f>
        <v>2644</v>
      </c>
      <c r="M122" s="12">
        <f ca="1">IFERROR(__xludf.DUMMYFUNCTION("""COMPUTED_VALUE"""),2612)</f>
        <v>2612</v>
      </c>
      <c r="N122" s="12">
        <f ca="1">IFERROR(__xludf.DUMMYFUNCTION("""COMPUTED_VALUE"""),5564)</f>
        <v>5564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1:38" ht="13.2" x14ac:dyDescent="0.25">
      <c r="A123" s="12" t="str">
        <f ca="1">IFERROR(__xludf.DUMMYFUNCTION("""COMPUTED_VALUE"""),"                  left Intercalated amygdalar nucleus")</f>
        <v xml:space="preserve">                  left Intercalated amygdalar nucleus</v>
      </c>
      <c r="B123" s="12">
        <f ca="1">IFERROR(__xludf.DUMMYFUNCTION("""COMPUTED_VALUE"""),8339)</f>
        <v>8339</v>
      </c>
      <c r="C123" s="12">
        <f ca="1">IFERROR(__xludf.DUMMYFUNCTION("""COMPUTED_VALUE"""),6604)</f>
        <v>6604</v>
      </c>
      <c r="D123" s="12">
        <f ca="1">IFERROR(__xludf.DUMMYFUNCTION("""COMPUTED_VALUE"""),7343)</f>
        <v>7343</v>
      </c>
      <c r="E123" s="12">
        <f ca="1">IFERROR(__xludf.DUMMYFUNCTION("""COMPUTED_VALUE"""),9483)</f>
        <v>9483</v>
      </c>
      <c r="F123" s="12">
        <f ca="1">IFERROR(__xludf.DUMMYFUNCTION("""COMPUTED_VALUE"""),3452)</f>
        <v>3452</v>
      </c>
      <c r="G123" s="12">
        <f ca="1">IFERROR(__xludf.DUMMYFUNCTION("""COMPUTED_VALUE"""),3907)</f>
        <v>3907</v>
      </c>
      <c r="H123" s="12">
        <f ca="1">IFERROR(__xludf.DUMMYFUNCTION("""COMPUTED_VALUE"""),8159)</f>
        <v>8159</v>
      </c>
      <c r="I123" s="12">
        <f ca="1">IFERROR(__xludf.DUMMYFUNCTION("""COMPUTED_VALUE"""),8418)</f>
        <v>8418</v>
      </c>
      <c r="J123" s="12">
        <f ca="1">IFERROR(__xludf.DUMMYFUNCTION("""COMPUTED_VALUE"""),5310)</f>
        <v>5310</v>
      </c>
      <c r="K123" s="12">
        <f ca="1">IFERROR(__xludf.DUMMYFUNCTION("""COMPUTED_VALUE"""),5316)</f>
        <v>5316</v>
      </c>
      <c r="L123" s="12">
        <f ca="1">IFERROR(__xludf.DUMMYFUNCTION("""COMPUTED_VALUE"""),7209)</f>
        <v>7209</v>
      </c>
      <c r="M123" s="12">
        <f ca="1">IFERROR(__xludf.DUMMYFUNCTION("""COMPUTED_VALUE"""),6696)</f>
        <v>6696</v>
      </c>
      <c r="N123" s="12">
        <f ca="1">IFERROR(__xludf.DUMMYFUNCTION("""COMPUTED_VALUE"""),6754)</f>
        <v>6754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1:38" ht="13.2" x14ac:dyDescent="0.25">
      <c r="A124" s="12" t="str">
        <f ca="1">IFERROR(__xludf.DUMMYFUNCTION("""COMPUTED_VALUE"""),"                  left Medial amygdalar nucleus")</f>
        <v xml:space="preserve">                  left Medial amygdalar nucleus</v>
      </c>
      <c r="B124" s="12">
        <f ca="1">IFERROR(__xludf.DUMMYFUNCTION("""COMPUTED_VALUE"""),11477)</f>
        <v>11477</v>
      </c>
      <c r="C124" s="12">
        <f ca="1">IFERROR(__xludf.DUMMYFUNCTION("""COMPUTED_VALUE"""),6699)</f>
        <v>6699</v>
      </c>
      <c r="D124" s="12">
        <f ca="1">IFERROR(__xludf.DUMMYFUNCTION("""COMPUTED_VALUE"""),7009)</f>
        <v>7009</v>
      </c>
      <c r="E124" s="12">
        <f ca="1">IFERROR(__xludf.DUMMYFUNCTION("""COMPUTED_VALUE"""),7343)</f>
        <v>7343</v>
      </c>
      <c r="F124" s="12">
        <f ca="1">IFERROR(__xludf.DUMMYFUNCTION("""COMPUTED_VALUE"""),2334)</f>
        <v>2334</v>
      </c>
      <c r="G124" s="12">
        <f ca="1">IFERROR(__xludf.DUMMYFUNCTION("""COMPUTED_VALUE"""),2974)</f>
        <v>2974</v>
      </c>
      <c r="H124" s="12">
        <f ca="1">IFERROR(__xludf.DUMMYFUNCTION("""COMPUTED_VALUE"""),8759)</f>
        <v>8759</v>
      </c>
      <c r="I124" s="12">
        <f ca="1">IFERROR(__xludf.DUMMYFUNCTION("""COMPUTED_VALUE"""),7400)</f>
        <v>7400</v>
      </c>
      <c r="J124" s="12">
        <f ca="1">IFERROR(__xludf.DUMMYFUNCTION("""COMPUTED_VALUE"""),5600)</f>
        <v>5600</v>
      </c>
      <c r="K124" s="12">
        <f ca="1">IFERROR(__xludf.DUMMYFUNCTION("""COMPUTED_VALUE"""),3382)</f>
        <v>3382</v>
      </c>
      <c r="L124" s="12">
        <f ca="1">IFERROR(__xludf.DUMMYFUNCTION("""COMPUTED_VALUE"""),7639)</f>
        <v>7639</v>
      </c>
      <c r="M124" s="12">
        <f ca="1">IFERROR(__xludf.DUMMYFUNCTION("""COMPUTED_VALUE"""),6998)</f>
        <v>6998</v>
      </c>
      <c r="N124" s="12">
        <f ca="1">IFERROR(__xludf.DUMMYFUNCTION("""COMPUTED_VALUE"""),6461)</f>
        <v>6461</v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1:38" ht="13.2" x14ac:dyDescent="0.25">
      <c r="A125" s="12" t="str">
        <f ca="1">IFERROR(__xludf.DUMMYFUNCTION("""COMPUTED_VALUE"""),"            left Pallidum")</f>
        <v xml:space="preserve">            left Pallidum</v>
      </c>
      <c r="B125" s="12">
        <f ca="1">IFERROR(__xludf.DUMMYFUNCTION("""COMPUTED_VALUE"""),5265)</f>
        <v>5265</v>
      </c>
      <c r="C125" s="12">
        <f ca="1">IFERROR(__xludf.DUMMYFUNCTION("""COMPUTED_VALUE"""),4158)</f>
        <v>4158</v>
      </c>
      <c r="D125" s="12">
        <f ca="1">IFERROR(__xludf.DUMMYFUNCTION("""COMPUTED_VALUE"""),2727)</f>
        <v>2727</v>
      </c>
      <c r="E125" s="12">
        <f ca="1">IFERROR(__xludf.DUMMYFUNCTION("""COMPUTED_VALUE"""),2983)</f>
        <v>2983</v>
      </c>
      <c r="F125" s="12">
        <f ca="1">IFERROR(__xludf.DUMMYFUNCTION("""COMPUTED_VALUE"""),1549)</f>
        <v>1549</v>
      </c>
      <c r="G125" s="12">
        <f ca="1">IFERROR(__xludf.DUMMYFUNCTION("""COMPUTED_VALUE"""),1164)</f>
        <v>1164</v>
      </c>
      <c r="H125" s="12">
        <f ca="1">IFERROR(__xludf.DUMMYFUNCTION("""COMPUTED_VALUE"""),5170)</f>
        <v>5170</v>
      </c>
      <c r="I125" s="12">
        <f ca="1">IFERROR(__xludf.DUMMYFUNCTION("""COMPUTED_VALUE"""),5052)</f>
        <v>5052</v>
      </c>
      <c r="J125" s="12">
        <f ca="1">IFERROR(__xludf.DUMMYFUNCTION("""COMPUTED_VALUE"""),2842)</f>
        <v>2842</v>
      </c>
      <c r="K125" s="12">
        <f ca="1">IFERROR(__xludf.DUMMYFUNCTION("""COMPUTED_VALUE"""),1913)</f>
        <v>1913</v>
      </c>
      <c r="L125" s="12">
        <f ca="1">IFERROR(__xludf.DUMMYFUNCTION("""COMPUTED_VALUE"""),1271)</f>
        <v>1271</v>
      </c>
      <c r="M125" s="12">
        <f ca="1">IFERROR(__xludf.DUMMYFUNCTION("""COMPUTED_VALUE"""),2605)</f>
        <v>2605</v>
      </c>
      <c r="N125" s="12">
        <f ca="1">IFERROR(__xludf.DUMMYFUNCTION("""COMPUTED_VALUE"""),3211)</f>
        <v>3211</v>
      </c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1:38" ht="13.2" x14ac:dyDescent="0.25">
      <c r="A126" s="12" t="str">
        <f ca="1">IFERROR(__xludf.DUMMYFUNCTION("""COMPUTED_VALUE"""),"               left Pallidum, dorsal region")</f>
        <v xml:space="preserve">               left Pallidum, dorsal region</v>
      </c>
      <c r="B126" s="12">
        <f ca="1">IFERROR(__xludf.DUMMYFUNCTION("""COMPUTED_VALUE"""),1936)</f>
        <v>1936</v>
      </c>
      <c r="C126" s="12">
        <f ca="1">IFERROR(__xludf.DUMMYFUNCTION("""COMPUTED_VALUE"""),2287)</f>
        <v>2287</v>
      </c>
      <c r="D126" s="12">
        <f ca="1">IFERROR(__xludf.DUMMYFUNCTION("""COMPUTED_VALUE"""),915)</f>
        <v>915</v>
      </c>
      <c r="E126" s="12">
        <f ca="1">IFERROR(__xludf.DUMMYFUNCTION("""COMPUTED_VALUE"""),1314)</f>
        <v>1314</v>
      </c>
      <c r="F126" s="12">
        <f ca="1">IFERROR(__xludf.DUMMYFUNCTION("""COMPUTED_VALUE"""),335)</f>
        <v>335</v>
      </c>
      <c r="G126" s="12">
        <f ca="1">IFERROR(__xludf.DUMMYFUNCTION("""COMPUTED_VALUE"""),239)</f>
        <v>239</v>
      </c>
      <c r="H126" s="12">
        <f ca="1">IFERROR(__xludf.DUMMYFUNCTION("""COMPUTED_VALUE"""),3314)</f>
        <v>3314</v>
      </c>
      <c r="I126" s="12">
        <f ca="1">IFERROR(__xludf.DUMMYFUNCTION("""COMPUTED_VALUE"""),2033)</f>
        <v>2033</v>
      </c>
      <c r="J126" s="12">
        <f ca="1">IFERROR(__xludf.DUMMYFUNCTION("""COMPUTED_VALUE"""),788)</f>
        <v>788</v>
      </c>
      <c r="K126" s="12">
        <f ca="1">IFERROR(__xludf.DUMMYFUNCTION("""COMPUTED_VALUE"""),1609)</f>
        <v>1609</v>
      </c>
      <c r="L126" s="12">
        <f ca="1">IFERROR(__xludf.DUMMYFUNCTION("""COMPUTED_VALUE"""),209)</f>
        <v>209</v>
      </c>
      <c r="M126" s="12">
        <f ca="1">IFERROR(__xludf.DUMMYFUNCTION("""COMPUTED_VALUE"""),772)</f>
        <v>772</v>
      </c>
      <c r="N126" s="12">
        <f ca="1">IFERROR(__xludf.DUMMYFUNCTION("""COMPUTED_VALUE"""),1415)</f>
        <v>1415</v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1:38" ht="13.2" x14ac:dyDescent="0.25">
      <c r="A127" s="12" t="str">
        <f ca="1">IFERROR(__xludf.DUMMYFUNCTION("""COMPUTED_VALUE"""),"               left Pallidum, ventral region")</f>
        <v xml:space="preserve">               left Pallidum, ventral region</v>
      </c>
      <c r="B127" s="12">
        <f ca="1">IFERROR(__xludf.DUMMYFUNCTION("""COMPUTED_VALUE"""),4851)</f>
        <v>4851</v>
      </c>
      <c r="C127" s="12">
        <f ca="1">IFERROR(__xludf.DUMMYFUNCTION("""COMPUTED_VALUE"""),3953)</f>
        <v>3953</v>
      </c>
      <c r="D127" s="12">
        <f ca="1">IFERROR(__xludf.DUMMYFUNCTION("""COMPUTED_VALUE"""),2173)</f>
        <v>2173</v>
      </c>
      <c r="E127" s="12">
        <f ca="1">IFERROR(__xludf.DUMMYFUNCTION("""COMPUTED_VALUE"""),2460)</f>
        <v>2460</v>
      </c>
      <c r="F127" s="12">
        <f ca="1">IFERROR(__xludf.DUMMYFUNCTION("""COMPUTED_VALUE"""),893)</f>
        <v>893</v>
      </c>
      <c r="G127" s="12">
        <f ca="1">IFERROR(__xludf.DUMMYFUNCTION("""COMPUTED_VALUE"""),751)</f>
        <v>751</v>
      </c>
      <c r="H127" s="12">
        <f ca="1">IFERROR(__xludf.DUMMYFUNCTION("""COMPUTED_VALUE"""),5348)</f>
        <v>5348</v>
      </c>
      <c r="I127" s="12">
        <f ca="1">IFERROR(__xludf.DUMMYFUNCTION("""COMPUTED_VALUE"""),4919)</f>
        <v>4919</v>
      </c>
      <c r="J127" s="12">
        <f ca="1">IFERROR(__xludf.DUMMYFUNCTION("""COMPUTED_VALUE"""),2595)</f>
        <v>2595</v>
      </c>
      <c r="K127" s="12">
        <f ca="1">IFERROR(__xludf.DUMMYFUNCTION("""COMPUTED_VALUE"""),1330)</f>
        <v>1330</v>
      </c>
      <c r="L127" s="12">
        <f ca="1">IFERROR(__xludf.DUMMYFUNCTION("""COMPUTED_VALUE"""),1104)</f>
        <v>1104</v>
      </c>
      <c r="M127" s="12">
        <f ca="1">IFERROR(__xludf.DUMMYFUNCTION("""COMPUTED_VALUE"""),1901)</f>
        <v>1901</v>
      </c>
      <c r="N127" s="12">
        <f ca="1">IFERROR(__xludf.DUMMYFUNCTION("""COMPUTED_VALUE"""),2859)</f>
        <v>2859</v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1:38" ht="13.2" x14ac:dyDescent="0.25">
      <c r="A128" s="12" t="str">
        <f ca="1">IFERROR(__xludf.DUMMYFUNCTION("""COMPUTED_VALUE"""),"               left Pallidum, medial region")</f>
        <v xml:space="preserve">               left Pallidum, medial region</v>
      </c>
      <c r="B128" s="12">
        <f ca="1">IFERROR(__xludf.DUMMYFUNCTION("""COMPUTED_VALUE"""),3475)</f>
        <v>3475</v>
      </c>
      <c r="C128" s="12">
        <f ca="1">IFERROR(__xludf.DUMMYFUNCTION("""COMPUTED_VALUE"""),4454)</f>
        <v>4454</v>
      </c>
      <c r="D128" s="12">
        <f ca="1">IFERROR(__xludf.DUMMYFUNCTION("""COMPUTED_VALUE"""),2995)</f>
        <v>2995</v>
      </c>
      <c r="E128" s="12">
        <f ca="1">IFERROR(__xludf.DUMMYFUNCTION("""COMPUTED_VALUE"""),3257)</f>
        <v>3257</v>
      </c>
      <c r="F128" s="12">
        <f ca="1">IFERROR(__xludf.DUMMYFUNCTION("""COMPUTED_VALUE"""),2479)</f>
        <v>2479</v>
      </c>
      <c r="G128" s="12">
        <f ca="1">IFERROR(__xludf.DUMMYFUNCTION("""COMPUTED_VALUE"""),1888)</f>
        <v>1888</v>
      </c>
      <c r="H128" s="12">
        <f ca="1">IFERROR(__xludf.DUMMYFUNCTION("""COMPUTED_VALUE"""),3638)</f>
        <v>3638</v>
      </c>
      <c r="I128" s="12">
        <f ca="1">IFERROR(__xludf.DUMMYFUNCTION("""COMPUTED_VALUE"""),4069)</f>
        <v>4069</v>
      </c>
      <c r="J128" s="12">
        <f ca="1">IFERROR(__xludf.DUMMYFUNCTION("""COMPUTED_VALUE"""),2620)</f>
        <v>2620</v>
      </c>
      <c r="K128" s="12">
        <f ca="1">IFERROR(__xludf.DUMMYFUNCTION("""COMPUTED_VALUE"""),1378)</f>
        <v>1378</v>
      </c>
      <c r="L128" s="12">
        <f ca="1">IFERROR(__xludf.DUMMYFUNCTION("""COMPUTED_VALUE"""),1118)</f>
        <v>1118</v>
      </c>
      <c r="M128" s="12">
        <f ca="1">IFERROR(__xludf.DUMMYFUNCTION("""COMPUTED_VALUE"""),2796)</f>
        <v>2796</v>
      </c>
      <c r="N128" s="12">
        <f ca="1">IFERROR(__xludf.DUMMYFUNCTION("""COMPUTED_VALUE"""),3046)</f>
        <v>3046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1:38" ht="13.2" x14ac:dyDescent="0.25">
      <c r="A129" s="12" t="str">
        <f ca="1">IFERROR(__xludf.DUMMYFUNCTION("""COMPUTED_VALUE"""),"                  left Medial septal complex")</f>
        <v xml:space="preserve">                  left Medial septal complex</v>
      </c>
      <c r="B129" s="12">
        <f ca="1">IFERROR(__xludf.DUMMYFUNCTION("""COMPUTED_VALUE"""),3246)</f>
        <v>3246</v>
      </c>
      <c r="C129" s="12">
        <f ca="1">IFERROR(__xludf.DUMMYFUNCTION("""COMPUTED_VALUE"""),3928)</f>
        <v>3928</v>
      </c>
      <c r="D129" s="12">
        <f ca="1">IFERROR(__xludf.DUMMYFUNCTION("""COMPUTED_VALUE"""),2412)</f>
        <v>2412</v>
      </c>
      <c r="E129" s="12">
        <f ca="1">IFERROR(__xludf.DUMMYFUNCTION("""COMPUTED_VALUE"""),3075)</f>
        <v>3075</v>
      </c>
      <c r="F129" s="12">
        <f ca="1">IFERROR(__xludf.DUMMYFUNCTION("""COMPUTED_VALUE"""),2495)</f>
        <v>2495</v>
      </c>
      <c r="G129" s="12">
        <f ca="1">IFERROR(__xludf.DUMMYFUNCTION("""COMPUTED_VALUE"""),1997)</f>
        <v>1997</v>
      </c>
      <c r="H129" s="12">
        <f ca="1">IFERROR(__xludf.DUMMYFUNCTION("""COMPUTED_VALUE"""),3639)</f>
        <v>3639</v>
      </c>
      <c r="I129" s="12">
        <f ca="1">IFERROR(__xludf.DUMMYFUNCTION("""COMPUTED_VALUE"""),3993)</f>
        <v>3993</v>
      </c>
      <c r="J129" s="12">
        <f ca="1">IFERROR(__xludf.DUMMYFUNCTION("""COMPUTED_VALUE"""),2271)</f>
        <v>2271</v>
      </c>
      <c r="K129" s="12">
        <f ca="1">IFERROR(__xludf.DUMMYFUNCTION("""COMPUTED_VALUE"""),1081)</f>
        <v>1081</v>
      </c>
      <c r="L129" s="12">
        <f ca="1">IFERROR(__xludf.DUMMYFUNCTION("""COMPUTED_VALUE"""),1100)</f>
        <v>1100</v>
      </c>
      <c r="M129" s="12">
        <f ca="1">IFERROR(__xludf.DUMMYFUNCTION("""COMPUTED_VALUE"""),2068)</f>
        <v>2068</v>
      </c>
      <c r="N129" s="12">
        <f ca="1">IFERROR(__xludf.DUMMYFUNCTION("""COMPUTED_VALUE"""),2822)</f>
        <v>2822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1:38" ht="13.2" x14ac:dyDescent="0.25">
      <c r="A130" s="12" t="str">
        <f ca="1">IFERROR(__xludf.DUMMYFUNCTION("""COMPUTED_VALUE"""),"                  left Triangular nucleus of septum")</f>
        <v xml:space="preserve">                  left Triangular nucleus of septum</v>
      </c>
      <c r="B130" s="12">
        <f ca="1">IFERROR(__xludf.DUMMYFUNCTION("""COMPUTED_VALUE"""),4214)</f>
        <v>4214</v>
      </c>
      <c r="C130" s="12">
        <f ca="1">IFERROR(__xludf.DUMMYFUNCTION("""COMPUTED_VALUE"""),6149)</f>
        <v>6149</v>
      </c>
      <c r="D130" s="12">
        <f ca="1">IFERROR(__xludf.DUMMYFUNCTION("""COMPUTED_VALUE"""),4873)</f>
        <v>4873</v>
      </c>
      <c r="E130" s="12">
        <f ca="1">IFERROR(__xludf.DUMMYFUNCTION("""COMPUTED_VALUE"""),3844)</f>
        <v>3844</v>
      </c>
      <c r="F130" s="12">
        <f ca="1">IFERROR(__xludf.DUMMYFUNCTION("""COMPUTED_VALUE"""),2428)</f>
        <v>2428</v>
      </c>
      <c r="G130" s="12">
        <f ca="1">IFERROR(__xludf.DUMMYFUNCTION("""COMPUTED_VALUE"""),1538)</f>
        <v>1538</v>
      </c>
      <c r="H130" s="12">
        <f ca="1">IFERROR(__xludf.DUMMYFUNCTION("""COMPUTED_VALUE"""),3637)</f>
        <v>3637</v>
      </c>
      <c r="I130" s="12">
        <f ca="1">IFERROR(__xludf.DUMMYFUNCTION("""COMPUTED_VALUE"""),4312)</f>
        <v>4312</v>
      </c>
      <c r="J130" s="12">
        <f ca="1">IFERROR(__xludf.DUMMYFUNCTION("""COMPUTED_VALUE"""),3743)</f>
        <v>3743</v>
      </c>
      <c r="K130" s="12">
        <f ca="1">IFERROR(__xludf.DUMMYFUNCTION("""COMPUTED_VALUE"""),2333)</f>
        <v>2333</v>
      </c>
      <c r="L130" s="12">
        <f ca="1">IFERROR(__xludf.DUMMYFUNCTION("""COMPUTED_VALUE"""),1177)</f>
        <v>1177</v>
      </c>
      <c r="M130" s="12">
        <f ca="1">IFERROR(__xludf.DUMMYFUNCTION("""COMPUTED_VALUE"""),5143)</f>
        <v>5143</v>
      </c>
      <c r="N130" s="12">
        <f ca="1">IFERROR(__xludf.DUMMYFUNCTION("""COMPUTED_VALUE"""),3768)</f>
        <v>3768</v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1:38" ht="13.2" x14ac:dyDescent="0.25">
      <c r="A131" s="12" t="str">
        <f ca="1">IFERROR(__xludf.DUMMYFUNCTION("""COMPUTED_VALUE"""),"               left Pallidum, caudal region")</f>
        <v xml:space="preserve">               left Pallidum, caudal region</v>
      </c>
      <c r="B131" s="12">
        <f ca="1">IFERROR(__xludf.DUMMYFUNCTION("""COMPUTED_VALUE"""),14420)</f>
        <v>14420</v>
      </c>
      <c r="C131" s="12">
        <f ca="1">IFERROR(__xludf.DUMMYFUNCTION("""COMPUTED_VALUE"""),8174)</f>
        <v>8174</v>
      </c>
      <c r="D131" s="12">
        <f ca="1">IFERROR(__xludf.DUMMYFUNCTION("""COMPUTED_VALUE"""),6974)</f>
        <v>6974</v>
      </c>
      <c r="E131" s="12">
        <f ca="1">IFERROR(__xludf.DUMMYFUNCTION("""COMPUTED_VALUE"""),6771)</f>
        <v>6771</v>
      </c>
      <c r="F131" s="12">
        <f ca="1">IFERROR(__xludf.DUMMYFUNCTION("""COMPUTED_VALUE"""),4492)</f>
        <v>4492</v>
      </c>
      <c r="G131" s="12">
        <f ca="1">IFERROR(__xludf.DUMMYFUNCTION("""COMPUTED_VALUE"""),3024)</f>
        <v>3024</v>
      </c>
      <c r="H131" s="12">
        <f ca="1">IFERROR(__xludf.DUMMYFUNCTION("""COMPUTED_VALUE"""),10621)</f>
        <v>10621</v>
      </c>
      <c r="I131" s="12">
        <f ca="1">IFERROR(__xludf.DUMMYFUNCTION("""COMPUTED_VALUE"""),11811)</f>
        <v>11811</v>
      </c>
      <c r="J131" s="12">
        <f ca="1">IFERROR(__xludf.DUMMYFUNCTION("""COMPUTED_VALUE"""),7045)</f>
        <v>7045</v>
      </c>
      <c r="K131" s="12">
        <f ca="1">IFERROR(__xludf.DUMMYFUNCTION("""COMPUTED_VALUE"""),4897)</f>
        <v>4897</v>
      </c>
      <c r="L131" s="12">
        <f ca="1">IFERROR(__xludf.DUMMYFUNCTION("""COMPUTED_VALUE"""),3597)</f>
        <v>3597</v>
      </c>
      <c r="M131" s="12">
        <f ca="1">IFERROR(__xludf.DUMMYFUNCTION("""COMPUTED_VALUE"""),7362)</f>
        <v>7362</v>
      </c>
      <c r="N131" s="12">
        <f ca="1">IFERROR(__xludf.DUMMYFUNCTION("""COMPUTED_VALUE"""),7618)</f>
        <v>7618</v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1:38" ht="13.2" x14ac:dyDescent="0.25">
      <c r="A132" s="12" t="str">
        <f ca="1">IFERROR(__xludf.DUMMYFUNCTION("""COMPUTED_VALUE"""),"      left Brain stem")</f>
        <v xml:space="preserve">      left Brain stem</v>
      </c>
      <c r="B132" s="12">
        <f ca="1">IFERROR(__xludf.DUMMYFUNCTION("""COMPUTED_VALUE"""),4185)</f>
        <v>4185</v>
      </c>
      <c r="C132" s="12">
        <f ca="1">IFERROR(__xludf.DUMMYFUNCTION("""COMPUTED_VALUE"""),3468)</f>
        <v>3468</v>
      </c>
      <c r="D132" s="12">
        <f ca="1">IFERROR(__xludf.DUMMYFUNCTION("""COMPUTED_VALUE"""),2894)</f>
        <v>2894</v>
      </c>
      <c r="E132" s="12">
        <f ca="1">IFERROR(__xludf.DUMMYFUNCTION("""COMPUTED_VALUE"""),4285)</f>
        <v>4285</v>
      </c>
      <c r="F132" s="12">
        <f ca="1">IFERROR(__xludf.DUMMYFUNCTION("""COMPUTED_VALUE"""),2644)</f>
        <v>2644</v>
      </c>
      <c r="G132" s="12">
        <f ca="1">IFERROR(__xludf.DUMMYFUNCTION("""COMPUTED_VALUE"""),2133)</f>
        <v>2133</v>
      </c>
      <c r="H132" s="12">
        <f ca="1">IFERROR(__xludf.DUMMYFUNCTION("""COMPUTED_VALUE"""),4286)</f>
        <v>4286</v>
      </c>
      <c r="I132" s="12">
        <f ca="1">IFERROR(__xludf.DUMMYFUNCTION("""COMPUTED_VALUE"""),5753)</f>
        <v>5753</v>
      </c>
      <c r="J132" s="12">
        <f ca="1">IFERROR(__xludf.DUMMYFUNCTION("""COMPUTED_VALUE"""),3448)</f>
        <v>3448</v>
      </c>
      <c r="K132" s="12">
        <f ca="1">IFERROR(__xludf.DUMMYFUNCTION("""COMPUTED_VALUE"""),2598)</f>
        <v>2598</v>
      </c>
      <c r="L132" s="12">
        <f ca="1">IFERROR(__xludf.DUMMYFUNCTION("""COMPUTED_VALUE"""),1906)</f>
        <v>1906</v>
      </c>
      <c r="M132" s="12">
        <f ca="1">IFERROR(__xludf.DUMMYFUNCTION("""COMPUTED_VALUE"""),4244)</f>
        <v>4244</v>
      </c>
      <c r="N132" s="12">
        <f ca="1">IFERROR(__xludf.DUMMYFUNCTION("""COMPUTED_VALUE"""),3557)</f>
        <v>3557</v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1:38" ht="13.2" x14ac:dyDescent="0.25">
      <c r="A133" s="12" t="str">
        <f ca="1">IFERROR(__xludf.DUMMYFUNCTION("""COMPUTED_VALUE"""),"         left Interbrain")</f>
        <v xml:space="preserve">         left Interbrain</v>
      </c>
      <c r="B133" s="12">
        <f ca="1">IFERROR(__xludf.DUMMYFUNCTION("""COMPUTED_VALUE"""),6841)</f>
        <v>6841</v>
      </c>
      <c r="C133" s="12">
        <f ca="1">IFERROR(__xludf.DUMMYFUNCTION("""COMPUTED_VALUE"""),5422)</f>
        <v>5422</v>
      </c>
      <c r="D133" s="12">
        <f ca="1">IFERROR(__xludf.DUMMYFUNCTION("""COMPUTED_VALUE"""),4594)</f>
        <v>4594</v>
      </c>
      <c r="E133" s="12">
        <f ca="1">IFERROR(__xludf.DUMMYFUNCTION("""COMPUTED_VALUE"""),5428)</f>
        <v>5428</v>
      </c>
      <c r="F133" s="12">
        <f ca="1">IFERROR(__xludf.DUMMYFUNCTION("""COMPUTED_VALUE"""),3766)</f>
        <v>3766</v>
      </c>
      <c r="G133" s="12">
        <f ca="1">IFERROR(__xludf.DUMMYFUNCTION("""COMPUTED_VALUE"""),2983)</f>
        <v>2983</v>
      </c>
      <c r="H133" s="12">
        <f ca="1">IFERROR(__xludf.DUMMYFUNCTION("""COMPUTED_VALUE"""),6342)</f>
        <v>6342</v>
      </c>
      <c r="I133" s="12">
        <f ca="1">IFERROR(__xludf.DUMMYFUNCTION("""COMPUTED_VALUE"""),7633)</f>
        <v>7633</v>
      </c>
      <c r="J133" s="12">
        <f ca="1">IFERROR(__xludf.DUMMYFUNCTION("""COMPUTED_VALUE"""),4184)</f>
        <v>4184</v>
      </c>
      <c r="K133" s="12">
        <f ca="1">IFERROR(__xludf.DUMMYFUNCTION("""COMPUTED_VALUE"""),3085)</f>
        <v>3085</v>
      </c>
      <c r="L133" s="12">
        <f ca="1">IFERROR(__xludf.DUMMYFUNCTION("""COMPUTED_VALUE"""),2238)</f>
        <v>2238</v>
      </c>
      <c r="M133" s="12">
        <f ca="1">IFERROR(__xludf.DUMMYFUNCTION("""COMPUTED_VALUE"""),4553)</f>
        <v>4553</v>
      </c>
      <c r="N133" s="12">
        <f ca="1">IFERROR(__xludf.DUMMYFUNCTION("""COMPUTED_VALUE"""),4969)</f>
        <v>4969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1:38" ht="13.2" x14ac:dyDescent="0.25">
      <c r="A134" s="12" t="str">
        <f ca="1">IFERROR(__xludf.DUMMYFUNCTION("""COMPUTED_VALUE"""),"            left Thalamus")</f>
        <v xml:space="preserve">            left Thalamus</v>
      </c>
      <c r="B134" s="12">
        <f ca="1">IFERROR(__xludf.DUMMYFUNCTION("""COMPUTED_VALUE"""),4316)</f>
        <v>4316</v>
      </c>
      <c r="C134" s="12">
        <f ca="1">IFERROR(__xludf.DUMMYFUNCTION("""COMPUTED_VALUE"""),4742)</f>
        <v>4742</v>
      </c>
      <c r="D134" s="12">
        <f ca="1">IFERROR(__xludf.DUMMYFUNCTION("""COMPUTED_VALUE"""),3132)</f>
        <v>3132</v>
      </c>
      <c r="E134" s="12">
        <f ca="1">IFERROR(__xludf.DUMMYFUNCTION("""COMPUTED_VALUE"""),4304)</f>
        <v>4304</v>
      </c>
      <c r="F134" s="12">
        <f ca="1">IFERROR(__xludf.DUMMYFUNCTION("""COMPUTED_VALUE"""),2763)</f>
        <v>2763</v>
      </c>
      <c r="G134" s="12">
        <f ca="1">IFERROR(__xludf.DUMMYFUNCTION("""COMPUTED_VALUE"""),2096)</f>
        <v>2096</v>
      </c>
      <c r="H134" s="12">
        <f ca="1">IFERROR(__xludf.DUMMYFUNCTION("""COMPUTED_VALUE"""),4501)</f>
        <v>4501</v>
      </c>
      <c r="I134" s="12">
        <f ca="1">IFERROR(__xludf.DUMMYFUNCTION("""COMPUTED_VALUE"""),5353)</f>
        <v>5353</v>
      </c>
      <c r="J134" s="12">
        <f ca="1">IFERROR(__xludf.DUMMYFUNCTION("""COMPUTED_VALUE"""),2841)</f>
        <v>2841</v>
      </c>
      <c r="K134" s="12">
        <f ca="1">IFERROR(__xludf.DUMMYFUNCTION("""COMPUTED_VALUE"""),2604)</f>
        <v>2604</v>
      </c>
      <c r="L134" s="12">
        <f ca="1">IFERROR(__xludf.DUMMYFUNCTION("""COMPUTED_VALUE"""),1659)</f>
        <v>1659</v>
      </c>
      <c r="M134" s="12">
        <f ca="1">IFERROR(__xludf.DUMMYFUNCTION("""COMPUTED_VALUE"""),3608)</f>
        <v>3608</v>
      </c>
      <c r="N134" s="12">
        <f ca="1">IFERROR(__xludf.DUMMYFUNCTION("""COMPUTED_VALUE"""),3667)</f>
        <v>3667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1:38" ht="13.2" x14ac:dyDescent="0.25">
      <c r="A135" s="12" t="str">
        <f ca="1">IFERROR(__xludf.DUMMYFUNCTION("""COMPUTED_VALUE"""),"               left Thalamus, sensory-motor cortex related")</f>
        <v xml:space="preserve">               left Thalamus, sensory-motor cortex related</v>
      </c>
      <c r="B135" s="12">
        <f ca="1">IFERROR(__xludf.DUMMYFUNCTION("""COMPUTED_VALUE"""),2718)</f>
        <v>2718</v>
      </c>
      <c r="C135" s="12">
        <f ca="1">IFERROR(__xludf.DUMMYFUNCTION("""COMPUTED_VALUE"""),3682)</f>
        <v>3682</v>
      </c>
      <c r="D135" s="12">
        <f ca="1">IFERROR(__xludf.DUMMYFUNCTION("""COMPUTED_VALUE"""),2350)</f>
        <v>2350</v>
      </c>
      <c r="E135" s="12">
        <f ca="1">IFERROR(__xludf.DUMMYFUNCTION("""COMPUTED_VALUE"""),2517)</f>
        <v>2517</v>
      </c>
      <c r="F135" s="12">
        <f ca="1">IFERROR(__xludf.DUMMYFUNCTION("""COMPUTED_VALUE"""),1786)</f>
        <v>1786</v>
      </c>
      <c r="G135" s="12">
        <f ca="1">IFERROR(__xludf.DUMMYFUNCTION("""COMPUTED_VALUE"""),1305)</f>
        <v>1305</v>
      </c>
      <c r="H135" s="12">
        <f ca="1">IFERROR(__xludf.DUMMYFUNCTION("""COMPUTED_VALUE"""),2767)</f>
        <v>2767</v>
      </c>
      <c r="I135" s="12">
        <f ca="1">IFERROR(__xludf.DUMMYFUNCTION("""COMPUTED_VALUE"""),3661)</f>
        <v>3661</v>
      </c>
      <c r="J135" s="12">
        <f ca="1">IFERROR(__xludf.DUMMYFUNCTION("""COMPUTED_VALUE"""),1996)</f>
        <v>1996</v>
      </c>
      <c r="K135" s="12">
        <f ca="1">IFERROR(__xludf.DUMMYFUNCTION("""COMPUTED_VALUE"""),1947)</f>
        <v>1947</v>
      </c>
      <c r="L135" s="12">
        <f ca="1">IFERROR(__xludf.DUMMYFUNCTION("""COMPUTED_VALUE"""),1112)</f>
        <v>1112</v>
      </c>
      <c r="M135" s="12">
        <f ca="1">IFERROR(__xludf.DUMMYFUNCTION("""COMPUTED_VALUE"""),3008)</f>
        <v>3008</v>
      </c>
      <c r="N135" s="12">
        <f ca="1">IFERROR(__xludf.DUMMYFUNCTION("""COMPUTED_VALUE"""),2506)</f>
        <v>2506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1:38" ht="13.2" x14ac:dyDescent="0.25">
      <c r="A136" s="12" t="str">
        <f ca="1">IFERROR(__xludf.DUMMYFUNCTION("""COMPUTED_VALUE"""),"                  left Ventral group of the dorsal thalamus")</f>
        <v xml:space="preserve">                  left Ventral group of the dorsal thalamus</v>
      </c>
      <c r="B136" s="12">
        <f ca="1">IFERROR(__xludf.DUMMYFUNCTION("""COMPUTED_VALUE"""),2304)</f>
        <v>2304</v>
      </c>
      <c r="C136" s="12">
        <f ca="1">IFERROR(__xludf.DUMMYFUNCTION("""COMPUTED_VALUE"""),3345)</f>
        <v>3345</v>
      </c>
      <c r="D136" s="12">
        <f ca="1">IFERROR(__xludf.DUMMYFUNCTION("""COMPUTED_VALUE"""),1813)</f>
        <v>1813</v>
      </c>
      <c r="E136" s="12">
        <f ca="1">IFERROR(__xludf.DUMMYFUNCTION("""COMPUTED_VALUE"""),1644)</f>
        <v>1644</v>
      </c>
      <c r="F136" s="12">
        <f ca="1">IFERROR(__xludf.DUMMYFUNCTION("""COMPUTED_VALUE"""),1139)</f>
        <v>1139</v>
      </c>
      <c r="G136" s="12">
        <f ca="1">IFERROR(__xludf.DUMMYFUNCTION("""COMPUTED_VALUE"""),678)</f>
        <v>678</v>
      </c>
      <c r="H136" s="12">
        <f ca="1">IFERROR(__xludf.DUMMYFUNCTION("""COMPUTED_VALUE"""),2081)</f>
        <v>2081</v>
      </c>
      <c r="I136" s="12">
        <f ca="1">IFERROR(__xludf.DUMMYFUNCTION("""COMPUTED_VALUE"""),2546)</f>
        <v>2546</v>
      </c>
      <c r="J136" s="12">
        <f ca="1">IFERROR(__xludf.DUMMYFUNCTION("""COMPUTED_VALUE"""),1719)</f>
        <v>1719</v>
      </c>
      <c r="K136" s="12">
        <f ca="1">IFERROR(__xludf.DUMMYFUNCTION("""COMPUTED_VALUE"""),1531)</f>
        <v>1531</v>
      </c>
      <c r="L136" s="12">
        <f ca="1">IFERROR(__xludf.DUMMYFUNCTION("""COMPUTED_VALUE"""),848)</f>
        <v>848</v>
      </c>
      <c r="M136" s="12">
        <f ca="1">IFERROR(__xludf.DUMMYFUNCTION("""COMPUTED_VALUE"""),2487)</f>
        <v>2487</v>
      </c>
      <c r="N136" s="12">
        <f ca="1">IFERROR(__xludf.DUMMYFUNCTION("""COMPUTED_VALUE"""),1910)</f>
        <v>1910</v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1:38" ht="13.2" x14ac:dyDescent="0.25">
      <c r="A137" s="12" t="str">
        <f ca="1">IFERROR(__xludf.DUMMYFUNCTION("""COMPUTED_VALUE"""),"               left Thalamus, polymodal association cortex related")</f>
        <v xml:space="preserve">               left Thalamus, polymodal association cortex related</v>
      </c>
      <c r="B137" s="12">
        <f ca="1">IFERROR(__xludf.DUMMYFUNCTION("""COMPUTED_VALUE"""),5085)</f>
        <v>5085</v>
      </c>
      <c r="C137" s="12">
        <f ca="1">IFERROR(__xludf.DUMMYFUNCTION("""COMPUTED_VALUE"""),5259)</f>
        <v>5259</v>
      </c>
      <c r="D137" s="12">
        <f ca="1">IFERROR(__xludf.DUMMYFUNCTION("""COMPUTED_VALUE"""),3473)</f>
        <v>3473</v>
      </c>
      <c r="E137" s="12">
        <f ca="1">IFERROR(__xludf.DUMMYFUNCTION("""COMPUTED_VALUE"""),5125)</f>
        <v>5125</v>
      </c>
      <c r="F137" s="12">
        <f ca="1">IFERROR(__xludf.DUMMYFUNCTION("""COMPUTED_VALUE"""),3190)</f>
        <v>3190</v>
      </c>
      <c r="G137" s="12">
        <f ca="1">IFERROR(__xludf.DUMMYFUNCTION("""COMPUTED_VALUE"""),2452)</f>
        <v>2452</v>
      </c>
      <c r="H137" s="12">
        <f ca="1">IFERROR(__xludf.DUMMYFUNCTION("""COMPUTED_VALUE"""),5297)</f>
        <v>5297</v>
      </c>
      <c r="I137" s="12">
        <f ca="1">IFERROR(__xludf.DUMMYFUNCTION("""COMPUTED_VALUE"""),6085)</f>
        <v>6085</v>
      </c>
      <c r="J137" s="12">
        <f ca="1">IFERROR(__xludf.DUMMYFUNCTION("""COMPUTED_VALUE"""),3174)</f>
        <v>3174</v>
      </c>
      <c r="K137" s="12">
        <f ca="1">IFERROR(__xludf.DUMMYFUNCTION("""COMPUTED_VALUE"""),2869)</f>
        <v>2869</v>
      </c>
      <c r="L137" s="12">
        <f ca="1">IFERROR(__xludf.DUMMYFUNCTION("""COMPUTED_VALUE"""),1936)</f>
        <v>1936</v>
      </c>
      <c r="M137" s="12">
        <f ca="1">IFERROR(__xludf.DUMMYFUNCTION("""COMPUTED_VALUE"""),3788)</f>
        <v>3788</v>
      </c>
      <c r="N137" s="12">
        <f ca="1">IFERROR(__xludf.DUMMYFUNCTION("""COMPUTED_VALUE"""),4189)</f>
        <v>4189</v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1:38" ht="13.2" x14ac:dyDescent="0.25">
      <c r="A138" s="12" t="str">
        <f ca="1">IFERROR(__xludf.DUMMYFUNCTION("""COMPUTED_VALUE"""),"            left Hypothalamus")</f>
        <v xml:space="preserve">            left Hypothalamus</v>
      </c>
      <c r="B138" s="12">
        <f ca="1">IFERROR(__xludf.DUMMYFUNCTION("""COMPUTED_VALUE"""),10214)</f>
        <v>10214</v>
      </c>
      <c r="C138" s="12">
        <f ca="1">IFERROR(__xludf.DUMMYFUNCTION("""COMPUTED_VALUE"""),6330)</f>
        <v>6330</v>
      </c>
      <c r="D138" s="12">
        <f ca="1">IFERROR(__xludf.DUMMYFUNCTION("""COMPUTED_VALUE"""),6547)</f>
        <v>6547</v>
      </c>
      <c r="E138" s="12">
        <f ca="1">IFERROR(__xludf.DUMMYFUNCTION("""COMPUTED_VALUE"""),6931)</f>
        <v>6931</v>
      </c>
      <c r="F138" s="12">
        <f ca="1">IFERROR(__xludf.DUMMYFUNCTION("""COMPUTED_VALUE"""),5108)</f>
        <v>5108</v>
      </c>
      <c r="G138" s="12">
        <f ca="1">IFERROR(__xludf.DUMMYFUNCTION("""COMPUTED_VALUE"""),4168)</f>
        <v>4168</v>
      </c>
      <c r="H138" s="12">
        <f ca="1">IFERROR(__xludf.DUMMYFUNCTION("""COMPUTED_VALUE"""),8803)</f>
        <v>8803</v>
      </c>
      <c r="I138" s="12">
        <f ca="1">IFERROR(__xludf.DUMMYFUNCTION("""COMPUTED_VALUE"""),10679)</f>
        <v>10679</v>
      </c>
      <c r="J138" s="12">
        <f ca="1">IFERROR(__xludf.DUMMYFUNCTION("""COMPUTED_VALUE"""),5978)</f>
        <v>5978</v>
      </c>
      <c r="K138" s="12">
        <f ca="1">IFERROR(__xludf.DUMMYFUNCTION("""COMPUTED_VALUE"""),3727)</f>
        <v>3727</v>
      </c>
      <c r="L138" s="12">
        <f ca="1">IFERROR(__xludf.DUMMYFUNCTION("""COMPUTED_VALUE"""),3013)</f>
        <v>3013</v>
      </c>
      <c r="M138" s="12">
        <f ca="1">IFERROR(__xludf.DUMMYFUNCTION("""COMPUTED_VALUE"""),5815)</f>
        <v>5815</v>
      </c>
      <c r="N138" s="12">
        <f ca="1">IFERROR(__xludf.DUMMYFUNCTION("""COMPUTED_VALUE"""),6707)</f>
        <v>6707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1:38" ht="13.2" x14ac:dyDescent="0.25">
      <c r="A139" s="12" t="str">
        <f ca="1">IFERROR(__xludf.DUMMYFUNCTION("""COMPUTED_VALUE"""),"               left Periventricular zone")</f>
        <v xml:space="preserve">               left Periventricular zone</v>
      </c>
      <c r="B139" s="12">
        <f ca="1">IFERROR(__xludf.DUMMYFUNCTION("""COMPUTED_VALUE"""),9212)</f>
        <v>9212</v>
      </c>
      <c r="C139" s="12">
        <f ca="1">IFERROR(__xludf.DUMMYFUNCTION("""COMPUTED_VALUE"""),7573)</f>
        <v>7573</v>
      </c>
      <c r="D139" s="12">
        <f ca="1">IFERROR(__xludf.DUMMYFUNCTION("""COMPUTED_VALUE"""),8514)</f>
        <v>8514</v>
      </c>
      <c r="E139" s="12">
        <f ca="1">IFERROR(__xludf.DUMMYFUNCTION("""COMPUTED_VALUE"""),7743)</f>
        <v>7743</v>
      </c>
      <c r="F139" s="12">
        <f ca="1">IFERROR(__xludf.DUMMYFUNCTION("""COMPUTED_VALUE"""),6389)</f>
        <v>6389</v>
      </c>
      <c r="G139" s="12">
        <f ca="1">IFERROR(__xludf.DUMMYFUNCTION("""COMPUTED_VALUE"""),6630)</f>
        <v>6630</v>
      </c>
      <c r="H139" s="12">
        <f ca="1">IFERROR(__xludf.DUMMYFUNCTION("""COMPUTED_VALUE"""),8861)</f>
        <v>8861</v>
      </c>
      <c r="I139" s="12">
        <f ca="1">IFERROR(__xludf.DUMMYFUNCTION("""COMPUTED_VALUE"""),15151)</f>
        <v>15151</v>
      </c>
      <c r="J139" s="12">
        <f ca="1">IFERROR(__xludf.DUMMYFUNCTION("""COMPUTED_VALUE"""),5016)</f>
        <v>5016</v>
      </c>
      <c r="K139" s="12">
        <f ca="1">IFERROR(__xludf.DUMMYFUNCTION("""COMPUTED_VALUE"""),6143)</f>
        <v>6143</v>
      </c>
      <c r="L139" s="12">
        <f ca="1">IFERROR(__xludf.DUMMYFUNCTION("""COMPUTED_VALUE"""),2421)</f>
        <v>2421</v>
      </c>
      <c r="M139" s="12">
        <f ca="1">IFERROR(__xludf.DUMMYFUNCTION("""COMPUTED_VALUE"""),4754)</f>
        <v>4754</v>
      </c>
      <c r="N139" s="12">
        <f ca="1">IFERROR(__xludf.DUMMYFUNCTION("""COMPUTED_VALUE"""),7883)</f>
        <v>7883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1:38" ht="13.2" x14ac:dyDescent="0.25">
      <c r="A140" s="12" t="str">
        <f ca="1">IFERROR(__xludf.DUMMYFUNCTION("""COMPUTED_VALUE"""),"               left Periventricular region")</f>
        <v xml:space="preserve">               left Periventricular region</v>
      </c>
      <c r="B140" s="12">
        <f ca="1">IFERROR(__xludf.DUMMYFUNCTION("""COMPUTED_VALUE"""),9826)</f>
        <v>9826</v>
      </c>
      <c r="C140" s="12">
        <f ca="1">IFERROR(__xludf.DUMMYFUNCTION("""COMPUTED_VALUE"""),8046)</f>
        <v>8046</v>
      </c>
      <c r="D140" s="12">
        <f ca="1">IFERROR(__xludf.DUMMYFUNCTION("""COMPUTED_VALUE"""),8307)</f>
        <v>8307</v>
      </c>
      <c r="E140" s="12">
        <f ca="1">IFERROR(__xludf.DUMMYFUNCTION("""COMPUTED_VALUE"""),8749)</f>
        <v>8749</v>
      </c>
      <c r="F140" s="12">
        <f ca="1">IFERROR(__xludf.DUMMYFUNCTION("""COMPUTED_VALUE"""),8468)</f>
        <v>8468</v>
      </c>
      <c r="G140" s="12">
        <f ca="1">IFERROR(__xludf.DUMMYFUNCTION("""COMPUTED_VALUE"""),6646)</f>
        <v>6646</v>
      </c>
      <c r="H140" s="12">
        <f ca="1">IFERROR(__xludf.DUMMYFUNCTION("""COMPUTED_VALUE"""),12706)</f>
        <v>12706</v>
      </c>
      <c r="I140" s="12">
        <f ca="1">IFERROR(__xludf.DUMMYFUNCTION("""COMPUTED_VALUE"""),15944)</f>
        <v>15944</v>
      </c>
      <c r="J140" s="12">
        <f ca="1">IFERROR(__xludf.DUMMYFUNCTION("""COMPUTED_VALUE"""),7809)</f>
        <v>7809</v>
      </c>
      <c r="K140" s="12">
        <f ca="1">IFERROR(__xludf.DUMMYFUNCTION("""COMPUTED_VALUE"""),4514)</f>
        <v>4514</v>
      </c>
      <c r="L140" s="12">
        <f ca="1">IFERROR(__xludf.DUMMYFUNCTION("""COMPUTED_VALUE"""),3786)</f>
        <v>3786</v>
      </c>
      <c r="M140" s="12">
        <f ca="1">IFERROR(__xludf.DUMMYFUNCTION("""COMPUTED_VALUE"""),6056)</f>
        <v>6056</v>
      </c>
      <c r="N140" s="12">
        <f ca="1">IFERROR(__xludf.DUMMYFUNCTION("""COMPUTED_VALUE"""),8933)</f>
        <v>8933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1:38" ht="13.2" x14ac:dyDescent="0.25">
      <c r="A141" s="12" t="str">
        <f ca="1">IFERROR(__xludf.DUMMYFUNCTION("""COMPUTED_VALUE"""),"               left Hypothalamic medial zone")</f>
        <v xml:space="preserve">               left Hypothalamic medial zone</v>
      </c>
      <c r="B141" s="12">
        <f ca="1">IFERROR(__xludf.DUMMYFUNCTION("""COMPUTED_VALUE"""),11170)</f>
        <v>11170</v>
      </c>
      <c r="C141" s="12">
        <f ca="1">IFERROR(__xludf.DUMMYFUNCTION("""COMPUTED_VALUE"""),6602)</f>
        <v>6602</v>
      </c>
      <c r="D141" s="12">
        <f ca="1">IFERROR(__xludf.DUMMYFUNCTION("""COMPUTED_VALUE"""),7887)</f>
        <v>7887</v>
      </c>
      <c r="E141" s="12">
        <f ca="1">IFERROR(__xludf.DUMMYFUNCTION("""COMPUTED_VALUE"""),7982)</f>
        <v>7982</v>
      </c>
      <c r="F141" s="12">
        <f ca="1">IFERROR(__xludf.DUMMYFUNCTION("""COMPUTED_VALUE"""),5708)</f>
        <v>5708</v>
      </c>
      <c r="G141" s="12">
        <f ca="1">IFERROR(__xludf.DUMMYFUNCTION("""COMPUTED_VALUE"""),4399)</f>
        <v>4399</v>
      </c>
      <c r="H141" s="12">
        <f ca="1">IFERROR(__xludf.DUMMYFUNCTION("""COMPUTED_VALUE"""),10034)</f>
        <v>10034</v>
      </c>
      <c r="I141" s="12">
        <f ca="1">IFERROR(__xludf.DUMMYFUNCTION("""COMPUTED_VALUE"""),12082)</f>
        <v>12082</v>
      </c>
      <c r="J141" s="12">
        <f ca="1">IFERROR(__xludf.DUMMYFUNCTION("""COMPUTED_VALUE"""),6918)</f>
        <v>6918</v>
      </c>
      <c r="K141" s="12">
        <f ca="1">IFERROR(__xludf.DUMMYFUNCTION("""COMPUTED_VALUE"""),4617)</f>
        <v>4617</v>
      </c>
      <c r="L141" s="12">
        <f ca="1">IFERROR(__xludf.DUMMYFUNCTION("""COMPUTED_VALUE"""),3319)</f>
        <v>3319</v>
      </c>
      <c r="M141" s="12">
        <f ca="1">IFERROR(__xludf.DUMMYFUNCTION("""COMPUTED_VALUE"""),6622)</f>
        <v>6622</v>
      </c>
      <c r="N141" s="12">
        <f ca="1">IFERROR(__xludf.DUMMYFUNCTION("""COMPUTED_VALUE"""),7546)</f>
        <v>7546</v>
      </c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1:38" ht="13.2" x14ac:dyDescent="0.25">
      <c r="A142" s="12" t="str">
        <f ca="1">IFERROR(__xludf.DUMMYFUNCTION("""COMPUTED_VALUE"""),"               left Hypothalamic lateral zone")</f>
        <v xml:space="preserve">               left Hypothalamic lateral zone</v>
      </c>
      <c r="B142" s="12">
        <f ca="1">IFERROR(__xludf.DUMMYFUNCTION("""COMPUTED_VALUE"""),8465)</f>
        <v>8465</v>
      </c>
      <c r="C142" s="12">
        <f ca="1">IFERROR(__xludf.DUMMYFUNCTION("""COMPUTED_VALUE"""),5012)</f>
        <v>5012</v>
      </c>
      <c r="D142" s="12">
        <f ca="1">IFERROR(__xludf.DUMMYFUNCTION("""COMPUTED_VALUE"""),4406)</f>
        <v>4406</v>
      </c>
      <c r="E142" s="12">
        <f ca="1">IFERROR(__xludf.DUMMYFUNCTION("""COMPUTED_VALUE"""),5069)</f>
        <v>5069</v>
      </c>
      <c r="F142" s="12">
        <f ca="1">IFERROR(__xludf.DUMMYFUNCTION("""COMPUTED_VALUE"""),3009)</f>
        <v>3009</v>
      </c>
      <c r="G142" s="12">
        <f ca="1">IFERROR(__xludf.DUMMYFUNCTION("""COMPUTED_VALUE"""),2493)</f>
        <v>2493</v>
      </c>
      <c r="H142" s="12">
        <f ca="1">IFERROR(__xludf.DUMMYFUNCTION("""COMPUTED_VALUE"""),5842)</f>
        <v>5842</v>
      </c>
      <c r="I142" s="12">
        <f ca="1">IFERROR(__xludf.DUMMYFUNCTION("""COMPUTED_VALUE"""),6805)</f>
        <v>6805</v>
      </c>
      <c r="J142" s="12">
        <f ca="1">IFERROR(__xludf.DUMMYFUNCTION("""COMPUTED_VALUE"""),4387)</f>
        <v>4387</v>
      </c>
      <c r="K142" s="12">
        <f ca="1">IFERROR(__xludf.DUMMYFUNCTION("""COMPUTED_VALUE"""),2308)</f>
        <v>2308</v>
      </c>
      <c r="L142" s="12">
        <f ca="1">IFERROR(__xludf.DUMMYFUNCTION("""COMPUTED_VALUE"""),2218)</f>
        <v>2218</v>
      </c>
      <c r="M142" s="12">
        <f ca="1">IFERROR(__xludf.DUMMYFUNCTION("""COMPUTED_VALUE"""),4725)</f>
        <v>4725</v>
      </c>
      <c r="N142" s="12">
        <f ca="1">IFERROR(__xludf.DUMMYFUNCTION("""COMPUTED_VALUE"""),4706)</f>
        <v>4706</v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1:38" ht="13.2" x14ac:dyDescent="0.25">
      <c r="A143" s="12" t="str">
        <f ca="1">IFERROR(__xludf.DUMMYFUNCTION("""COMPUTED_VALUE"""),"         left Midbrain")</f>
        <v xml:space="preserve">         left Midbrain</v>
      </c>
      <c r="B143" s="12">
        <f ca="1">IFERROR(__xludf.DUMMYFUNCTION("""COMPUTED_VALUE"""),4919)</f>
        <v>4919</v>
      </c>
      <c r="C143" s="12">
        <f ca="1">IFERROR(__xludf.DUMMYFUNCTION("""COMPUTED_VALUE"""),4421)</f>
        <v>4421</v>
      </c>
      <c r="D143" s="12">
        <f ca="1">IFERROR(__xludf.DUMMYFUNCTION("""COMPUTED_VALUE"""),3843)</f>
        <v>3843</v>
      </c>
      <c r="E143" s="12">
        <f ca="1">IFERROR(__xludf.DUMMYFUNCTION("""COMPUTED_VALUE"""),6571)</f>
        <v>6571</v>
      </c>
      <c r="F143" s="12">
        <f ca="1">IFERROR(__xludf.DUMMYFUNCTION("""COMPUTED_VALUE"""),3972)</f>
        <v>3972</v>
      </c>
      <c r="G143" s="12">
        <f ca="1">IFERROR(__xludf.DUMMYFUNCTION("""COMPUTED_VALUE"""),3138)</f>
        <v>3138</v>
      </c>
      <c r="H143" s="12">
        <f ca="1">IFERROR(__xludf.DUMMYFUNCTION("""COMPUTED_VALUE"""),6310)</f>
        <v>6310</v>
      </c>
      <c r="I143" s="12">
        <f ca="1">IFERROR(__xludf.DUMMYFUNCTION("""COMPUTED_VALUE"""),7940)</f>
        <v>7940</v>
      </c>
      <c r="J143" s="12">
        <f ca="1">IFERROR(__xludf.DUMMYFUNCTION("""COMPUTED_VALUE"""),5227)</f>
        <v>5227</v>
      </c>
      <c r="K143" s="12">
        <f ca="1">IFERROR(__xludf.DUMMYFUNCTION("""COMPUTED_VALUE"""),4540)</f>
        <v>4540</v>
      </c>
      <c r="L143" s="12">
        <f ca="1">IFERROR(__xludf.DUMMYFUNCTION("""COMPUTED_VALUE"""),3234)</f>
        <v>3234</v>
      </c>
      <c r="M143" s="12">
        <f ca="1">IFERROR(__xludf.DUMMYFUNCTION("""COMPUTED_VALUE"""),7415)</f>
        <v>7415</v>
      </c>
      <c r="N143" s="12">
        <f ca="1">IFERROR(__xludf.DUMMYFUNCTION("""COMPUTED_VALUE"""),5120)</f>
        <v>5120</v>
      </c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1:38" ht="13.2" x14ac:dyDescent="0.25">
      <c r="A144" s="12" t="str">
        <f ca="1">IFERROR(__xludf.DUMMYFUNCTION("""COMPUTED_VALUE"""),"            left Midbrain, sensory related")</f>
        <v xml:space="preserve">            left Midbrain, sensory related</v>
      </c>
      <c r="B144" s="12">
        <f ca="1">IFERROR(__xludf.DUMMYFUNCTION("""COMPUTED_VALUE"""),7380)</f>
        <v>7380</v>
      </c>
      <c r="C144" s="12">
        <f ca="1">IFERROR(__xludf.DUMMYFUNCTION("""COMPUTED_VALUE"""),4765)</f>
        <v>4765</v>
      </c>
      <c r="D144" s="12">
        <f ca="1">IFERROR(__xludf.DUMMYFUNCTION("""COMPUTED_VALUE"""),4744)</f>
        <v>4744</v>
      </c>
      <c r="E144" s="12">
        <f ca="1">IFERROR(__xludf.DUMMYFUNCTION("""COMPUTED_VALUE"""),8504)</f>
        <v>8504</v>
      </c>
      <c r="F144" s="12">
        <f ca="1">IFERROR(__xludf.DUMMYFUNCTION("""COMPUTED_VALUE"""),5126)</f>
        <v>5126</v>
      </c>
      <c r="G144" s="12">
        <f ca="1">IFERROR(__xludf.DUMMYFUNCTION("""COMPUTED_VALUE"""),4753)</f>
        <v>4753</v>
      </c>
      <c r="H144" s="12">
        <f ca="1">IFERROR(__xludf.DUMMYFUNCTION("""COMPUTED_VALUE"""),7363)</f>
        <v>7363</v>
      </c>
      <c r="I144" s="12">
        <f ca="1">IFERROR(__xludf.DUMMYFUNCTION("""COMPUTED_VALUE"""),11050)</f>
        <v>11050</v>
      </c>
      <c r="J144" s="12">
        <f ca="1">IFERROR(__xludf.DUMMYFUNCTION("""COMPUTED_VALUE"""),8046)</f>
        <v>8046</v>
      </c>
      <c r="K144" s="12">
        <f ca="1">IFERROR(__xludf.DUMMYFUNCTION("""COMPUTED_VALUE"""),9046)</f>
        <v>9046</v>
      </c>
      <c r="L144" s="12">
        <f ca="1">IFERROR(__xludf.DUMMYFUNCTION("""COMPUTED_VALUE"""),4571)</f>
        <v>4571</v>
      </c>
      <c r="M144" s="12">
        <f ca="1">IFERROR(__xludf.DUMMYFUNCTION("""COMPUTED_VALUE"""),11077)</f>
        <v>11077</v>
      </c>
      <c r="N144" s="12">
        <f ca="1">IFERROR(__xludf.DUMMYFUNCTION("""COMPUTED_VALUE"""),6940)</f>
        <v>6940</v>
      </c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1:38" ht="13.2" x14ac:dyDescent="0.25">
      <c r="A145" s="12" t="str">
        <f ca="1">IFERROR(__xludf.DUMMYFUNCTION("""COMPUTED_VALUE"""),"               left Superior colliculus, sensory related")</f>
        <v xml:space="preserve">               left Superior colliculus, sensory related</v>
      </c>
      <c r="B145" s="12">
        <f ca="1">IFERROR(__xludf.DUMMYFUNCTION("""COMPUTED_VALUE"""),11860)</f>
        <v>11860</v>
      </c>
      <c r="C145" s="12">
        <f ca="1">IFERROR(__xludf.DUMMYFUNCTION("""COMPUTED_VALUE"""),6104)</f>
        <v>6104</v>
      </c>
      <c r="D145" s="12">
        <f ca="1">IFERROR(__xludf.DUMMYFUNCTION("""COMPUTED_VALUE"""),4492)</f>
        <v>4492</v>
      </c>
      <c r="E145" s="12">
        <f ca="1">IFERROR(__xludf.DUMMYFUNCTION("""COMPUTED_VALUE"""),11393)</f>
        <v>11393</v>
      </c>
      <c r="F145" s="12">
        <f ca="1">IFERROR(__xludf.DUMMYFUNCTION("""COMPUTED_VALUE"""),7166)</f>
        <v>7166</v>
      </c>
      <c r="G145" s="12">
        <f ca="1">IFERROR(__xludf.DUMMYFUNCTION("""COMPUTED_VALUE"""),6886)</f>
        <v>6886</v>
      </c>
      <c r="H145" s="12">
        <f ca="1">IFERROR(__xludf.DUMMYFUNCTION("""COMPUTED_VALUE"""),6305)</f>
        <v>6305</v>
      </c>
      <c r="I145" s="12">
        <f ca="1">IFERROR(__xludf.DUMMYFUNCTION("""COMPUTED_VALUE"""),9847)</f>
        <v>9847</v>
      </c>
      <c r="J145" s="12">
        <f ca="1">IFERROR(__xludf.DUMMYFUNCTION("""COMPUTED_VALUE"""),9406)</f>
        <v>9406</v>
      </c>
      <c r="K145" s="12">
        <f ca="1">IFERROR(__xludf.DUMMYFUNCTION("""COMPUTED_VALUE"""),11914)</f>
        <v>11914</v>
      </c>
      <c r="L145" s="12">
        <f ca="1">IFERROR(__xludf.DUMMYFUNCTION("""COMPUTED_VALUE"""),5519)</f>
        <v>5519</v>
      </c>
      <c r="M145" s="12">
        <f ca="1">IFERROR(__xludf.DUMMYFUNCTION("""COMPUTED_VALUE"""),17982)</f>
        <v>17982</v>
      </c>
      <c r="N145" s="12">
        <f ca="1">IFERROR(__xludf.DUMMYFUNCTION("""COMPUTED_VALUE"""),8502)</f>
        <v>8502</v>
      </c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1:38" ht="13.2" x14ac:dyDescent="0.25">
      <c r="A146" s="12" t="str">
        <f ca="1">IFERROR(__xludf.DUMMYFUNCTION("""COMPUTED_VALUE"""),"               left Inferior colliculus")</f>
        <v xml:space="preserve">               left Inferior colliculus</v>
      </c>
      <c r="B146" s="12">
        <f ca="1">IFERROR(__xludf.DUMMYFUNCTION("""COMPUTED_VALUE"""),5499)</f>
        <v>5499</v>
      </c>
      <c r="C146" s="12">
        <f ca="1">IFERROR(__xludf.DUMMYFUNCTION("""COMPUTED_VALUE"""),4146)</f>
        <v>4146</v>
      </c>
      <c r="D146" s="12">
        <f ca="1">IFERROR(__xludf.DUMMYFUNCTION("""COMPUTED_VALUE"""),5030)</f>
        <v>5030</v>
      </c>
      <c r="E146" s="12">
        <f ca="1">IFERROR(__xludf.DUMMYFUNCTION("""COMPUTED_VALUE"""),7340)</f>
        <v>7340</v>
      </c>
      <c r="F146" s="12">
        <f ca="1">IFERROR(__xludf.DUMMYFUNCTION("""COMPUTED_VALUE"""),4323)</f>
        <v>4323</v>
      </c>
      <c r="G146" s="12">
        <f ca="1">IFERROR(__xludf.DUMMYFUNCTION("""COMPUTED_VALUE"""),3873)</f>
        <v>3873</v>
      </c>
      <c r="H146" s="12">
        <f ca="1">IFERROR(__xludf.DUMMYFUNCTION("""COMPUTED_VALUE"""),8071)</f>
        <v>8071</v>
      </c>
      <c r="I146" s="12">
        <f ca="1">IFERROR(__xludf.DUMMYFUNCTION("""COMPUTED_VALUE"""),11837)</f>
        <v>11837</v>
      </c>
      <c r="J146" s="12">
        <f ca="1">IFERROR(__xludf.DUMMYFUNCTION("""COMPUTED_VALUE"""),7659)</f>
        <v>7659</v>
      </c>
      <c r="K146" s="12">
        <f ca="1">IFERROR(__xludf.DUMMYFUNCTION("""COMPUTED_VALUE"""),8009)</f>
        <v>8009</v>
      </c>
      <c r="L146" s="12">
        <f ca="1">IFERROR(__xludf.DUMMYFUNCTION("""COMPUTED_VALUE"""),4309)</f>
        <v>4309</v>
      </c>
      <c r="M146" s="12">
        <f ca="1">IFERROR(__xludf.DUMMYFUNCTION("""COMPUTED_VALUE"""),8164)</f>
        <v>8164</v>
      </c>
      <c r="N146" s="12">
        <f ca="1">IFERROR(__xludf.DUMMYFUNCTION("""COMPUTED_VALUE"""),6385)</f>
        <v>6385</v>
      </c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1:38" ht="13.2" x14ac:dyDescent="0.25">
      <c r="A147" s="12" t="str">
        <f ca="1">IFERROR(__xludf.DUMMYFUNCTION("""COMPUTED_VALUE"""),"            left Midbrain, motor related")</f>
        <v xml:space="preserve">            left Midbrain, motor related</v>
      </c>
      <c r="B147" s="12">
        <f ca="1">IFERROR(__xludf.DUMMYFUNCTION("""COMPUTED_VALUE"""),4565)</f>
        <v>4565</v>
      </c>
      <c r="C147" s="12">
        <f ca="1">IFERROR(__xludf.DUMMYFUNCTION("""COMPUTED_VALUE"""),4443)</f>
        <v>4443</v>
      </c>
      <c r="D147" s="12">
        <f ca="1">IFERROR(__xludf.DUMMYFUNCTION("""COMPUTED_VALUE"""),3821)</f>
        <v>3821</v>
      </c>
      <c r="E147" s="12">
        <f ca="1">IFERROR(__xludf.DUMMYFUNCTION("""COMPUTED_VALUE"""),6660)</f>
        <v>6660</v>
      </c>
      <c r="F147" s="12">
        <f ca="1">IFERROR(__xludf.DUMMYFUNCTION("""COMPUTED_VALUE"""),4126)</f>
        <v>4126</v>
      </c>
      <c r="G147" s="12">
        <f ca="1">IFERROR(__xludf.DUMMYFUNCTION("""COMPUTED_VALUE"""),3059)</f>
        <v>3059</v>
      </c>
      <c r="H147" s="12">
        <f ca="1">IFERROR(__xludf.DUMMYFUNCTION("""COMPUTED_VALUE"""),6388)</f>
        <v>6388</v>
      </c>
      <c r="I147" s="12">
        <f ca="1">IFERROR(__xludf.DUMMYFUNCTION("""COMPUTED_VALUE"""),7506)</f>
        <v>7506</v>
      </c>
      <c r="J147" s="12">
        <f ca="1">IFERROR(__xludf.DUMMYFUNCTION("""COMPUTED_VALUE"""),4938)</f>
        <v>4938</v>
      </c>
      <c r="K147" s="12">
        <f ca="1">IFERROR(__xludf.DUMMYFUNCTION("""COMPUTED_VALUE"""),3917)</f>
        <v>3917</v>
      </c>
      <c r="L147" s="12">
        <f ca="1">IFERROR(__xludf.DUMMYFUNCTION("""COMPUTED_VALUE"""),3212)</f>
        <v>3212</v>
      </c>
      <c r="M147" s="12">
        <f ca="1">IFERROR(__xludf.DUMMYFUNCTION("""COMPUTED_VALUE"""),7399)</f>
        <v>7399</v>
      </c>
      <c r="N147" s="12">
        <f ca="1">IFERROR(__xludf.DUMMYFUNCTION("""COMPUTED_VALUE"""),5027)</f>
        <v>5027</v>
      </c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1:38" ht="13.2" x14ac:dyDescent="0.25">
      <c r="A148" s="12" t="str">
        <f ca="1">IFERROR(__xludf.DUMMYFUNCTION("""COMPUTED_VALUE"""),"               left Substantia nigra, reticular part")</f>
        <v xml:space="preserve">               left Substantia nigra, reticular part</v>
      </c>
      <c r="B148" s="12">
        <f ca="1">IFERROR(__xludf.DUMMYFUNCTION("""COMPUTED_VALUE"""),853)</f>
        <v>853</v>
      </c>
      <c r="C148" s="12">
        <f ca="1">IFERROR(__xludf.DUMMYFUNCTION("""COMPUTED_VALUE"""),3039)</f>
        <v>3039</v>
      </c>
      <c r="D148" s="12">
        <f ca="1">IFERROR(__xludf.DUMMYFUNCTION("""COMPUTED_VALUE"""),388)</f>
        <v>388</v>
      </c>
      <c r="E148" s="12">
        <f ca="1">IFERROR(__xludf.DUMMYFUNCTION("""COMPUTED_VALUE"""),599)</f>
        <v>599</v>
      </c>
      <c r="F148" s="12">
        <f ca="1">IFERROR(__xludf.DUMMYFUNCTION("""COMPUTED_VALUE"""),201)</f>
        <v>201</v>
      </c>
      <c r="G148" s="12">
        <f ca="1">IFERROR(__xludf.DUMMYFUNCTION("""COMPUTED_VALUE"""),234)</f>
        <v>234</v>
      </c>
      <c r="H148" s="12">
        <f ca="1">IFERROR(__xludf.DUMMYFUNCTION("""COMPUTED_VALUE"""),2573)</f>
        <v>2573</v>
      </c>
      <c r="I148" s="12">
        <f ca="1">IFERROR(__xludf.DUMMYFUNCTION("""COMPUTED_VALUE"""),2339)</f>
        <v>2339</v>
      </c>
      <c r="J148" s="12">
        <f ca="1">IFERROR(__xludf.DUMMYFUNCTION("""COMPUTED_VALUE"""),580)</f>
        <v>580</v>
      </c>
      <c r="K148" s="12">
        <f ca="1">IFERROR(__xludf.DUMMYFUNCTION("""COMPUTED_VALUE"""),144)</f>
        <v>144</v>
      </c>
      <c r="L148" s="12">
        <f ca="1">IFERROR(__xludf.DUMMYFUNCTION("""COMPUTED_VALUE"""),131)</f>
        <v>131</v>
      </c>
      <c r="M148" s="12">
        <f ca="1">IFERROR(__xludf.DUMMYFUNCTION("""COMPUTED_VALUE"""),483)</f>
        <v>483</v>
      </c>
      <c r="N148" s="12">
        <f ca="1">IFERROR(__xludf.DUMMYFUNCTION("""COMPUTED_VALUE"""),1144)</f>
        <v>1144</v>
      </c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1:38" ht="13.2" x14ac:dyDescent="0.25">
      <c r="A149" s="12" t="str">
        <f ca="1">IFERROR(__xludf.DUMMYFUNCTION("""COMPUTED_VALUE"""),"               left Ventral tegmental area")</f>
        <v xml:space="preserve">               left Ventral tegmental area</v>
      </c>
      <c r="B149" s="12">
        <f ca="1">IFERROR(__xludf.DUMMYFUNCTION("""COMPUTED_VALUE"""),2832)</f>
        <v>2832</v>
      </c>
      <c r="C149" s="12">
        <f ca="1">IFERROR(__xludf.DUMMYFUNCTION("""COMPUTED_VALUE"""),4668)</f>
        <v>4668</v>
      </c>
      <c r="D149" s="12">
        <f ca="1">IFERROR(__xludf.DUMMYFUNCTION("""COMPUTED_VALUE"""),1702)</f>
        <v>1702</v>
      </c>
      <c r="E149" s="12">
        <f ca="1">IFERROR(__xludf.DUMMYFUNCTION("""COMPUTED_VALUE"""),2733)</f>
        <v>2733</v>
      </c>
      <c r="F149" s="12">
        <f ca="1">IFERROR(__xludf.DUMMYFUNCTION("""COMPUTED_VALUE"""),1601)</f>
        <v>1601</v>
      </c>
      <c r="G149" s="12">
        <f ca="1">IFERROR(__xludf.DUMMYFUNCTION("""COMPUTED_VALUE"""),1239)</f>
        <v>1239</v>
      </c>
      <c r="H149" s="12">
        <f ca="1">IFERROR(__xludf.DUMMYFUNCTION("""COMPUTED_VALUE"""),5228)</f>
        <v>5228</v>
      </c>
      <c r="I149" s="12">
        <f ca="1">IFERROR(__xludf.DUMMYFUNCTION("""COMPUTED_VALUE"""),5138)</f>
        <v>5138</v>
      </c>
      <c r="J149" s="12">
        <f ca="1">IFERROR(__xludf.DUMMYFUNCTION("""COMPUTED_VALUE"""),1992)</f>
        <v>1992</v>
      </c>
      <c r="K149" s="12">
        <f ca="1">IFERROR(__xludf.DUMMYFUNCTION("""COMPUTED_VALUE"""),998)</f>
        <v>998</v>
      </c>
      <c r="L149" s="12">
        <f ca="1">IFERROR(__xludf.DUMMYFUNCTION("""COMPUTED_VALUE"""),806)</f>
        <v>806</v>
      </c>
      <c r="M149" s="12">
        <f ca="1">IFERROR(__xludf.DUMMYFUNCTION("""COMPUTED_VALUE"""),2745)</f>
        <v>2745</v>
      </c>
      <c r="N149" s="12">
        <f ca="1">IFERROR(__xludf.DUMMYFUNCTION("""COMPUTED_VALUE"""),2887)</f>
        <v>2887</v>
      </c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1:38" ht="13.2" x14ac:dyDescent="0.25">
      <c r="A150" s="12" t="str">
        <f ca="1">IFERROR(__xludf.DUMMYFUNCTION("""COMPUTED_VALUE"""),"               left Midbrain reticular nucleus")</f>
        <v xml:space="preserve">               left Midbrain reticular nucleus</v>
      </c>
      <c r="B150" s="12">
        <f ca="1">IFERROR(__xludf.DUMMYFUNCTION("""COMPUTED_VALUE"""),2821)</f>
        <v>2821</v>
      </c>
      <c r="C150" s="12">
        <f ca="1">IFERROR(__xludf.DUMMYFUNCTION("""COMPUTED_VALUE"""),4219)</f>
        <v>4219</v>
      </c>
      <c r="D150" s="12">
        <f ca="1">IFERROR(__xludf.DUMMYFUNCTION("""COMPUTED_VALUE"""),2472)</f>
        <v>2472</v>
      </c>
      <c r="E150" s="12">
        <f ca="1">IFERROR(__xludf.DUMMYFUNCTION("""COMPUTED_VALUE"""),4327)</f>
        <v>4327</v>
      </c>
      <c r="F150" s="12">
        <f ca="1">IFERROR(__xludf.DUMMYFUNCTION("""COMPUTED_VALUE"""),2383)</f>
        <v>2383</v>
      </c>
      <c r="G150" s="12">
        <f ca="1">IFERROR(__xludf.DUMMYFUNCTION("""COMPUTED_VALUE"""),1657)</f>
        <v>1657</v>
      </c>
      <c r="H150" s="12">
        <f ca="1">IFERROR(__xludf.DUMMYFUNCTION("""COMPUTED_VALUE"""),5366)</f>
        <v>5366</v>
      </c>
      <c r="I150" s="12">
        <f ca="1">IFERROR(__xludf.DUMMYFUNCTION("""COMPUTED_VALUE"""),5382)</f>
        <v>5382</v>
      </c>
      <c r="J150" s="12">
        <f ca="1">IFERROR(__xludf.DUMMYFUNCTION("""COMPUTED_VALUE"""),3215)</f>
        <v>3215</v>
      </c>
      <c r="K150" s="12">
        <f ca="1">IFERROR(__xludf.DUMMYFUNCTION("""COMPUTED_VALUE"""),2080)</f>
        <v>2080</v>
      </c>
      <c r="L150" s="12">
        <f ca="1">IFERROR(__xludf.DUMMYFUNCTION("""COMPUTED_VALUE"""),2216)</f>
        <v>2216</v>
      </c>
      <c r="M150" s="12">
        <f ca="1">IFERROR(__xludf.DUMMYFUNCTION("""COMPUTED_VALUE"""),4921)</f>
        <v>4921</v>
      </c>
      <c r="N150" s="12">
        <f ca="1">IFERROR(__xludf.DUMMYFUNCTION("""COMPUTED_VALUE"""),3519)</f>
        <v>3519</v>
      </c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1:38" ht="13.2" x14ac:dyDescent="0.25">
      <c r="A151" s="12" t="str">
        <f ca="1">IFERROR(__xludf.DUMMYFUNCTION("""COMPUTED_VALUE"""),"               left Superior colliculus, motor related")</f>
        <v xml:space="preserve">               left Superior colliculus, motor related</v>
      </c>
      <c r="B151" s="12">
        <f ca="1">IFERROR(__xludf.DUMMYFUNCTION("""COMPUTED_VALUE"""),6907)</f>
        <v>6907</v>
      </c>
      <c r="C151" s="12">
        <f ca="1">IFERROR(__xludf.DUMMYFUNCTION("""COMPUTED_VALUE"""),4938)</f>
        <v>4938</v>
      </c>
      <c r="D151" s="12">
        <f ca="1">IFERROR(__xludf.DUMMYFUNCTION("""COMPUTED_VALUE"""),4516)</f>
        <v>4516</v>
      </c>
      <c r="E151" s="12">
        <f ca="1">IFERROR(__xludf.DUMMYFUNCTION("""COMPUTED_VALUE"""),8659)</f>
        <v>8659</v>
      </c>
      <c r="F151" s="12">
        <f ca="1">IFERROR(__xludf.DUMMYFUNCTION("""COMPUTED_VALUE"""),5500)</f>
        <v>5500</v>
      </c>
      <c r="G151" s="12">
        <f ca="1">IFERROR(__xludf.DUMMYFUNCTION("""COMPUTED_VALUE"""),4136)</f>
        <v>4136</v>
      </c>
      <c r="H151" s="12">
        <f ca="1">IFERROR(__xludf.DUMMYFUNCTION("""COMPUTED_VALUE"""),7596)</f>
        <v>7596</v>
      </c>
      <c r="I151" s="12">
        <f ca="1">IFERROR(__xludf.DUMMYFUNCTION("""COMPUTED_VALUE"""),9464)</f>
        <v>9464</v>
      </c>
      <c r="J151" s="12">
        <f ca="1">IFERROR(__xludf.DUMMYFUNCTION("""COMPUTED_VALUE"""),6879)</f>
        <v>6879</v>
      </c>
      <c r="K151" s="12">
        <f ca="1">IFERROR(__xludf.DUMMYFUNCTION("""COMPUTED_VALUE"""),5861)</f>
        <v>5861</v>
      </c>
      <c r="L151" s="12">
        <f ca="1">IFERROR(__xludf.DUMMYFUNCTION("""COMPUTED_VALUE"""),5013)</f>
        <v>5013</v>
      </c>
      <c r="M151" s="12">
        <f ca="1">IFERROR(__xludf.DUMMYFUNCTION("""COMPUTED_VALUE"""),11039)</f>
        <v>11039</v>
      </c>
      <c r="N151" s="12">
        <f ca="1">IFERROR(__xludf.DUMMYFUNCTION("""COMPUTED_VALUE"""),6562)</f>
        <v>6562</v>
      </c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1:38" ht="13.2" x14ac:dyDescent="0.25">
      <c r="A152" s="12" t="str">
        <f ca="1">IFERROR(__xludf.DUMMYFUNCTION("""COMPUTED_VALUE"""),"               left Periaqueductal gray")</f>
        <v xml:space="preserve">               left Periaqueductal gray</v>
      </c>
      <c r="B152" s="12">
        <f ca="1">IFERROR(__xludf.DUMMYFUNCTION("""COMPUTED_VALUE"""),5852)</f>
        <v>5852</v>
      </c>
      <c r="C152" s="12">
        <f ca="1">IFERROR(__xludf.DUMMYFUNCTION("""COMPUTED_VALUE"""),4499)</f>
        <v>4499</v>
      </c>
      <c r="D152" s="12">
        <f ca="1">IFERROR(__xludf.DUMMYFUNCTION("""COMPUTED_VALUE"""),6227)</f>
        <v>6227</v>
      </c>
      <c r="E152" s="12">
        <f ca="1">IFERROR(__xludf.DUMMYFUNCTION("""COMPUTED_VALUE"""),10061)</f>
        <v>10061</v>
      </c>
      <c r="F152" s="12">
        <f ca="1">IFERROR(__xludf.DUMMYFUNCTION("""COMPUTED_VALUE"""),6321)</f>
        <v>6321</v>
      </c>
      <c r="G152" s="12">
        <f ca="1">IFERROR(__xludf.DUMMYFUNCTION("""COMPUTED_VALUE"""),4968)</f>
        <v>4968</v>
      </c>
      <c r="H152" s="12">
        <f ca="1">IFERROR(__xludf.DUMMYFUNCTION("""COMPUTED_VALUE"""),8276)</f>
        <v>8276</v>
      </c>
      <c r="I152" s="12">
        <f ca="1">IFERROR(__xludf.DUMMYFUNCTION("""COMPUTED_VALUE"""),10672)</f>
        <v>10672</v>
      </c>
      <c r="J152" s="12">
        <f ca="1">IFERROR(__xludf.DUMMYFUNCTION("""COMPUTED_VALUE"""),7346)</f>
        <v>7346</v>
      </c>
      <c r="K152" s="12">
        <f ca="1">IFERROR(__xludf.DUMMYFUNCTION("""COMPUTED_VALUE"""),6402)</f>
        <v>6402</v>
      </c>
      <c r="L152" s="12">
        <f ca="1">IFERROR(__xludf.DUMMYFUNCTION("""COMPUTED_VALUE"""),4333)</f>
        <v>4333</v>
      </c>
      <c r="M152" s="12">
        <f ca="1">IFERROR(__xludf.DUMMYFUNCTION("""COMPUTED_VALUE"""),9220)</f>
        <v>9220</v>
      </c>
      <c r="N152" s="12">
        <f ca="1">IFERROR(__xludf.DUMMYFUNCTION("""COMPUTED_VALUE"""),7019)</f>
        <v>7019</v>
      </c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1:38" ht="13.2" x14ac:dyDescent="0.25">
      <c r="A153" s="12" t="str">
        <f ca="1">IFERROR(__xludf.DUMMYFUNCTION("""COMPUTED_VALUE"""),"               left Pretectal region")</f>
        <v xml:space="preserve">               left Pretectal region</v>
      </c>
      <c r="B153" s="12">
        <f ca="1">IFERROR(__xludf.DUMMYFUNCTION("""COMPUTED_VALUE"""),4050)</f>
        <v>4050</v>
      </c>
      <c r="C153" s="12">
        <f ca="1">IFERROR(__xludf.DUMMYFUNCTION("""COMPUTED_VALUE"""),4776)</f>
        <v>4776</v>
      </c>
      <c r="D153" s="12">
        <f ca="1">IFERROR(__xludf.DUMMYFUNCTION("""COMPUTED_VALUE"""),4167)</f>
        <v>4167</v>
      </c>
      <c r="E153" s="12">
        <f ca="1">IFERROR(__xludf.DUMMYFUNCTION("""COMPUTED_VALUE"""),7367)</f>
        <v>7367</v>
      </c>
      <c r="F153" s="12">
        <f ca="1">IFERROR(__xludf.DUMMYFUNCTION("""COMPUTED_VALUE"""),4776)</f>
        <v>4776</v>
      </c>
      <c r="G153" s="12">
        <f ca="1">IFERROR(__xludf.DUMMYFUNCTION("""COMPUTED_VALUE"""),2844)</f>
        <v>2844</v>
      </c>
      <c r="H153" s="12">
        <f ca="1">IFERROR(__xludf.DUMMYFUNCTION("""COMPUTED_VALUE"""),6253)</f>
        <v>6253</v>
      </c>
      <c r="I153" s="12">
        <f ca="1">IFERROR(__xludf.DUMMYFUNCTION("""COMPUTED_VALUE"""),5790)</f>
        <v>5790</v>
      </c>
      <c r="J153" s="12">
        <f ca="1">IFERROR(__xludf.DUMMYFUNCTION("""COMPUTED_VALUE"""),4135)</f>
        <v>4135</v>
      </c>
      <c r="K153" s="12">
        <f ca="1">IFERROR(__xludf.DUMMYFUNCTION("""COMPUTED_VALUE"""),2414)</f>
        <v>2414</v>
      </c>
      <c r="L153" s="12">
        <f ca="1">IFERROR(__xludf.DUMMYFUNCTION("""COMPUTED_VALUE"""),1804)</f>
        <v>1804</v>
      </c>
      <c r="M153" s="12">
        <f ca="1">IFERROR(__xludf.DUMMYFUNCTION("""COMPUTED_VALUE"""),8841)</f>
        <v>8841</v>
      </c>
      <c r="N153" s="12">
        <f ca="1">IFERROR(__xludf.DUMMYFUNCTION("""COMPUTED_VALUE"""),4880)</f>
        <v>4880</v>
      </c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1:38" ht="13.2" x14ac:dyDescent="0.25">
      <c r="A154" s="12" t="str">
        <f ca="1">IFERROR(__xludf.DUMMYFUNCTION("""COMPUTED_VALUE"""),"            left Midbrain, behavioral state related")</f>
        <v xml:space="preserve">            left Midbrain, behavioral state related</v>
      </c>
      <c r="B154" s="12">
        <f ca="1">IFERROR(__xludf.DUMMYFUNCTION("""COMPUTED_VALUE"""),2652)</f>
        <v>2652</v>
      </c>
      <c r="C154" s="12">
        <f ca="1">IFERROR(__xludf.DUMMYFUNCTION("""COMPUTED_VALUE"""),3414)</f>
        <v>3414</v>
      </c>
      <c r="D154" s="12">
        <f ca="1">IFERROR(__xludf.DUMMYFUNCTION("""COMPUTED_VALUE"""),2438)</f>
        <v>2438</v>
      </c>
      <c r="E154" s="12">
        <f ca="1">IFERROR(__xludf.DUMMYFUNCTION("""COMPUTED_VALUE"""),3507)</f>
        <v>3507</v>
      </c>
      <c r="F154" s="12">
        <f ca="1">IFERROR(__xludf.DUMMYFUNCTION("""COMPUTED_VALUE"""),1875)</f>
        <v>1875</v>
      </c>
      <c r="G154" s="12">
        <f ca="1">IFERROR(__xludf.DUMMYFUNCTION("""COMPUTED_VALUE"""),1612)</f>
        <v>1612</v>
      </c>
      <c r="H154" s="12">
        <f ca="1">IFERROR(__xludf.DUMMYFUNCTION("""COMPUTED_VALUE"""),3179)</f>
        <v>3179</v>
      </c>
      <c r="I154" s="12">
        <f ca="1">IFERROR(__xludf.DUMMYFUNCTION("""COMPUTED_VALUE"""),5207)</f>
        <v>5207</v>
      </c>
      <c r="J154" s="12">
        <f ca="1">IFERROR(__xludf.DUMMYFUNCTION("""COMPUTED_VALUE"""),2403)</f>
        <v>2403</v>
      </c>
      <c r="K154" s="12">
        <f ca="1">IFERROR(__xludf.DUMMYFUNCTION("""COMPUTED_VALUE"""),1546)</f>
        <v>1546</v>
      </c>
      <c r="L154" s="12">
        <f ca="1">IFERROR(__xludf.DUMMYFUNCTION("""COMPUTED_VALUE"""),1147)</f>
        <v>1147</v>
      </c>
      <c r="M154" s="12">
        <f ca="1">IFERROR(__xludf.DUMMYFUNCTION("""COMPUTED_VALUE"""),2167)</f>
        <v>2167</v>
      </c>
      <c r="N154" s="12">
        <f ca="1">IFERROR(__xludf.DUMMYFUNCTION("""COMPUTED_VALUE"""),2771)</f>
        <v>2771</v>
      </c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1:38" ht="13.2" x14ac:dyDescent="0.25">
      <c r="A155" s="12" t="str">
        <f ca="1">IFERROR(__xludf.DUMMYFUNCTION("""COMPUTED_VALUE"""),"         left Hindbrain")</f>
        <v xml:space="preserve">         left Hindbrain</v>
      </c>
      <c r="B155" s="12">
        <f ca="1">IFERROR(__xludf.DUMMYFUNCTION("""COMPUTED_VALUE"""),1645)</f>
        <v>1645</v>
      </c>
      <c r="C155" s="12">
        <f ca="1">IFERROR(__xludf.DUMMYFUNCTION("""COMPUTED_VALUE"""),1282)</f>
        <v>1282</v>
      </c>
      <c r="D155" s="12">
        <f ca="1">IFERROR(__xludf.DUMMYFUNCTION("""COMPUTED_VALUE"""),898)</f>
        <v>898</v>
      </c>
      <c r="E155" s="12">
        <f ca="1">IFERROR(__xludf.DUMMYFUNCTION("""COMPUTED_VALUE"""),1674)</f>
        <v>1674</v>
      </c>
      <c r="F155" s="12">
        <f ca="1">IFERROR(__xludf.DUMMYFUNCTION("""COMPUTED_VALUE"""),785)</f>
        <v>785</v>
      </c>
      <c r="G155" s="12">
        <f ca="1">IFERROR(__xludf.DUMMYFUNCTION("""COMPUTED_VALUE"""),727)</f>
        <v>727</v>
      </c>
      <c r="H155" s="12">
        <f ca="1">IFERROR(__xludf.DUMMYFUNCTION("""COMPUTED_VALUE"""),1196)</f>
        <v>1196</v>
      </c>
      <c r="I155" s="12">
        <f ca="1">IFERROR(__xludf.DUMMYFUNCTION("""COMPUTED_VALUE"""),2669)</f>
        <v>2669</v>
      </c>
      <c r="J155" s="12">
        <f ca="1">IFERROR(__xludf.DUMMYFUNCTION("""COMPUTED_VALUE"""),1530)</f>
        <v>1530</v>
      </c>
      <c r="K155" s="12">
        <f ca="1">IFERROR(__xludf.DUMMYFUNCTION("""COMPUTED_VALUE"""),740)</f>
        <v>740</v>
      </c>
      <c r="L155" s="12">
        <f ca="1">IFERROR(__xludf.DUMMYFUNCTION("""COMPUTED_VALUE"""),637)</f>
        <v>637</v>
      </c>
      <c r="M155" s="12">
        <f ca="1">IFERROR(__xludf.DUMMYFUNCTION("""COMPUTED_VALUE"""),1570)</f>
        <v>1570</v>
      </c>
      <c r="N155" s="12">
        <f ca="1">IFERROR(__xludf.DUMMYFUNCTION("""COMPUTED_VALUE"""),1302)</f>
        <v>1302</v>
      </c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1:38" ht="13.2" x14ac:dyDescent="0.25">
      <c r="A156" s="12" t="str">
        <f ca="1">IFERROR(__xludf.DUMMYFUNCTION("""COMPUTED_VALUE"""),"            left Pons")</f>
        <v xml:space="preserve">            left Pons</v>
      </c>
      <c r="B156" s="12">
        <f ca="1">IFERROR(__xludf.DUMMYFUNCTION("""COMPUTED_VALUE"""),2334)</f>
        <v>2334</v>
      </c>
      <c r="C156" s="12">
        <f ca="1">IFERROR(__xludf.DUMMYFUNCTION("""COMPUTED_VALUE"""),2029)</f>
        <v>2029</v>
      </c>
      <c r="D156" s="12">
        <f ca="1">IFERROR(__xludf.DUMMYFUNCTION("""COMPUTED_VALUE"""),1124)</f>
        <v>1124</v>
      </c>
      <c r="E156" s="12">
        <f ca="1">IFERROR(__xludf.DUMMYFUNCTION("""COMPUTED_VALUE"""),2534)</f>
        <v>2534</v>
      </c>
      <c r="F156" s="12">
        <f ca="1">IFERROR(__xludf.DUMMYFUNCTION("""COMPUTED_VALUE"""),1196)</f>
        <v>1196</v>
      </c>
      <c r="G156" s="12">
        <f ca="1">IFERROR(__xludf.DUMMYFUNCTION("""COMPUTED_VALUE"""),1132)</f>
        <v>1132</v>
      </c>
      <c r="H156" s="12">
        <f ca="1">IFERROR(__xludf.DUMMYFUNCTION("""COMPUTED_VALUE"""),1684)</f>
        <v>1684</v>
      </c>
      <c r="I156" s="12">
        <f ca="1">IFERROR(__xludf.DUMMYFUNCTION("""COMPUTED_VALUE"""),3259)</f>
        <v>3259</v>
      </c>
      <c r="J156" s="12">
        <f ca="1">IFERROR(__xludf.DUMMYFUNCTION("""COMPUTED_VALUE"""),1913)</f>
        <v>1913</v>
      </c>
      <c r="K156" s="12">
        <f ca="1">IFERROR(__xludf.DUMMYFUNCTION("""COMPUTED_VALUE"""),1092)</f>
        <v>1092</v>
      </c>
      <c r="L156" s="12">
        <f ca="1">IFERROR(__xludf.DUMMYFUNCTION("""COMPUTED_VALUE"""),787)</f>
        <v>787</v>
      </c>
      <c r="M156" s="12">
        <f ca="1">IFERROR(__xludf.DUMMYFUNCTION("""COMPUTED_VALUE"""),2367)</f>
        <v>2367</v>
      </c>
      <c r="N156" s="12">
        <f ca="1">IFERROR(__xludf.DUMMYFUNCTION("""COMPUTED_VALUE"""),1830)</f>
        <v>1830</v>
      </c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1:38" ht="13.2" x14ac:dyDescent="0.25">
      <c r="A157" s="12" t="str">
        <f ca="1">IFERROR(__xludf.DUMMYFUNCTION("""COMPUTED_VALUE"""),"               left Pons, sensory related")</f>
        <v xml:space="preserve">               left Pons, sensory related</v>
      </c>
      <c r="B157" s="12">
        <f ca="1">IFERROR(__xludf.DUMMYFUNCTION("""COMPUTED_VALUE"""),2347)</f>
        <v>2347</v>
      </c>
      <c r="C157" s="12">
        <f ca="1">IFERROR(__xludf.DUMMYFUNCTION("""COMPUTED_VALUE"""),1806)</f>
        <v>1806</v>
      </c>
      <c r="D157" s="12">
        <f ca="1">IFERROR(__xludf.DUMMYFUNCTION("""COMPUTED_VALUE"""),774)</f>
        <v>774</v>
      </c>
      <c r="E157" s="12">
        <f ca="1">IFERROR(__xludf.DUMMYFUNCTION("""COMPUTED_VALUE"""),1991)</f>
        <v>1991</v>
      </c>
      <c r="F157" s="12">
        <f ca="1">IFERROR(__xludf.DUMMYFUNCTION("""COMPUTED_VALUE"""),1011)</f>
        <v>1011</v>
      </c>
      <c r="G157" s="12">
        <f ca="1">IFERROR(__xludf.DUMMYFUNCTION("""COMPUTED_VALUE"""),1042)</f>
        <v>1042</v>
      </c>
      <c r="H157" s="12">
        <f ca="1">IFERROR(__xludf.DUMMYFUNCTION("""COMPUTED_VALUE"""),1713)</f>
        <v>1713</v>
      </c>
      <c r="I157" s="12">
        <f ca="1">IFERROR(__xludf.DUMMYFUNCTION("""COMPUTED_VALUE"""),2790)</f>
        <v>2790</v>
      </c>
      <c r="J157" s="12">
        <f ca="1">IFERROR(__xludf.DUMMYFUNCTION("""COMPUTED_VALUE"""),2118)</f>
        <v>2118</v>
      </c>
      <c r="K157" s="12">
        <f ca="1">IFERROR(__xludf.DUMMYFUNCTION("""COMPUTED_VALUE"""),1168)</f>
        <v>1168</v>
      </c>
      <c r="L157" s="12">
        <f ca="1">IFERROR(__xludf.DUMMYFUNCTION("""COMPUTED_VALUE"""),857)</f>
        <v>857</v>
      </c>
      <c r="M157" s="12">
        <f ca="1">IFERROR(__xludf.DUMMYFUNCTION("""COMPUTED_VALUE"""),1417)</f>
        <v>1417</v>
      </c>
      <c r="N157" s="12">
        <f ca="1">IFERROR(__xludf.DUMMYFUNCTION("""COMPUTED_VALUE"""),1612)</f>
        <v>1612</v>
      </c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1:38" ht="13.2" x14ac:dyDescent="0.25">
      <c r="A158" s="12" t="str">
        <f ca="1">IFERROR(__xludf.DUMMYFUNCTION("""COMPUTED_VALUE"""),"               left Pons, motor related")</f>
        <v xml:space="preserve">               left Pons, motor related</v>
      </c>
      <c r="B158" s="12">
        <f ca="1">IFERROR(__xludf.DUMMYFUNCTION("""COMPUTED_VALUE"""),2704)</f>
        <v>2704</v>
      </c>
      <c r="C158" s="12">
        <f ca="1">IFERROR(__xludf.DUMMYFUNCTION("""COMPUTED_VALUE"""),2312)</f>
        <v>2312</v>
      </c>
      <c r="D158" s="12">
        <f ca="1">IFERROR(__xludf.DUMMYFUNCTION("""COMPUTED_VALUE"""),1366)</f>
        <v>1366</v>
      </c>
      <c r="E158" s="12">
        <f ca="1">IFERROR(__xludf.DUMMYFUNCTION("""COMPUTED_VALUE"""),3155)</f>
        <v>3155</v>
      </c>
      <c r="F158" s="12">
        <f ca="1">IFERROR(__xludf.DUMMYFUNCTION("""COMPUTED_VALUE"""),1434)</f>
        <v>1434</v>
      </c>
      <c r="G158" s="12">
        <f ca="1">IFERROR(__xludf.DUMMYFUNCTION("""COMPUTED_VALUE"""),1444)</f>
        <v>1444</v>
      </c>
      <c r="H158" s="12">
        <f ca="1">IFERROR(__xludf.DUMMYFUNCTION("""COMPUTED_VALUE"""),1951)</f>
        <v>1951</v>
      </c>
      <c r="I158" s="12">
        <f ca="1">IFERROR(__xludf.DUMMYFUNCTION("""COMPUTED_VALUE"""),3698)</f>
        <v>3698</v>
      </c>
      <c r="J158" s="12">
        <f ca="1">IFERROR(__xludf.DUMMYFUNCTION("""COMPUTED_VALUE"""),2245)</f>
        <v>2245</v>
      </c>
      <c r="K158" s="12">
        <f ca="1">IFERROR(__xludf.DUMMYFUNCTION("""COMPUTED_VALUE"""),1106)</f>
        <v>1106</v>
      </c>
      <c r="L158" s="12">
        <f ca="1">IFERROR(__xludf.DUMMYFUNCTION("""COMPUTED_VALUE"""),904)</f>
        <v>904</v>
      </c>
      <c r="M158" s="12">
        <f ca="1">IFERROR(__xludf.DUMMYFUNCTION("""COMPUTED_VALUE"""),3186)</f>
        <v>3186</v>
      </c>
      <c r="N158" s="12">
        <f ca="1">IFERROR(__xludf.DUMMYFUNCTION("""COMPUTED_VALUE"""),2169)</f>
        <v>2169</v>
      </c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1:38" ht="13.2" x14ac:dyDescent="0.25">
      <c r="A159" s="12" t="str">
        <f ca="1">IFERROR(__xludf.DUMMYFUNCTION("""COMPUTED_VALUE"""),"               left Pons, behavioral state related")</f>
        <v xml:space="preserve">               left Pons, behavioral state related</v>
      </c>
      <c r="B159" s="12">
        <f ca="1">IFERROR(__xludf.DUMMYFUNCTION("""COMPUTED_VALUE"""),2368)</f>
        <v>2368</v>
      </c>
      <c r="C159" s="12">
        <f ca="1">IFERROR(__xludf.DUMMYFUNCTION("""COMPUTED_VALUE"""),1966)</f>
        <v>1966</v>
      </c>
      <c r="D159" s="12">
        <f ca="1">IFERROR(__xludf.DUMMYFUNCTION("""COMPUTED_VALUE"""),1195)</f>
        <v>1195</v>
      </c>
      <c r="E159" s="12">
        <f ca="1">IFERROR(__xludf.DUMMYFUNCTION("""COMPUTED_VALUE"""),2632)</f>
        <v>2632</v>
      </c>
      <c r="F159" s="12">
        <f ca="1">IFERROR(__xludf.DUMMYFUNCTION("""COMPUTED_VALUE"""),1286)</f>
        <v>1286</v>
      </c>
      <c r="G159" s="12">
        <f ca="1">IFERROR(__xludf.DUMMYFUNCTION("""COMPUTED_VALUE"""),959)</f>
        <v>959</v>
      </c>
      <c r="H159" s="12">
        <f ca="1">IFERROR(__xludf.DUMMYFUNCTION("""COMPUTED_VALUE"""),1673)</f>
        <v>1673</v>
      </c>
      <c r="I159" s="12">
        <f ca="1">IFERROR(__xludf.DUMMYFUNCTION("""COMPUTED_VALUE"""),3525)</f>
        <v>3525</v>
      </c>
      <c r="J159" s="12">
        <f ca="1">IFERROR(__xludf.DUMMYFUNCTION("""COMPUTED_VALUE"""),1571)</f>
        <v>1571</v>
      </c>
      <c r="K159" s="12">
        <f ca="1">IFERROR(__xludf.DUMMYFUNCTION("""COMPUTED_VALUE"""),1039)</f>
        <v>1039</v>
      </c>
      <c r="L159" s="12">
        <f ca="1">IFERROR(__xludf.DUMMYFUNCTION("""COMPUTED_VALUE"""),721)</f>
        <v>721</v>
      </c>
      <c r="M159" s="12">
        <f ca="1">IFERROR(__xludf.DUMMYFUNCTION("""COMPUTED_VALUE"""),2435)</f>
        <v>2435</v>
      </c>
      <c r="N159" s="12">
        <f ca="1">IFERROR(__xludf.DUMMYFUNCTION("""COMPUTED_VALUE"""),1839)</f>
        <v>1839</v>
      </c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1:38" ht="13.2" x14ac:dyDescent="0.25">
      <c r="A160" s="12" t="str">
        <f ca="1">IFERROR(__xludf.DUMMYFUNCTION("""COMPUTED_VALUE"""),"            left Medulla")</f>
        <v xml:space="preserve">            left Medulla</v>
      </c>
      <c r="B160" s="12">
        <f ca="1">IFERROR(__xludf.DUMMYFUNCTION("""COMPUTED_VALUE"""),1274)</f>
        <v>1274</v>
      </c>
      <c r="C160" s="12">
        <f ca="1">IFERROR(__xludf.DUMMYFUNCTION("""COMPUTED_VALUE"""),878)</f>
        <v>878</v>
      </c>
      <c r="D160" s="12">
        <f ca="1">IFERROR(__xludf.DUMMYFUNCTION("""COMPUTED_VALUE"""),776)</f>
        <v>776</v>
      </c>
      <c r="E160" s="12">
        <f ca="1">IFERROR(__xludf.DUMMYFUNCTION("""COMPUTED_VALUE"""),1210)</f>
        <v>1210</v>
      </c>
      <c r="F160" s="12">
        <f ca="1">IFERROR(__xludf.DUMMYFUNCTION("""COMPUTED_VALUE"""),563)</f>
        <v>563</v>
      </c>
      <c r="G160" s="12">
        <f ca="1">IFERROR(__xludf.DUMMYFUNCTION("""COMPUTED_VALUE"""),509)</f>
        <v>509</v>
      </c>
      <c r="H160" s="12">
        <f ca="1">IFERROR(__xludf.DUMMYFUNCTION("""COMPUTED_VALUE"""),933)</f>
        <v>933</v>
      </c>
      <c r="I160" s="12">
        <f ca="1">IFERROR(__xludf.DUMMYFUNCTION("""COMPUTED_VALUE"""),2351)</f>
        <v>2351</v>
      </c>
      <c r="J160" s="12">
        <f ca="1">IFERROR(__xludf.DUMMYFUNCTION("""COMPUTED_VALUE"""),1323)</f>
        <v>1323</v>
      </c>
      <c r="K160" s="12">
        <f ca="1">IFERROR(__xludf.DUMMYFUNCTION("""COMPUTED_VALUE"""),551)</f>
        <v>551</v>
      </c>
      <c r="L160" s="12">
        <f ca="1">IFERROR(__xludf.DUMMYFUNCTION("""COMPUTED_VALUE"""),556)</f>
        <v>556</v>
      </c>
      <c r="M160" s="12">
        <f ca="1">IFERROR(__xludf.DUMMYFUNCTION("""COMPUTED_VALUE"""),1140)</f>
        <v>1140</v>
      </c>
      <c r="N160" s="12">
        <f ca="1">IFERROR(__xludf.DUMMYFUNCTION("""COMPUTED_VALUE"""),1018)</f>
        <v>1018</v>
      </c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1:38" ht="13.2" x14ac:dyDescent="0.25">
      <c r="A161" s="12" t="str">
        <f ca="1">IFERROR(__xludf.DUMMYFUNCTION("""COMPUTED_VALUE"""),"               left Medulla, sensory related")</f>
        <v xml:space="preserve">               left Medulla, sensory related</v>
      </c>
      <c r="B161" s="12">
        <f ca="1">IFERROR(__xludf.DUMMYFUNCTION("""COMPUTED_VALUE"""),1428)</f>
        <v>1428</v>
      </c>
      <c r="C161" s="12">
        <f ca="1">IFERROR(__xludf.DUMMYFUNCTION("""COMPUTED_VALUE"""),586)</f>
        <v>586</v>
      </c>
      <c r="D161" s="12">
        <f ca="1">IFERROR(__xludf.DUMMYFUNCTION("""COMPUTED_VALUE"""),483)</f>
        <v>483</v>
      </c>
      <c r="E161" s="12">
        <f ca="1">IFERROR(__xludf.DUMMYFUNCTION("""COMPUTED_VALUE"""),1301)</f>
        <v>1301</v>
      </c>
      <c r="F161" s="12">
        <f ca="1">IFERROR(__xludf.DUMMYFUNCTION("""COMPUTED_VALUE"""),690)</f>
        <v>690</v>
      </c>
      <c r="G161" s="12">
        <f ca="1">IFERROR(__xludf.DUMMYFUNCTION("""COMPUTED_VALUE"""),468)</f>
        <v>468</v>
      </c>
      <c r="H161" s="12">
        <f ca="1">IFERROR(__xludf.DUMMYFUNCTION("""COMPUTED_VALUE"""),796)</f>
        <v>796</v>
      </c>
      <c r="I161" s="12">
        <f ca="1">IFERROR(__xludf.DUMMYFUNCTION("""COMPUTED_VALUE"""),2862)</f>
        <v>2862</v>
      </c>
      <c r="J161" s="12">
        <f ca="1">IFERROR(__xludf.DUMMYFUNCTION("""COMPUTED_VALUE"""),1572)</f>
        <v>1572</v>
      </c>
      <c r="K161" s="12">
        <f ca="1">IFERROR(__xludf.DUMMYFUNCTION("""COMPUTED_VALUE"""),651)</f>
        <v>651</v>
      </c>
      <c r="L161" s="12">
        <f ca="1">IFERROR(__xludf.DUMMYFUNCTION("""COMPUTED_VALUE"""),546)</f>
        <v>546</v>
      </c>
      <c r="M161" s="12">
        <f ca="1">IFERROR(__xludf.DUMMYFUNCTION("""COMPUTED_VALUE"""),787)</f>
        <v>787</v>
      </c>
      <c r="N161" s="12">
        <f ca="1">IFERROR(__xludf.DUMMYFUNCTION("""COMPUTED_VALUE"""),1018)</f>
        <v>1018</v>
      </c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1:38" ht="13.2" x14ac:dyDescent="0.25">
      <c r="A162" s="12" t="str">
        <f ca="1">IFERROR(__xludf.DUMMYFUNCTION("""COMPUTED_VALUE"""),"               left Medulla, motor related")</f>
        <v xml:space="preserve">               left Medulla, motor related</v>
      </c>
      <c r="B162" s="12">
        <f ca="1">IFERROR(__xludf.DUMMYFUNCTION("""COMPUTED_VALUE"""),1320)</f>
        <v>1320</v>
      </c>
      <c r="C162" s="12">
        <f ca="1">IFERROR(__xludf.DUMMYFUNCTION("""COMPUTED_VALUE"""),1053)</f>
        <v>1053</v>
      </c>
      <c r="D162" s="12">
        <f ca="1">IFERROR(__xludf.DUMMYFUNCTION("""COMPUTED_VALUE"""),984)</f>
        <v>984</v>
      </c>
      <c r="E162" s="12">
        <f ca="1">IFERROR(__xludf.DUMMYFUNCTION("""COMPUTED_VALUE"""),1336)</f>
        <v>1336</v>
      </c>
      <c r="F162" s="12">
        <f ca="1">IFERROR(__xludf.DUMMYFUNCTION("""COMPUTED_VALUE"""),596)</f>
        <v>596</v>
      </c>
      <c r="G162" s="12">
        <f ca="1">IFERROR(__xludf.DUMMYFUNCTION("""COMPUTED_VALUE"""),562)</f>
        <v>562</v>
      </c>
      <c r="H162" s="12">
        <f ca="1">IFERROR(__xludf.DUMMYFUNCTION("""COMPUTED_VALUE"""),1077)</f>
        <v>1077</v>
      </c>
      <c r="I162" s="12">
        <f ca="1">IFERROR(__xludf.DUMMYFUNCTION("""COMPUTED_VALUE"""),2206)</f>
        <v>2206</v>
      </c>
      <c r="J162" s="12">
        <f ca="1">IFERROR(__xludf.DUMMYFUNCTION("""COMPUTED_VALUE"""),1388)</f>
        <v>1388</v>
      </c>
      <c r="K162" s="12">
        <f ca="1">IFERROR(__xludf.DUMMYFUNCTION("""COMPUTED_VALUE"""),578)</f>
        <v>578</v>
      </c>
      <c r="L162" s="12">
        <f ca="1">IFERROR(__xludf.DUMMYFUNCTION("""COMPUTED_VALUE"""),615)</f>
        <v>615</v>
      </c>
      <c r="M162" s="12">
        <f ca="1">IFERROR(__xludf.DUMMYFUNCTION("""COMPUTED_VALUE"""),1332)</f>
        <v>1332</v>
      </c>
      <c r="N162" s="12">
        <f ca="1">IFERROR(__xludf.DUMMYFUNCTION("""COMPUTED_VALUE"""),1102)</f>
        <v>1102</v>
      </c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1:38" ht="13.2" x14ac:dyDescent="0.25">
      <c r="A163" s="12" t="str">
        <f ca="1">IFERROR(__xludf.DUMMYFUNCTION("""COMPUTED_VALUE"""),"      left Cerebellum")</f>
        <v xml:space="preserve">      left Cerebellum</v>
      </c>
      <c r="B163" s="12">
        <f ca="1">IFERROR(__xludf.DUMMYFUNCTION("""COMPUTED_VALUE"""),625)</f>
        <v>625</v>
      </c>
      <c r="C163" s="12">
        <f ca="1">IFERROR(__xludf.DUMMYFUNCTION("""COMPUTED_VALUE"""),529)</f>
        <v>529</v>
      </c>
      <c r="D163" s="12">
        <f ca="1">IFERROR(__xludf.DUMMYFUNCTION("""COMPUTED_VALUE"""),326)</f>
        <v>326</v>
      </c>
      <c r="E163" s="12">
        <f ca="1">IFERROR(__xludf.DUMMYFUNCTION("""COMPUTED_VALUE"""),570)</f>
        <v>570</v>
      </c>
      <c r="F163" s="12">
        <f ca="1">IFERROR(__xludf.DUMMYFUNCTION("""COMPUTED_VALUE"""),173)</f>
        <v>173</v>
      </c>
      <c r="G163" s="12">
        <f ca="1">IFERROR(__xludf.DUMMYFUNCTION("""COMPUTED_VALUE"""),228)</f>
        <v>228</v>
      </c>
      <c r="H163" s="12">
        <f ca="1">IFERROR(__xludf.DUMMYFUNCTION("""COMPUTED_VALUE"""),534)</f>
        <v>534</v>
      </c>
      <c r="I163" s="12">
        <f ca="1">IFERROR(__xludf.DUMMYFUNCTION("""COMPUTED_VALUE"""),1276)</f>
        <v>1276</v>
      </c>
      <c r="J163" s="12">
        <f ca="1">IFERROR(__xludf.DUMMYFUNCTION("""COMPUTED_VALUE"""),796)</f>
        <v>796</v>
      </c>
      <c r="K163" s="12">
        <f ca="1">IFERROR(__xludf.DUMMYFUNCTION("""COMPUTED_VALUE"""),265)</f>
        <v>265</v>
      </c>
      <c r="L163" s="12">
        <f ca="1">IFERROR(__xludf.DUMMYFUNCTION("""COMPUTED_VALUE"""),386)</f>
        <v>386</v>
      </c>
      <c r="M163" s="12">
        <f ca="1">IFERROR(__xludf.DUMMYFUNCTION("""COMPUTED_VALUE"""),211)</f>
        <v>211</v>
      </c>
      <c r="N163" s="12">
        <f ca="1">IFERROR(__xludf.DUMMYFUNCTION("""COMPUTED_VALUE"""),507)</f>
        <v>507</v>
      </c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1:38" ht="13.2" x14ac:dyDescent="0.25">
      <c r="A164" s="12" t="str">
        <f ca="1">IFERROR(__xludf.DUMMYFUNCTION("""COMPUTED_VALUE"""),"         left Cerebellar cortex")</f>
        <v xml:space="preserve">         left Cerebellar cortex</v>
      </c>
      <c r="B164" s="12">
        <f ca="1">IFERROR(__xludf.DUMMYFUNCTION("""COMPUTED_VALUE"""),613)</f>
        <v>613</v>
      </c>
      <c r="C164" s="12">
        <f ca="1">IFERROR(__xludf.DUMMYFUNCTION("""COMPUTED_VALUE"""),516)</f>
        <v>516</v>
      </c>
      <c r="D164" s="12">
        <f ca="1">IFERROR(__xludf.DUMMYFUNCTION("""COMPUTED_VALUE"""),329)</f>
        <v>329</v>
      </c>
      <c r="E164" s="12">
        <f ca="1">IFERROR(__xludf.DUMMYFUNCTION("""COMPUTED_VALUE"""),592)</f>
        <v>592</v>
      </c>
      <c r="F164" s="12">
        <f ca="1">IFERROR(__xludf.DUMMYFUNCTION("""COMPUTED_VALUE"""),175)</f>
        <v>175</v>
      </c>
      <c r="G164" s="12">
        <f ca="1">IFERROR(__xludf.DUMMYFUNCTION("""COMPUTED_VALUE"""),233)</f>
        <v>233</v>
      </c>
      <c r="H164" s="12">
        <f ca="1">IFERROR(__xludf.DUMMYFUNCTION("""COMPUTED_VALUE"""),540)</f>
        <v>540</v>
      </c>
      <c r="I164" s="12">
        <f ca="1">IFERROR(__xludf.DUMMYFUNCTION("""COMPUTED_VALUE"""),1291)</f>
        <v>1291</v>
      </c>
      <c r="J164" s="12">
        <f ca="1">IFERROR(__xludf.DUMMYFUNCTION("""COMPUTED_VALUE"""),820)</f>
        <v>820</v>
      </c>
      <c r="K164" s="12">
        <f ca="1">IFERROR(__xludf.DUMMYFUNCTION("""COMPUTED_VALUE"""),271)</f>
        <v>271</v>
      </c>
      <c r="L164" s="12">
        <f ca="1">IFERROR(__xludf.DUMMYFUNCTION("""COMPUTED_VALUE"""),382)</f>
        <v>382</v>
      </c>
      <c r="M164" s="12">
        <f ca="1">IFERROR(__xludf.DUMMYFUNCTION("""COMPUTED_VALUE"""),208)</f>
        <v>208</v>
      </c>
      <c r="N164" s="12">
        <f ca="1">IFERROR(__xludf.DUMMYFUNCTION("""COMPUTED_VALUE"""),510)</f>
        <v>510</v>
      </c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1:38" ht="13.2" x14ac:dyDescent="0.25">
      <c r="A165" s="12" t="str">
        <f ca="1">IFERROR(__xludf.DUMMYFUNCTION("""COMPUTED_VALUE"""),"            left Vermal regions")</f>
        <v xml:space="preserve">            left Vermal regions</v>
      </c>
      <c r="B165" s="12">
        <f ca="1">IFERROR(__xludf.DUMMYFUNCTION("""COMPUTED_VALUE"""),900)</f>
        <v>900</v>
      </c>
      <c r="C165" s="12">
        <f ca="1">IFERROR(__xludf.DUMMYFUNCTION("""COMPUTED_VALUE"""),556)</f>
        <v>556</v>
      </c>
      <c r="D165" s="12">
        <f ca="1">IFERROR(__xludf.DUMMYFUNCTION("""COMPUTED_VALUE"""),431)</f>
        <v>431</v>
      </c>
      <c r="E165" s="12">
        <f ca="1">IFERROR(__xludf.DUMMYFUNCTION("""COMPUTED_VALUE"""),676)</f>
        <v>676</v>
      </c>
      <c r="F165" s="12">
        <f ca="1">IFERROR(__xludf.DUMMYFUNCTION("""COMPUTED_VALUE"""),264)</f>
        <v>264</v>
      </c>
      <c r="G165" s="12">
        <f ca="1">IFERROR(__xludf.DUMMYFUNCTION("""COMPUTED_VALUE"""),280)</f>
        <v>280</v>
      </c>
      <c r="H165" s="12">
        <f ca="1">IFERROR(__xludf.DUMMYFUNCTION("""COMPUTED_VALUE"""),844)</f>
        <v>844</v>
      </c>
      <c r="I165" s="12">
        <f ca="1">IFERROR(__xludf.DUMMYFUNCTION("""COMPUTED_VALUE"""),1665)</f>
        <v>1665</v>
      </c>
      <c r="J165" s="12">
        <f ca="1">IFERROR(__xludf.DUMMYFUNCTION("""COMPUTED_VALUE"""),1153)</f>
        <v>1153</v>
      </c>
      <c r="K165" s="12">
        <f ca="1">IFERROR(__xludf.DUMMYFUNCTION("""COMPUTED_VALUE"""),322)</f>
        <v>322</v>
      </c>
      <c r="L165" s="12">
        <f ca="1">IFERROR(__xludf.DUMMYFUNCTION("""COMPUTED_VALUE"""),678)</f>
        <v>678</v>
      </c>
      <c r="M165" s="12">
        <f ca="1">IFERROR(__xludf.DUMMYFUNCTION("""COMPUTED_VALUE"""),184)</f>
        <v>184</v>
      </c>
      <c r="N165" s="12">
        <f ca="1">IFERROR(__xludf.DUMMYFUNCTION("""COMPUTED_VALUE"""),670)</f>
        <v>670</v>
      </c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1:38" ht="13.2" x14ac:dyDescent="0.25">
      <c r="A166" s="12" t="str">
        <f ca="1">IFERROR(__xludf.DUMMYFUNCTION("""COMPUTED_VALUE"""),"            left Hemispheric regions")</f>
        <v xml:space="preserve">            left Hemispheric regions</v>
      </c>
      <c r="B166" s="12">
        <f ca="1">IFERROR(__xludf.DUMMYFUNCTION("""COMPUTED_VALUE"""),426)</f>
        <v>426</v>
      </c>
      <c r="C166" s="12">
        <f ca="1">IFERROR(__xludf.DUMMYFUNCTION("""COMPUTED_VALUE"""),489)</f>
        <v>489</v>
      </c>
      <c r="D166" s="12">
        <f ca="1">IFERROR(__xludf.DUMMYFUNCTION("""COMPUTED_VALUE"""),263)</f>
        <v>263</v>
      </c>
      <c r="E166" s="12">
        <f ca="1">IFERROR(__xludf.DUMMYFUNCTION("""COMPUTED_VALUE"""),536)</f>
        <v>536</v>
      </c>
      <c r="F166" s="12">
        <f ca="1">IFERROR(__xludf.DUMMYFUNCTION("""COMPUTED_VALUE"""),117)</f>
        <v>117</v>
      </c>
      <c r="G166" s="12">
        <f ca="1">IFERROR(__xludf.DUMMYFUNCTION("""COMPUTED_VALUE"""),202)</f>
        <v>202</v>
      </c>
      <c r="H166" s="12">
        <f ca="1">IFERROR(__xludf.DUMMYFUNCTION("""COMPUTED_VALUE"""),341)</f>
        <v>341</v>
      </c>
      <c r="I166" s="12">
        <f ca="1">IFERROR(__xludf.DUMMYFUNCTION("""COMPUTED_VALUE"""),1048)</f>
        <v>1048</v>
      </c>
      <c r="J166" s="12">
        <f ca="1">IFERROR(__xludf.DUMMYFUNCTION("""COMPUTED_VALUE"""),604)</f>
        <v>604</v>
      </c>
      <c r="K166" s="12">
        <f ca="1">IFERROR(__xludf.DUMMYFUNCTION("""COMPUTED_VALUE"""),239)</f>
        <v>239</v>
      </c>
      <c r="L166" s="12">
        <f ca="1">IFERROR(__xludf.DUMMYFUNCTION("""COMPUTED_VALUE"""),189)</f>
        <v>189</v>
      </c>
      <c r="M166" s="12">
        <f ca="1">IFERROR(__xludf.DUMMYFUNCTION("""COMPUTED_VALUE"""),225)</f>
        <v>225</v>
      </c>
      <c r="N166" s="12">
        <f ca="1">IFERROR(__xludf.DUMMYFUNCTION("""COMPUTED_VALUE"""),407)</f>
        <v>407</v>
      </c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1:38" ht="13.2" x14ac:dyDescent="0.25">
      <c r="A167" s="12" t="str">
        <f ca="1">IFERROR(__xludf.DUMMYFUNCTION("""COMPUTED_VALUE"""),"         left Cerebellar nuclei")</f>
        <v xml:space="preserve">         left Cerebellar nuclei</v>
      </c>
      <c r="B167" s="12">
        <f ca="1">IFERROR(__xludf.DUMMYFUNCTION("""COMPUTED_VALUE"""),496)</f>
        <v>496</v>
      </c>
      <c r="C167" s="12">
        <f ca="1">IFERROR(__xludf.DUMMYFUNCTION("""COMPUTED_VALUE"""),673)</f>
        <v>673</v>
      </c>
      <c r="D167" s="12">
        <f ca="1">IFERROR(__xludf.DUMMYFUNCTION("""COMPUTED_VALUE"""),156)</f>
        <v>156</v>
      </c>
      <c r="E167" s="12">
        <f ca="1">IFERROR(__xludf.DUMMYFUNCTION("""COMPUTED_VALUE"""),78)</f>
        <v>78</v>
      </c>
      <c r="F167" s="12">
        <f ca="1">IFERROR(__xludf.DUMMYFUNCTION("""COMPUTED_VALUE"""),65)</f>
        <v>65</v>
      </c>
      <c r="G167" s="12">
        <f ca="1">IFERROR(__xludf.DUMMYFUNCTION("""COMPUTED_VALUE"""),76)</f>
        <v>76</v>
      </c>
      <c r="H167" s="12">
        <f ca="1">IFERROR(__xludf.DUMMYFUNCTION("""COMPUTED_VALUE"""),274)</f>
        <v>274</v>
      </c>
      <c r="I167" s="12">
        <f ca="1">IFERROR(__xludf.DUMMYFUNCTION("""COMPUTED_VALUE"""),735)</f>
        <v>735</v>
      </c>
      <c r="J167" s="12">
        <f ca="1">IFERROR(__xludf.DUMMYFUNCTION("""COMPUTED_VALUE"""),129)</f>
        <v>129</v>
      </c>
      <c r="K167" s="12">
        <f ca="1">IFERROR(__xludf.DUMMYFUNCTION("""COMPUTED_VALUE"""),43)</f>
        <v>43</v>
      </c>
      <c r="L167" s="12">
        <f ca="1">IFERROR(__xludf.DUMMYFUNCTION("""COMPUTED_VALUE"""),246)</f>
        <v>246</v>
      </c>
      <c r="M167" s="12">
        <f ca="1">IFERROR(__xludf.DUMMYFUNCTION("""COMPUTED_VALUE"""),153)</f>
        <v>153</v>
      </c>
      <c r="N167" s="12">
        <f ca="1">IFERROR(__xludf.DUMMYFUNCTION("""COMPUTED_VALUE"""),288)</f>
        <v>288</v>
      </c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1:38" ht="13.2" x14ac:dyDescent="0.25">
      <c r="A168" s="12" t="str">
        <f ca="1">IFERROR(__xludf.DUMMYFUNCTION("""COMPUTED_VALUE"""),"         left hypothalamus related")</f>
        <v xml:space="preserve">         left hypothalamus related</v>
      </c>
      <c r="B168" s="12">
        <f ca="1">IFERROR(__xludf.DUMMYFUNCTION("""COMPUTED_VALUE"""),6497)</f>
        <v>6497</v>
      </c>
      <c r="C168" s="12">
        <f ca="1">IFERROR(__xludf.DUMMYFUNCTION("""COMPUTED_VALUE"""),4713)</f>
        <v>4713</v>
      </c>
      <c r="D168" s="12">
        <f ca="1">IFERROR(__xludf.DUMMYFUNCTION("""COMPUTED_VALUE"""),4820)</f>
        <v>4820</v>
      </c>
      <c r="E168" s="12">
        <f ca="1">IFERROR(__xludf.DUMMYFUNCTION("""COMPUTED_VALUE"""),4264)</f>
        <v>4264</v>
      </c>
      <c r="F168" s="12">
        <f ca="1">IFERROR(__xludf.DUMMYFUNCTION("""COMPUTED_VALUE"""),2406)</f>
        <v>2406</v>
      </c>
      <c r="G168" s="12">
        <f ca="1">IFERROR(__xludf.DUMMYFUNCTION("""COMPUTED_VALUE"""),1718)</f>
        <v>1718</v>
      </c>
      <c r="H168" s="12">
        <f ca="1">IFERROR(__xludf.DUMMYFUNCTION("""COMPUTED_VALUE"""),5352)</f>
        <v>5352</v>
      </c>
      <c r="I168" s="12">
        <f ca="1">IFERROR(__xludf.DUMMYFUNCTION("""COMPUTED_VALUE"""),6216)</f>
        <v>6216</v>
      </c>
      <c r="J168" s="12">
        <f ca="1">IFERROR(__xludf.DUMMYFUNCTION("""COMPUTED_VALUE"""),3285)</f>
        <v>3285</v>
      </c>
      <c r="K168" s="12">
        <f ca="1">IFERROR(__xludf.DUMMYFUNCTION("""COMPUTED_VALUE"""),2682)</f>
        <v>2682</v>
      </c>
      <c r="L168" s="12">
        <f ca="1">IFERROR(__xludf.DUMMYFUNCTION("""COMPUTED_VALUE"""),2185)</f>
        <v>2185</v>
      </c>
      <c r="M168" s="12">
        <f ca="1">IFERROR(__xludf.DUMMYFUNCTION("""COMPUTED_VALUE"""),5398)</f>
        <v>5398</v>
      </c>
      <c r="N168" s="12">
        <f ca="1">IFERROR(__xludf.DUMMYFUNCTION("""COMPUTED_VALUE"""),4232)</f>
        <v>4232</v>
      </c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1:38" ht="13.2" x14ac:dyDescent="0.25">
      <c r="A169" s="12" t="str">
        <f ca="1">IFERROR(__xludf.DUMMYFUNCTION("""COMPUTED_VALUE"""),"right root")</f>
        <v>right root</v>
      </c>
      <c r="B169" s="12">
        <f ca="1">IFERROR(__xludf.DUMMYFUNCTION("""COMPUTED_VALUE"""),7495)</f>
        <v>7495</v>
      </c>
      <c r="C169" s="12">
        <f ca="1">IFERROR(__xludf.DUMMYFUNCTION("""COMPUTED_VALUE"""),6115)</f>
        <v>6115</v>
      </c>
      <c r="D169" s="12">
        <f ca="1">IFERROR(__xludf.DUMMYFUNCTION("""COMPUTED_VALUE"""),4931)</f>
        <v>4931</v>
      </c>
      <c r="E169" s="12">
        <f ca="1">IFERROR(__xludf.DUMMYFUNCTION("""COMPUTED_VALUE"""),4523)</f>
        <v>4523</v>
      </c>
      <c r="F169" s="12">
        <f ca="1">IFERROR(__xludf.DUMMYFUNCTION("""COMPUTED_VALUE"""),2802)</f>
        <v>2802</v>
      </c>
      <c r="G169" s="12">
        <f ca="1">IFERROR(__xludf.DUMMYFUNCTION("""COMPUTED_VALUE"""),2666)</f>
        <v>2666</v>
      </c>
      <c r="H169" s="12">
        <f ca="1">IFERROR(__xludf.DUMMYFUNCTION("""COMPUTED_VALUE"""),5967)</f>
        <v>5967</v>
      </c>
      <c r="I169" s="12">
        <f ca="1">IFERROR(__xludf.DUMMYFUNCTION("""COMPUTED_VALUE"""),7396)</f>
        <v>7396</v>
      </c>
      <c r="J169" s="12">
        <f ca="1">IFERROR(__xludf.DUMMYFUNCTION("""COMPUTED_VALUE"""),5239)</f>
        <v>5239</v>
      </c>
      <c r="K169" s="12">
        <f ca="1">IFERROR(__xludf.DUMMYFUNCTION("""COMPUTED_VALUE"""),4197)</f>
        <v>4197</v>
      </c>
      <c r="L169" s="12">
        <f ca="1">IFERROR(__xludf.DUMMYFUNCTION("""COMPUTED_VALUE"""),4011)</f>
        <v>4011</v>
      </c>
      <c r="M169" s="12">
        <f ca="1">IFERROR(__xludf.DUMMYFUNCTION("""COMPUTED_VALUE"""),5890)</f>
        <v>5890</v>
      </c>
      <c r="N169" s="12">
        <f ca="1">IFERROR(__xludf.DUMMYFUNCTION("""COMPUTED_VALUE"""),5122)</f>
        <v>5122</v>
      </c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1:38" ht="13.2" x14ac:dyDescent="0.25">
      <c r="A170" s="12" t="str">
        <f ca="1">IFERROR(__xludf.DUMMYFUNCTION("""COMPUTED_VALUE"""),"      right Cerebrum")</f>
        <v xml:space="preserve">      right Cerebrum</v>
      </c>
      <c r="B170" s="12">
        <f ca="1">IFERROR(__xludf.DUMMYFUNCTION("""COMPUTED_VALUE"""),11185)</f>
        <v>11185</v>
      </c>
      <c r="C170" s="12">
        <f ca="1">IFERROR(__xludf.DUMMYFUNCTION("""COMPUTED_VALUE"""),8900)</f>
        <v>8900</v>
      </c>
      <c r="D170" s="12">
        <f ca="1">IFERROR(__xludf.DUMMYFUNCTION("""COMPUTED_VALUE"""),7122)</f>
        <v>7122</v>
      </c>
      <c r="E170" s="12">
        <f ca="1">IFERROR(__xludf.DUMMYFUNCTION("""COMPUTED_VALUE"""),6186)</f>
        <v>6186</v>
      </c>
      <c r="F170" s="12">
        <f ca="1">IFERROR(__xludf.DUMMYFUNCTION("""COMPUTED_VALUE"""),3766)</f>
        <v>3766</v>
      </c>
      <c r="G170" s="12">
        <f ca="1">IFERROR(__xludf.DUMMYFUNCTION("""COMPUTED_VALUE"""),3678)</f>
        <v>3678</v>
      </c>
      <c r="H170" s="12">
        <f ca="1">IFERROR(__xludf.DUMMYFUNCTION("""COMPUTED_VALUE"""),8204)</f>
        <v>8204</v>
      </c>
      <c r="I170" s="12">
        <f ca="1">IFERROR(__xludf.DUMMYFUNCTION("""COMPUTED_VALUE"""),10350)</f>
        <v>10350</v>
      </c>
      <c r="J170" s="12">
        <f ca="1">IFERROR(__xludf.DUMMYFUNCTION("""COMPUTED_VALUE"""),7539)</f>
        <v>7539</v>
      </c>
      <c r="K170" s="12">
        <f ca="1">IFERROR(__xludf.DUMMYFUNCTION("""COMPUTED_VALUE"""),6213)</f>
        <v>6213</v>
      </c>
      <c r="L170" s="12">
        <f ca="1">IFERROR(__xludf.DUMMYFUNCTION("""COMPUTED_VALUE"""),5795)</f>
        <v>5795</v>
      </c>
      <c r="M170" s="12">
        <f ca="1">IFERROR(__xludf.DUMMYFUNCTION("""COMPUTED_VALUE"""),8609)</f>
        <v>8609</v>
      </c>
      <c r="N170" s="12">
        <f ca="1">IFERROR(__xludf.DUMMYFUNCTION("""COMPUTED_VALUE"""),7290)</f>
        <v>7290</v>
      </c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1:38" ht="13.2" x14ac:dyDescent="0.25">
      <c r="A171" s="12" t="str">
        <f ca="1">IFERROR(__xludf.DUMMYFUNCTION("""COMPUTED_VALUE"""),"         right Cerebral cortex")</f>
        <v xml:space="preserve">         right Cerebral cortex</v>
      </c>
      <c r="B171" s="12">
        <f ca="1">IFERROR(__xludf.DUMMYFUNCTION("""COMPUTED_VALUE"""),11932)</f>
        <v>11932</v>
      </c>
      <c r="C171" s="12">
        <f ca="1">IFERROR(__xludf.DUMMYFUNCTION("""COMPUTED_VALUE"""),9469)</f>
        <v>9469</v>
      </c>
      <c r="D171" s="12">
        <f ca="1">IFERROR(__xludf.DUMMYFUNCTION("""COMPUTED_VALUE"""),7565)</f>
        <v>7565</v>
      </c>
      <c r="E171" s="12">
        <f ca="1">IFERROR(__xludf.DUMMYFUNCTION("""COMPUTED_VALUE"""),6726)</f>
        <v>6726</v>
      </c>
      <c r="F171" s="12">
        <f ca="1">IFERROR(__xludf.DUMMYFUNCTION("""COMPUTED_VALUE"""),4043)</f>
        <v>4043</v>
      </c>
      <c r="G171" s="12">
        <f ca="1">IFERROR(__xludf.DUMMYFUNCTION("""COMPUTED_VALUE"""),4052)</f>
        <v>4052</v>
      </c>
      <c r="H171" s="12">
        <f ca="1">IFERROR(__xludf.DUMMYFUNCTION("""COMPUTED_VALUE"""),8520)</f>
        <v>8520</v>
      </c>
      <c r="I171" s="12">
        <f ca="1">IFERROR(__xludf.DUMMYFUNCTION("""COMPUTED_VALUE"""),10899)</f>
        <v>10899</v>
      </c>
      <c r="J171" s="12">
        <f ca="1">IFERROR(__xludf.DUMMYFUNCTION("""COMPUTED_VALUE"""),8358)</f>
        <v>8358</v>
      </c>
      <c r="K171" s="12">
        <f ca="1">IFERROR(__xludf.DUMMYFUNCTION("""COMPUTED_VALUE"""),7086)</f>
        <v>7086</v>
      </c>
      <c r="L171" s="12">
        <f ca="1">IFERROR(__xludf.DUMMYFUNCTION("""COMPUTED_VALUE"""),6431)</f>
        <v>6431</v>
      </c>
      <c r="M171" s="12">
        <f ca="1">IFERROR(__xludf.DUMMYFUNCTION("""COMPUTED_VALUE"""),9749)</f>
        <v>9749</v>
      </c>
      <c r="N171" s="12">
        <f ca="1">IFERROR(__xludf.DUMMYFUNCTION("""COMPUTED_VALUE"""),7840)</f>
        <v>7840</v>
      </c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1:38" ht="13.2" x14ac:dyDescent="0.25">
      <c r="A172" s="12" t="str">
        <f ca="1">IFERROR(__xludf.DUMMYFUNCTION("""COMPUTED_VALUE"""),"            right Cortical plate")</f>
        <v xml:space="preserve">            right Cortical plate</v>
      </c>
      <c r="B172" s="12">
        <f ca="1">IFERROR(__xludf.DUMMYFUNCTION("""COMPUTED_VALUE"""),11933)</f>
        <v>11933</v>
      </c>
      <c r="C172" s="12">
        <f ca="1">IFERROR(__xludf.DUMMYFUNCTION("""COMPUTED_VALUE"""),9537)</f>
        <v>9537</v>
      </c>
      <c r="D172" s="12">
        <f ca="1">IFERROR(__xludf.DUMMYFUNCTION("""COMPUTED_VALUE"""),7515)</f>
        <v>7515</v>
      </c>
      <c r="E172" s="12">
        <f ca="1">IFERROR(__xludf.DUMMYFUNCTION("""COMPUTED_VALUE"""),6723)</f>
        <v>6723</v>
      </c>
      <c r="F172" s="12">
        <f ca="1">IFERROR(__xludf.DUMMYFUNCTION("""COMPUTED_VALUE"""),4055)</f>
        <v>4055</v>
      </c>
      <c r="G172" s="12">
        <f ca="1">IFERROR(__xludf.DUMMYFUNCTION("""COMPUTED_VALUE"""),4043)</f>
        <v>4043</v>
      </c>
      <c r="H172" s="12">
        <f ca="1">IFERROR(__xludf.DUMMYFUNCTION("""COMPUTED_VALUE"""),8429)</f>
        <v>8429</v>
      </c>
      <c r="I172" s="12">
        <f ca="1">IFERROR(__xludf.DUMMYFUNCTION("""COMPUTED_VALUE"""),10899)</f>
        <v>10899</v>
      </c>
      <c r="J172" s="12">
        <f ca="1">IFERROR(__xludf.DUMMYFUNCTION("""COMPUTED_VALUE"""),8452)</f>
        <v>8452</v>
      </c>
      <c r="K172" s="12">
        <f ca="1">IFERROR(__xludf.DUMMYFUNCTION("""COMPUTED_VALUE"""),7161)</f>
        <v>7161</v>
      </c>
      <c r="L172" s="12">
        <f ca="1">IFERROR(__xludf.DUMMYFUNCTION("""COMPUTED_VALUE"""),6449)</f>
        <v>6449</v>
      </c>
      <c r="M172" s="12">
        <f ca="1">IFERROR(__xludf.DUMMYFUNCTION("""COMPUTED_VALUE"""),9895)</f>
        <v>9895</v>
      </c>
      <c r="N172" s="12">
        <f ca="1">IFERROR(__xludf.DUMMYFUNCTION("""COMPUTED_VALUE"""),7851)</f>
        <v>7851</v>
      </c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1:38" ht="13.2" x14ac:dyDescent="0.25">
      <c r="A173" s="12" t="str">
        <f ca="1">IFERROR(__xludf.DUMMYFUNCTION("""COMPUTED_VALUE"""),"               right Isocortex")</f>
        <v xml:space="preserve">               right Isocortex</v>
      </c>
      <c r="B173" s="12">
        <f ca="1">IFERROR(__xludf.DUMMYFUNCTION("""COMPUTED_VALUE"""),13868)</f>
        <v>13868</v>
      </c>
      <c r="C173" s="12">
        <f ca="1">IFERROR(__xludf.DUMMYFUNCTION("""COMPUTED_VALUE"""),11405)</f>
        <v>11405</v>
      </c>
      <c r="D173" s="12">
        <f ca="1">IFERROR(__xludf.DUMMYFUNCTION("""COMPUTED_VALUE"""),7905)</f>
        <v>7905</v>
      </c>
      <c r="E173" s="12">
        <f ca="1">IFERROR(__xludf.DUMMYFUNCTION("""COMPUTED_VALUE"""),7384)</f>
        <v>7384</v>
      </c>
      <c r="F173" s="12">
        <f ca="1">IFERROR(__xludf.DUMMYFUNCTION("""COMPUTED_VALUE"""),4647)</f>
        <v>4647</v>
      </c>
      <c r="G173" s="12">
        <f ca="1">IFERROR(__xludf.DUMMYFUNCTION("""COMPUTED_VALUE"""),4355)</f>
        <v>4355</v>
      </c>
      <c r="H173" s="12">
        <f ca="1">IFERROR(__xludf.DUMMYFUNCTION("""COMPUTED_VALUE"""),9686)</f>
        <v>9686</v>
      </c>
      <c r="I173" s="12">
        <f ca="1">IFERROR(__xludf.DUMMYFUNCTION("""COMPUTED_VALUE"""),14103)</f>
        <v>14103</v>
      </c>
      <c r="J173" s="12">
        <f ca="1">IFERROR(__xludf.DUMMYFUNCTION("""COMPUTED_VALUE"""),10538)</f>
        <v>10538</v>
      </c>
      <c r="K173" s="12">
        <f ca="1">IFERROR(__xludf.DUMMYFUNCTION("""COMPUTED_VALUE"""),9282)</f>
        <v>9282</v>
      </c>
      <c r="L173" s="12">
        <f ca="1">IFERROR(__xludf.DUMMYFUNCTION("""COMPUTED_VALUE"""),7943)</f>
        <v>7943</v>
      </c>
      <c r="M173" s="12">
        <f ca="1">IFERROR(__xludf.DUMMYFUNCTION("""COMPUTED_VALUE"""),12426)</f>
        <v>12426</v>
      </c>
      <c r="N173" s="12">
        <f ca="1">IFERROR(__xludf.DUMMYFUNCTION("""COMPUTED_VALUE"""),9283)</f>
        <v>9283</v>
      </c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1:38" ht="13.2" x14ac:dyDescent="0.25">
      <c r="A174" s="12" t="str">
        <f ca="1">IFERROR(__xludf.DUMMYFUNCTION("""COMPUTED_VALUE"""),"                  right Frontal pole, cerebral cortex")</f>
        <v xml:space="preserve">                  right Frontal pole, cerebral cortex</v>
      </c>
      <c r="B174" s="12">
        <f ca="1">IFERROR(__xludf.DUMMYFUNCTION("""COMPUTED_VALUE"""),10793)</f>
        <v>10793</v>
      </c>
      <c r="C174" s="12">
        <f ca="1">IFERROR(__xludf.DUMMYFUNCTION("""COMPUTED_VALUE"""),8767)</f>
        <v>8767</v>
      </c>
      <c r="D174" s="12">
        <f ca="1">IFERROR(__xludf.DUMMYFUNCTION("""COMPUTED_VALUE"""),4112)</f>
        <v>4112</v>
      </c>
      <c r="E174" s="12">
        <f ca="1">IFERROR(__xludf.DUMMYFUNCTION("""COMPUTED_VALUE"""),2032)</f>
        <v>2032</v>
      </c>
      <c r="F174" s="12">
        <f ca="1">IFERROR(__xludf.DUMMYFUNCTION("""COMPUTED_VALUE"""),1609)</f>
        <v>1609</v>
      </c>
      <c r="G174" s="12">
        <f ca="1">IFERROR(__xludf.DUMMYFUNCTION("""COMPUTED_VALUE"""),1472)</f>
        <v>1472</v>
      </c>
      <c r="H174" s="12">
        <f ca="1">IFERROR(__xludf.DUMMYFUNCTION("""COMPUTED_VALUE"""),5961)</f>
        <v>5961</v>
      </c>
      <c r="I174" s="12">
        <f ca="1">IFERROR(__xludf.DUMMYFUNCTION("""COMPUTED_VALUE"""),8615)</f>
        <v>8615</v>
      </c>
      <c r="J174" s="12">
        <f ca="1">IFERROR(__xludf.DUMMYFUNCTION("""COMPUTED_VALUE"""),5059)</f>
        <v>5059</v>
      </c>
      <c r="K174" s="12">
        <f ca="1">IFERROR(__xludf.DUMMYFUNCTION("""COMPUTED_VALUE"""),6617)</f>
        <v>6617</v>
      </c>
      <c r="L174" s="12">
        <f ca="1">IFERROR(__xludf.DUMMYFUNCTION("""COMPUTED_VALUE"""),14782)</f>
        <v>14782</v>
      </c>
      <c r="M174" s="12">
        <f ca="1">IFERROR(__xludf.DUMMYFUNCTION("""COMPUTED_VALUE"""),14473)</f>
        <v>14473</v>
      </c>
      <c r="N174" s="12">
        <f ca="1">IFERROR(__xludf.DUMMYFUNCTION("""COMPUTED_VALUE"""),6332)</f>
        <v>6332</v>
      </c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1:38" ht="13.2" x14ac:dyDescent="0.25">
      <c r="A175" s="12" t="str">
        <f ca="1">IFERROR(__xludf.DUMMYFUNCTION("""COMPUTED_VALUE"""),"                  right Somatomotor areas")</f>
        <v xml:space="preserve">                  right Somatomotor areas</v>
      </c>
      <c r="B175" s="12">
        <f ca="1">IFERROR(__xludf.DUMMYFUNCTION("""COMPUTED_VALUE"""),7829)</f>
        <v>7829</v>
      </c>
      <c r="C175" s="12">
        <f ca="1">IFERROR(__xludf.DUMMYFUNCTION("""COMPUTED_VALUE"""),8800)</f>
        <v>8800</v>
      </c>
      <c r="D175" s="12">
        <f ca="1">IFERROR(__xludf.DUMMYFUNCTION("""COMPUTED_VALUE"""),3403)</f>
        <v>3403</v>
      </c>
      <c r="E175" s="12">
        <f ca="1">IFERROR(__xludf.DUMMYFUNCTION("""COMPUTED_VALUE"""),2523)</f>
        <v>2523</v>
      </c>
      <c r="F175" s="12">
        <f ca="1">IFERROR(__xludf.DUMMYFUNCTION("""COMPUTED_VALUE"""),2351)</f>
        <v>2351</v>
      </c>
      <c r="G175" s="12">
        <f ca="1">IFERROR(__xludf.DUMMYFUNCTION("""COMPUTED_VALUE"""),1175)</f>
        <v>1175</v>
      </c>
      <c r="H175" s="12">
        <f ca="1">IFERROR(__xludf.DUMMYFUNCTION("""COMPUTED_VALUE"""),6975)</f>
        <v>6975</v>
      </c>
      <c r="I175" s="12">
        <f ca="1">IFERROR(__xludf.DUMMYFUNCTION("""COMPUTED_VALUE"""),12009)</f>
        <v>12009</v>
      </c>
      <c r="J175" s="12">
        <f ca="1">IFERROR(__xludf.DUMMYFUNCTION("""COMPUTED_VALUE"""),8412)</f>
        <v>8412</v>
      </c>
      <c r="K175" s="12">
        <f ca="1">IFERROR(__xludf.DUMMYFUNCTION("""COMPUTED_VALUE"""),6576)</f>
        <v>6576</v>
      </c>
      <c r="L175" s="12">
        <f ca="1">IFERROR(__xludf.DUMMYFUNCTION("""COMPUTED_VALUE"""),6884)</f>
        <v>6884</v>
      </c>
      <c r="M175" s="12">
        <f ca="1">IFERROR(__xludf.DUMMYFUNCTION("""COMPUTED_VALUE"""),9041)</f>
        <v>9041</v>
      </c>
      <c r="N175" s="12">
        <f ca="1">IFERROR(__xludf.DUMMYFUNCTION("""COMPUTED_VALUE"""),6076)</f>
        <v>6076</v>
      </c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1:38" ht="13.2" x14ac:dyDescent="0.25">
      <c r="A176" s="12" t="str">
        <f ca="1">IFERROR(__xludf.DUMMYFUNCTION("""COMPUTED_VALUE"""),"                     right Primary motor area")</f>
        <v xml:space="preserve">                     right Primary motor area</v>
      </c>
      <c r="B176" s="12">
        <f ca="1">IFERROR(__xludf.DUMMYFUNCTION("""COMPUTED_VALUE"""),6655)</f>
        <v>6655</v>
      </c>
      <c r="C176" s="12">
        <f ca="1">IFERROR(__xludf.DUMMYFUNCTION("""COMPUTED_VALUE"""),8455)</f>
        <v>8455</v>
      </c>
      <c r="D176" s="12">
        <f ca="1">IFERROR(__xludf.DUMMYFUNCTION("""COMPUTED_VALUE"""),2780)</f>
        <v>2780</v>
      </c>
      <c r="E176" s="12">
        <f ca="1">IFERROR(__xludf.DUMMYFUNCTION("""COMPUTED_VALUE"""),2563)</f>
        <v>2563</v>
      </c>
      <c r="F176" s="12">
        <f ca="1">IFERROR(__xludf.DUMMYFUNCTION("""COMPUTED_VALUE"""),2532)</f>
        <v>2532</v>
      </c>
      <c r="G176" s="12">
        <f ca="1">IFERROR(__xludf.DUMMYFUNCTION("""COMPUTED_VALUE"""),1153)</f>
        <v>1153</v>
      </c>
      <c r="H176" s="12">
        <f ca="1">IFERROR(__xludf.DUMMYFUNCTION("""COMPUTED_VALUE"""),7801)</f>
        <v>7801</v>
      </c>
      <c r="I176" s="12">
        <f ca="1">IFERROR(__xludf.DUMMYFUNCTION("""COMPUTED_VALUE"""),13189)</f>
        <v>13189</v>
      </c>
      <c r="J176" s="12">
        <f ca="1">IFERROR(__xludf.DUMMYFUNCTION("""COMPUTED_VALUE"""),8448)</f>
        <v>8448</v>
      </c>
      <c r="K176" s="12">
        <f ca="1">IFERROR(__xludf.DUMMYFUNCTION("""COMPUTED_VALUE"""),6957)</f>
        <v>6957</v>
      </c>
      <c r="L176" s="12">
        <f ca="1">IFERROR(__xludf.DUMMYFUNCTION("""COMPUTED_VALUE"""),4081)</f>
        <v>4081</v>
      </c>
      <c r="M176" s="12">
        <f ca="1">IFERROR(__xludf.DUMMYFUNCTION("""COMPUTED_VALUE"""),6409)</f>
        <v>6409</v>
      </c>
      <c r="N176" s="12">
        <f ca="1">IFERROR(__xludf.DUMMYFUNCTION("""COMPUTED_VALUE"""),5853)</f>
        <v>5853</v>
      </c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1:38" ht="13.2" x14ac:dyDescent="0.25">
      <c r="A177" s="12" t="str">
        <f ca="1">IFERROR(__xludf.DUMMYFUNCTION("""COMPUTED_VALUE"""),"                     right Secondary motor area")</f>
        <v xml:space="preserve">                     right Secondary motor area</v>
      </c>
      <c r="B177" s="12">
        <f ca="1">IFERROR(__xludf.DUMMYFUNCTION("""COMPUTED_VALUE"""),8846)</f>
        <v>8846</v>
      </c>
      <c r="C177" s="12">
        <f ca="1">IFERROR(__xludf.DUMMYFUNCTION("""COMPUTED_VALUE"""),9099)</f>
        <v>9099</v>
      </c>
      <c r="D177" s="12">
        <f ca="1">IFERROR(__xludf.DUMMYFUNCTION("""COMPUTED_VALUE"""),3943)</f>
        <v>3943</v>
      </c>
      <c r="E177" s="12">
        <f ca="1">IFERROR(__xludf.DUMMYFUNCTION("""COMPUTED_VALUE"""),2489)</f>
        <v>2489</v>
      </c>
      <c r="F177" s="12">
        <f ca="1">IFERROR(__xludf.DUMMYFUNCTION("""COMPUTED_VALUE"""),2193)</f>
        <v>2193</v>
      </c>
      <c r="G177" s="12">
        <f ca="1">IFERROR(__xludf.DUMMYFUNCTION("""COMPUTED_VALUE"""),1193)</f>
        <v>1193</v>
      </c>
      <c r="H177" s="12">
        <f ca="1">IFERROR(__xludf.DUMMYFUNCTION("""COMPUTED_VALUE"""),6259)</f>
        <v>6259</v>
      </c>
      <c r="I177" s="12">
        <f ca="1">IFERROR(__xludf.DUMMYFUNCTION("""COMPUTED_VALUE"""),10986)</f>
        <v>10986</v>
      </c>
      <c r="J177" s="12">
        <f ca="1">IFERROR(__xludf.DUMMYFUNCTION("""COMPUTED_VALUE"""),8380)</f>
        <v>8380</v>
      </c>
      <c r="K177" s="12">
        <f ca="1">IFERROR(__xludf.DUMMYFUNCTION("""COMPUTED_VALUE"""),6246)</f>
        <v>6246</v>
      </c>
      <c r="L177" s="12">
        <f ca="1">IFERROR(__xludf.DUMMYFUNCTION("""COMPUTED_VALUE"""),9313)</f>
        <v>9313</v>
      </c>
      <c r="M177" s="12">
        <f ca="1">IFERROR(__xludf.DUMMYFUNCTION("""COMPUTED_VALUE"""),11323)</f>
        <v>11323</v>
      </c>
      <c r="N177" s="12">
        <f ca="1">IFERROR(__xludf.DUMMYFUNCTION("""COMPUTED_VALUE"""),6270)</f>
        <v>6270</v>
      </c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1:38" ht="13.2" x14ac:dyDescent="0.25">
      <c r="A178" s="12" t="str">
        <f ca="1">IFERROR(__xludf.DUMMYFUNCTION("""COMPUTED_VALUE"""),"                  right Somatosensory areas")</f>
        <v xml:space="preserve">                  right Somatosensory areas</v>
      </c>
      <c r="B178" s="12">
        <f ca="1">IFERROR(__xludf.DUMMYFUNCTION("""COMPUTED_VALUE"""),9897)</f>
        <v>9897</v>
      </c>
      <c r="C178" s="12">
        <f ca="1">IFERROR(__xludf.DUMMYFUNCTION("""COMPUTED_VALUE"""),10820)</f>
        <v>10820</v>
      </c>
      <c r="D178" s="12">
        <f ca="1">IFERROR(__xludf.DUMMYFUNCTION("""COMPUTED_VALUE"""),5667)</f>
        <v>5667</v>
      </c>
      <c r="E178" s="12">
        <f ca="1">IFERROR(__xludf.DUMMYFUNCTION("""COMPUTED_VALUE"""),5095)</f>
        <v>5095</v>
      </c>
      <c r="F178" s="12">
        <f ca="1">IFERROR(__xludf.DUMMYFUNCTION("""COMPUTED_VALUE"""),3089)</f>
        <v>3089</v>
      </c>
      <c r="G178" s="12">
        <f ca="1">IFERROR(__xludf.DUMMYFUNCTION("""COMPUTED_VALUE"""),1960)</f>
        <v>1960</v>
      </c>
      <c r="H178" s="12">
        <f ca="1">IFERROR(__xludf.DUMMYFUNCTION("""COMPUTED_VALUE"""),9853)</f>
        <v>9853</v>
      </c>
      <c r="I178" s="12">
        <f ca="1">IFERROR(__xludf.DUMMYFUNCTION("""COMPUTED_VALUE"""),17659)</f>
        <v>17659</v>
      </c>
      <c r="J178" s="12">
        <f ca="1">IFERROR(__xludf.DUMMYFUNCTION("""COMPUTED_VALUE"""),10640)</f>
        <v>10640</v>
      </c>
      <c r="K178" s="12">
        <f ca="1">IFERROR(__xludf.DUMMYFUNCTION("""COMPUTED_VALUE"""),7864)</f>
        <v>7864</v>
      </c>
      <c r="L178" s="12">
        <f ca="1">IFERROR(__xludf.DUMMYFUNCTION("""COMPUTED_VALUE"""),5532)</f>
        <v>5532</v>
      </c>
      <c r="M178" s="12">
        <f ca="1">IFERROR(__xludf.DUMMYFUNCTION("""COMPUTED_VALUE"""),9838)</f>
        <v>9838</v>
      </c>
      <c r="N178" s="12">
        <f ca="1">IFERROR(__xludf.DUMMYFUNCTION("""COMPUTED_VALUE"""),8121)</f>
        <v>8121</v>
      </c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1:38" ht="13.2" x14ac:dyDescent="0.25">
      <c r="A179" s="12" t="str">
        <f ca="1">IFERROR(__xludf.DUMMYFUNCTION("""COMPUTED_VALUE"""),"                     right Primary somatosensory area")</f>
        <v xml:space="preserve">                     right Primary somatosensory area</v>
      </c>
      <c r="B179" s="12">
        <f ca="1">IFERROR(__xludf.DUMMYFUNCTION("""COMPUTED_VALUE"""),9521)</f>
        <v>9521</v>
      </c>
      <c r="C179" s="12">
        <f ca="1">IFERROR(__xludf.DUMMYFUNCTION("""COMPUTED_VALUE"""),10164)</f>
        <v>10164</v>
      </c>
      <c r="D179" s="12">
        <f ca="1">IFERROR(__xludf.DUMMYFUNCTION("""COMPUTED_VALUE"""),5035)</f>
        <v>5035</v>
      </c>
      <c r="E179" s="12">
        <f ca="1">IFERROR(__xludf.DUMMYFUNCTION("""COMPUTED_VALUE"""),4872)</f>
        <v>4872</v>
      </c>
      <c r="F179" s="12">
        <f ca="1">IFERROR(__xludf.DUMMYFUNCTION("""COMPUTED_VALUE"""),2936)</f>
        <v>2936</v>
      </c>
      <c r="G179" s="12">
        <f ca="1">IFERROR(__xludf.DUMMYFUNCTION("""COMPUTED_VALUE"""),1738)</f>
        <v>1738</v>
      </c>
      <c r="H179" s="12">
        <f ca="1">IFERROR(__xludf.DUMMYFUNCTION("""COMPUTED_VALUE"""),9429)</f>
        <v>9429</v>
      </c>
      <c r="I179" s="12">
        <f ca="1">IFERROR(__xludf.DUMMYFUNCTION("""COMPUTED_VALUE"""),17513)</f>
        <v>17513</v>
      </c>
      <c r="J179" s="12">
        <f ca="1">IFERROR(__xludf.DUMMYFUNCTION("""COMPUTED_VALUE"""),9924)</f>
        <v>9924</v>
      </c>
      <c r="K179" s="12">
        <f ca="1">IFERROR(__xludf.DUMMYFUNCTION("""COMPUTED_VALUE"""),7587)</f>
        <v>7587</v>
      </c>
      <c r="L179" s="12">
        <f ca="1">IFERROR(__xludf.DUMMYFUNCTION("""COMPUTED_VALUE"""),5323)</f>
        <v>5323</v>
      </c>
      <c r="M179" s="12">
        <f ca="1">IFERROR(__xludf.DUMMYFUNCTION("""COMPUTED_VALUE"""),10453)</f>
        <v>10453</v>
      </c>
      <c r="N179" s="12">
        <f ca="1">IFERROR(__xludf.DUMMYFUNCTION("""COMPUTED_VALUE"""),7801)</f>
        <v>7801</v>
      </c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1:38" ht="13.2" x14ac:dyDescent="0.25">
      <c r="A180" s="12" t="str">
        <f ca="1">IFERROR(__xludf.DUMMYFUNCTION("""COMPUTED_VALUE"""),"                        right Primary somatosensory area, nose")</f>
        <v xml:space="preserve">                        right Primary somatosensory area, nose</v>
      </c>
      <c r="B180" s="12">
        <f ca="1">IFERROR(__xludf.DUMMYFUNCTION("""COMPUTED_VALUE"""),7040)</f>
        <v>7040</v>
      </c>
      <c r="C180" s="12">
        <f ca="1">IFERROR(__xludf.DUMMYFUNCTION("""COMPUTED_VALUE"""),12079)</f>
        <v>12079</v>
      </c>
      <c r="D180" s="12">
        <f ca="1">IFERROR(__xludf.DUMMYFUNCTION("""COMPUTED_VALUE"""),6212)</f>
        <v>6212</v>
      </c>
      <c r="E180" s="12">
        <f ca="1">IFERROR(__xludf.DUMMYFUNCTION("""COMPUTED_VALUE"""),3241)</f>
        <v>3241</v>
      </c>
      <c r="F180" s="12">
        <f ca="1">IFERROR(__xludf.DUMMYFUNCTION("""COMPUTED_VALUE"""),1754)</f>
        <v>1754</v>
      </c>
      <c r="G180" s="12">
        <f ca="1">IFERROR(__xludf.DUMMYFUNCTION("""COMPUTED_VALUE"""),822)</f>
        <v>822</v>
      </c>
      <c r="H180" s="12">
        <f ca="1">IFERROR(__xludf.DUMMYFUNCTION("""COMPUTED_VALUE"""),12538)</f>
        <v>12538</v>
      </c>
      <c r="I180" s="12">
        <f ca="1">IFERROR(__xludf.DUMMYFUNCTION("""COMPUTED_VALUE"""),20855)</f>
        <v>20855</v>
      </c>
      <c r="J180" s="12">
        <f ca="1">IFERROR(__xludf.DUMMYFUNCTION("""COMPUTED_VALUE"""),12870)</f>
        <v>12870</v>
      </c>
      <c r="K180" s="12">
        <f ca="1">IFERROR(__xludf.DUMMYFUNCTION("""COMPUTED_VALUE"""),7324)</f>
        <v>7324</v>
      </c>
      <c r="L180" s="12">
        <f ca="1">IFERROR(__xludf.DUMMYFUNCTION("""COMPUTED_VALUE"""),5576)</f>
        <v>5576</v>
      </c>
      <c r="M180" s="12">
        <f ca="1">IFERROR(__xludf.DUMMYFUNCTION("""COMPUTED_VALUE"""),11911)</f>
        <v>11911</v>
      </c>
      <c r="N180" s="12">
        <f ca="1">IFERROR(__xludf.DUMMYFUNCTION("""COMPUTED_VALUE"""),8464)</f>
        <v>8464</v>
      </c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1:38" ht="13.2" x14ac:dyDescent="0.25">
      <c r="A181" s="12" t="str">
        <f ca="1">IFERROR(__xludf.DUMMYFUNCTION("""COMPUTED_VALUE"""),"                        right Primary somatosensory area, barrel field")</f>
        <v xml:space="preserve">                        right Primary somatosensory area, barrel field</v>
      </c>
      <c r="B181" s="12">
        <f ca="1">IFERROR(__xludf.DUMMYFUNCTION("""COMPUTED_VALUE"""),12594)</f>
        <v>12594</v>
      </c>
      <c r="C181" s="12">
        <f ca="1">IFERROR(__xludf.DUMMYFUNCTION("""COMPUTED_VALUE"""),10738)</f>
        <v>10738</v>
      </c>
      <c r="D181" s="12">
        <f ca="1">IFERROR(__xludf.DUMMYFUNCTION("""COMPUTED_VALUE"""),6434)</f>
        <v>6434</v>
      </c>
      <c r="E181" s="12">
        <f ca="1">IFERROR(__xludf.DUMMYFUNCTION("""COMPUTED_VALUE"""),6605)</f>
        <v>6605</v>
      </c>
      <c r="F181" s="12">
        <f ca="1">IFERROR(__xludf.DUMMYFUNCTION("""COMPUTED_VALUE"""),4017)</f>
        <v>4017</v>
      </c>
      <c r="G181" s="12">
        <f ca="1">IFERROR(__xludf.DUMMYFUNCTION("""COMPUTED_VALUE"""),2529)</f>
        <v>2529</v>
      </c>
      <c r="H181" s="12">
        <f ca="1">IFERROR(__xludf.DUMMYFUNCTION("""COMPUTED_VALUE"""),11734)</f>
        <v>11734</v>
      </c>
      <c r="I181" s="12">
        <f ca="1">IFERROR(__xludf.DUMMYFUNCTION("""COMPUTED_VALUE"""),22121)</f>
        <v>22121</v>
      </c>
      <c r="J181" s="12">
        <f ca="1">IFERROR(__xludf.DUMMYFUNCTION("""COMPUTED_VALUE"""),12429)</f>
        <v>12429</v>
      </c>
      <c r="K181" s="12">
        <f ca="1">IFERROR(__xludf.DUMMYFUNCTION("""COMPUTED_VALUE"""),8516)</f>
        <v>8516</v>
      </c>
      <c r="L181" s="12">
        <f ca="1">IFERROR(__xludf.DUMMYFUNCTION("""COMPUTED_VALUE"""),8953)</f>
        <v>8953</v>
      </c>
      <c r="M181" s="12">
        <f ca="1">IFERROR(__xludf.DUMMYFUNCTION("""COMPUTED_VALUE"""),15289)</f>
        <v>15289</v>
      </c>
      <c r="N181" s="12">
        <f ca="1">IFERROR(__xludf.DUMMYFUNCTION("""COMPUTED_VALUE"""),9890)</f>
        <v>9890</v>
      </c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1:38" ht="13.2" x14ac:dyDescent="0.25">
      <c r="A182" s="12" t="str">
        <f ca="1">IFERROR(__xludf.DUMMYFUNCTION("""COMPUTED_VALUE"""),"                        right Primary somatosensory area, lower limb")</f>
        <v xml:space="preserve">                        right Primary somatosensory area, lower limb</v>
      </c>
      <c r="B182" s="12">
        <f ca="1">IFERROR(__xludf.DUMMYFUNCTION("""COMPUTED_VALUE"""),6952)</f>
        <v>6952</v>
      </c>
      <c r="C182" s="12">
        <f ca="1">IFERROR(__xludf.DUMMYFUNCTION("""COMPUTED_VALUE"""),7416)</f>
        <v>7416</v>
      </c>
      <c r="D182" s="12">
        <f ca="1">IFERROR(__xludf.DUMMYFUNCTION("""COMPUTED_VALUE"""),5592)</f>
        <v>5592</v>
      </c>
      <c r="E182" s="12">
        <f ca="1">IFERROR(__xludf.DUMMYFUNCTION("""COMPUTED_VALUE"""),8161)</f>
        <v>8161</v>
      </c>
      <c r="F182" s="12">
        <f ca="1">IFERROR(__xludf.DUMMYFUNCTION("""COMPUTED_VALUE"""),4793)</f>
        <v>4793</v>
      </c>
      <c r="G182" s="12">
        <f ca="1">IFERROR(__xludf.DUMMYFUNCTION("""COMPUTED_VALUE"""),2520)</f>
        <v>2520</v>
      </c>
      <c r="H182" s="12">
        <f ca="1">IFERROR(__xludf.DUMMYFUNCTION("""COMPUTED_VALUE"""),7350)</f>
        <v>7350</v>
      </c>
      <c r="I182" s="12">
        <f ca="1">IFERROR(__xludf.DUMMYFUNCTION("""COMPUTED_VALUE"""),14090)</f>
        <v>14090</v>
      </c>
      <c r="J182" s="12">
        <f ca="1">IFERROR(__xludf.DUMMYFUNCTION("""COMPUTED_VALUE"""),8956)</f>
        <v>8956</v>
      </c>
      <c r="K182" s="12">
        <f ca="1">IFERROR(__xludf.DUMMYFUNCTION("""COMPUTED_VALUE"""),7736)</f>
        <v>7736</v>
      </c>
      <c r="L182" s="12">
        <f ca="1">IFERROR(__xludf.DUMMYFUNCTION("""COMPUTED_VALUE"""),7064)</f>
        <v>7064</v>
      </c>
      <c r="M182" s="12">
        <f ca="1">IFERROR(__xludf.DUMMYFUNCTION("""COMPUTED_VALUE"""),9571)</f>
        <v>9571</v>
      </c>
      <c r="N182" s="12">
        <f ca="1">IFERROR(__xludf.DUMMYFUNCTION("""COMPUTED_VALUE"""),7365)</f>
        <v>7365</v>
      </c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1:38" ht="13.2" x14ac:dyDescent="0.25">
      <c r="A183" s="12" t="str">
        <f ca="1">IFERROR(__xludf.DUMMYFUNCTION("""COMPUTED_VALUE"""),"                        right Primary somatosensory area, mouth")</f>
        <v xml:space="preserve">                        right Primary somatosensory area, mouth</v>
      </c>
      <c r="B183" s="12">
        <f ca="1">IFERROR(__xludf.DUMMYFUNCTION("""COMPUTED_VALUE"""),9910)</f>
        <v>9910</v>
      </c>
      <c r="C183" s="12">
        <f ca="1">IFERROR(__xludf.DUMMYFUNCTION("""COMPUTED_VALUE"""),11729)</f>
        <v>11729</v>
      </c>
      <c r="D183" s="12">
        <f ca="1">IFERROR(__xludf.DUMMYFUNCTION("""COMPUTED_VALUE"""),3622)</f>
        <v>3622</v>
      </c>
      <c r="E183" s="12">
        <f ca="1">IFERROR(__xludf.DUMMYFUNCTION("""COMPUTED_VALUE"""),2104)</f>
        <v>2104</v>
      </c>
      <c r="F183" s="12">
        <f ca="1">IFERROR(__xludf.DUMMYFUNCTION("""COMPUTED_VALUE"""),1347)</f>
        <v>1347</v>
      </c>
      <c r="G183" s="12">
        <f ca="1">IFERROR(__xludf.DUMMYFUNCTION("""COMPUTED_VALUE"""),970)</f>
        <v>970</v>
      </c>
      <c r="H183" s="12">
        <f ca="1">IFERROR(__xludf.DUMMYFUNCTION("""COMPUTED_VALUE"""),8253)</f>
        <v>8253</v>
      </c>
      <c r="I183" s="12">
        <f ca="1">IFERROR(__xludf.DUMMYFUNCTION("""COMPUTED_VALUE"""),12675)</f>
        <v>12675</v>
      </c>
      <c r="J183" s="12">
        <f ca="1">IFERROR(__xludf.DUMMYFUNCTION("""COMPUTED_VALUE"""),10632)</f>
        <v>10632</v>
      </c>
      <c r="K183" s="12">
        <f ca="1">IFERROR(__xludf.DUMMYFUNCTION("""COMPUTED_VALUE"""),7744)</f>
        <v>7744</v>
      </c>
      <c r="L183" s="12">
        <f ca="1">IFERROR(__xludf.DUMMYFUNCTION("""COMPUTED_VALUE"""),2283)</f>
        <v>2283</v>
      </c>
      <c r="M183" s="12">
        <f ca="1">IFERROR(__xludf.DUMMYFUNCTION("""COMPUTED_VALUE"""),5022)</f>
        <v>5022</v>
      </c>
      <c r="N183" s="12">
        <f ca="1">IFERROR(__xludf.DUMMYFUNCTION("""COMPUTED_VALUE"""),6391)</f>
        <v>6391</v>
      </c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1:38" ht="13.2" x14ac:dyDescent="0.25">
      <c r="A184" s="12" t="str">
        <f ca="1">IFERROR(__xludf.DUMMYFUNCTION("""COMPUTED_VALUE"""),"                        right Primary somatosensory area, upper limb")</f>
        <v xml:space="preserve">                        right Primary somatosensory area, upper limb</v>
      </c>
      <c r="B184" s="12">
        <f ca="1">IFERROR(__xludf.DUMMYFUNCTION("""COMPUTED_VALUE"""),7013)</f>
        <v>7013</v>
      </c>
      <c r="C184" s="12">
        <f ca="1">IFERROR(__xludf.DUMMYFUNCTION("""COMPUTED_VALUE"""),7899)</f>
        <v>7899</v>
      </c>
      <c r="D184" s="12">
        <f ca="1">IFERROR(__xludf.DUMMYFUNCTION("""COMPUTED_VALUE"""),3882)</f>
        <v>3882</v>
      </c>
      <c r="E184" s="12">
        <f ca="1">IFERROR(__xludf.DUMMYFUNCTION("""COMPUTED_VALUE"""),4610)</f>
        <v>4610</v>
      </c>
      <c r="F184" s="12">
        <f ca="1">IFERROR(__xludf.DUMMYFUNCTION("""COMPUTED_VALUE"""),2863)</f>
        <v>2863</v>
      </c>
      <c r="G184" s="12">
        <f ca="1">IFERROR(__xludf.DUMMYFUNCTION("""COMPUTED_VALUE"""),1507)</f>
        <v>1507</v>
      </c>
      <c r="H184" s="12">
        <f ca="1">IFERROR(__xludf.DUMMYFUNCTION("""COMPUTED_VALUE"""),7471)</f>
        <v>7471</v>
      </c>
      <c r="I184" s="12">
        <f ca="1">IFERROR(__xludf.DUMMYFUNCTION("""COMPUTED_VALUE"""),16850)</f>
        <v>16850</v>
      </c>
      <c r="J184" s="12">
        <f ca="1">IFERROR(__xludf.DUMMYFUNCTION("""COMPUTED_VALUE"""),4992)</f>
        <v>4992</v>
      </c>
      <c r="K184" s="12">
        <f ca="1">IFERROR(__xludf.DUMMYFUNCTION("""COMPUTED_VALUE"""),6752)</f>
        <v>6752</v>
      </c>
      <c r="L184" s="12">
        <f ca="1">IFERROR(__xludf.DUMMYFUNCTION("""COMPUTED_VALUE"""),2729)</f>
        <v>2729</v>
      </c>
      <c r="M184" s="12">
        <f ca="1">IFERROR(__xludf.DUMMYFUNCTION("""COMPUTED_VALUE"""),11189)</f>
        <v>11189</v>
      </c>
      <c r="N184" s="12">
        <f ca="1">IFERROR(__xludf.DUMMYFUNCTION("""COMPUTED_VALUE"""),6515)</f>
        <v>6515</v>
      </c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1:38" ht="13.2" x14ac:dyDescent="0.25">
      <c r="A185" s="12" t="str">
        <f ca="1">IFERROR(__xludf.DUMMYFUNCTION("""COMPUTED_VALUE"""),"                        right Primary somatosensory area, trunk")</f>
        <v xml:space="preserve">                        right Primary somatosensory area, trunk</v>
      </c>
      <c r="B185" s="12">
        <f ca="1">IFERROR(__xludf.DUMMYFUNCTION("""COMPUTED_VALUE"""),9129)</f>
        <v>9129</v>
      </c>
      <c r="C185" s="12">
        <f ca="1">IFERROR(__xludf.DUMMYFUNCTION("""COMPUTED_VALUE"""),6102)</f>
        <v>6102</v>
      </c>
      <c r="D185" s="12">
        <f ca="1">IFERROR(__xludf.DUMMYFUNCTION("""COMPUTED_VALUE"""),5138)</f>
        <v>5138</v>
      </c>
      <c r="E185" s="12">
        <f ca="1">IFERROR(__xludf.DUMMYFUNCTION("""COMPUTED_VALUE"""),7509)</f>
        <v>7509</v>
      </c>
      <c r="F185" s="12">
        <f ca="1">IFERROR(__xludf.DUMMYFUNCTION("""COMPUTED_VALUE"""),4732)</f>
        <v>4732</v>
      </c>
      <c r="G185" s="12">
        <f ca="1">IFERROR(__xludf.DUMMYFUNCTION("""COMPUTED_VALUE"""),3052)</f>
        <v>3052</v>
      </c>
      <c r="H185" s="12">
        <f ca="1">IFERROR(__xludf.DUMMYFUNCTION("""COMPUTED_VALUE"""),6236)</f>
        <v>6236</v>
      </c>
      <c r="I185" s="12">
        <f ca="1">IFERROR(__xludf.DUMMYFUNCTION("""COMPUTED_VALUE"""),16018)</f>
        <v>16018</v>
      </c>
      <c r="J185" s="12">
        <f ca="1">IFERROR(__xludf.DUMMYFUNCTION("""COMPUTED_VALUE"""),6238)</f>
        <v>6238</v>
      </c>
      <c r="K185" s="12">
        <f ca="1">IFERROR(__xludf.DUMMYFUNCTION("""COMPUTED_VALUE"""),6131)</f>
        <v>6131</v>
      </c>
      <c r="L185" s="12">
        <f ca="1">IFERROR(__xludf.DUMMYFUNCTION("""COMPUTED_VALUE"""),6672)</f>
        <v>6672</v>
      </c>
      <c r="M185" s="12">
        <f ca="1">IFERROR(__xludf.DUMMYFUNCTION("""COMPUTED_VALUE"""),7795)</f>
        <v>7795</v>
      </c>
      <c r="N185" s="12">
        <f ca="1">IFERROR(__xludf.DUMMYFUNCTION("""COMPUTED_VALUE"""),7058)</f>
        <v>7058</v>
      </c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1:38" ht="13.2" x14ac:dyDescent="0.25">
      <c r="A186" s="12" t="str">
        <f ca="1">IFERROR(__xludf.DUMMYFUNCTION("""COMPUTED_VALUE"""),"                        right Primary somatosensory area, unassigned")</f>
        <v xml:space="preserve">                        right Primary somatosensory area, unassigned</v>
      </c>
      <c r="B186" s="12">
        <f ca="1">IFERROR(__xludf.DUMMYFUNCTION("""COMPUTED_VALUE"""),10945)</f>
        <v>10945</v>
      </c>
      <c r="C186" s="12">
        <f ca="1">IFERROR(__xludf.DUMMYFUNCTION("""COMPUTED_VALUE"""),11410)</f>
        <v>11410</v>
      </c>
      <c r="D186" s="12">
        <f ca="1">IFERROR(__xludf.DUMMYFUNCTION("""COMPUTED_VALUE"""),4503)</f>
        <v>4503</v>
      </c>
      <c r="E186" s="12">
        <f ca="1">IFERROR(__xludf.DUMMYFUNCTION("""COMPUTED_VALUE"""),5504)</f>
        <v>5504</v>
      </c>
      <c r="F186" s="12">
        <f ca="1">IFERROR(__xludf.DUMMYFUNCTION("""COMPUTED_VALUE"""),2967)</f>
        <v>2967</v>
      </c>
      <c r="G186" s="12">
        <f ca="1">IFERROR(__xludf.DUMMYFUNCTION("""COMPUTED_VALUE"""),1535)</f>
        <v>1535</v>
      </c>
      <c r="H186" s="12">
        <f ca="1">IFERROR(__xludf.DUMMYFUNCTION("""COMPUTED_VALUE"""),9573)</f>
        <v>9573</v>
      </c>
      <c r="I186" s="12">
        <f ca="1">IFERROR(__xludf.DUMMYFUNCTION("""COMPUTED_VALUE"""),20401)</f>
        <v>20401</v>
      </c>
      <c r="J186" s="12">
        <f ca="1">IFERROR(__xludf.DUMMYFUNCTION("""COMPUTED_VALUE"""),7554)</f>
        <v>7554</v>
      </c>
      <c r="K186" s="12">
        <f ca="1">IFERROR(__xludf.DUMMYFUNCTION("""COMPUTED_VALUE"""),6641)</f>
        <v>6641</v>
      </c>
      <c r="L186" s="12">
        <f ca="1">IFERROR(__xludf.DUMMYFUNCTION("""COMPUTED_VALUE"""),4613)</f>
        <v>4613</v>
      </c>
      <c r="M186" s="12">
        <f ca="1">IFERROR(__xludf.DUMMYFUNCTION("""COMPUTED_VALUE"""),12000)</f>
        <v>12000</v>
      </c>
      <c r="N186" s="12">
        <f ca="1">IFERROR(__xludf.DUMMYFUNCTION("""COMPUTED_VALUE"""),8236)</f>
        <v>8236</v>
      </c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1:38" ht="13.2" x14ac:dyDescent="0.25">
      <c r="A187" s="12" t="str">
        <f ca="1">IFERROR(__xludf.DUMMYFUNCTION("""COMPUTED_VALUE"""),"                     right Supplemental somatosensory area")</f>
        <v xml:space="preserve">                     right Supplemental somatosensory area</v>
      </c>
      <c r="B187" s="12">
        <f ca="1">IFERROR(__xludf.DUMMYFUNCTION("""COMPUTED_VALUE"""),10910)</f>
        <v>10910</v>
      </c>
      <c r="C187" s="12">
        <f ca="1">IFERROR(__xludf.DUMMYFUNCTION("""COMPUTED_VALUE"""),12589)</f>
        <v>12589</v>
      </c>
      <c r="D187" s="12">
        <f ca="1">IFERROR(__xludf.DUMMYFUNCTION("""COMPUTED_VALUE"""),7369)</f>
        <v>7369</v>
      </c>
      <c r="E187" s="12">
        <f ca="1">IFERROR(__xludf.DUMMYFUNCTION("""COMPUTED_VALUE"""),5696)</f>
        <v>5696</v>
      </c>
      <c r="F187" s="12">
        <f ca="1">IFERROR(__xludf.DUMMYFUNCTION("""COMPUTED_VALUE"""),3502)</f>
        <v>3502</v>
      </c>
      <c r="G187" s="12">
        <f ca="1">IFERROR(__xludf.DUMMYFUNCTION("""COMPUTED_VALUE"""),2558)</f>
        <v>2558</v>
      </c>
      <c r="H187" s="12">
        <f ca="1">IFERROR(__xludf.DUMMYFUNCTION("""COMPUTED_VALUE"""),10994)</f>
        <v>10994</v>
      </c>
      <c r="I187" s="12">
        <f ca="1">IFERROR(__xludf.DUMMYFUNCTION("""COMPUTED_VALUE"""),18054)</f>
        <v>18054</v>
      </c>
      <c r="J187" s="12">
        <f ca="1">IFERROR(__xludf.DUMMYFUNCTION("""COMPUTED_VALUE"""),12568)</f>
        <v>12568</v>
      </c>
      <c r="K187" s="12">
        <f ca="1">IFERROR(__xludf.DUMMYFUNCTION("""COMPUTED_VALUE"""),8610)</f>
        <v>8610</v>
      </c>
      <c r="L187" s="12">
        <f ca="1">IFERROR(__xludf.DUMMYFUNCTION("""COMPUTED_VALUE"""),6097)</f>
        <v>6097</v>
      </c>
      <c r="M187" s="12">
        <f ca="1">IFERROR(__xludf.DUMMYFUNCTION("""COMPUTED_VALUE"""),8180)</f>
        <v>8180</v>
      </c>
      <c r="N187" s="12">
        <f ca="1">IFERROR(__xludf.DUMMYFUNCTION("""COMPUTED_VALUE"""),8982)</f>
        <v>8982</v>
      </c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1:38" ht="13.2" x14ac:dyDescent="0.25">
      <c r="A188" s="12" t="str">
        <f ca="1">IFERROR(__xludf.DUMMYFUNCTION("""COMPUTED_VALUE"""),"                  right Gustatory areas")</f>
        <v xml:space="preserve">                  right Gustatory areas</v>
      </c>
      <c r="B188" s="12">
        <f ca="1">IFERROR(__xludf.DUMMYFUNCTION("""COMPUTED_VALUE"""),15104)</f>
        <v>15104</v>
      </c>
      <c r="C188" s="12">
        <f ca="1">IFERROR(__xludf.DUMMYFUNCTION("""COMPUTED_VALUE"""),11672)</f>
        <v>11672</v>
      </c>
      <c r="D188" s="12">
        <f ca="1">IFERROR(__xludf.DUMMYFUNCTION("""COMPUTED_VALUE"""),7163)</f>
        <v>7163</v>
      </c>
      <c r="E188" s="12">
        <f ca="1">IFERROR(__xludf.DUMMYFUNCTION("""COMPUTED_VALUE"""),4993)</f>
        <v>4993</v>
      </c>
      <c r="F188" s="12">
        <f ca="1">IFERROR(__xludf.DUMMYFUNCTION("""COMPUTED_VALUE"""),1593)</f>
        <v>1593</v>
      </c>
      <c r="G188" s="12">
        <f ca="1">IFERROR(__xludf.DUMMYFUNCTION("""COMPUTED_VALUE"""),3399)</f>
        <v>3399</v>
      </c>
      <c r="H188" s="12">
        <f ca="1">IFERROR(__xludf.DUMMYFUNCTION("""COMPUTED_VALUE"""),11425)</f>
        <v>11425</v>
      </c>
      <c r="I188" s="12">
        <f ca="1">IFERROR(__xludf.DUMMYFUNCTION("""COMPUTED_VALUE"""),15552)</f>
        <v>15552</v>
      </c>
      <c r="J188" s="12">
        <f ca="1">IFERROR(__xludf.DUMMYFUNCTION("""COMPUTED_VALUE"""),11464)</f>
        <v>11464</v>
      </c>
      <c r="K188" s="12">
        <f ca="1">IFERROR(__xludf.DUMMYFUNCTION("""COMPUTED_VALUE"""),8487)</f>
        <v>8487</v>
      </c>
      <c r="L188" s="12">
        <f ca="1">IFERROR(__xludf.DUMMYFUNCTION("""COMPUTED_VALUE"""),3695)</f>
        <v>3695</v>
      </c>
      <c r="M188" s="12">
        <f ca="1">IFERROR(__xludf.DUMMYFUNCTION("""COMPUTED_VALUE"""),4285)</f>
        <v>4285</v>
      </c>
      <c r="N188" s="12">
        <f ca="1">IFERROR(__xludf.DUMMYFUNCTION("""COMPUTED_VALUE"""),8401)</f>
        <v>8401</v>
      </c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1:38" ht="13.2" x14ac:dyDescent="0.25">
      <c r="A189" s="12" t="str">
        <f ca="1">IFERROR(__xludf.DUMMYFUNCTION("""COMPUTED_VALUE"""),"                  right Visceral area")</f>
        <v xml:space="preserve">                  right Visceral area</v>
      </c>
      <c r="B189" s="12">
        <f ca="1">IFERROR(__xludf.DUMMYFUNCTION("""COMPUTED_VALUE"""),10903)</f>
        <v>10903</v>
      </c>
      <c r="C189" s="12">
        <f ca="1">IFERROR(__xludf.DUMMYFUNCTION("""COMPUTED_VALUE"""),10767)</f>
        <v>10767</v>
      </c>
      <c r="D189" s="12">
        <f ca="1">IFERROR(__xludf.DUMMYFUNCTION("""COMPUTED_VALUE"""),7173)</f>
        <v>7173</v>
      </c>
      <c r="E189" s="12">
        <f ca="1">IFERROR(__xludf.DUMMYFUNCTION("""COMPUTED_VALUE"""),4818)</f>
        <v>4818</v>
      </c>
      <c r="F189" s="12">
        <f ca="1">IFERROR(__xludf.DUMMYFUNCTION("""COMPUTED_VALUE"""),2618)</f>
        <v>2618</v>
      </c>
      <c r="G189" s="12">
        <f ca="1">IFERROR(__xludf.DUMMYFUNCTION("""COMPUTED_VALUE"""),1761)</f>
        <v>1761</v>
      </c>
      <c r="H189" s="12">
        <f ca="1">IFERROR(__xludf.DUMMYFUNCTION("""COMPUTED_VALUE"""),8458)</f>
        <v>8458</v>
      </c>
      <c r="I189" s="12">
        <f ca="1">IFERROR(__xludf.DUMMYFUNCTION("""COMPUTED_VALUE"""),11947)</f>
        <v>11947</v>
      </c>
      <c r="J189" s="12">
        <f ca="1">IFERROR(__xludf.DUMMYFUNCTION("""COMPUTED_VALUE"""),13280)</f>
        <v>13280</v>
      </c>
      <c r="K189" s="12">
        <f ca="1">IFERROR(__xludf.DUMMYFUNCTION("""COMPUTED_VALUE"""),7851)</f>
        <v>7851</v>
      </c>
      <c r="L189" s="12">
        <f ca="1">IFERROR(__xludf.DUMMYFUNCTION("""COMPUTED_VALUE"""),4050)</f>
        <v>4050</v>
      </c>
      <c r="M189" s="12">
        <f ca="1">IFERROR(__xludf.DUMMYFUNCTION("""COMPUTED_VALUE"""),4089)</f>
        <v>4089</v>
      </c>
      <c r="N189" s="12">
        <f ca="1">IFERROR(__xludf.DUMMYFUNCTION("""COMPUTED_VALUE"""),7304)</f>
        <v>7304</v>
      </c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1:38" ht="13.2" x14ac:dyDescent="0.25">
      <c r="A190" s="12" t="str">
        <f ca="1">IFERROR(__xludf.DUMMYFUNCTION("""COMPUTED_VALUE"""),"                  right Auditory areas")</f>
        <v xml:space="preserve">                  right Auditory areas</v>
      </c>
      <c r="B190" s="12">
        <f ca="1">IFERROR(__xludf.DUMMYFUNCTION("""COMPUTED_VALUE"""),28869)</f>
        <v>28869</v>
      </c>
      <c r="C190" s="12">
        <f ca="1">IFERROR(__xludf.DUMMYFUNCTION("""COMPUTED_VALUE"""),19351)</f>
        <v>19351</v>
      </c>
      <c r="D190" s="12">
        <f ca="1">IFERROR(__xludf.DUMMYFUNCTION("""COMPUTED_VALUE"""),16402)</f>
        <v>16402</v>
      </c>
      <c r="E190" s="12">
        <f ca="1">IFERROR(__xludf.DUMMYFUNCTION("""COMPUTED_VALUE"""),17054)</f>
        <v>17054</v>
      </c>
      <c r="F190" s="12">
        <f ca="1">IFERROR(__xludf.DUMMYFUNCTION("""COMPUTED_VALUE"""),8349)</f>
        <v>8349</v>
      </c>
      <c r="G190" s="12">
        <f ca="1">IFERROR(__xludf.DUMMYFUNCTION("""COMPUTED_VALUE"""),11477)</f>
        <v>11477</v>
      </c>
      <c r="H190" s="12">
        <f ca="1">IFERROR(__xludf.DUMMYFUNCTION("""COMPUTED_VALUE"""),15955)</f>
        <v>15955</v>
      </c>
      <c r="I190" s="12">
        <f ca="1">IFERROR(__xludf.DUMMYFUNCTION("""COMPUTED_VALUE"""),20202)</f>
        <v>20202</v>
      </c>
      <c r="J190" s="12">
        <f ca="1">IFERROR(__xludf.DUMMYFUNCTION("""COMPUTED_VALUE"""),16237)</f>
        <v>16237</v>
      </c>
      <c r="K190" s="12">
        <f ca="1">IFERROR(__xludf.DUMMYFUNCTION("""COMPUTED_VALUE"""),16569)</f>
        <v>16569</v>
      </c>
      <c r="L190" s="12">
        <f ca="1">IFERROR(__xludf.DUMMYFUNCTION("""COMPUTED_VALUE"""),10982)</f>
        <v>10982</v>
      </c>
      <c r="M190" s="12">
        <f ca="1">IFERROR(__xludf.DUMMYFUNCTION("""COMPUTED_VALUE"""),15464)</f>
        <v>15464</v>
      </c>
      <c r="N190" s="12">
        <f ca="1">IFERROR(__xludf.DUMMYFUNCTION("""COMPUTED_VALUE"""),16490)</f>
        <v>16490</v>
      </c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1:38" ht="13.2" x14ac:dyDescent="0.25">
      <c r="A191" s="12" t="str">
        <f ca="1">IFERROR(__xludf.DUMMYFUNCTION("""COMPUTED_VALUE"""),"                     right Dorsal auditory area")</f>
        <v xml:space="preserve">                     right Dorsal auditory area</v>
      </c>
      <c r="B191" s="12">
        <f ca="1">IFERROR(__xludf.DUMMYFUNCTION("""COMPUTED_VALUE"""),23369)</f>
        <v>23369</v>
      </c>
      <c r="C191" s="12">
        <f ca="1">IFERROR(__xludf.DUMMYFUNCTION("""COMPUTED_VALUE"""),17909)</f>
        <v>17909</v>
      </c>
      <c r="D191" s="12">
        <f ca="1">IFERROR(__xludf.DUMMYFUNCTION("""COMPUTED_VALUE"""),11466)</f>
        <v>11466</v>
      </c>
      <c r="E191" s="12">
        <f ca="1">IFERROR(__xludf.DUMMYFUNCTION("""COMPUTED_VALUE"""),11603)</f>
        <v>11603</v>
      </c>
      <c r="F191" s="12">
        <f ca="1">IFERROR(__xludf.DUMMYFUNCTION("""COMPUTED_VALUE"""),7027)</f>
        <v>7027</v>
      </c>
      <c r="G191" s="12">
        <f ca="1">IFERROR(__xludf.DUMMYFUNCTION("""COMPUTED_VALUE"""),8496)</f>
        <v>8496</v>
      </c>
      <c r="H191" s="12">
        <f ca="1">IFERROR(__xludf.DUMMYFUNCTION("""COMPUTED_VALUE"""),14913)</f>
        <v>14913</v>
      </c>
      <c r="I191" s="12">
        <f ca="1">IFERROR(__xludf.DUMMYFUNCTION("""COMPUTED_VALUE"""),20697)</f>
        <v>20697</v>
      </c>
      <c r="J191" s="12">
        <f ca="1">IFERROR(__xludf.DUMMYFUNCTION("""COMPUTED_VALUE"""),15726)</f>
        <v>15726</v>
      </c>
      <c r="K191" s="12">
        <f ca="1">IFERROR(__xludf.DUMMYFUNCTION("""COMPUTED_VALUE"""),12774)</f>
        <v>12774</v>
      </c>
      <c r="L191" s="12">
        <f ca="1">IFERROR(__xludf.DUMMYFUNCTION("""COMPUTED_VALUE"""),11185)</f>
        <v>11185</v>
      </c>
      <c r="M191" s="12">
        <f ca="1">IFERROR(__xludf.DUMMYFUNCTION("""COMPUTED_VALUE"""),19134)</f>
        <v>19134</v>
      </c>
      <c r="N191" s="12">
        <f ca="1">IFERROR(__xludf.DUMMYFUNCTION("""COMPUTED_VALUE"""),14352)</f>
        <v>14352</v>
      </c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1:38" ht="13.2" x14ac:dyDescent="0.25">
      <c r="A192" s="12" t="str">
        <f ca="1">IFERROR(__xludf.DUMMYFUNCTION("""COMPUTED_VALUE"""),"                     right Primary auditory area")</f>
        <v xml:space="preserve">                     right Primary auditory area</v>
      </c>
      <c r="B192" s="12">
        <f ca="1">IFERROR(__xludf.DUMMYFUNCTION("""COMPUTED_VALUE"""),33923)</f>
        <v>33923</v>
      </c>
      <c r="C192" s="12">
        <f ca="1">IFERROR(__xludf.DUMMYFUNCTION("""COMPUTED_VALUE"""),21997)</f>
        <v>21997</v>
      </c>
      <c r="D192" s="12">
        <f ca="1">IFERROR(__xludf.DUMMYFUNCTION("""COMPUTED_VALUE"""),17534)</f>
        <v>17534</v>
      </c>
      <c r="E192" s="12">
        <f ca="1">IFERROR(__xludf.DUMMYFUNCTION("""COMPUTED_VALUE"""),19845)</f>
        <v>19845</v>
      </c>
      <c r="F192" s="12">
        <f ca="1">IFERROR(__xludf.DUMMYFUNCTION("""COMPUTED_VALUE"""),8248)</f>
        <v>8248</v>
      </c>
      <c r="G192" s="12">
        <f ca="1">IFERROR(__xludf.DUMMYFUNCTION("""COMPUTED_VALUE"""),13270)</f>
        <v>13270</v>
      </c>
      <c r="H192" s="12">
        <f ca="1">IFERROR(__xludf.DUMMYFUNCTION("""COMPUTED_VALUE"""),16103)</f>
        <v>16103</v>
      </c>
      <c r="I192" s="12">
        <f ca="1">IFERROR(__xludf.DUMMYFUNCTION("""COMPUTED_VALUE"""),20518)</f>
        <v>20518</v>
      </c>
      <c r="J192" s="12">
        <f ca="1">IFERROR(__xludf.DUMMYFUNCTION("""COMPUTED_VALUE"""),16362)</f>
        <v>16362</v>
      </c>
      <c r="K192" s="12">
        <f ca="1">IFERROR(__xludf.DUMMYFUNCTION("""COMPUTED_VALUE"""),19080)</f>
        <v>19080</v>
      </c>
      <c r="L192" s="12">
        <f ca="1">IFERROR(__xludf.DUMMYFUNCTION("""COMPUTED_VALUE"""),12426)</f>
        <v>12426</v>
      </c>
      <c r="M192" s="12">
        <f ca="1">IFERROR(__xludf.DUMMYFUNCTION("""COMPUTED_VALUE"""),16238)</f>
        <v>16238</v>
      </c>
      <c r="N192" s="12">
        <f ca="1">IFERROR(__xludf.DUMMYFUNCTION("""COMPUTED_VALUE"""),18051)</f>
        <v>18051</v>
      </c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1:38" ht="13.2" x14ac:dyDescent="0.25">
      <c r="A193" s="12" t="str">
        <f ca="1">IFERROR(__xludf.DUMMYFUNCTION("""COMPUTED_VALUE"""),"                     right Posterior auditory area")</f>
        <v xml:space="preserve">                     right Posterior auditory area</v>
      </c>
      <c r="B193" s="12">
        <f ca="1">IFERROR(__xludf.DUMMYFUNCTION("""COMPUTED_VALUE"""),33171)</f>
        <v>33171</v>
      </c>
      <c r="C193" s="12">
        <f ca="1">IFERROR(__xludf.DUMMYFUNCTION("""COMPUTED_VALUE"""),22327)</f>
        <v>22327</v>
      </c>
      <c r="D193" s="12">
        <f ca="1">IFERROR(__xludf.DUMMYFUNCTION("""COMPUTED_VALUE"""),17642)</f>
        <v>17642</v>
      </c>
      <c r="E193" s="12">
        <f ca="1">IFERROR(__xludf.DUMMYFUNCTION("""COMPUTED_VALUE"""),18722)</f>
        <v>18722</v>
      </c>
      <c r="F193" s="12">
        <f ca="1">IFERROR(__xludf.DUMMYFUNCTION("""COMPUTED_VALUE"""),9220)</f>
        <v>9220</v>
      </c>
      <c r="G193" s="12">
        <f ca="1">IFERROR(__xludf.DUMMYFUNCTION("""COMPUTED_VALUE"""),11896)</f>
        <v>11896</v>
      </c>
      <c r="H193" s="12">
        <f ca="1">IFERROR(__xludf.DUMMYFUNCTION("""COMPUTED_VALUE"""),14941)</f>
        <v>14941</v>
      </c>
      <c r="I193" s="12">
        <f ca="1">IFERROR(__xludf.DUMMYFUNCTION("""COMPUTED_VALUE"""),17410)</f>
        <v>17410</v>
      </c>
      <c r="J193" s="12">
        <f ca="1">IFERROR(__xludf.DUMMYFUNCTION("""COMPUTED_VALUE"""),19042)</f>
        <v>19042</v>
      </c>
      <c r="K193" s="12">
        <f ca="1">IFERROR(__xludf.DUMMYFUNCTION("""COMPUTED_VALUE"""),18282)</f>
        <v>18282</v>
      </c>
      <c r="L193" s="12">
        <f ca="1">IFERROR(__xludf.DUMMYFUNCTION("""COMPUTED_VALUE"""),11070)</f>
        <v>11070</v>
      </c>
      <c r="M193" s="12">
        <f ca="1">IFERROR(__xludf.DUMMYFUNCTION("""COMPUTED_VALUE"""),18806)</f>
        <v>18806</v>
      </c>
      <c r="N193" s="12">
        <f ca="1">IFERROR(__xludf.DUMMYFUNCTION("""COMPUTED_VALUE"""),17622)</f>
        <v>17622</v>
      </c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1:38" ht="13.2" x14ac:dyDescent="0.25">
      <c r="A194" s="12" t="str">
        <f ca="1">IFERROR(__xludf.DUMMYFUNCTION("""COMPUTED_VALUE"""),"                     right Ventral auditory area")</f>
        <v xml:space="preserve">                     right Ventral auditory area</v>
      </c>
      <c r="B194" s="12">
        <f ca="1">IFERROR(__xludf.DUMMYFUNCTION("""COMPUTED_VALUE"""),25123)</f>
        <v>25123</v>
      </c>
      <c r="C194" s="12">
        <f ca="1">IFERROR(__xludf.DUMMYFUNCTION("""COMPUTED_VALUE"""),16187)</f>
        <v>16187</v>
      </c>
      <c r="D194" s="12">
        <f ca="1">IFERROR(__xludf.DUMMYFUNCTION("""COMPUTED_VALUE"""),17941)</f>
        <v>17941</v>
      </c>
      <c r="E194" s="12">
        <f ca="1">IFERROR(__xludf.DUMMYFUNCTION("""COMPUTED_VALUE"""),16833)</f>
        <v>16833</v>
      </c>
      <c r="F194" s="12">
        <f ca="1">IFERROR(__xludf.DUMMYFUNCTION("""COMPUTED_VALUE"""),9059)</f>
        <v>9059</v>
      </c>
      <c r="G194" s="12">
        <f ca="1">IFERROR(__xludf.DUMMYFUNCTION("""COMPUTED_VALUE"""),11206)</f>
        <v>11206</v>
      </c>
      <c r="H194" s="12">
        <f ca="1">IFERROR(__xludf.DUMMYFUNCTION("""COMPUTED_VALUE"""),16815)</f>
        <v>16815</v>
      </c>
      <c r="I194" s="12">
        <f ca="1">IFERROR(__xludf.DUMMYFUNCTION("""COMPUTED_VALUE"""),20436)</f>
        <v>20436</v>
      </c>
      <c r="J194" s="12">
        <f ca="1">IFERROR(__xludf.DUMMYFUNCTION("""COMPUTED_VALUE"""),15490)</f>
        <v>15490</v>
      </c>
      <c r="K194" s="12">
        <f ca="1">IFERROR(__xludf.DUMMYFUNCTION("""COMPUTED_VALUE"""),15559)</f>
        <v>15559</v>
      </c>
      <c r="L194" s="12">
        <f ca="1">IFERROR(__xludf.DUMMYFUNCTION("""COMPUTED_VALUE"""),9111)</f>
        <v>9111</v>
      </c>
      <c r="M194" s="12">
        <f ca="1">IFERROR(__xludf.DUMMYFUNCTION("""COMPUTED_VALUE"""),10979)</f>
        <v>10979</v>
      </c>
      <c r="N194" s="12">
        <f ca="1">IFERROR(__xludf.DUMMYFUNCTION("""COMPUTED_VALUE"""),15693)</f>
        <v>15693</v>
      </c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1:38" ht="13.2" x14ac:dyDescent="0.25">
      <c r="A195" s="12" t="str">
        <f ca="1">IFERROR(__xludf.DUMMYFUNCTION("""COMPUTED_VALUE"""),"                  right Visual areas")</f>
        <v xml:space="preserve">                  right Visual areas</v>
      </c>
      <c r="B195" s="12">
        <f ca="1">IFERROR(__xludf.DUMMYFUNCTION("""COMPUTED_VALUE"""),24760)</f>
        <v>24760</v>
      </c>
      <c r="C195" s="12">
        <f ca="1">IFERROR(__xludf.DUMMYFUNCTION("""COMPUTED_VALUE"""),16704)</f>
        <v>16704</v>
      </c>
      <c r="D195" s="12">
        <f ca="1">IFERROR(__xludf.DUMMYFUNCTION("""COMPUTED_VALUE"""),12666)</f>
        <v>12666</v>
      </c>
      <c r="E195" s="12">
        <f ca="1">IFERROR(__xludf.DUMMYFUNCTION("""COMPUTED_VALUE"""),14240)</f>
        <v>14240</v>
      </c>
      <c r="F195" s="12">
        <f ca="1">IFERROR(__xludf.DUMMYFUNCTION("""COMPUTED_VALUE"""),9150)</f>
        <v>9150</v>
      </c>
      <c r="G195" s="12">
        <f ca="1">IFERROR(__xludf.DUMMYFUNCTION("""COMPUTED_VALUE"""),10367)</f>
        <v>10367</v>
      </c>
      <c r="H195" s="12">
        <f ca="1">IFERROR(__xludf.DUMMYFUNCTION("""COMPUTED_VALUE"""),11701)</f>
        <v>11701</v>
      </c>
      <c r="I195" s="12">
        <f ca="1">IFERROR(__xludf.DUMMYFUNCTION("""COMPUTED_VALUE"""),15026)</f>
        <v>15026</v>
      </c>
      <c r="J195" s="12">
        <f ca="1">IFERROR(__xludf.DUMMYFUNCTION("""COMPUTED_VALUE"""),13441)</f>
        <v>13441</v>
      </c>
      <c r="K195" s="12">
        <f ca="1">IFERROR(__xludf.DUMMYFUNCTION("""COMPUTED_VALUE"""),16848)</f>
        <v>16848</v>
      </c>
      <c r="L195" s="12">
        <f ca="1">IFERROR(__xludf.DUMMYFUNCTION("""COMPUTED_VALUE"""),11383)</f>
        <v>11383</v>
      </c>
      <c r="M195" s="12">
        <f ca="1">IFERROR(__xludf.DUMMYFUNCTION("""COMPUTED_VALUE"""),25250)</f>
        <v>25250</v>
      </c>
      <c r="N195" s="12">
        <f ca="1">IFERROR(__xludf.DUMMYFUNCTION("""COMPUTED_VALUE"""),14606)</f>
        <v>14606</v>
      </c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1:38" ht="13.2" x14ac:dyDescent="0.25">
      <c r="A196" s="12" t="str">
        <f ca="1">IFERROR(__xludf.DUMMYFUNCTION("""COMPUTED_VALUE"""),"                     right Anterolateral visual area")</f>
        <v xml:space="preserve">                     right Anterolateral visual area</v>
      </c>
      <c r="B196" s="12">
        <f ca="1">IFERROR(__xludf.DUMMYFUNCTION("""COMPUTED_VALUE"""),26643)</f>
        <v>26643</v>
      </c>
      <c r="C196" s="12">
        <f ca="1">IFERROR(__xludf.DUMMYFUNCTION("""COMPUTED_VALUE"""),17624)</f>
        <v>17624</v>
      </c>
      <c r="D196" s="12">
        <f ca="1">IFERROR(__xludf.DUMMYFUNCTION("""COMPUTED_VALUE"""),11139)</f>
        <v>11139</v>
      </c>
      <c r="E196" s="12">
        <f ca="1">IFERROR(__xludf.DUMMYFUNCTION("""COMPUTED_VALUE"""),12057)</f>
        <v>12057</v>
      </c>
      <c r="F196" s="12">
        <f ca="1">IFERROR(__xludf.DUMMYFUNCTION("""COMPUTED_VALUE"""),8857)</f>
        <v>8857</v>
      </c>
      <c r="G196" s="12">
        <f ca="1">IFERROR(__xludf.DUMMYFUNCTION("""COMPUTED_VALUE"""),11921)</f>
        <v>11921</v>
      </c>
      <c r="H196" s="12">
        <f ca="1">IFERROR(__xludf.DUMMYFUNCTION("""COMPUTED_VALUE"""),12652)</f>
        <v>12652</v>
      </c>
      <c r="I196" s="12">
        <f ca="1">IFERROR(__xludf.DUMMYFUNCTION("""COMPUTED_VALUE"""),14066)</f>
        <v>14066</v>
      </c>
      <c r="J196" s="12">
        <f ca="1">IFERROR(__xludf.DUMMYFUNCTION("""COMPUTED_VALUE"""),16276)</f>
        <v>16276</v>
      </c>
      <c r="K196" s="12">
        <f ca="1">IFERROR(__xludf.DUMMYFUNCTION("""COMPUTED_VALUE"""),12452)</f>
        <v>12452</v>
      </c>
      <c r="L196" s="12">
        <f ca="1">IFERROR(__xludf.DUMMYFUNCTION("""COMPUTED_VALUE"""),15894)</f>
        <v>15894</v>
      </c>
      <c r="M196" s="12">
        <f ca="1">IFERROR(__xludf.DUMMYFUNCTION("""COMPUTED_VALUE"""),20395)</f>
        <v>20395</v>
      </c>
      <c r="N196" s="12">
        <f ca="1">IFERROR(__xludf.DUMMYFUNCTION("""COMPUTED_VALUE"""),14521)</f>
        <v>14521</v>
      </c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1:38" ht="13.2" x14ac:dyDescent="0.25">
      <c r="A197" s="12" t="str">
        <f ca="1">IFERROR(__xludf.DUMMYFUNCTION("""COMPUTED_VALUE"""),"                     right Anteromedial visual area")</f>
        <v xml:space="preserve">                     right Anteromedial visual area</v>
      </c>
      <c r="B197" s="12">
        <f ca="1">IFERROR(__xludf.DUMMYFUNCTION("""COMPUTED_VALUE"""),17128)</f>
        <v>17128</v>
      </c>
      <c r="C197" s="12">
        <f ca="1">IFERROR(__xludf.DUMMYFUNCTION("""COMPUTED_VALUE"""),12618)</f>
        <v>12618</v>
      </c>
      <c r="D197" s="12">
        <f ca="1">IFERROR(__xludf.DUMMYFUNCTION("""COMPUTED_VALUE"""),10278)</f>
        <v>10278</v>
      </c>
      <c r="E197" s="12">
        <f ca="1">IFERROR(__xludf.DUMMYFUNCTION("""COMPUTED_VALUE"""),11115)</f>
        <v>11115</v>
      </c>
      <c r="F197" s="12">
        <f ca="1">IFERROR(__xludf.DUMMYFUNCTION("""COMPUTED_VALUE"""),9170)</f>
        <v>9170</v>
      </c>
      <c r="G197" s="12">
        <f ca="1">IFERROR(__xludf.DUMMYFUNCTION("""COMPUTED_VALUE"""),8083)</f>
        <v>8083</v>
      </c>
      <c r="H197" s="12">
        <f ca="1">IFERROR(__xludf.DUMMYFUNCTION("""COMPUTED_VALUE"""),6934)</f>
        <v>6934</v>
      </c>
      <c r="I197" s="12">
        <f ca="1">IFERROR(__xludf.DUMMYFUNCTION("""COMPUTED_VALUE"""),15076)</f>
        <v>15076</v>
      </c>
      <c r="J197" s="12">
        <f ca="1">IFERROR(__xludf.DUMMYFUNCTION("""COMPUTED_VALUE"""),9888)</f>
        <v>9888</v>
      </c>
      <c r="K197" s="12">
        <f ca="1">IFERROR(__xludf.DUMMYFUNCTION("""COMPUTED_VALUE"""),15718)</f>
        <v>15718</v>
      </c>
      <c r="L197" s="12">
        <f ca="1">IFERROR(__xludf.DUMMYFUNCTION("""COMPUTED_VALUE"""),8286)</f>
        <v>8286</v>
      </c>
      <c r="M197" s="12">
        <f ca="1">IFERROR(__xludf.DUMMYFUNCTION("""COMPUTED_VALUE"""),18371)</f>
        <v>18371</v>
      </c>
      <c r="N197" s="12">
        <f ca="1">IFERROR(__xludf.DUMMYFUNCTION("""COMPUTED_VALUE"""),11541)</f>
        <v>11541</v>
      </c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1:38" ht="13.2" x14ac:dyDescent="0.25">
      <c r="A198" s="12" t="str">
        <f ca="1">IFERROR(__xludf.DUMMYFUNCTION("""COMPUTED_VALUE"""),"                     right Lateral visual area")</f>
        <v xml:space="preserve">                     right Lateral visual area</v>
      </c>
      <c r="B198" s="12">
        <f ca="1">IFERROR(__xludf.DUMMYFUNCTION("""COMPUTED_VALUE"""),32023)</f>
        <v>32023</v>
      </c>
      <c r="C198" s="12">
        <f ca="1">IFERROR(__xludf.DUMMYFUNCTION("""COMPUTED_VALUE"""),22451)</f>
        <v>22451</v>
      </c>
      <c r="D198" s="12">
        <f ca="1">IFERROR(__xludf.DUMMYFUNCTION("""COMPUTED_VALUE"""),15579)</f>
        <v>15579</v>
      </c>
      <c r="E198" s="12">
        <f ca="1">IFERROR(__xludf.DUMMYFUNCTION("""COMPUTED_VALUE"""),15971)</f>
        <v>15971</v>
      </c>
      <c r="F198" s="12">
        <f ca="1">IFERROR(__xludf.DUMMYFUNCTION("""COMPUTED_VALUE"""),11360)</f>
        <v>11360</v>
      </c>
      <c r="G198" s="12">
        <f ca="1">IFERROR(__xludf.DUMMYFUNCTION("""COMPUTED_VALUE"""),13156)</f>
        <v>13156</v>
      </c>
      <c r="H198" s="12">
        <f ca="1">IFERROR(__xludf.DUMMYFUNCTION("""COMPUTED_VALUE"""),15068)</f>
        <v>15068</v>
      </c>
      <c r="I198" s="12">
        <f ca="1">IFERROR(__xludf.DUMMYFUNCTION("""COMPUTED_VALUE"""),16161)</f>
        <v>16161</v>
      </c>
      <c r="J198" s="12">
        <f ca="1">IFERROR(__xludf.DUMMYFUNCTION("""COMPUTED_VALUE"""),18372)</f>
        <v>18372</v>
      </c>
      <c r="K198" s="12">
        <f ca="1">IFERROR(__xludf.DUMMYFUNCTION("""COMPUTED_VALUE"""),20426)</f>
        <v>20426</v>
      </c>
      <c r="L198" s="12">
        <f ca="1">IFERROR(__xludf.DUMMYFUNCTION("""COMPUTED_VALUE"""),12322)</f>
        <v>12322</v>
      </c>
      <c r="M198" s="12">
        <f ca="1">IFERROR(__xludf.DUMMYFUNCTION("""COMPUTED_VALUE"""),31884)</f>
        <v>31884</v>
      </c>
      <c r="N198" s="12">
        <f ca="1">IFERROR(__xludf.DUMMYFUNCTION("""COMPUTED_VALUE"""),18088)</f>
        <v>18088</v>
      </c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1:38" ht="13.2" x14ac:dyDescent="0.25">
      <c r="A199" s="12" t="str">
        <f ca="1">IFERROR(__xludf.DUMMYFUNCTION("""COMPUTED_VALUE"""),"                     right Primary visual area")</f>
        <v xml:space="preserve">                     right Primary visual area</v>
      </c>
      <c r="B199" s="12">
        <f ca="1">IFERROR(__xludf.DUMMYFUNCTION("""COMPUTED_VALUE"""),28323)</f>
        <v>28323</v>
      </c>
      <c r="C199" s="12">
        <f ca="1">IFERROR(__xludf.DUMMYFUNCTION("""COMPUTED_VALUE"""),16576)</f>
        <v>16576</v>
      </c>
      <c r="D199" s="12">
        <f ca="1">IFERROR(__xludf.DUMMYFUNCTION("""COMPUTED_VALUE"""),10851)</f>
        <v>10851</v>
      </c>
      <c r="E199" s="12">
        <f ca="1">IFERROR(__xludf.DUMMYFUNCTION("""COMPUTED_VALUE"""),14033)</f>
        <v>14033</v>
      </c>
      <c r="F199" s="12">
        <f ca="1">IFERROR(__xludf.DUMMYFUNCTION("""COMPUTED_VALUE"""),8645)</f>
        <v>8645</v>
      </c>
      <c r="G199" s="12">
        <f ca="1">IFERROR(__xludf.DUMMYFUNCTION("""COMPUTED_VALUE"""),9739)</f>
        <v>9739</v>
      </c>
      <c r="H199" s="12">
        <f ca="1">IFERROR(__xludf.DUMMYFUNCTION("""COMPUTED_VALUE"""),10612)</f>
        <v>10612</v>
      </c>
      <c r="I199" s="12">
        <f ca="1">IFERROR(__xludf.DUMMYFUNCTION("""COMPUTED_VALUE"""),15482)</f>
        <v>15482</v>
      </c>
      <c r="J199" s="12">
        <f ca="1">IFERROR(__xludf.DUMMYFUNCTION("""COMPUTED_VALUE"""),11634)</f>
        <v>11634</v>
      </c>
      <c r="K199" s="12">
        <f ca="1">IFERROR(__xludf.DUMMYFUNCTION("""COMPUTED_VALUE"""),17537)</f>
        <v>17537</v>
      </c>
      <c r="L199" s="12">
        <f ca="1">IFERROR(__xludf.DUMMYFUNCTION("""COMPUTED_VALUE"""),12435)</f>
        <v>12435</v>
      </c>
      <c r="M199" s="12">
        <f ca="1">IFERROR(__xludf.DUMMYFUNCTION("""COMPUTED_VALUE"""),27974)</f>
        <v>27974</v>
      </c>
      <c r="N199" s="12">
        <f ca="1">IFERROR(__xludf.DUMMYFUNCTION("""COMPUTED_VALUE"""),14611)</f>
        <v>14611</v>
      </c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1:38" ht="13.2" x14ac:dyDescent="0.25">
      <c r="A200" s="12" t="str">
        <f ca="1">IFERROR(__xludf.DUMMYFUNCTION("""COMPUTED_VALUE"""),"                     right Posterolateral visual area")</f>
        <v xml:space="preserve">                     right Posterolateral visual area</v>
      </c>
      <c r="B200" s="12">
        <f ca="1">IFERROR(__xludf.DUMMYFUNCTION("""COMPUTED_VALUE"""),13221)</f>
        <v>13221</v>
      </c>
      <c r="C200" s="12">
        <f ca="1">IFERROR(__xludf.DUMMYFUNCTION("""COMPUTED_VALUE"""),8110)</f>
        <v>8110</v>
      </c>
      <c r="D200" s="12">
        <f ca="1">IFERROR(__xludf.DUMMYFUNCTION("""COMPUTED_VALUE"""),11230)</f>
        <v>11230</v>
      </c>
      <c r="E200" s="12">
        <f ca="1">IFERROR(__xludf.DUMMYFUNCTION("""COMPUTED_VALUE"""),13801)</f>
        <v>13801</v>
      </c>
      <c r="F200" s="12">
        <f ca="1">IFERROR(__xludf.DUMMYFUNCTION("""COMPUTED_VALUE"""),7868)</f>
        <v>7868</v>
      </c>
      <c r="G200" s="12">
        <f ca="1">IFERROR(__xludf.DUMMYFUNCTION("""COMPUTED_VALUE"""),9771)</f>
        <v>9771</v>
      </c>
      <c r="H200" s="12">
        <f ca="1">IFERROR(__xludf.DUMMYFUNCTION("""COMPUTED_VALUE"""),10030)</f>
        <v>10030</v>
      </c>
      <c r="I200" s="12">
        <f ca="1">IFERROR(__xludf.DUMMYFUNCTION("""COMPUTED_VALUE"""),8616)</f>
        <v>8616</v>
      </c>
      <c r="J200" s="12">
        <f ca="1">IFERROR(__xludf.DUMMYFUNCTION("""COMPUTED_VALUE"""),11402)</f>
        <v>11402</v>
      </c>
      <c r="K200" s="12">
        <f ca="1">IFERROR(__xludf.DUMMYFUNCTION("""COMPUTED_VALUE"""),10031)</f>
        <v>10031</v>
      </c>
      <c r="L200" s="12">
        <f ca="1">IFERROR(__xludf.DUMMYFUNCTION("""COMPUTED_VALUE"""),5153)</f>
        <v>5153</v>
      </c>
      <c r="M200" s="12">
        <f ca="1">IFERROR(__xludf.DUMMYFUNCTION("""COMPUTED_VALUE"""),14102)</f>
        <v>14102</v>
      </c>
      <c r="N200" s="12">
        <f ca="1">IFERROR(__xludf.DUMMYFUNCTION("""COMPUTED_VALUE"""),10171)</f>
        <v>10171</v>
      </c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1:38" ht="13.2" x14ac:dyDescent="0.25">
      <c r="A201" s="12" t="str">
        <f ca="1">IFERROR(__xludf.DUMMYFUNCTION("""COMPUTED_VALUE"""),"                     right posteromedial visual area")</f>
        <v xml:space="preserve">                     right posteromedial visual area</v>
      </c>
      <c r="B201" s="12">
        <f ca="1">IFERROR(__xludf.DUMMYFUNCTION("""COMPUTED_VALUE"""),20624)</f>
        <v>20624</v>
      </c>
      <c r="C201" s="12">
        <f ca="1">IFERROR(__xludf.DUMMYFUNCTION("""COMPUTED_VALUE"""),15472)</f>
        <v>15472</v>
      </c>
      <c r="D201" s="12">
        <f ca="1">IFERROR(__xludf.DUMMYFUNCTION("""COMPUTED_VALUE"""),14052)</f>
        <v>14052</v>
      </c>
      <c r="E201" s="12">
        <f ca="1">IFERROR(__xludf.DUMMYFUNCTION("""COMPUTED_VALUE"""),14651)</f>
        <v>14651</v>
      </c>
      <c r="F201" s="12">
        <f ca="1">IFERROR(__xludf.DUMMYFUNCTION("""COMPUTED_VALUE"""),9842)</f>
        <v>9842</v>
      </c>
      <c r="G201" s="12">
        <f ca="1">IFERROR(__xludf.DUMMYFUNCTION("""COMPUTED_VALUE"""),9618)</f>
        <v>9618</v>
      </c>
      <c r="H201" s="12">
        <f ca="1">IFERROR(__xludf.DUMMYFUNCTION("""COMPUTED_VALUE"""),10742)</f>
        <v>10742</v>
      </c>
      <c r="I201" s="12">
        <f ca="1">IFERROR(__xludf.DUMMYFUNCTION("""COMPUTED_VALUE"""),16391)</f>
        <v>16391</v>
      </c>
      <c r="J201" s="12">
        <f ca="1">IFERROR(__xludf.DUMMYFUNCTION("""COMPUTED_VALUE"""),14007)</f>
        <v>14007</v>
      </c>
      <c r="K201" s="12">
        <f ca="1">IFERROR(__xludf.DUMMYFUNCTION("""COMPUTED_VALUE"""),21674)</f>
        <v>21674</v>
      </c>
      <c r="L201" s="12">
        <f ca="1">IFERROR(__xludf.DUMMYFUNCTION("""COMPUTED_VALUE"""),16210)</f>
        <v>16210</v>
      </c>
      <c r="M201" s="12">
        <f ca="1">IFERROR(__xludf.DUMMYFUNCTION("""COMPUTED_VALUE"""),24341)</f>
        <v>24341</v>
      </c>
      <c r="N201" s="12">
        <f ca="1">IFERROR(__xludf.DUMMYFUNCTION("""COMPUTED_VALUE"""),14822)</f>
        <v>14822</v>
      </c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1:38" ht="13.2" x14ac:dyDescent="0.25">
      <c r="A202" s="12" t="str">
        <f ca="1">IFERROR(__xludf.DUMMYFUNCTION("""COMPUTED_VALUE"""),"                     right Laterointermediate area")</f>
        <v xml:space="preserve">                     right Laterointermediate area</v>
      </c>
      <c r="B202" s="12">
        <f ca="1">IFERROR(__xludf.DUMMYFUNCTION("""COMPUTED_VALUE"""),24321)</f>
        <v>24321</v>
      </c>
      <c r="C202" s="12">
        <f ca="1">IFERROR(__xludf.DUMMYFUNCTION("""COMPUTED_VALUE"""),22281)</f>
        <v>22281</v>
      </c>
      <c r="D202" s="12">
        <f ca="1">IFERROR(__xludf.DUMMYFUNCTION("""COMPUTED_VALUE"""),18953)</f>
        <v>18953</v>
      </c>
      <c r="E202" s="12">
        <f ca="1">IFERROR(__xludf.DUMMYFUNCTION("""COMPUTED_VALUE"""),18013)</f>
        <v>18013</v>
      </c>
      <c r="F202" s="12">
        <f ca="1">IFERROR(__xludf.DUMMYFUNCTION("""COMPUTED_VALUE"""),11619)</f>
        <v>11619</v>
      </c>
      <c r="G202" s="12">
        <f ca="1">IFERROR(__xludf.DUMMYFUNCTION("""COMPUTED_VALUE"""),14236)</f>
        <v>14236</v>
      </c>
      <c r="H202" s="12">
        <f ca="1">IFERROR(__xludf.DUMMYFUNCTION("""COMPUTED_VALUE"""),19356)</f>
        <v>19356</v>
      </c>
      <c r="I202" s="12">
        <f ca="1">IFERROR(__xludf.DUMMYFUNCTION("""COMPUTED_VALUE"""),15407)</f>
        <v>15407</v>
      </c>
      <c r="J202" s="12">
        <f ca="1">IFERROR(__xludf.DUMMYFUNCTION("""COMPUTED_VALUE"""),20501)</f>
        <v>20501</v>
      </c>
      <c r="K202" s="12">
        <f ca="1">IFERROR(__xludf.DUMMYFUNCTION("""COMPUTED_VALUE"""),19032)</f>
        <v>19032</v>
      </c>
      <c r="L202" s="12">
        <f ca="1">IFERROR(__xludf.DUMMYFUNCTION("""COMPUTED_VALUE"""),10404)</f>
        <v>10404</v>
      </c>
      <c r="M202" s="12">
        <f ca="1">IFERROR(__xludf.DUMMYFUNCTION("""COMPUTED_VALUE"""),24628)</f>
        <v>24628</v>
      </c>
      <c r="N202" s="12">
        <f ca="1">IFERROR(__xludf.DUMMYFUNCTION("""COMPUTED_VALUE"""),18096)</f>
        <v>18096</v>
      </c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1:38" ht="13.2" x14ac:dyDescent="0.25">
      <c r="A203" s="12" t="str">
        <f ca="1">IFERROR(__xludf.DUMMYFUNCTION("""COMPUTED_VALUE"""),"                     right Postrhinal area")</f>
        <v xml:space="preserve">                     right Postrhinal area</v>
      </c>
      <c r="B203" s="12">
        <f ca="1">IFERROR(__xludf.DUMMYFUNCTION("""COMPUTED_VALUE"""),12437)</f>
        <v>12437</v>
      </c>
      <c r="C203" s="12">
        <f ca="1">IFERROR(__xludf.DUMMYFUNCTION("""COMPUTED_VALUE"""),18061)</f>
        <v>18061</v>
      </c>
      <c r="D203" s="12">
        <f ca="1">IFERROR(__xludf.DUMMYFUNCTION("""COMPUTED_VALUE"""),19599)</f>
        <v>19599</v>
      </c>
      <c r="E203" s="12">
        <f ca="1">IFERROR(__xludf.DUMMYFUNCTION("""COMPUTED_VALUE"""),15427)</f>
        <v>15427</v>
      </c>
      <c r="F203" s="12">
        <f ca="1">IFERROR(__xludf.DUMMYFUNCTION("""COMPUTED_VALUE"""),9262)</f>
        <v>9262</v>
      </c>
      <c r="G203" s="12">
        <f ca="1">IFERROR(__xludf.DUMMYFUNCTION("""COMPUTED_VALUE"""),11149)</f>
        <v>11149</v>
      </c>
      <c r="H203" s="12">
        <f ca="1">IFERROR(__xludf.DUMMYFUNCTION("""COMPUTED_VALUE"""),15740)</f>
        <v>15740</v>
      </c>
      <c r="I203" s="12">
        <f ca="1">IFERROR(__xludf.DUMMYFUNCTION("""COMPUTED_VALUE"""),14658)</f>
        <v>14658</v>
      </c>
      <c r="J203" s="12">
        <f ca="1">IFERROR(__xludf.DUMMYFUNCTION("""COMPUTED_VALUE"""),17297)</f>
        <v>17297</v>
      </c>
      <c r="K203" s="12">
        <f ca="1">IFERROR(__xludf.DUMMYFUNCTION("""COMPUTED_VALUE"""),12352)</f>
        <v>12352</v>
      </c>
      <c r="L203" s="12">
        <f ca="1">IFERROR(__xludf.DUMMYFUNCTION("""COMPUTED_VALUE"""),4237)</f>
        <v>4237</v>
      </c>
      <c r="M203" s="12">
        <f ca="1">IFERROR(__xludf.DUMMYFUNCTION("""COMPUTED_VALUE"""),18854)</f>
        <v>18854</v>
      </c>
      <c r="N203" s="12">
        <f ca="1">IFERROR(__xludf.DUMMYFUNCTION("""COMPUTED_VALUE"""),14411)</f>
        <v>14411</v>
      </c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1:38" ht="13.2" x14ac:dyDescent="0.25">
      <c r="A204" s="12" t="str">
        <f ca="1">IFERROR(__xludf.DUMMYFUNCTION("""COMPUTED_VALUE"""),"                  right Anterior cingulate area")</f>
        <v xml:space="preserve">                  right Anterior cingulate area</v>
      </c>
      <c r="B204" s="12">
        <f ca="1">IFERROR(__xludf.DUMMYFUNCTION("""COMPUTED_VALUE"""),15607)</f>
        <v>15607</v>
      </c>
      <c r="C204" s="12">
        <f ca="1">IFERROR(__xludf.DUMMYFUNCTION("""COMPUTED_VALUE"""),12056)</f>
        <v>12056</v>
      </c>
      <c r="D204" s="12">
        <f ca="1">IFERROR(__xludf.DUMMYFUNCTION("""COMPUTED_VALUE"""),9782)</f>
        <v>9782</v>
      </c>
      <c r="E204" s="12">
        <f ca="1">IFERROR(__xludf.DUMMYFUNCTION("""COMPUTED_VALUE"""),10527)</f>
        <v>10527</v>
      </c>
      <c r="F204" s="12">
        <f ca="1">IFERROR(__xludf.DUMMYFUNCTION("""COMPUTED_VALUE"""),6649)</f>
        <v>6649</v>
      </c>
      <c r="G204" s="12">
        <f ca="1">IFERROR(__xludf.DUMMYFUNCTION("""COMPUTED_VALUE"""),5671)</f>
        <v>5671</v>
      </c>
      <c r="H204" s="12">
        <f ca="1">IFERROR(__xludf.DUMMYFUNCTION("""COMPUTED_VALUE"""),9679)</f>
        <v>9679</v>
      </c>
      <c r="I204" s="12">
        <f ca="1">IFERROR(__xludf.DUMMYFUNCTION("""COMPUTED_VALUE"""),11564)</f>
        <v>11564</v>
      </c>
      <c r="J204" s="12">
        <f ca="1">IFERROR(__xludf.DUMMYFUNCTION("""COMPUTED_VALUE"""),12869)</f>
        <v>12869</v>
      </c>
      <c r="K204" s="12">
        <f ca="1">IFERROR(__xludf.DUMMYFUNCTION("""COMPUTED_VALUE"""),8837)</f>
        <v>8837</v>
      </c>
      <c r="L204" s="12">
        <f ca="1">IFERROR(__xludf.DUMMYFUNCTION("""COMPUTED_VALUE"""),7787)</f>
        <v>7787</v>
      </c>
      <c r="M204" s="12">
        <f ca="1">IFERROR(__xludf.DUMMYFUNCTION("""COMPUTED_VALUE"""),12200)</f>
        <v>12200</v>
      </c>
      <c r="N204" s="12">
        <f ca="1">IFERROR(__xludf.DUMMYFUNCTION("""COMPUTED_VALUE"""),10149)</f>
        <v>10149</v>
      </c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1:38" ht="13.2" x14ac:dyDescent="0.25">
      <c r="A205" s="12" t="str">
        <f ca="1">IFERROR(__xludf.DUMMYFUNCTION("""COMPUTED_VALUE"""),"                     right Anterior cingulate area, dorsal part")</f>
        <v xml:space="preserve">                     right Anterior cingulate area, dorsal part</v>
      </c>
      <c r="B205" s="12">
        <f ca="1">IFERROR(__xludf.DUMMYFUNCTION("""COMPUTED_VALUE"""),15138)</f>
        <v>15138</v>
      </c>
      <c r="C205" s="12">
        <f ca="1">IFERROR(__xludf.DUMMYFUNCTION("""COMPUTED_VALUE"""),11576)</f>
        <v>11576</v>
      </c>
      <c r="D205" s="12">
        <f ca="1">IFERROR(__xludf.DUMMYFUNCTION("""COMPUTED_VALUE"""),8797)</f>
        <v>8797</v>
      </c>
      <c r="E205" s="12">
        <f ca="1">IFERROR(__xludf.DUMMYFUNCTION("""COMPUTED_VALUE"""),7858)</f>
        <v>7858</v>
      </c>
      <c r="F205" s="12">
        <f ca="1">IFERROR(__xludf.DUMMYFUNCTION("""COMPUTED_VALUE"""),5702)</f>
        <v>5702</v>
      </c>
      <c r="G205" s="12">
        <f ca="1">IFERROR(__xludf.DUMMYFUNCTION("""COMPUTED_VALUE"""),4093)</f>
        <v>4093</v>
      </c>
      <c r="H205" s="12">
        <f ca="1">IFERROR(__xludf.DUMMYFUNCTION("""COMPUTED_VALUE"""),8778)</f>
        <v>8778</v>
      </c>
      <c r="I205" s="12">
        <f ca="1">IFERROR(__xludf.DUMMYFUNCTION("""COMPUTED_VALUE"""),11525)</f>
        <v>11525</v>
      </c>
      <c r="J205" s="12">
        <f ca="1">IFERROR(__xludf.DUMMYFUNCTION("""COMPUTED_VALUE"""),12350)</f>
        <v>12350</v>
      </c>
      <c r="K205" s="12">
        <f ca="1">IFERROR(__xludf.DUMMYFUNCTION("""COMPUTED_VALUE"""),7850)</f>
        <v>7850</v>
      </c>
      <c r="L205" s="12">
        <f ca="1">IFERROR(__xludf.DUMMYFUNCTION("""COMPUTED_VALUE"""),8614)</f>
        <v>8614</v>
      </c>
      <c r="M205" s="12">
        <f ca="1">IFERROR(__xludf.DUMMYFUNCTION("""COMPUTED_VALUE"""),15508)</f>
        <v>15508</v>
      </c>
      <c r="N205" s="12">
        <f ca="1">IFERROR(__xludf.DUMMYFUNCTION("""COMPUTED_VALUE"""),9474)</f>
        <v>9474</v>
      </c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1:38" ht="13.2" x14ac:dyDescent="0.25">
      <c r="A206" s="12" t="str">
        <f ca="1">IFERROR(__xludf.DUMMYFUNCTION("""COMPUTED_VALUE"""),"                     right Anterior cingulate area, ventral part")</f>
        <v xml:space="preserve">                     right Anterior cingulate area, ventral part</v>
      </c>
      <c r="B206" s="12">
        <f ca="1">IFERROR(__xludf.DUMMYFUNCTION("""COMPUTED_VALUE"""),16216)</f>
        <v>16216</v>
      </c>
      <c r="C206" s="12">
        <f ca="1">IFERROR(__xludf.DUMMYFUNCTION("""COMPUTED_VALUE"""),12680)</f>
        <v>12680</v>
      </c>
      <c r="D206" s="12">
        <f ca="1">IFERROR(__xludf.DUMMYFUNCTION("""COMPUTED_VALUE"""),11061)</f>
        <v>11061</v>
      </c>
      <c r="E206" s="12">
        <f ca="1">IFERROR(__xludf.DUMMYFUNCTION("""COMPUTED_VALUE"""),13991)</f>
        <v>13991</v>
      </c>
      <c r="F206" s="12">
        <f ca="1">IFERROR(__xludf.DUMMYFUNCTION("""COMPUTED_VALUE"""),7878)</f>
        <v>7878</v>
      </c>
      <c r="G206" s="12">
        <f ca="1">IFERROR(__xludf.DUMMYFUNCTION("""COMPUTED_VALUE"""),7720)</f>
        <v>7720</v>
      </c>
      <c r="H206" s="12">
        <f ca="1">IFERROR(__xludf.DUMMYFUNCTION("""COMPUTED_VALUE"""),10848)</f>
        <v>10848</v>
      </c>
      <c r="I206" s="12">
        <f ca="1">IFERROR(__xludf.DUMMYFUNCTION("""COMPUTED_VALUE"""),11615)</f>
        <v>11615</v>
      </c>
      <c r="J206" s="12">
        <f ca="1">IFERROR(__xludf.DUMMYFUNCTION("""COMPUTED_VALUE"""),13542)</f>
        <v>13542</v>
      </c>
      <c r="K206" s="12">
        <f ca="1">IFERROR(__xludf.DUMMYFUNCTION("""COMPUTED_VALUE"""),10119)</f>
        <v>10119</v>
      </c>
      <c r="L206" s="12">
        <f ca="1">IFERROR(__xludf.DUMMYFUNCTION("""COMPUTED_VALUE"""),6715)</f>
        <v>6715</v>
      </c>
      <c r="M206" s="12">
        <f ca="1">IFERROR(__xludf.DUMMYFUNCTION("""COMPUTED_VALUE"""),7905)</f>
        <v>7905</v>
      </c>
      <c r="N206" s="12">
        <f ca="1">IFERROR(__xludf.DUMMYFUNCTION("""COMPUTED_VALUE"""),11027)</f>
        <v>11027</v>
      </c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1:38" ht="13.2" x14ac:dyDescent="0.25">
      <c r="A207" s="12" t="str">
        <f ca="1">IFERROR(__xludf.DUMMYFUNCTION("""COMPUTED_VALUE"""),"                  right Prelimbic area")</f>
        <v xml:space="preserve">                  right Prelimbic area</v>
      </c>
      <c r="B207" s="12">
        <f ca="1">IFERROR(__xludf.DUMMYFUNCTION("""COMPUTED_VALUE"""),22497)</f>
        <v>22497</v>
      </c>
      <c r="C207" s="12">
        <f ca="1">IFERROR(__xludf.DUMMYFUNCTION("""COMPUTED_VALUE"""),13554)</f>
        <v>13554</v>
      </c>
      <c r="D207" s="12">
        <f ca="1">IFERROR(__xludf.DUMMYFUNCTION("""COMPUTED_VALUE"""),13473)</f>
        <v>13473</v>
      </c>
      <c r="E207" s="12">
        <f ca="1">IFERROR(__xludf.DUMMYFUNCTION("""COMPUTED_VALUE"""),8826)</f>
        <v>8826</v>
      </c>
      <c r="F207" s="12">
        <f ca="1">IFERROR(__xludf.DUMMYFUNCTION("""COMPUTED_VALUE"""),6358)</f>
        <v>6358</v>
      </c>
      <c r="G207" s="12">
        <f ca="1">IFERROR(__xludf.DUMMYFUNCTION("""COMPUTED_VALUE"""),6789)</f>
        <v>6789</v>
      </c>
      <c r="H207" s="12">
        <f ca="1">IFERROR(__xludf.DUMMYFUNCTION("""COMPUTED_VALUE"""),10961)</f>
        <v>10961</v>
      </c>
      <c r="I207" s="12">
        <f ca="1">IFERROR(__xludf.DUMMYFUNCTION("""COMPUTED_VALUE"""),11497)</f>
        <v>11497</v>
      </c>
      <c r="J207" s="12">
        <f ca="1">IFERROR(__xludf.DUMMYFUNCTION("""COMPUTED_VALUE"""),11844)</f>
        <v>11844</v>
      </c>
      <c r="K207" s="12">
        <f ca="1">IFERROR(__xludf.DUMMYFUNCTION("""COMPUTED_VALUE"""),7723)</f>
        <v>7723</v>
      </c>
      <c r="L207" s="12">
        <f ca="1">IFERROR(__xludf.DUMMYFUNCTION("""COMPUTED_VALUE"""),11518)</f>
        <v>11518</v>
      </c>
      <c r="M207" s="12">
        <f ca="1">IFERROR(__xludf.DUMMYFUNCTION("""COMPUTED_VALUE"""),17499)</f>
        <v>17499</v>
      </c>
      <c r="N207" s="12">
        <f ca="1">IFERROR(__xludf.DUMMYFUNCTION("""COMPUTED_VALUE"""),11601)</f>
        <v>11601</v>
      </c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1:38" ht="13.2" x14ac:dyDescent="0.25">
      <c r="A208" s="12" t="str">
        <f ca="1">IFERROR(__xludf.DUMMYFUNCTION("""COMPUTED_VALUE"""),"                  right Infralimbic area")</f>
        <v xml:space="preserve">                  right Infralimbic area</v>
      </c>
      <c r="B208" s="12">
        <f ca="1">IFERROR(__xludf.DUMMYFUNCTION("""COMPUTED_VALUE"""),18626)</f>
        <v>18626</v>
      </c>
      <c r="C208" s="12">
        <f ca="1">IFERROR(__xludf.DUMMYFUNCTION("""COMPUTED_VALUE"""),11545)</f>
        <v>11545</v>
      </c>
      <c r="D208" s="12">
        <f ca="1">IFERROR(__xludf.DUMMYFUNCTION("""COMPUTED_VALUE"""),12878)</f>
        <v>12878</v>
      </c>
      <c r="E208" s="12">
        <f ca="1">IFERROR(__xludf.DUMMYFUNCTION("""COMPUTED_VALUE"""),12175)</f>
        <v>12175</v>
      </c>
      <c r="F208" s="12">
        <f ca="1">IFERROR(__xludf.DUMMYFUNCTION("""COMPUTED_VALUE"""),7527)</f>
        <v>7527</v>
      </c>
      <c r="G208" s="12">
        <f ca="1">IFERROR(__xludf.DUMMYFUNCTION("""COMPUTED_VALUE"""),7789)</f>
        <v>7789</v>
      </c>
      <c r="H208" s="12">
        <f ca="1">IFERROR(__xludf.DUMMYFUNCTION("""COMPUTED_VALUE"""),15916)</f>
        <v>15916</v>
      </c>
      <c r="I208" s="12">
        <f ca="1">IFERROR(__xludf.DUMMYFUNCTION("""COMPUTED_VALUE"""),14813)</f>
        <v>14813</v>
      </c>
      <c r="J208" s="12">
        <f ca="1">IFERROR(__xludf.DUMMYFUNCTION("""COMPUTED_VALUE"""),11196)</f>
        <v>11196</v>
      </c>
      <c r="K208" s="12">
        <f ca="1">IFERROR(__xludf.DUMMYFUNCTION("""COMPUTED_VALUE"""),6222)</f>
        <v>6222</v>
      </c>
      <c r="L208" s="12">
        <f ca="1">IFERROR(__xludf.DUMMYFUNCTION("""COMPUTED_VALUE"""),10622)</f>
        <v>10622</v>
      </c>
      <c r="M208" s="12">
        <f ca="1">IFERROR(__xludf.DUMMYFUNCTION("""COMPUTED_VALUE"""),8057)</f>
        <v>8057</v>
      </c>
      <c r="N208" s="12">
        <f ca="1">IFERROR(__xludf.DUMMYFUNCTION("""COMPUTED_VALUE"""),11755)</f>
        <v>11755</v>
      </c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1:38" ht="13.2" x14ac:dyDescent="0.25">
      <c r="A209" s="12" t="str">
        <f ca="1">IFERROR(__xludf.DUMMYFUNCTION("""COMPUTED_VALUE"""),"                  right Orbital area")</f>
        <v xml:space="preserve">                  right Orbital area</v>
      </c>
      <c r="B209" s="12">
        <f ca="1">IFERROR(__xludf.DUMMYFUNCTION("""COMPUTED_VALUE"""),18335)</f>
        <v>18335</v>
      </c>
      <c r="C209" s="12">
        <f ca="1">IFERROR(__xludf.DUMMYFUNCTION("""COMPUTED_VALUE"""),11315)</f>
        <v>11315</v>
      </c>
      <c r="D209" s="12">
        <f ca="1">IFERROR(__xludf.DUMMYFUNCTION("""COMPUTED_VALUE"""),10202)</f>
        <v>10202</v>
      </c>
      <c r="E209" s="12">
        <f ca="1">IFERROR(__xludf.DUMMYFUNCTION("""COMPUTED_VALUE"""),8991)</f>
        <v>8991</v>
      </c>
      <c r="F209" s="12">
        <f ca="1">IFERROR(__xludf.DUMMYFUNCTION("""COMPUTED_VALUE"""),7913)</f>
        <v>7913</v>
      </c>
      <c r="G209" s="12">
        <f ca="1">IFERROR(__xludf.DUMMYFUNCTION("""COMPUTED_VALUE"""),7158)</f>
        <v>7158</v>
      </c>
      <c r="H209" s="12">
        <f ca="1">IFERROR(__xludf.DUMMYFUNCTION("""COMPUTED_VALUE"""),12538)</f>
        <v>12538</v>
      </c>
      <c r="I209" s="12">
        <f ca="1">IFERROR(__xludf.DUMMYFUNCTION("""COMPUTED_VALUE"""),15666)</f>
        <v>15666</v>
      </c>
      <c r="J209" s="12">
        <f ca="1">IFERROR(__xludf.DUMMYFUNCTION("""COMPUTED_VALUE"""),9022)</f>
        <v>9022</v>
      </c>
      <c r="K209" s="12">
        <f ca="1">IFERROR(__xludf.DUMMYFUNCTION("""COMPUTED_VALUE"""),10589)</f>
        <v>10589</v>
      </c>
      <c r="L209" s="12">
        <f ca="1">IFERROR(__xludf.DUMMYFUNCTION("""COMPUTED_VALUE"""),12710)</f>
        <v>12710</v>
      </c>
      <c r="M209" s="12">
        <f ca="1">IFERROR(__xludf.DUMMYFUNCTION("""COMPUTED_VALUE"""),21575)</f>
        <v>21575</v>
      </c>
      <c r="N209" s="12">
        <f ca="1">IFERROR(__xludf.DUMMYFUNCTION("""COMPUTED_VALUE"""),11731)</f>
        <v>11731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1:38" ht="13.2" x14ac:dyDescent="0.25">
      <c r="A210" s="12" t="str">
        <f ca="1">IFERROR(__xludf.DUMMYFUNCTION("""COMPUTED_VALUE"""),"                     right Orbital area, lateral part")</f>
        <v xml:space="preserve">                     right Orbital area, lateral part</v>
      </c>
      <c r="B210" s="12">
        <f ca="1">IFERROR(__xludf.DUMMYFUNCTION("""COMPUTED_VALUE"""),21695)</f>
        <v>21695</v>
      </c>
      <c r="C210" s="12">
        <f ca="1">IFERROR(__xludf.DUMMYFUNCTION("""COMPUTED_VALUE"""),11906)</f>
        <v>11906</v>
      </c>
      <c r="D210" s="12">
        <f ca="1">IFERROR(__xludf.DUMMYFUNCTION("""COMPUTED_VALUE"""),9763)</f>
        <v>9763</v>
      </c>
      <c r="E210" s="12">
        <f ca="1">IFERROR(__xludf.DUMMYFUNCTION("""COMPUTED_VALUE"""),9492)</f>
        <v>9492</v>
      </c>
      <c r="F210" s="12">
        <f ca="1">IFERROR(__xludf.DUMMYFUNCTION("""COMPUTED_VALUE"""),6077)</f>
        <v>6077</v>
      </c>
      <c r="G210" s="12">
        <f ca="1">IFERROR(__xludf.DUMMYFUNCTION("""COMPUTED_VALUE"""),5496)</f>
        <v>5496</v>
      </c>
      <c r="H210" s="12">
        <f ca="1">IFERROR(__xludf.DUMMYFUNCTION("""COMPUTED_VALUE"""),14844)</f>
        <v>14844</v>
      </c>
      <c r="I210" s="12">
        <f ca="1">IFERROR(__xludf.DUMMYFUNCTION("""COMPUTED_VALUE"""),18224)</f>
        <v>18224</v>
      </c>
      <c r="J210" s="12">
        <f ca="1">IFERROR(__xludf.DUMMYFUNCTION("""COMPUTED_VALUE"""),10053)</f>
        <v>10053</v>
      </c>
      <c r="K210" s="12">
        <f ca="1">IFERROR(__xludf.DUMMYFUNCTION("""COMPUTED_VALUE"""),11672)</f>
        <v>11672</v>
      </c>
      <c r="L210" s="12">
        <f ca="1">IFERROR(__xludf.DUMMYFUNCTION("""COMPUTED_VALUE"""),16108)</f>
        <v>16108</v>
      </c>
      <c r="M210" s="12">
        <f ca="1">IFERROR(__xludf.DUMMYFUNCTION("""COMPUTED_VALUE"""),23249)</f>
        <v>23249</v>
      </c>
      <c r="N210" s="12">
        <f ca="1">IFERROR(__xludf.DUMMYFUNCTION("""COMPUTED_VALUE"""),12559)</f>
        <v>12559</v>
      </c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1:38" ht="13.2" x14ac:dyDescent="0.25">
      <c r="A211" s="12" t="str">
        <f ca="1">IFERROR(__xludf.DUMMYFUNCTION("""COMPUTED_VALUE"""),"                     right Orbital area, medial part")</f>
        <v xml:space="preserve">                     right Orbital area, medial part</v>
      </c>
      <c r="B211" s="12">
        <f ca="1">IFERROR(__xludf.DUMMYFUNCTION("""COMPUTED_VALUE"""),13608)</f>
        <v>13608</v>
      </c>
      <c r="C211" s="12">
        <f ca="1">IFERROR(__xludf.DUMMYFUNCTION("""COMPUTED_VALUE"""),10739)</f>
        <v>10739</v>
      </c>
      <c r="D211" s="12">
        <f ca="1">IFERROR(__xludf.DUMMYFUNCTION("""COMPUTED_VALUE"""),8701)</f>
        <v>8701</v>
      </c>
      <c r="E211" s="12">
        <f ca="1">IFERROR(__xludf.DUMMYFUNCTION("""COMPUTED_VALUE"""),6796)</f>
        <v>6796</v>
      </c>
      <c r="F211" s="12">
        <f ca="1">IFERROR(__xludf.DUMMYFUNCTION("""COMPUTED_VALUE"""),7602)</f>
        <v>7602</v>
      </c>
      <c r="G211" s="12">
        <f ca="1">IFERROR(__xludf.DUMMYFUNCTION("""COMPUTED_VALUE"""),5852)</f>
        <v>5852</v>
      </c>
      <c r="H211" s="12">
        <f ca="1">IFERROR(__xludf.DUMMYFUNCTION("""COMPUTED_VALUE"""),9606)</f>
        <v>9606</v>
      </c>
      <c r="I211" s="12">
        <f ca="1">IFERROR(__xludf.DUMMYFUNCTION("""COMPUTED_VALUE"""),11194)</f>
        <v>11194</v>
      </c>
      <c r="J211" s="12">
        <f ca="1">IFERROR(__xludf.DUMMYFUNCTION("""COMPUTED_VALUE"""),8493)</f>
        <v>8493</v>
      </c>
      <c r="K211" s="12">
        <f ca="1">IFERROR(__xludf.DUMMYFUNCTION("""COMPUTED_VALUE"""),7997)</f>
        <v>7997</v>
      </c>
      <c r="L211" s="12">
        <f ca="1">IFERROR(__xludf.DUMMYFUNCTION("""COMPUTED_VALUE"""),6182)</f>
        <v>6182</v>
      </c>
      <c r="M211" s="12">
        <f ca="1">IFERROR(__xludf.DUMMYFUNCTION("""COMPUTED_VALUE"""),17523)</f>
        <v>17523</v>
      </c>
      <c r="N211" s="12">
        <f ca="1">IFERROR(__xludf.DUMMYFUNCTION("""COMPUTED_VALUE"""),9348)</f>
        <v>9348</v>
      </c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1:38" ht="13.2" x14ac:dyDescent="0.25">
      <c r="A212" s="12" t="str">
        <f ca="1">IFERROR(__xludf.DUMMYFUNCTION("""COMPUTED_VALUE"""),"                     right Orbital area, ventrolateral part")</f>
        <v xml:space="preserve">                     right Orbital area, ventrolateral part</v>
      </c>
      <c r="B212" s="12">
        <f ca="1">IFERROR(__xludf.DUMMYFUNCTION("""COMPUTED_VALUE"""),16920)</f>
        <v>16920</v>
      </c>
      <c r="C212" s="12">
        <f ca="1">IFERROR(__xludf.DUMMYFUNCTION("""COMPUTED_VALUE"""),10864)</f>
        <v>10864</v>
      </c>
      <c r="D212" s="12">
        <f ca="1">IFERROR(__xludf.DUMMYFUNCTION("""COMPUTED_VALUE"""),12065)</f>
        <v>12065</v>
      </c>
      <c r="E212" s="12">
        <f ca="1">IFERROR(__xludf.DUMMYFUNCTION("""COMPUTED_VALUE"""),9959)</f>
        <v>9959</v>
      </c>
      <c r="F212" s="12">
        <f ca="1">IFERROR(__xludf.DUMMYFUNCTION("""COMPUTED_VALUE"""),10978)</f>
        <v>10978</v>
      </c>
      <c r="G212" s="12">
        <f ca="1">IFERROR(__xludf.DUMMYFUNCTION("""COMPUTED_VALUE"""),10741)</f>
        <v>10741</v>
      </c>
      <c r="H212" s="12">
        <f ca="1">IFERROR(__xludf.DUMMYFUNCTION("""COMPUTED_VALUE"""),11318)</f>
        <v>11318</v>
      </c>
      <c r="I212" s="12">
        <f ca="1">IFERROR(__xludf.DUMMYFUNCTION("""COMPUTED_VALUE"""),15279)</f>
        <v>15279</v>
      </c>
      <c r="J212" s="12">
        <f ca="1">IFERROR(__xludf.DUMMYFUNCTION("""COMPUTED_VALUE"""),7858)</f>
        <v>7858</v>
      </c>
      <c r="K212" s="12">
        <f ca="1">IFERROR(__xludf.DUMMYFUNCTION("""COMPUTED_VALUE"""),10978)</f>
        <v>10978</v>
      </c>
      <c r="L212" s="12">
        <f ca="1">IFERROR(__xludf.DUMMYFUNCTION("""COMPUTED_VALUE"""),12659)</f>
        <v>12659</v>
      </c>
      <c r="M212" s="12">
        <f ca="1">IFERROR(__xludf.DUMMYFUNCTION("""COMPUTED_VALUE"""),22214)</f>
        <v>22214</v>
      </c>
      <c r="N212" s="12">
        <f ca="1">IFERROR(__xludf.DUMMYFUNCTION("""COMPUTED_VALUE"""),12346)</f>
        <v>12346</v>
      </c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1:38" ht="13.2" x14ac:dyDescent="0.25">
      <c r="A213" s="12" t="str">
        <f ca="1">IFERROR(__xludf.DUMMYFUNCTION("""COMPUTED_VALUE"""),"                  right Agranular insular area")</f>
        <v xml:space="preserve">                  right Agranular insular area</v>
      </c>
      <c r="B213" s="12">
        <f ca="1">IFERROR(__xludf.DUMMYFUNCTION("""COMPUTED_VALUE"""),12881)</f>
        <v>12881</v>
      </c>
      <c r="C213" s="12">
        <f ca="1">IFERROR(__xludf.DUMMYFUNCTION("""COMPUTED_VALUE"""),9301)</f>
        <v>9301</v>
      </c>
      <c r="D213" s="12">
        <f ca="1">IFERROR(__xludf.DUMMYFUNCTION("""COMPUTED_VALUE"""),6815)</f>
        <v>6815</v>
      </c>
      <c r="E213" s="12">
        <f ca="1">IFERROR(__xludf.DUMMYFUNCTION("""COMPUTED_VALUE"""),5441)</f>
        <v>5441</v>
      </c>
      <c r="F213" s="12">
        <f ca="1">IFERROR(__xludf.DUMMYFUNCTION("""COMPUTED_VALUE"""),2001)</f>
        <v>2001</v>
      </c>
      <c r="G213" s="12">
        <f ca="1">IFERROR(__xludf.DUMMYFUNCTION("""COMPUTED_VALUE"""),2716)</f>
        <v>2716</v>
      </c>
      <c r="H213" s="12">
        <f ca="1">IFERROR(__xludf.DUMMYFUNCTION("""COMPUTED_VALUE"""),9543)</f>
        <v>9543</v>
      </c>
      <c r="I213" s="12">
        <f ca="1">IFERROR(__xludf.DUMMYFUNCTION("""COMPUTED_VALUE"""),11391)</f>
        <v>11391</v>
      </c>
      <c r="J213" s="12">
        <f ca="1">IFERROR(__xludf.DUMMYFUNCTION("""COMPUTED_VALUE"""),7904)</f>
        <v>7904</v>
      </c>
      <c r="K213" s="12">
        <f ca="1">IFERROR(__xludf.DUMMYFUNCTION("""COMPUTED_VALUE"""),6057)</f>
        <v>6057</v>
      </c>
      <c r="L213" s="12">
        <f ca="1">IFERROR(__xludf.DUMMYFUNCTION("""COMPUTED_VALUE"""),6759)</f>
        <v>6759</v>
      </c>
      <c r="M213" s="12">
        <f ca="1">IFERROR(__xludf.DUMMYFUNCTION("""COMPUTED_VALUE"""),6732)</f>
        <v>6732</v>
      </c>
      <c r="N213" s="12">
        <f ca="1">IFERROR(__xludf.DUMMYFUNCTION("""COMPUTED_VALUE"""),7292)</f>
        <v>7292</v>
      </c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1:38" ht="13.2" x14ac:dyDescent="0.25">
      <c r="A214" s="12" t="str">
        <f ca="1">IFERROR(__xludf.DUMMYFUNCTION("""COMPUTED_VALUE"""),"                     right Agranular insular area, dorsal part")</f>
        <v xml:space="preserve">                     right Agranular insular area, dorsal part</v>
      </c>
      <c r="B214" s="12">
        <f ca="1">IFERROR(__xludf.DUMMYFUNCTION("""COMPUTED_VALUE"""),14431)</f>
        <v>14431</v>
      </c>
      <c r="C214" s="12">
        <f ca="1">IFERROR(__xludf.DUMMYFUNCTION("""COMPUTED_VALUE"""),10312)</f>
        <v>10312</v>
      </c>
      <c r="D214" s="12">
        <f ca="1">IFERROR(__xludf.DUMMYFUNCTION("""COMPUTED_VALUE"""),6001)</f>
        <v>6001</v>
      </c>
      <c r="E214" s="12">
        <f ca="1">IFERROR(__xludf.DUMMYFUNCTION("""COMPUTED_VALUE"""),4495)</f>
        <v>4495</v>
      </c>
      <c r="F214" s="12">
        <f ca="1">IFERROR(__xludf.DUMMYFUNCTION("""COMPUTED_VALUE"""),1491)</f>
        <v>1491</v>
      </c>
      <c r="G214" s="12">
        <f ca="1">IFERROR(__xludf.DUMMYFUNCTION("""COMPUTED_VALUE"""),2018)</f>
        <v>2018</v>
      </c>
      <c r="H214" s="12">
        <f ca="1">IFERROR(__xludf.DUMMYFUNCTION("""COMPUTED_VALUE"""),10878)</f>
        <v>10878</v>
      </c>
      <c r="I214" s="12">
        <f ca="1">IFERROR(__xludf.DUMMYFUNCTION("""COMPUTED_VALUE"""),13552)</f>
        <v>13552</v>
      </c>
      <c r="J214" s="12">
        <f ca="1">IFERROR(__xludf.DUMMYFUNCTION("""COMPUTED_VALUE"""),7893)</f>
        <v>7893</v>
      </c>
      <c r="K214" s="12">
        <f ca="1">IFERROR(__xludf.DUMMYFUNCTION("""COMPUTED_VALUE"""),6690)</f>
        <v>6690</v>
      </c>
      <c r="L214" s="12">
        <f ca="1">IFERROR(__xludf.DUMMYFUNCTION("""COMPUTED_VALUE"""),8191)</f>
        <v>8191</v>
      </c>
      <c r="M214" s="12">
        <f ca="1">IFERROR(__xludf.DUMMYFUNCTION("""COMPUTED_VALUE"""),6816)</f>
        <v>6816</v>
      </c>
      <c r="N214" s="12">
        <f ca="1">IFERROR(__xludf.DUMMYFUNCTION("""COMPUTED_VALUE"""),7694)</f>
        <v>7694</v>
      </c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1:38" ht="13.2" x14ac:dyDescent="0.25">
      <c r="A215" s="12" t="str">
        <f ca="1">IFERROR(__xludf.DUMMYFUNCTION("""COMPUTED_VALUE"""),"                     right Agranular insular area, posterior part")</f>
        <v xml:space="preserve">                     right Agranular insular area, posterior part</v>
      </c>
      <c r="B215" s="12">
        <f ca="1">IFERROR(__xludf.DUMMYFUNCTION("""COMPUTED_VALUE"""),9659)</f>
        <v>9659</v>
      </c>
      <c r="C215" s="12">
        <f ca="1">IFERROR(__xludf.DUMMYFUNCTION("""COMPUTED_VALUE"""),6992)</f>
        <v>6992</v>
      </c>
      <c r="D215" s="12">
        <f ca="1">IFERROR(__xludf.DUMMYFUNCTION("""COMPUTED_VALUE"""),6886)</f>
        <v>6886</v>
      </c>
      <c r="E215" s="12">
        <f ca="1">IFERROR(__xludf.DUMMYFUNCTION("""COMPUTED_VALUE"""),4972)</f>
        <v>4972</v>
      </c>
      <c r="F215" s="12">
        <f ca="1">IFERROR(__xludf.DUMMYFUNCTION("""COMPUTED_VALUE"""),1841)</f>
        <v>1841</v>
      </c>
      <c r="G215" s="12">
        <f ca="1">IFERROR(__xludf.DUMMYFUNCTION("""COMPUTED_VALUE"""),2089)</f>
        <v>2089</v>
      </c>
      <c r="H215" s="12">
        <f ca="1">IFERROR(__xludf.DUMMYFUNCTION("""COMPUTED_VALUE"""),6749)</f>
        <v>6749</v>
      </c>
      <c r="I215" s="12">
        <f ca="1">IFERROR(__xludf.DUMMYFUNCTION("""COMPUTED_VALUE"""),7051)</f>
        <v>7051</v>
      </c>
      <c r="J215" s="12">
        <f ca="1">IFERROR(__xludf.DUMMYFUNCTION("""COMPUTED_VALUE"""),7819)</f>
        <v>7819</v>
      </c>
      <c r="K215" s="12">
        <f ca="1">IFERROR(__xludf.DUMMYFUNCTION("""COMPUTED_VALUE"""),5526)</f>
        <v>5526</v>
      </c>
      <c r="L215" s="12">
        <f ca="1">IFERROR(__xludf.DUMMYFUNCTION("""COMPUTED_VALUE"""),3971)</f>
        <v>3971</v>
      </c>
      <c r="M215" s="12">
        <f ca="1">IFERROR(__xludf.DUMMYFUNCTION("""COMPUTED_VALUE"""),3973)</f>
        <v>3973</v>
      </c>
      <c r="N215" s="12">
        <f ca="1">IFERROR(__xludf.DUMMYFUNCTION("""COMPUTED_VALUE"""),5622)</f>
        <v>5622</v>
      </c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1:38" ht="13.2" x14ac:dyDescent="0.25">
      <c r="A216" s="12" t="str">
        <f ca="1">IFERROR(__xludf.DUMMYFUNCTION("""COMPUTED_VALUE"""),"                     right Agranular insular area, ventral part")</f>
        <v xml:space="preserve">                     right Agranular insular area, ventral part</v>
      </c>
      <c r="B216" s="12">
        <f ca="1">IFERROR(__xludf.DUMMYFUNCTION("""COMPUTED_VALUE"""),14079)</f>
        <v>14079</v>
      </c>
      <c r="C216" s="12">
        <f ca="1">IFERROR(__xludf.DUMMYFUNCTION("""COMPUTED_VALUE"""),10371)</f>
        <v>10371</v>
      </c>
      <c r="D216" s="12">
        <f ca="1">IFERROR(__xludf.DUMMYFUNCTION("""COMPUTED_VALUE"""),8466)</f>
        <v>8466</v>
      </c>
      <c r="E216" s="12">
        <f ca="1">IFERROR(__xludf.DUMMYFUNCTION("""COMPUTED_VALUE"""),8131)</f>
        <v>8131</v>
      </c>
      <c r="F216" s="12">
        <f ca="1">IFERROR(__xludf.DUMMYFUNCTION("""COMPUTED_VALUE"""),3319)</f>
        <v>3319</v>
      </c>
      <c r="G216" s="12">
        <f ca="1">IFERROR(__xludf.DUMMYFUNCTION("""COMPUTED_VALUE"""),5098)</f>
        <v>5098</v>
      </c>
      <c r="H216" s="12">
        <f ca="1">IFERROR(__xludf.DUMMYFUNCTION("""COMPUTED_VALUE"""),10599)</f>
        <v>10599</v>
      </c>
      <c r="I216" s="12">
        <f ca="1">IFERROR(__xludf.DUMMYFUNCTION("""COMPUTED_VALUE"""),12843)</f>
        <v>12843</v>
      </c>
      <c r="J216" s="12">
        <f ca="1">IFERROR(__xludf.DUMMYFUNCTION("""COMPUTED_VALUE"""),8049)</f>
        <v>8049</v>
      </c>
      <c r="K216" s="12">
        <f ca="1">IFERROR(__xludf.DUMMYFUNCTION("""COMPUTED_VALUE"""),5445)</f>
        <v>5445</v>
      </c>
      <c r="L216" s="12">
        <f ca="1">IFERROR(__xludf.DUMMYFUNCTION("""COMPUTED_VALUE"""),7601)</f>
        <v>7601</v>
      </c>
      <c r="M216" s="12">
        <f ca="1">IFERROR(__xludf.DUMMYFUNCTION("""COMPUTED_VALUE"""),10428)</f>
        <v>10428</v>
      </c>
      <c r="N216" s="12">
        <f ca="1">IFERROR(__xludf.DUMMYFUNCTION("""COMPUTED_VALUE"""),8774)</f>
        <v>8774</v>
      </c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1:38" ht="13.2" x14ac:dyDescent="0.25">
      <c r="A217" s="12" t="str">
        <f ca="1">IFERROR(__xludf.DUMMYFUNCTION("""COMPUTED_VALUE"""),"                  right Retrosplenial area")</f>
        <v xml:space="preserve">                  right Retrosplenial area</v>
      </c>
      <c r="B217" s="12">
        <f ca="1">IFERROR(__xludf.DUMMYFUNCTION("""COMPUTED_VALUE"""),12573)</f>
        <v>12573</v>
      </c>
      <c r="C217" s="12">
        <f ca="1">IFERROR(__xludf.DUMMYFUNCTION("""COMPUTED_VALUE"""),8183)</f>
        <v>8183</v>
      </c>
      <c r="D217" s="12">
        <f ca="1">IFERROR(__xludf.DUMMYFUNCTION("""COMPUTED_VALUE"""),7786)</f>
        <v>7786</v>
      </c>
      <c r="E217" s="12">
        <f ca="1">IFERROR(__xludf.DUMMYFUNCTION("""COMPUTED_VALUE"""),7748)</f>
        <v>7748</v>
      </c>
      <c r="F217" s="12">
        <f ca="1">IFERROR(__xludf.DUMMYFUNCTION("""COMPUTED_VALUE"""),5075)</f>
        <v>5075</v>
      </c>
      <c r="G217" s="12">
        <f ca="1">IFERROR(__xludf.DUMMYFUNCTION("""COMPUTED_VALUE"""),4581)</f>
        <v>4581</v>
      </c>
      <c r="H217" s="12">
        <f ca="1">IFERROR(__xludf.DUMMYFUNCTION("""COMPUTED_VALUE"""),5196)</f>
        <v>5196</v>
      </c>
      <c r="I217" s="12">
        <f ca="1">IFERROR(__xludf.DUMMYFUNCTION("""COMPUTED_VALUE"""),5759)</f>
        <v>5759</v>
      </c>
      <c r="J217" s="12">
        <f ca="1">IFERROR(__xludf.DUMMYFUNCTION("""COMPUTED_VALUE"""),7261)</f>
        <v>7261</v>
      </c>
      <c r="K217" s="12">
        <f ca="1">IFERROR(__xludf.DUMMYFUNCTION("""COMPUTED_VALUE"""),7358)</f>
        <v>7358</v>
      </c>
      <c r="L217" s="12">
        <f ca="1">IFERROR(__xludf.DUMMYFUNCTION("""COMPUTED_VALUE"""),10434)</f>
        <v>10434</v>
      </c>
      <c r="M217" s="12">
        <f ca="1">IFERROR(__xludf.DUMMYFUNCTION("""COMPUTED_VALUE"""),11923)</f>
        <v>11923</v>
      </c>
      <c r="N217" s="12">
        <f ca="1">IFERROR(__xludf.DUMMYFUNCTION("""COMPUTED_VALUE"""),7429)</f>
        <v>7429</v>
      </c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1:38" ht="13.2" x14ac:dyDescent="0.25">
      <c r="A218" s="12" t="str">
        <f ca="1">IFERROR(__xludf.DUMMYFUNCTION("""COMPUTED_VALUE"""),"                     right Retrosplenial area, lateral agranular part")</f>
        <v xml:space="preserve">                     right Retrosplenial area, lateral agranular part</v>
      </c>
      <c r="B218" s="12">
        <f ca="1">IFERROR(__xludf.DUMMYFUNCTION("""COMPUTED_VALUE"""),14145)</f>
        <v>14145</v>
      </c>
      <c r="C218" s="12">
        <f ca="1">IFERROR(__xludf.DUMMYFUNCTION("""COMPUTED_VALUE"""),9981)</f>
        <v>9981</v>
      </c>
      <c r="D218" s="12">
        <f ca="1">IFERROR(__xludf.DUMMYFUNCTION("""COMPUTED_VALUE"""),10657)</f>
        <v>10657</v>
      </c>
      <c r="E218" s="12">
        <f ca="1">IFERROR(__xludf.DUMMYFUNCTION("""COMPUTED_VALUE"""),10178)</f>
        <v>10178</v>
      </c>
      <c r="F218" s="12">
        <f ca="1">IFERROR(__xludf.DUMMYFUNCTION("""COMPUTED_VALUE"""),6396)</f>
        <v>6396</v>
      </c>
      <c r="G218" s="12">
        <f ca="1">IFERROR(__xludf.DUMMYFUNCTION("""COMPUTED_VALUE"""),6489)</f>
        <v>6489</v>
      </c>
      <c r="H218" s="12">
        <f ca="1">IFERROR(__xludf.DUMMYFUNCTION("""COMPUTED_VALUE"""),7772)</f>
        <v>7772</v>
      </c>
      <c r="I218" s="12">
        <f ca="1">IFERROR(__xludf.DUMMYFUNCTION("""COMPUTED_VALUE"""),9976)</f>
        <v>9976</v>
      </c>
      <c r="J218" s="12">
        <f ca="1">IFERROR(__xludf.DUMMYFUNCTION("""COMPUTED_VALUE"""),9641)</f>
        <v>9641</v>
      </c>
      <c r="K218" s="12">
        <f ca="1">IFERROR(__xludf.DUMMYFUNCTION("""COMPUTED_VALUE"""),11080)</f>
        <v>11080</v>
      </c>
      <c r="L218" s="12">
        <f ca="1">IFERROR(__xludf.DUMMYFUNCTION("""COMPUTED_VALUE"""),13461)</f>
        <v>13461</v>
      </c>
      <c r="M218" s="12">
        <f ca="1">IFERROR(__xludf.DUMMYFUNCTION("""COMPUTED_VALUE"""),15274)</f>
        <v>15274</v>
      </c>
      <c r="N218" s="12">
        <f ca="1">IFERROR(__xludf.DUMMYFUNCTION("""COMPUTED_VALUE"""),9928)</f>
        <v>9928</v>
      </c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1:38" ht="13.2" x14ac:dyDescent="0.25">
      <c r="A219" s="12" t="str">
        <f ca="1">IFERROR(__xludf.DUMMYFUNCTION("""COMPUTED_VALUE"""),"                     right Retrosplenial area, dorsal part")</f>
        <v xml:space="preserve">                     right Retrosplenial area, dorsal part</v>
      </c>
      <c r="B219" s="12">
        <f ca="1">IFERROR(__xludf.DUMMYFUNCTION("""COMPUTED_VALUE"""),12695)</f>
        <v>12695</v>
      </c>
      <c r="C219" s="12">
        <f ca="1">IFERROR(__xludf.DUMMYFUNCTION("""COMPUTED_VALUE"""),7840)</f>
        <v>7840</v>
      </c>
      <c r="D219" s="12">
        <f ca="1">IFERROR(__xludf.DUMMYFUNCTION("""COMPUTED_VALUE"""),6787)</f>
        <v>6787</v>
      </c>
      <c r="E219" s="12">
        <f ca="1">IFERROR(__xludf.DUMMYFUNCTION("""COMPUTED_VALUE"""),6815)</f>
        <v>6815</v>
      </c>
      <c r="F219" s="12">
        <f ca="1">IFERROR(__xludf.DUMMYFUNCTION("""COMPUTED_VALUE"""),4502)</f>
        <v>4502</v>
      </c>
      <c r="G219" s="12">
        <f ca="1">IFERROR(__xludf.DUMMYFUNCTION("""COMPUTED_VALUE"""),3985)</f>
        <v>3985</v>
      </c>
      <c r="H219" s="12">
        <f ca="1">IFERROR(__xludf.DUMMYFUNCTION("""COMPUTED_VALUE"""),5392)</f>
        <v>5392</v>
      </c>
      <c r="I219" s="12">
        <f ca="1">IFERROR(__xludf.DUMMYFUNCTION("""COMPUTED_VALUE"""),5371)</f>
        <v>5371</v>
      </c>
      <c r="J219" s="12">
        <f ca="1">IFERROR(__xludf.DUMMYFUNCTION("""COMPUTED_VALUE"""),6730)</f>
        <v>6730</v>
      </c>
      <c r="K219" s="12">
        <f ca="1">IFERROR(__xludf.DUMMYFUNCTION("""COMPUTED_VALUE"""),6623)</f>
        <v>6623</v>
      </c>
      <c r="L219" s="12">
        <f ca="1">IFERROR(__xludf.DUMMYFUNCTION("""COMPUTED_VALUE"""),12413)</f>
        <v>12413</v>
      </c>
      <c r="M219" s="12">
        <f ca="1">IFERROR(__xludf.DUMMYFUNCTION("""COMPUTED_VALUE"""),11468)</f>
        <v>11468</v>
      </c>
      <c r="N219" s="12">
        <f ca="1">IFERROR(__xludf.DUMMYFUNCTION("""COMPUTED_VALUE"""),7079)</f>
        <v>7079</v>
      </c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1:38" ht="13.2" x14ac:dyDescent="0.25">
      <c r="A220" s="12" t="str">
        <f ca="1">IFERROR(__xludf.DUMMYFUNCTION("""COMPUTED_VALUE"""),"                     right Retrosplenial area, ventral part")</f>
        <v xml:space="preserve">                     right Retrosplenial area, ventral part</v>
      </c>
      <c r="B220" s="12">
        <f ca="1">IFERROR(__xludf.DUMMYFUNCTION("""COMPUTED_VALUE"""),11620)</f>
        <v>11620</v>
      </c>
      <c r="C220" s="12">
        <f ca="1">IFERROR(__xludf.DUMMYFUNCTION("""COMPUTED_VALUE"""),7511)</f>
        <v>7511</v>
      </c>
      <c r="D220" s="12">
        <f ca="1">IFERROR(__xludf.DUMMYFUNCTION("""COMPUTED_VALUE"""),7104)</f>
        <v>7104</v>
      </c>
      <c r="E220" s="12">
        <f ca="1">IFERROR(__xludf.DUMMYFUNCTION("""COMPUTED_VALUE"""),7249)</f>
        <v>7249</v>
      </c>
      <c r="F220" s="12">
        <f ca="1">IFERROR(__xludf.DUMMYFUNCTION("""COMPUTED_VALUE"""),4859)</f>
        <v>4859</v>
      </c>
      <c r="G220" s="12">
        <f ca="1">IFERROR(__xludf.DUMMYFUNCTION("""COMPUTED_VALUE"""),4070)</f>
        <v>4070</v>
      </c>
      <c r="H220" s="12">
        <f ca="1">IFERROR(__xludf.DUMMYFUNCTION("""COMPUTED_VALUE"""),3638)</f>
        <v>3638</v>
      </c>
      <c r="I220" s="12">
        <f ca="1">IFERROR(__xludf.DUMMYFUNCTION("""COMPUTED_VALUE"""),3821)</f>
        <v>3821</v>
      </c>
      <c r="J220" s="12">
        <f ca="1">IFERROR(__xludf.DUMMYFUNCTION("""COMPUTED_VALUE"""),6440)</f>
        <v>6440</v>
      </c>
      <c r="K220" s="12">
        <f ca="1">IFERROR(__xludf.DUMMYFUNCTION("""COMPUTED_VALUE"""),5988)</f>
        <v>5988</v>
      </c>
      <c r="L220" s="12">
        <f ca="1">IFERROR(__xludf.DUMMYFUNCTION("""COMPUTED_VALUE"""),7083)</f>
        <v>7083</v>
      </c>
      <c r="M220" s="12">
        <f ca="1">IFERROR(__xludf.DUMMYFUNCTION("""COMPUTED_VALUE"""),10511)</f>
        <v>10511</v>
      </c>
      <c r="N220" s="12">
        <f ca="1">IFERROR(__xludf.DUMMYFUNCTION("""COMPUTED_VALUE"""),6386)</f>
        <v>6386</v>
      </c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1:38" ht="13.2" x14ac:dyDescent="0.25">
      <c r="A221" s="12" t="str">
        <f ca="1">IFERROR(__xludf.DUMMYFUNCTION("""COMPUTED_VALUE"""),"                  right Posterior parietal association areas")</f>
        <v xml:space="preserve">                  right Posterior parietal association areas</v>
      </c>
      <c r="B221" s="12">
        <f ca="1">IFERROR(__xludf.DUMMYFUNCTION("""COMPUTED_VALUE"""),13321)</f>
        <v>13321</v>
      </c>
      <c r="C221" s="12">
        <f ca="1">IFERROR(__xludf.DUMMYFUNCTION("""COMPUTED_VALUE"""),10812)</f>
        <v>10812</v>
      </c>
      <c r="D221" s="12">
        <f ca="1">IFERROR(__xludf.DUMMYFUNCTION("""COMPUTED_VALUE"""),5758)</f>
        <v>5758</v>
      </c>
      <c r="E221" s="12">
        <f ca="1">IFERROR(__xludf.DUMMYFUNCTION("""COMPUTED_VALUE"""),10812)</f>
        <v>10812</v>
      </c>
      <c r="F221" s="12">
        <f ca="1">IFERROR(__xludf.DUMMYFUNCTION("""COMPUTED_VALUE"""),6801)</f>
        <v>6801</v>
      </c>
      <c r="G221" s="12">
        <f ca="1">IFERROR(__xludf.DUMMYFUNCTION("""COMPUTED_VALUE"""),7438)</f>
        <v>7438</v>
      </c>
      <c r="H221" s="12">
        <f ca="1">IFERROR(__xludf.DUMMYFUNCTION("""COMPUTED_VALUE"""),9672)</f>
        <v>9672</v>
      </c>
      <c r="I221" s="12">
        <f ca="1">IFERROR(__xludf.DUMMYFUNCTION("""COMPUTED_VALUE"""),16905)</f>
        <v>16905</v>
      </c>
      <c r="J221" s="12">
        <f ca="1">IFERROR(__xludf.DUMMYFUNCTION("""COMPUTED_VALUE"""),11036)</f>
        <v>11036</v>
      </c>
      <c r="K221" s="12">
        <f ca="1">IFERROR(__xludf.DUMMYFUNCTION("""COMPUTED_VALUE"""),10040)</f>
        <v>10040</v>
      </c>
      <c r="L221" s="12">
        <f ca="1">IFERROR(__xludf.DUMMYFUNCTION("""COMPUTED_VALUE"""),10677)</f>
        <v>10677</v>
      </c>
      <c r="M221" s="12">
        <f ca="1">IFERROR(__xludf.DUMMYFUNCTION("""COMPUTED_VALUE"""),14042)</f>
        <v>14042</v>
      </c>
      <c r="N221" s="12">
        <f ca="1">IFERROR(__xludf.DUMMYFUNCTION("""COMPUTED_VALUE"""),10379)</f>
        <v>10379</v>
      </c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1:38" ht="13.2" x14ac:dyDescent="0.25">
      <c r="A222" s="12" t="str">
        <f ca="1">IFERROR(__xludf.DUMMYFUNCTION("""COMPUTED_VALUE"""),"                     right Anterior area")</f>
        <v xml:space="preserve">                     right Anterior area</v>
      </c>
      <c r="B222" s="12">
        <f ca="1">IFERROR(__xludf.DUMMYFUNCTION("""COMPUTED_VALUE"""),10665)</f>
        <v>10665</v>
      </c>
      <c r="C222" s="12">
        <f ca="1">IFERROR(__xludf.DUMMYFUNCTION("""COMPUTED_VALUE"""),7650)</f>
        <v>7650</v>
      </c>
      <c r="D222" s="12">
        <f ca="1">IFERROR(__xludf.DUMMYFUNCTION("""COMPUTED_VALUE"""),5484)</f>
        <v>5484</v>
      </c>
      <c r="E222" s="12">
        <f ca="1">IFERROR(__xludf.DUMMYFUNCTION("""COMPUTED_VALUE"""),9611)</f>
        <v>9611</v>
      </c>
      <c r="F222" s="12">
        <f ca="1">IFERROR(__xludf.DUMMYFUNCTION("""COMPUTED_VALUE"""),6838)</f>
        <v>6838</v>
      </c>
      <c r="G222" s="12">
        <f ca="1">IFERROR(__xludf.DUMMYFUNCTION("""COMPUTED_VALUE"""),5258)</f>
        <v>5258</v>
      </c>
      <c r="H222" s="12">
        <f ca="1">IFERROR(__xludf.DUMMYFUNCTION("""COMPUTED_VALUE"""),8007)</f>
        <v>8007</v>
      </c>
      <c r="I222" s="12">
        <f ca="1">IFERROR(__xludf.DUMMYFUNCTION("""COMPUTED_VALUE"""),16167)</f>
        <v>16167</v>
      </c>
      <c r="J222" s="12">
        <f ca="1">IFERROR(__xludf.DUMMYFUNCTION("""COMPUTED_VALUE"""),8272)</f>
        <v>8272</v>
      </c>
      <c r="K222" s="12">
        <f ca="1">IFERROR(__xludf.DUMMYFUNCTION("""COMPUTED_VALUE"""),9434)</f>
        <v>9434</v>
      </c>
      <c r="L222" s="12">
        <f ca="1">IFERROR(__xludf.DUMMYFUNCTION("""COMPUTED_VALUE"""),8215)</f>
        <v>8215</v>
      </c>
      <c r="M222" s="12">
        <f ca="1">IFERROR(__xludf.DUMMYFUNCTION("""COMPUTED_VALUE"""),10033)</f>
        <v>10033</v>
      </c>
      <c r="N222" s="12">
        <f ca="1">IFERROR(__xludf.DUMMYFUNCTION("""COMPUTED_VALUE"""),8690)</f>
        <v>8690</v>
      </c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spans="1:38" ht="13.2" x14ac:dyDescent="0.25">
      <c r="A223" s="12" t="str">
        <f ca="1">IFERROR(__xludf.DUMMYFUNCTION("""COMPUTED_VALUE"""),"                     right Rostrolateral visual area")</f>
        <v xml:space="preserve">                     right Rostrolateral visual area</v>
      </c>
      <c r="B223" s="12">
        <f ca="1">IFERROR(__xludf.DUMMYFUNCTION("""COMPUTED_VALUE"""),17080)</f>
        <v>17080</v>
      </c>
      <c r="C223" s="12">
        <f ca="1">IFERROR(__xludf.DUMMYFUNCTION("""COMPUTED_VALUE"""),15288)</f>
        <v>15288</v>
      </c>
      <c r="D223" s="12">
        <f ca="1">IFERROR(__xludf.DUMMYFUNCTION("""COMPUTED_VALUE"""),6145)</f>
        <v>6145</v>
      </c>
      <c r="E223" s="12">
        <f ca="1">IFERROR(__xludf.DUMMYFUNCTION("""COMPUTED_VALUE"""),12511)</f>
        <v>12511</v>
      </c>
      <c r="F223" s="12">
        <f ca="1">IFERROR(__xludf.DUMMYFUNCTION("""COMPUTED_VALUE"""),6748)</f>
        <v>6748</v>
      </c>
      <c r="G223" s="12">
        <f ca="1">IFERROR(__xludf.DUMMYFUNCTION("""COMPUTED_VALUE"""),10522)</f>
        <v>10522</v>
      </c>
      <c r="H223" s="12">
        <f ca="1">IFERROR(__xludf.DUMMYFUNCTION("""COMPUTED_VALUE"""),12028)</f>
        <v>12028</v>
      </c>
      <c r="I223" s="12">
        <f ca="1">IFERROR(__xludf.DUMMYFUNCTION("""COMPUTED_VALUE"""),17951)</f>
        <v>17951</v>
      </c>
      <c r="J223" s="12">
        <f ca="1">IFERROR(__xludf.DUMMYFUNCTION("""COMPUTED_VALUE"""),14947)</f>
        <v>14947</v>
      </c>
      <c r="K223" s="12">
        <f ca="1">IFERROR(__xludf.DUMMYFUNCTION("""COMPUTED_VALUE"""),10897)</f>
        <v>10897</v>
      </c>
      <c r="L223" s="12">
        <f ca="1">IFERROR(__xludf.DUMMYFUNCTION("""COMPUTED_VALUE"""),14161)</f>
        <v>14161</v>
      </c>
      <c r="M223" s="12">
        <f ca="1">IFERROR(__xludf.DUMMYFUNCTION("""COMPUTED_VALUE"""),19716)</f>
        <v>19716</v>
      </c>
      <c r="N223" s="12">
        <f ca="1">IFERROR(__xludf.DUMMYFUNCTION("""COMPUTED_VALUE"""),12769)</f>
        <v>12769</v>
      </c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spans="1:38" ht="13.2" x14ac:dyDescent="0.25">
      <c r="A224" s="12" t="str">
        <f ca="1">IFERROR(__xludf.DUMMYFUNCTION("""COMPUTED_VALUE"""),"                  right Temporal association areas")</f>
        <v xml:space="preserve">                  right Temporal association areas</v>
      </c>
      <c r="B224" s="12">
        <f ca="1">IFERROR(__xludf.DUMMYFUNCTION("""COMPUTED_VALUE"""),20817)</f>
        <v>20817</v>
      </c>
      <c r="C224" s="12">
        <f ca="1">IFERROR(__xludf.DUMMYFUNCTION("""COMPUTED_VALUE"""),15961)</f>
        <v>15961</v>
      </c>
      <c r="D224" s="12">
        <f ca="1">IFERROR(__xludf.DUMMYFUNCTION("""COMPUTED_VALUE"""),19262)</f>
        <v>19262</v>
      </c>
      <c r="E224" s="12">
        <f ca="1">IFERROR(__xludf.DUMMYFUNCTION("""COMPUTED_VALUE"""),16277)</f>
        <v>16277</v>
      </c>
      <c r="F224" s="12">
        <f ca="1">IFERROR(__xludf.DUMMYFUNCTION("""COMPUTED_VALUE"""),8829)</f>
        <v>8829</v>
      </c>
      <c r="G224" s="12">
        <f ca="1">IFERROR(__xludf.DUMMYFUNCTION("""COMPUTED_VALUE"""),9992)</f>
        <v>9992</v>
      </c>
      <c r="H224" s="12">
        <f ca="1">IFERROR(__xludf.DUMMYFUNCTION("""COMPUTED_VALUE"""),16465)</f>
        <v>16465</v>
      </c>
      <c r="I224" s="12">
        <f ca="1">IFERROR(__xludf.DUMMYFUNCTION("""COMPUTED_VALUE"""),18564)</f>
        <v>18564</v>
      </c>
      <c r="J224" s="12">
        <f ca="1">IFERROR(__xludf.DUMMYFUNCTION("""COMPUTED_VALUE"""),16447)</f>
        <v>16447</v>
      </c>
      <c r="K224" s="12">
        <f ca="1">IFERROR(__xludf.DUMMYFUNCTION("""COMPUTED_VALUE"""),14202)</f>
        <v>14202</v>
      </c>
      <c r="L224" s="12">
        <f ca="1">IFERROR(__xludf.DUMMYFUNCTION("""COMPUTED_VALUE"""),7210)</f>
        <v>7210</v>
      </c>
      <c r="M224" s="12">
        <f ca="1">IFERROR(__xludf.DUMMYFUNCTION("""COMPUTED_VALUE"""),12865)</f>
        <v>12865</v>
      </c>
      <c r="N224" s="12">
        <f ca="1">IFERROR(__xludf.DUMMYFUNCTION("""COMPUTED_VALUE"""),15031)</f>
        <v>15031</v>
      </c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spans="1:38" ht="13.2" x14ac:dyDescent="0.25">
      <c r="A225" s="12" t="str">
        <f ca="1">IFERROR(__xludf.DUMMYFUNCTION("""COMPUTED_VALUE"""),"                  right Perirhinal area")</f>
        <v xml:space="preserve">                  right Perirhinal area</v>
      </c>
      <c r="B225" s="12">
        <f ca="1">IFERROR(__xludf.DUMMYFUNCTION("""COMPUTED_VALUE"""),8176)</f>
        <v>8176</v>
      </c>
      <c r="C225" s="12">
        <f ca="1">IFERROR(__xludf.DUMMYFUNCTION("""COMPUTED_VALUE"""),9003)</f>
        <v>9003</v>
      </c>
      <c r="D225" s="12">
        <f ca="1">IFERROR(__xludf.DUMMYFUNCTION("""COMPUTED_VALUE"""),10579)</f>
        <v>10579</v>
      </c>
      <c r="E225" s="12">
        <f ca="1">IFERROR(__xludf.DUMMYFUNCTION("""COMPUTED_VALUE"""),4713)</f>
        <v>4713</v>
      </c>
      <c r="F225" s="12">
        <f ca="1">IFERROR(__xludf.DUMMYFUNCTION("""COMPUTED_VALUE"""),3378)</f>
        <v>3378</v>
      </c>
      <c r="G225" s="12">
        <f ca="1">IFERROR(__xludf.DUMMYFUNCTION("""COMPUTED_VALUE"""),2641)</f>
        <v>2641</v>
      </c>
      <c r="H225" s="12">
        <f ca="1">IFERROR(__xludf.DUMMYFUNCTION("""COMPUTED_VALUE"""),9038)</f>
        <v>9038</v>
      </c>
      <c r="I225" s="12">
        <f ca="1">IFERROR(__xludf.DUMMYFUNCTION("""COMPUTED_VALUE"""),6821)</f>
        <v>6821</v>
      </c>
      <c r="J225" s="12">
        <f ca="1">IFERROR(__xludf.DUMMYFUNCTION("""COMPUTED_VALUE"""),8600)</f>
        <v>8600</v>
      </c>
      <c r="K225" s="12">
        <f ca="1">IFERROR(__xludf.DUMMYFUNCTION("""COMPUTED_VALUE"""),8511)</f>
        <v>8511</v>
      </c>
      <c r="L225" s="12">
        <f ca="1">IFERROR(__xludf.DUMMYFUNCTION("""COMPUTED_VALUE"""),3797)</f>
        <v>3797</v>
      </c>
      <c r="M225" s="12">
        <f ca="1">IFERROR(__xludf.DUMMYFUNCTION("""COMPUTED_VALUE"""),9681)</f>
        <v>9681</v>
      </c>
      <c r="N225" s="12">
        <f ca="1">IFERROR(__xludf.DUMMYFUNCTION("""COMPUTED_VALUE"""),6985)</f>
        <v>6985</v>
      </c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spans="1:38" ht="13.2" x14ac:dyDescent="0.25">
      <c r="A226" s="12" t="str">
        <f ca="1">IFERROR(__xludf.DUMMYFUNCTION("""COMPUTED_VALUE"""),"                  right Ectorhinal area")</f>
        <v xml:space="preserve">                  right Ectorhinal area</v>
      </c>
      <c r="B226" s="12">
        <f ca="1">IFERROR(__xludf.DUMMYFUNCTION("""COMPUTED_VALUE"""),13304)</f>
        <v>13304</v>
      </c>
      <c r="C226" s="12">
        <f ca="1">IFERROR(__xludf.DUMMYFUNCTION("""COMPUTED_VALUE"""),11851)</f>
        <v>11851</v>
      </c>
      <c r="D226" s="12">
        <f ca="1">IFERROR(__xludf.DUMMYFUNCTION("""COMPUTED_VALUE"""),16213)</f>
        <v>16213</v>
      </c>
      <c r="E226" s="12">
        <f ca="1">IFERROR(__xludf.DUMMYFUNCTION("""COMPUTED_VALUE"""),10561)</f>
        <v>10561</v>
      </c>
      <c r="F226" s="12">
        <f ca="1">IFERROR(__xludf.DUMMYFUNCTION("""COMPUTED_VALUE"""),5379)</f>
        <v>5379</v>
      </c>
      <c r="G226" s="12">
        <f ca="1">IFERROR(__xludf.DUMMYFUNCTION("""COMPUTED_VALUE"""),4510)</f>
        <v>4510</v>
      </c>
      <c r="H226" s="12">
        <f ca="1">IFERROR(__xludf.DUMMYFUNCTION("""COMPUTED_VALUE"""),11680)</f>
        <v>11680</v>
      </c>
      <c r="I226" s="12">
        <f ca="1">IFERROR(__xludf.DUMMYFUNCTION("""COMPUTED_VALUE"""),12670)</f>
        <v>12670</v>
      </c>
      <c r="J226" s="12">
        <f ca="1">IFERROR(__xludf.DUMMYFUNCTION("""COMPUTED_VALUE"""),12391)</f>
        <v>12391</v>
      </c>
      <c r="K226" s="12">
        <f ca="1">IFERROR(__xludf.DUMMYFUNCTION("""COMPUTED_VALUE"""),13437)</f>
        <v>13437</v>
      </c>
      <c r="L226" s="12">
        <f ca="1">IFERROR(__xludf.DUMMYFUNCTION("""COMPUTED_VALUE"""),5706)</f>
        <v>5706</v>
      </c>
      <c r="M226" s="12">
        <f ca="1">IFERROR(__xludf.DUMMYFUNCTION("""COMPUTED_VALUE"""),10437)</f>
        <v>10437</v>
      </c>
      <c r="N226" s="12">
        <f ca="1">IFERROR(__xludf.DUMMYFUNCTION("""COMPUTED_VALUE"""),10679)</f>
        <v>10679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spans="1:38" ht="13.2" x14ac:dyDescent="0.25">
      <c r="A227" s="12" t="str">
        <f ca="1">IFERROR(__xludf.DUMMYFUNCTION("""COMPUTED_VALUE"""),"               right Olfactory areas")</f>
        <v xml:space="preserve">               right Olfactory areas</v>
      </c>
      <c r="B227" s="12">
        <f ca="1">IFERROR(__xludf.DUMMYFUNCTION("""COMPUTED_VALUE"""),11161)</f>
        <v>11161</v>
      </c>
      <c r="C227" s="12">
        <f ca="1">IFERROR(__xludf.DUMMYFUNCTION("""COMPUTED_VALUE"""),8452)</f>
        <v>8452</v>
      </c>
      <c r="D227" s="12">
        <f ca="1">IFERROR(__xludf.DUMMYFUNCTION("""COMPUTED_VALUE"""),7628)</f>
        <v>7628</v>
      </c>
      <c r="E227" s="12">
        <f ca="1">IFERROR(__xludf.DUMMYFUNCTION("""COMPUTED_VALUE"""),6944)</f>
        <v>6944</v>
      </c>
      <c r="F227" s="12">
        <f ca="1">IFERROR(__xludf.DUMMYFUNCTION("""COMPUTED_VALUE"""),3361)</f>
        <v>3361</v>
      </c>
      <c r="G227" s="12">
        <f ca="1">IFERROR(__xludf.DUMMYFUNCTION("""COMPUTED_VALUE"""),4364)</f>
        <v>4364</v>
      </c>
      <c r="H227" s="12">
        <f ca="1">IFERROR(__xludf.DUMMYFUNCTION("""COMPUTED_VALUE"""),8912)</f>
        <v>8912</v>
      </c>
      <c r="I227" s="12">
        <f ca="1">IFERROR(__xludf.DUMMYFUNCTION("""COMPUTED_VALUE"""),8270)</f>
        <v>8270</v>
      </c>
      <c r="J227" s="12">
        <f ca="1">IFERROR(__xludf.DUMMYFUNCTION("""COMPUTED_VALUE"""),7659)</f>
        <v>7659</v>
      </c>
      <c r="K227" s="12">
        <f ca="1">IFERROR(__xludf.DUMMYFUNCTION("""COMPUTED_VALUE"""),4681)</f>
        <v>4681</v>
      </c>
      <c r="L227" s="12">
        <f ca="1">IFERROR(__xludf.DUMMYFUNCTION("""COMPUTED_VALUE"""),5113)</f>
        <v>5113</v>
      </c>
      <c r="M227" s="12">
        <f ca="1">IFERROR(__xludf.DUMMYFUNCTION("""COMPUTED_VALUE"""),7007)</f>
        <v>7007</v>
      </c>
      <c r="N227" s="12">
        <f ca="1">IFERROR(__xludf.DUMMYFUNCTION("""COMPUTED_VALUE"""),7064)</f>
        <v>7064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spans="1:38" ht="13.2" x14ac:dyDescent="0.25">
      <c r="A228" s="12" t="str">
        <f ca="1">IFERROR(__xludf.DUMMYFUNCTION("""COMPUTED_VALUE"""),"                  right Main olfactory bulb")</f>
        <v xml:space="preserve">                  right Main olfactory bulb</v>
      </c>
      <c r="B228" s="12">
        <f ca="1">IFERROR(__xludf.DUMMYFUNCTION("""COMPUTED_VALUE"""),10958)</f>
        <v>10958</v>
      </c>
      <c r="C228" s="12">
        <f ca="1">IFERROR(__xludf.DUMMYFUNCTION("""COMPUTED_VALUE"""),8511)</f>
        <v>8511</v>
      </c>
      <c r="D228" s="12">
        <f ca="1">IFERROR(__xludf.DUMMYFUNCTION("""COMPUTED_VALUE"""),6538)</f>
        <v>6538</v>
      </c>
      <c r="E228" s="12">
        <f ca="1">IFERROR(__xludf.DUMMYFUNCTION("""COMPUTED_VALUE"""),7134)</f>
        <v>7134</v>
      </c>
      <c r="F228" s="12">
        <f ca="1">IFERROR(__xludf.DUMMYFUNCTION("""COMPUTED_VALUE"""),3755)</f>
        <v>3755</v>
      </c>
      <c r="G228" s="12">
        <f ca="1">IFERROR(__xludf.DUMMYFUNCTION("""COMPUTED_VALUE"""),4996)</f>
        <v>4996</v>
      </c>
      <c r="H228" s="12">
        <f ca="1">IFERROR(__xludf.DUMMYFUNCTION("""COMPUTED_VALUE"""),8811)</f>
        <v>8811</v>
      </c>
      <c r="I228" s="12">
        <f ca="1">IFERROR(__xludf.DUMMYFUNCTION("""COMPUTED_VALUE"""),7976)</f>
        <v>7976</v>
      </c>
      <c r="J228" s="12">
        <f ca="1">IFERROR(__xludf.DUMMYFUNCTION("""COMPUTED_VALUE"""),7874)</f>
        <v>7874</v>
      </c>
      <c r="K228" s="12">
        <f ca="1">IFERROR(__xludf.DUMMYFUNCTION("""COMPUTED_VALUE"""),4173)</f>
        <v>4173</v>
      </c>
      <c r="L228" s="12">
        <f ca="1">IFERROR(__xludf.DUMMYFUNCTION("""COMPUTED_VALUE"""),3302)</f>
        <v>3302</v>
      </c>
      <c r="M228" s="12">
        <f ca="1">IFERROR(__xludf.DUMMYFUNCTION("""COMPUTED_VALUE"""),4851)</f>
        <v>4851</v>
      </c>
      <c r="N228" s="12">
        <f ca="1">IFERROR(__xludf.DUMMYFUNCTION("""COMPUTED_VALUE"""),6817)</f>
        <v>6817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spans="1:38" ht="13.2" x14ac:dyDescent="0.25">
      <c r="A229" s="12" t="str">
        <f ca="1">IFERROR(__xludf.DUMMYFUNCTION("""COMPUTED_VALUE"""),"                  right Accessory olfactory bulb")</f>
        <v xml:space="preserve">                  right Accessory olfactory bulb</v>
      </c>
      <c r="B229" s="12">
        <f ca="1">IFERROR(__xludf.DUMMYFUNCTION("""COMPUTED_VALUE"""),15109)</f>
        <v>15109</v>
      </c>
      <c r="C229" s="12">
        <f ca="1">IFERROR(__xludf.DUMMYFUNCTION("""COMPUTED_VALUE"""),10104)</f>
        <v>10104</v>
      </c>
      <c r="D229" s="12">
        <f ca="1">IFERROR(__xludf.DUMMYFUNCTION("""COMPUTED_VALUE"""),7696)</f>
        <v>7696</v>
      </c>
      <c r="E229" s="12">
        <f ca="1">IFERROR(__xludf.DUMMYFUNCTION("""COMPUTED_VALUE"""),8869)</f>
        <v>8869</v>
      </c>
      <c r="F229" s="12">
        <f ca="1">IFERROR(__xludf.DUMMYFUNCTION("""COMPUTED_VALUE"""),2411)</f>
        <v>2411</v>
      </c>
      <c r="G229" s="12">
        <f ca="1">IFERROR(__xludf.DUMMYFUNCTION("""COMPUTED_VALUE"""),5999)</f>
        <v>5999</v>
      </c>
      <c r="H229" s="12">
        <f ca="1">IFERROR(__xludf.DUMMYFUNCTION("""COMPUTED_VALUE"""),14359)</f>
        <v>14359</v>
      </c>
      <c r="I229" s="12">
        <f ca="1">IFERROR(__xludf.DUMMYFUNCTION("""COMPUTED_VALUE"""),9652)</f>
        <v>9652</v>
      </c>
      <c r="J229" s="12">
        <f ca="1">IFERROR(__xludf.DUMMYFUNCTION("""COMPUTED_VALUE"""),9264)</f>
        <v>9264</v>
      </c>
      <c r="K229" s="12">
        <f ca="1">IFERROR(__xludf.DUMMYFUNCTION("""COMPUTED_VALUE"""),7037)</f>
        <v>7037</v>
      </c>
      <c r="L229" s="12">
        <f ca="1">IFERROR(__xludf.DUMMYFUNCTION("""COMPUTED_VALUE"""),8631)</f>
        <v>8631</v>
      </c>
      <c r="M229" s="12">
        <f ca="1">IFERROR(__xludf.DUMMYFUNCTION("""COMPUTED_VALUE"""),8592)</f>
        <v>8592</v>
      </c>
      <c r="N229" s="12">
        <f ca="1">IFERROR(__xludf.DUMMYFUNCTION("""COMPUTED_VALUE"""),8971)</f>
        <v>8971</v>
      </c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spans="1:38" ht="13.2" x14ac:dyDescent="0.25">
      <c r="A230" s="12" t="str">
        <f ca="1">IFERROR(__xludf.DUMMYFUNCTION("""COMPUTED_VALUE"""),"                  right Anterior olfactory nucleus")</f>
        <v xml:space="preserve">                  right Anterior olfactory nucleus</v>
      </c>
      <c r="B230" s="12">
        <f ca="1">IFERROR(__xludf.DUMMYFUNCTION("""COMPUTED_VALUE"""),14008)</f>
        <v>14008</v>
      </c>
      <c r="C230" s="12">
        <f ca="1">IFERROR(__xludf.DUMMYFUNCTION("""COMPUTED_VALUE"""),13734)</f>
        <v>13734</v>
      </c>
      <c r="D230" s="12">
        <f ca="1">IFERROR(__xludf.DUMMYFUNCTION("""COMPUTED_VALUE"""),9266)</f>
        <v>9266</v>
      </c>
      <c r="E230" s="12">
        <f ca="1">IFERROR(__xludf.DUMMYFUNCTION("""COMPUTED_VALUE"""),10669)</f>
        <v>10669</v>
      </c>
      <c r="F230" s="12">
        <f ca="1">IFERROR(__xludf.DUMMYFUNCTION("""COMPUTED_VALUE"""),5454)</f>
        <v>5454</v>
      </c>
      <c r="G230" s="12">
        <f ca="1">IFERROR(__xludf.DUMMYFUNCTION("""COMPUTED_VALUE"""),6518)</f>
        <v>6518</v>
      </c>
      <c r="H230" s="12">
        <f ca="1">IFERROR(__xludf.DUMMYFUNCTION("""COMPUTED_VALUE"""),9522)</f>
        <v>9522</v>
      </c>
      <c r="I230" s="12">
        <f ca="1">IFERROR(__xludf.DUMMYFUNCTION("""COMPUTED_VALUE"""),8433)</f>
        <v>8433</v>
      </c>
      <c r="J230" s="12">
        <f ca="1">IFERROR(__xludf.DUMMYFUNCTION("""COMPUTED_VALUE"""),11534)</f>
        <v>11534</v>
      </c>
      <c r="K230" s="12">
        <f ca="1">IFERROR(__xludf.DUMMYFUNCTION("""COMPUTED_VALUE"""),8001)</f>
        <v>8001</v>
      </c>
      <c r="L230" s="12">
        <f ca="1">IFERROR(__xludf.DUMMYFUNCTION("""COMPUTED_VALUE"""),8261)</f>
        <v>8261</v>
      </c>
      <c r="M230" s="12">
        <f ca="1">IFERROR(__xludf.DUMMYFUNCTION("""COMPUTED_VALUE"""),13937)</f>
        <v>13937</v>
      </c>
      <c r="N230" s="12">
        <f ca="1">IFERROR(__xludf.DUMMYFUNCTION("""COMPUTED_VALUE"""),9840)</f>
        <v>9840</v>
      </c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spans="1:38" ht="13.2" x14ac:dyDescent="0.25">
      <c r="A231" s="12" t="str">
        <f ca="1">IFERROR(__xludf.DUMMYFUNCTION("""COMPUTED_VALUE"""),"                  right Taenia tecta")</f>
        <v xml:space="preserve">                  right Taenia tecta</v>
      </c>
      <c r="B231" s="12">
        <f ca="1">IFERROR(__xludf.DUMMYFUNCTION("""COMPUTED_VALUE"""),8560)</f>
        <v>8560</v>
      </c>
      <c r="C231" s="12">
        <f ca="1">IFERROR(__xludf.DUMMYFUNCTION("""COMPUTED_VALUE"""),7803)</f>
        <v>7803</v>
      </c>
      <c r="D231" s="12">
        <f ca="1">IFERROR(__xludf.DUMMYFUNCTION("""COMPUTED_VALUE"""),6153)</f>
        <v>6153</v>
      </c>
      <c r="E231" s="12">
        <f ca="1">IFERROR(__xludf.DUMMYFUNCTION("""COMPUTED_VALUE"""),5794)</f>
        <v>5794</v>
      </c>
      <c r="F231" s="12">
        <f ca="1">IFERROR(__xludf.DUMMYFUNCTION("""COMPUTED_VALUE"""),3077)</f>
        <v>3077</v>
      </c>
      <c r="G231" s="12">
        <f ca="1">IFERROR(__xludf.DUMMYFUNCTION("""COMPUTED_VALUE"""),3606)</f>
        <v>3606</v>
      </c>
      <c r="H231" s="12">
        <f ca="1">IFERROR(__xludf.DUMMYFUNCTION("""COMPUTED_VALUE"""),7917)</f>
        <v>7917</v>
      </c>
      <c r="I231" s="12">
        <f ca="1">IFERROR(__xludf.DUMMYFUNCTION("""COMPUTED_VALUE"""),6686)</f>
        <v>6686</v>
      </c>
      <c r="J231" s="12">
        <f ca="1">IFERROR(__xludf.DUMMYFUNCTION("""COMPUTED_VALUE"""),6268)</f>
        <v>6268</v>
      </c>
      <c r="K231" s="12">
        <f ca="1">IFERROR(__xludf.DUMMYFUNCTION("""COMPUTED_VALUE"""),4252)</f>
        <v>4252</v>
      </c>
      <c r="L231" s="12">
        <f ca="1">IFERROR(__xludf.DUMMYFUNCTION("""COMPUTED_VALUE"""),4152)</f>
        <v>4152</v>
      </c>
      <c r="M231" s="12">
        <f ca="1">IFERROR(__xludf.DUMMYFUNCTION("""COMPUTED_VALUE"""),7316)</f>
        <v>7316</v>
      </c>
      <c r="N231" s="12">
        <f ca="1">IFERROR(__xludf.DUMMYFUNCTION("""COMPUTED_VALUE"""),6040)</f>
        <v>6040</v>
      </c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spans="1:38" ht="13.2" x14ac:dyDescent="0.25">
      <c r="A232" s="12" t="str">
        <f ca="1">IFERROR(__xludf.DUMMYFUNCTION("""COMPUTED_VALUE"""),"                  right Dorsal peduncular area")</f>
        <v xml:space="preserve">                  right Dorsal peduncular area</v>
      </c>
      <c r="B232" s="12">
        <f ca="1">IFERROR(__xludf.DUMMYFUNCTION("""COMPUTED_VALUE"""),13259)</f>
        <v>13259</v>
      </c>
      <c r="C232" s="12">
        <f ca="1">IFERROR(__xludf.DUMMYFUNCTION("""COMPUTED_VALUE"""),9841)</f>
        <v>9841</v>
      </c>
      <c r="D232" s="12">
        <f ca="1">IFERROR(__xludf.DUMMYFUNCTION("""COMPUTED_VALUE"""),10809)</f>
        <v>10809</v>
      </c>
      <c r="E232" s="12">
        <f ca="1">IFERROR(__xludf.DUMMYFUNCTION("""COMPUTED_VALUE"""),8023)</f>
        <v>8023</v>
      </c>
      <c r="F232" s="12">
        <f ca="1">IFERROR(__xludf.DUMMYFUNCTION("""COMPUTED_VALUE"""),4421)</f>
        <v>4421</v>
      </c>
      <c r="G232" s="12">
        <f ca="1">IFERROR(__xludf.DUMMYFUNCTION("""COMPUTED_VALUE"""),5071)</f>
        <v>5071</v>
      </c>
      <c r="H232" s="12">
        <f ca="1">IFERROR(__xludf.DUMMYFUNCTION("""COMPUTED_VALUE"""),10200)</f>
        <v>10200</v>
      </c>
      <c r="I232" s="12">
        <f ca="1">IFERROR(__xludf.DUMMYFUNCTION("""COMPUTED_VALUE"""),9460)</f>
        <v>9460</v>
      </c>
      <c r="J232" s="12">
        <f ca="1">IFERROR(__xludf.DUMMYFUNCTION("""COMPUTED_VALUE"""),9166)</f>
        <v>9166</v>
      </c>
      <c r="K232" s="12">
        <f ca="1">IFERROR(__xludf.DUMMYFUNCTION("""COMPUTED_VALUE"""),4575)</f>
        <v>4575</v>
      </c>
      <c r="L232" s="12">
        <f ca="1">IFERROR(__xludf.DUMMYFUNCTION("""COMPUTED_VALUE"""),5556)</f>
        <v>5556</v>
      </c>
      <c r="M232" s="12">
        <f ca="1">IFERROR(__xludf.DUMMYFUNCTION("""COMPUTED_VALUE"""),6842)</f>
        <v>6842</v>
      </c>
      <c r="N232" s="12">
        <f ca="1">IFERROR(__xludf.DUMMYFUNCTION("""COMPUTED_VALUE"""),8330)</f>
        <v>8330</v>
      </c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spans="1:38" ht="13.2" x14ac:dyDescent="0.25">
      <c r="A233" s="12" t="str">
        <f ca="1">IFERROR(__xludf.DUMMYFUNCTION("""COMPUTED_VALUE"""),"                  right Piriform area")</f>
        <v xml:space="preserve">                  right Piriform area</v>
      </c>
      <c r="B233" s="12">
        <f ca="1">IFERROR(__xludf.DUMMYFUNCTION("""COMPUTED_VALUE"""),12413)</f>
        <v>12413</v>
      </c>
      <c r="C233" s="12">
        <f ca="1">IFERROR(__xludf.DUMMYFUNCTION("""COMPUTED_VALUE"""),8640)</f>
        <v>8640</v>
      </c>
      <c r="D233" s="12">
        <f ca="1">IFERROR(__xludf.DUMMYFUNCTION("""COMPUTED_VALUE"""),9512)</f>
        <v>9512</v>
      </c>
      <c r="E233" s="12">
        <f ca="1">IFERROR(__xludf.DUMMYFUNCTION("""COMPUTED_VALUE"""),7240)</f>
        <v>7240</v>
      </c>
      <c r="F233" s="12">
        <f ca="1">IFERROR(__xludf.DUMMYFUNCTION("""COMPUTED_VALUE"""),3057)</f>
        <v>3057</v>
      </c>
      <c r="G233" s="12">
        <f ca="1">IFERROR(__xludf.DUMMYFUNCTION("""COMPUTED_VALUE"""),4217)</f>
        <v>4217</v>
      </c>
      <c r="H233" s="12">
        <f ca="1">IFERROR(__xludf.DUMMYFUNCTION("""COMPUTED_VALUE"""),9539)</f>
        <v>9539</v>
      </c>
      <c r="I233" s="12">
        <f ca="1">IFERROR(__xludf.DUMMYFUNCTION("""COMPUTED_VALUE"""),10089)</f>
        <v>10089</v>
      </c>
      <c r="J233" s="12">
        <f ca="1">IFERROR(__xludf.DUMMYFUNCTION("""COMPUTED_VALUE"""),8397)</f>
        <v>8397</v>
      </c>
      <c r="K233" s="12">
        <f ca="1">IFERROR(__xludf.DUMMYFUNCTION("""COMPUTED_VALUE"""),5795)</f>
        <v>5795</v>
      </c>
      <c r="L233" s="12">
        <f ca="1">IFERROR(__xludf.DUMMYFUNCTION("""COMPUTED_VALUE"""),6941)</f>
        <v>6941</v>
      </c>
      <c r="M233" s="12">
        <f ca="1">IFERROR(__xludf.DUMMYFUNCTION("""COMPUTED_VALUE"""),8153)</f>
        <v>8153</v>
      </c>
      <c r="N233" s="12">
        <f ca="1">IFERROR(__xludf.DUMMYFUNCTION("""COMPUTED_VALUE"""),7841)</f>
        <v>7841</v>
      </c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spans="1:38" ht="13.2" x14ac:dyDescent="0.25">
      <c r="A234" s="12" t="str">
        <f ca="1">IFERROR(__xludf.DUMMYFUNCTION("""COMPUTED_VALUE"""),"                  right Nucleus of the lateral olfactory tract")</f>
        <v xml:space="preserve">                  right Nucleus of the lateral olfactory tract</v>
      </c>
      <c r="B234" s="12">
        <f ca="1">IFERROR(__xludf.DUMMYFUNCTION("""COMPUTED_VALUE"""),11021)</f>
        <v>11021</v>
      </c>
      <c r="C234" s="12">
        <f ca="1">IFERROR(__xludf.DUMMYFUNCTION("""COMPUTED_VALUE"""),6233)</f>
        <v>6233</v>
      </c>
      <c r="D234" s="12">
        <f ca="1">IFERROR(__xludf.DUMMYFUNCTION("""COMPUTED_VALUE"""),6361)</f>
        <v>6361</v>
      </c>
      <c r="E234" s="12">
        <f ca="1">IFERROR(__xludf.DUMMYFUNCTION("""COMPUTED_VALUE"""),5716)</f>
        <v>5716</v>
      </c>
      <c r="F234" s="12">
        <f ca="1">IFERROR(__xludf.DUMMYFUNCTION("""COMPUTED_VALUE"""),3215)</f>
        <v>3215</v>
      </c>
      <c r="G234" s="12">
        <f ca="1">IFERROR(__xludf.DUMMYFUNCTION("""COMPUTED_VALUE"""),3748)</f>
        <v>3748</v>
      </c>
      <c r="H234" s="12">
        <f ca="1">IFERROR(__xludf.DUMMYFUNCTION("""COMPUTED_VALUE"""),7682)</f>
        <v>7682</v>
      </c>
      <c r="I234" s="12">
        <f ca="1">IFERROR(__xludf.DUMMYFUNCTION("""COMPUTED_VALUE"""),5308)</f>
        <v>5308</v>
      </c>
      <c r="J234" s="12">
        <f ca="1">IFERROR(__xludf.DUMMYFUNCTION("""COMPUTED_VALUE"""),3113)</f>
        <v>3113</v>
      </c>
      <c r="K234" s="12">
        <f ca="1">IFERROR(__xludf.DUMMYFUNCTION("""COMPUTED_VALUE"""),1995)</f>
        <v>1995</v>
      </c>
      <c r="L234" s="12">
        <f ca="1">IFERROR(__xludf.DUMMYFUNCTION("""COMPUTED_VALUE"""),5774)</f>
        <v>5774</v>
      </c>
      <c r="M234" s="12">
        <f ca="1">IFERROR(__xludf.DUMMYFUNCTION("""COMPUTED_VALUE"""),9907)</f>
        <v>9907</v>
      </c>
      <c r="N234" s="12">
        <f ca="1">IFERROR(__xludf.DUMMYFUNCTION("""COMPUTED_VALUE"""),5848)</f>
        <v>5848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spans="1:38" ht="13.2" x14ac:dyDescent="0.25">
      <c r="A235" s="12" t="str">
        <f ca="1">IFERROR(__xludf.DUMMYFUNCTION("""COMPUTED_VALUE"""),"                  right Cortical amygdalar area")</f>
        <v xml:space="preserve">                  right Cortical amygdalar area</v>
      </c>
      <c r="B235" s="12">
        <f ca="1">IFERROR(__xludf.DUMMYFUNCTION("""COMPUTED_VALUE"""),9647)</f>
        <v>9647</v>
      </c>
      <c r="C235" s="12">
        <f ca="1">IFERROR(__xludf.DUMMYFUNCTION("""COMPUTED_VALUE"""),5369)</f>
        <v>5369</v>
      </c>
      <c r="D235" s="12">
        <f ca="1">IFERROR(__xludf.DUMMYFUNCTION("""COMPUTED_VALUE"""),7732)</f>
        <v>7732</v>
      </c>
      <c r="E235" s="12">
        <f ca="1">IFERROR(__xludf.DUMMYFUNCTION("""COMPUTED_VALUE"""),4183)</f>
        <v>4183</v>
      </c>
      <c r="F235" s="12">
        <f ca="1">IFERROR(__xludf.DUMMYFUNCTION("""COMPUTED_VALUE"""),1413)</f>
        <v>1413</v>
      </c>
      <c r="G235" s="12">
        <f ca="1">IFERROR(__xludf.DUMMYFUNCTION("""COMPUTED_VALUE"""),1983)</f>
        <v>1983</v>
      </c>
      <c r="H235" s="12">
        <f ca="1">IFERROR(__xludf.DUMMYFUNCTION("""COMPUTED_VALUE"""),9537)</f>
        <v>9537</v>
      </c>
      <c r="I235" s="12">
        <f ca="1">IFERROR(__xludf.DUMMYFUNCTION("""COMPUTED_VALUE"""),6090)</f>
        <v>6090</v>
      </c>
      <c r="J235" s="12">
        <f ca="1">IFERROR(__xludf.DUMMYFUNCTION("""COMPUTED_VALUE"""),4198)</f>
        <v>4198</v>
      </c>
      <c r="K235" s="12">
        <f ca="1">IFERROR(__xludf.DUMMYFUNCTION("""COMPUTED_VALUE"""),2569)</f>
        <v>2569</v>
      </c>
      <c r="L235" s="12">
        <f ca="1">IFERROR(__xludf.DUMMYFUNCTION("""COMPUTED_VALUE"""),5324)</f>
        <v>5324</v>
      </c>
      <c r="M235" s="12">
        <f ca="1">IFERROR(__xludf.DUMMYFUNCTION("""COMPUTED_VALUE"""),7376)</f>
        <v>7376</v>
      </c>
      <c r="N235" s="12">
        <f ca="1">IFERROR(__xludf.DUMMYFUNCTION("""COMPUTED_VALUE"""),5462)</f>
        <v>5462</v>
      </c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spans="1:38" ht="13.2" x14ac:dyDescent="0.25">
      <c r="A236" s="12" t="str">
        <f ca="1">IFERROR(__xludf.DUMMYFUNCTION("""COMPUTED_VALUE"""),"                     right Cortical amygdalar area, anterior part")</f>
        <v xml:space="preserve">                     right Cortical amygdalar area, anterior part</v>
      </c>
      <c r="B236" s="12">
        <f ca="1">IFERROR(__xludf.DUMMYFUNCTION("""COMPUTED_VALUE"""),14988)</f>
        <v>14988</v>
      </c>
      <c r="C236" s="12">
        <f ca="1">IFERROR(__xludf.DUMMYFUNCTION("""COMPUTED_VALUE"""),8305)</f>
        <v>8305</v>
      </c>
      <c r="D236" s="12">
        <f ca="1">IFERROR(__xludf.DUMMYFUNCTION("""COMPUTED_VALUE"""),10140)</f>
        <v>10140</v>
      </c>
      <c r="E236" s="12">
        <f ca="1">IFERROR(__xludf.DUMMYFUNCTION("""COMPUTED_VALUE"""),6977)</f>
        <v>6977</v>
      </c>
      <c r="F236" s="12">
        <f ca="1">IFERROR(__xludf.DUMMYFUNCTION("""COMPUTED_VALUE"""),2764)</f>
        <v>2764</v>
      </c>
      <c r="G236" s="12">
        <f ca="1">IFERROR(__xludf.DUMMYFUNCTION("""COMPUTED_VALUE"""),3972)</f>
        <v>3972</v>
      </c>
      <c r="H236" s="12">
        <f ca="1">IFERROR(__xludf.DUMMYFUNCTION("""COMPUTED_VALUE"""),10794)</f>
        <v>10794</v>
      </c>
      <c r="I236" s="12">
        <f ca="1">IFERROR(__xludf.DUMMYFUNCTION("""COMPUTED_VALUE"""),8067)</f>
        <v>8067</v>
      </c>
      <c r="J236" s="12">
        <f ca="1">IFERROR(__xludf.DUMMYFUNCTION("""COMPUTED_VALUE"""),5083)</f>
        <v>5083</v>
      </c>
      <c r="K236" s="12">
        <f ca="1">IFERROR(__xludf.DUMMYFUNCTION("""COMPUTED_VALUE"""),2513)</f>
        <v>2513</v>
      </c>
      <c r="L236" s="12">
        <f ca="1">IFERROR(__xludf.DUMMYFUNCTION("""COMPUTED_VALUE"""),6888)</f>
        <v>6888</v>
      </c>
      <c r="M236" s="12">
        <f ca="1">IFERROR(__xludf.DUMMYFUNCTION("""COMPUTED_VALUE"""),9866)</f>
        <v>9866</v>
      </c>
      <c r="N236" s="12">
        <f ca="1">IFERROR(__xludf.DUMMYFUNCTION("""COMPUTED_VALUE"""),7651)</f>
        <v>7651</v>
      </c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spans="1:38" ht="13.2" x14ac:dyDescent="0.25">
      <c r="A237" s="12" t="str">
        <f ca="1">IFERROR(__xludf.DUMMYFUNCTION("""COMPUTED_VALUE"""),"                     right Cortical amygdalar area, posterior part")</f>
        <v xml:space="preserve">                     right Cortical amygdalar area, posterior part</v>
      </c>
      <c r="B237" s="12">
        <f ca="1">IFERROR(__xludf.DUMMYFUNCTION("""COMPUTED_VALUE"""),8004)</f>
        <v>8004</v>
      </c>
      <c r="C237" s="12">
        <f ca="1">IFERROR(__xludf.DUMMYFUNCTION("""COMPUTED_VALUE"""),4466)</f>
        <v>4466</v>
      </c>
      <c r="D237" s="12">
        <f ca="1">IFERROR(__xludf.DUMMYFUNCTION("""COMPUTED_VALUE"""),6991)</f>
        <v>6991</v>
      </c>
      <c r="E237" s="12">
        <f ca="1">IFERROR(__xludf.DUMMYFUNCTION("""COMPUTED_VALUE"""),3324)</f>
        <v>3324</v>
      </c>
      <c r="F237" s="12">
        <f ca="1">IFERROR(__xludf.DUMMYFUNCTION("""COMPUTED_VALUE"""),997)</f>
        <v>997</v>
      </c>
      <c r="G237" s="12">
        <f ca="1">IFERROR(__xludf.DUMMYFUNCTION("""COMPUTED_VALUE"""),1371)</f>
        <v>1371</v>
      </c>
      <c r="H237" s="12">
        <f ca="1">IFERROR(__xludf.DUMMYFUNCTION("""COMPUTED_VALUE"""),9151)</f>
        <v>9151</v>
      </c>
      <c r="I237" s="12">
        <f ca="1">IFERROR(__xludf.DUMMYFUNCTION("""COMPUTED_VALUE"""),5482)</f>
        <v>5482</v>
      </c>
      <c r="J237" s="12">
        <f ca="1">IFERROR(__xludf.DUMMYFUNCTION("""COMPUTED_VALUE"""),3926)</f>
        <v>3926</v>
      </c>
      <c r="K237" s="12">
        <f ca="1">IFERROR(__xludf.DUMMYFUNCTION("""COMPUTED_VALUE"""),2586)</f>
        <v>2586</v>
      </c>
      <c r="L237" s="12">
        <f ca="1">IFERROR(__xludf.DUMMYFUNCTION("""COMPUTED_VALUE"""),4843)</f>
        <v>4843</v>
      </c>
      <c r="M237" s="12">
        <f ca="1">IFERROR(__xludf.DUMMYFUNCTION("""COMPUTED_VALUE"""),6610)</f>
        <v>6610</v>
      </c>
      <c r="N237" s="12">
        <f ca="1">IFERROR(__xludf.DUMMYFUNCTION("""COMPUTED_VALUE"""),4788)</f>
        <v>4788</v>
      </c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spans="1:38" ht="13.2" x14ac:dyDescent="0.25">
      <c r="A238" s="12" t="str">
        <f ca="1">IFERROR(__xludf.DUMMYFUNCTION("""COMPUTED_VALUE"""),"                  right Piriform-amygdalar area")</f>
        <v xml:space="preserve">                  right Piriform-amygdalar area</v>
      </c>
      <c r="B238" s="12">
        <f ca="1">IFERROR(__xludf.DUMMYFUNCTION("""COMPUTED_VALUE"""),8309)</f>
        <v>8309</v>
      </c>
      <c r="C238" s="12">
        <f ca="1">IFERROR(__xludf.DUMMYFUNCTION("""COMPUTED_VALUE"""),4982)</f>
        <v>4982</v>
      </c>
      <c r="D238" s="12">
        <f ca="1">IFERROR(__xludf.DUMMYFUNCTION("""COMPUTED_VALUE"""),7034)</f>
        <v>7034</v>
      </c>
      <c r="E238" s="12">
        <f ca="1">IFERROR(__xludf.DUMMYFUNCTION("""COMPUTED_VALUE"""),3502)</f>
        <v>3502</v>
      </c>
      <c r="F238" s="12">
        <f ca="1">IFERROR(__xludf.DUMMYFUNCTION("""COMPUTED_VALUE"""),834)</f>
        <v>834</v>
      </c>
      <c r="G238" s="12">
        <f ca="1">IFERROR(__xludf.DUMMYFUNCTION("""COMPUTED_VALUE"""),1819)</f>
        <v>1819</v>
      </c>
      <c r="H238" s="12">
        <f ca="1">IFERROR(__xludf.DUMMYFUNCTION("""COMPUTED_VALUE"""),8011)</f>
        <v>8011</v>
      </c>
      <c r="I238" s="12">
        <f ca="1">IFERROR(__xludf.DUMMYFUNCTION("""COMPUTED_VALUE"""),6258)</f>
        <v>6258</v>
      </c>
      <c r="J238" s="12">
        <f ca="1">IFERROR(__xludf.DUMMYFUNCTION("""COMPUTED_VALUE"""),4560)</f>
        <v>4560</v>
      </c>
      <c r="K238" s="12">
        <f ca="1">IFERROR(__xludf.DUMMYFUNCTION("""COMPUTED_VALUE"""),2149)</f>
        <v>2149</v>
      </c>
      <c r="L238" s="12">
        <f ca="1">IFERROR(__xludf.DUMMYFUNCTION("""COMPUTED_VALUE"""),4704)</f>
        <v>4704</v>
      </c>
      <c r="M238" s="12">
        <f ca="1">IFERROR(__xludf.DUMMYFUNCTION("""COMPUTED_VALUE"""),6043)</f>
        <v>6043</v>
      </c>
      <c r="N238" s="12">
        <f ca="1">IFERROR(__xludf.DUMMYFUNCTION("""COMPUTED_VALUE"""),4865)</f>
        <v>4865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spans="1:38" ht="13.2" x14ac:dyDescent="0.25">
      <c r="A239" s="12" t="str">
        <f ca="1">IFERROR(__xludf.DUMMYFUNCTION("""COMPUTED_VALUE"""),"                  right Postpiriform transition area")</f>
        <v xml:space="preserve">                  right Postpiriform transition area</v>
      </c>
      <c r="B239" s="12">
        <f ca="1">IFERROR(__xludf.DUMMYFUNCTION("""COMPUTED_VALUE"""),5702)</f>
        <v>5702</v>
      </c>
      <c r="C239" s="12">
        <f ca="1">IFERROR(__xludf.DUMMYFUNCTION("""COMPUTED_VALUE"""),6000)</f>
        <v>6000</v>
      </c>
      <c r="D239" s="12">
        <f ca="1">IFERROR(__xludf.DUMMYFUNCTION("""COMPUTED_VALUE"""),5628)</f>
        <v>5628</v>
      </c>
      <c r="E239" s="12">
        <f ca="1">IFERROR(__xludf.DUMMYFUNCTION("""COMPUTED_VALUE"""),3145)</f>
        <v>3145</v>
      </c>
      <c r="F239" s="12">
        <f ca="1">IFERROR(__xludf.DUMMYFUNCTION("""COMPUTED_VALUE"""),1686)</f>
        <v>1686</v>
      </c>
      <c r="G239" s="12">
        <f ca="1">IFERROR(__xludf.DUMMYFUNCTION("""COMPUTED_VALUE"""),1696)</f>
        <v>1696</v>
      </c>
      <c r="H239" s="12">
        <f ca="1">IFERROR(__xludf.DUMMYFUNCTION("""COMPUTED_VALUE"""),5375)</f>
        <v>5375</v>
      </c>
      <c r="I239" s="12">
        <f ca="1">IFERROR(__xludf.DUMMYFUNCTION("""COMPUTED_VALUE"""),5385)</f>
        <v>5385</v>
      </c>
      <c r="J239" s="12">
        <f ca="1">IFERROR(__xludf.DUMMYFUNCTION("""COMPUTED_VALUE"""),4265)</f>
        <v>4265</v>
      </c>
      <c r="K239" s="12">
        <f ca="1">IFERROR(__xludf.DUMMYFUNCTION("""COMPUTED_VALUE"""),2008)</f>
        <v>2008</v>
      </c>
      <c r="L239" s="12">
        <f ca="1">IFERROR(__xludf.DUMMYFUNCTION("""COMPUTED_VALUE"""),3289)</f>
        <v>3289</v>
      </c>
      <c r="M239" s="12">
        <f ca="1">IFERROR(__xludf.DUMMYFUNCTION("""COMPUTED_VALUE"""),5891)</f>
        <v>5891</v>
      </c>
      <c r="N239" s="12">
        <f ca="1">IFERROR(__xludf.DUMMYFUNCTION("""COMPUTED_VALUE"""),4242)</f>
        <v>4242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spans="1:38" ht="13.2" x14ac:dyDescent="0.25">
      <c r="A240" s="12" t="str">
        <f ca="1">IFERROR(__xludf.DUMMYFUNCTION("""COMPUTED_VALUE"""),"               right Hippocampal formation")</f>
        <v xml:space="preserve">               right Hippocampal formation</v>
      </c>
      <c r="B240" s="12">
        <f ca="1">IFERROR(__xludf.DUMMYFUNCTION("""COMPUTED_VALUE"""),7183)</f>
        <v>7183</v>
      </c>
      <c r="C240" s="12">
        <f ca="1">IFERROR(__xludf.DUMMYFUNCTION("""COMPUTED_VALUE"""),5324)</f>
        <v>5324</v>
      </c>
      <c r="D240" s="12">
        <f ca="1">IFERROR(__xludf.DUMMYFUNCTION("""COMPUTED_VALUE"""),6265)</f>
        <v>6265</v>
      </c>
      <c r="E240" s="12">
        <f ca="1">IFERROR(__xludf.DUMMYFUNCTION("""COMPUTED_VALUE"""),4568)</f>
        <v>4568</v>
      </c>
      <c r="F240" s="12">
        <f ca="1">IFERROR(__xludf.DUMMYFUNCTION("""COMPUTED_VALUE"""),3101)</f>
        <v>3101</v>
      </c>
      <c r="G240" s="12">
        <f ca="1">IFERROR(__xludf.DUMMYFUNCTION("""COMPUTED_VALUE"""),2789)</f>
        <v>2789</v>
      </c>
      <c r="H240" s="12">
        <f ca="1">IFERROR(__xludf.DUMMYFUNCTION("""COMPUTED_VALUE"""),4267)</f>
        <v>4267</v>
      </c>
      <c r="I240" s="12">
        <f ca="1">IFERROR(__xludf.DUMMYFUNCTION("""COMPUTED_VALUE"""),4513)</f>
        <v>4513</v>
      </c>
      <c r="J240" s="12">
        <f ca="1">IFERROR(__xludf.DUMMYFUNCTION("""COMPUTED_VALUE"""),3287)</f>
        <v>3287</v>
      </c>
      <c r="K240" s="12">
        <f ca="1">IFERROR(__xludf.DUMMYFUNCTION("""COMPUTED_VALUE"""),3740)</f>
        <v>3740</v>
      </c>
      <c r="L240" s="12">
        <f ca="1">IFERROR(__xludf.DUMMYFUNCTION("""COMPUTED_VALUE"""),3590)</f>
        <v>3590</v>
      </c>
      <c r="M240" s="12">
        <f ca="1">IFERROR(__xludf.DUMMYFUNCTION("""COMPUTED_VALUE"""),5736)</f>
        <v>5736</v>
      </c>
      <c r="N240" s="12">
        <f ca="1">IFERROR(__xludf.DUMMYFUNCTION("""COMPUTED_VALUE"""),4572)</f>
        <v>4572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spans="1:38" ht="13.2" x14ac:dyDescent="0.25">
      <c r="A241" s="12" t="str">
        <f ca="1">IFERROR(__xludf.DUMMYFUNCTION("""COMPUTED_VALUE"""),"                  right Hippocampal region")</f>
        <v xml:space="preserve">                  right Hippocampal region</v>
      </c>
      <c r="B241" s="12">
        <f ca="1">IFERROR(__xludf.DUMMYFUNCTION("""COMPUTED_VALUE"""),7215)</f>
        <v>7215</v>
      </c>
      <c r="C241" s="12">
        <f ca="1">IFERROR(__xludf.DUMMYFUNCTION("""COMPUTED_VALUE"""),3984)</f>
        <v>3984</v>
      </c>
      <c r="D241" s="12">
        <f ca="1">IFERROR(__xludf.DUMMYFUNCTION("""COMPUTED_VALUE"""),4323)</f>
        <v>4323</v>
      </c>
      <c r="E241" s="12">
        <f ca="1">IFERROR(__xludf.DUMMYFUNCTION("""COMPUTED_VALUE"""),3309)</f>
        <v>3309</v>
      </c>
      <c r="F241" s="12">
        <f ca="1">IFERROR(__xludf.DUMMYFUNCTION("""COMPUTED_VALUE"""),2338)</f>
        <v>2338</v>
      </c>
      <c r="G241" s="12">
        <f ca="1">IFERROR(__xludf.DUMMYFUNCTION("""COMPUTED_VALUE"""),1895)</f>
        <v>1895</v>
      </c>
      <c r="H241" s="12">
        <f ca="1">IFERROR(__xludf.DUMMYFUNCTION("""COMPUTED_VALUE"""),3721)</f>
        <v>3721</v>
      </c>
      <c r="I241" s="12">
        <f ca="1">IFERROR(__xludf.DUMMYFUNCTION("""COMPUTED_VALUE"""),3686)</f>
        <v>3686</v>
      </c>
      <c r="J241" s="12">
        <f ca="1">IFERROR(__xludf.DUMMYFUNCTION("""COMPUTED_VALUE"""),2282)</f>
        <v>2282</v>
      </c>
      <c r="K241" s="12">
        <f ca="1">IFERROR(__xludf.DUMMYFUNCTION("""COMPUTED_VALUE"""),3282)</f>
        <v>3282</v>
      </c>
      <c r="L241" s="12">
        <f ca="1">IFERROR(__xludf.DUMMYFUNCTION("""COMPUTED_VALUE"""),4111)</f>
        <v>4111</v>
      </c>
      <c r="M241" s="12">
        <f ca="1">IFERROR(__xludf.DUMMYFUNCTION("""COMPUTED_VALUE"""),4104)</f>
        <v>4104</v>
      </c>
      <c r="N241" s="12">
        <f ca="1">IFERROR(__xludf.DUMMYFUNCTION("""COMPUTED_VALUE"""),3655)</f>
        <v>3655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spans="1:38" ht="13.2" x14ac:dyDescent="0.25">
      <c r="A242" s="12" t="str">
        <f ca="1">IFERROR(__xludf.DUMMYFUNCTION("""COMPUTED_VALUE"""),"                     right Ammon's horn")</f>
        <v xml:space="preserve">                     right Ammon's horn</v>
      </c>
      <c r="B242" s="12">
        <f ca="1">IFERROR(__xludf.DUMMYFUNCTION("""COMPUTED_VALUE"""),8457)</f>
        <v>8457</v>
      </c>
      <c r="C242" s="12">
        <f ca="1">IFERROR(__xludf.DUMMYFUNCTION("""COMPUTED_VALUE"""),4330)</f>
        <v>4330</v>
      </c>
      <c r="D242" s="12">
        <f ca="1">IFERROR(__xludf.DUMMYFUNCTION("""COMPUTED_VALUE"""),5223)</f>
        <v>5223</v>
      </c>
      <c r="E242" s="12">
        <f ca="1">IFERROR(__xludf.DUMMYFUNCTION("""COMPUTED_VALUE"""),3922)</f>
        <v>3922</v>
      </c>
      <c r="F242" s="12">
        <f ca="1">IFERROR(__xludf.DUMMYFUNCTION("""COMPUTED_VALUE"""),2805)</f>
        <v>2805</v>
      </c>
      <c r="G242" s="12">
        <f ca="1">IFERROR(__xludf.DUMMYFUNCTION("""COMPUTED_VALUE"""),2311)</f>
        <v>2311</v>
      </c>
      <c r="H242" s="12">
        <f ca="1">IFERROR(__xludf.DUMMYFUNCTION("""COMPUTED_VALUE"""),4476)</f>
        <v>4476</v>
      </c>
      <c r="I242" s="12">
        <f ca="1">IFERROR(__xludf.DUMMYFUNCTION("""COMPUTED_VALUE"""),4343)</f>
        <v>4343</v>
      </c>
      <c r="J242" s="12">
        <f ca="1">IFERROR(__xludf.DUMMYFUNCTION("""COMPUTED_VALUE"""),2712)</f>
        <v>2712</v>
      </c>
      <c r="K242" s="12">
        <f ca="1">IFERROR(__xludf.DUMMYFUNCTION("""COMPUTED_VALUE"""),3573)</f>
        <v>3573</v>
      </c>
      <c r="L242" s="12">
        <f ca="1">IFERROR(__xludf.DUMMYFUNCTION("""COMPUTED_VALUE"""),4284)</f>
        <v>4284</v>
      </c>
      <c r="M242" s="12">
        <f ca="1">IFERROR(__xludf.DUMMYFUNCTION("""COMPUTED_VALUE"""),4844)</f>
        <v>4844</v>
      </c>
      <c r="N242" s="12">
        <f ca="1">IFERROR(__xludf.DUMMYFUNCTION("""COMPUTED_VALUE"""),4254)</f>
        <v>4254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spans="1:38" ht="13.2" x14ac:dyDescent="0.25">
      <c r="A243" s="12" t="str">
        <f ca="1">IFERROR(__xludf.DUMMYFUNCTION("""COMPUTED_VALUE"""),"                        right Field CA1")</f>
        <v xml:space="preserve">                        right Field CA1</v>
      </c>
      <c r="B243" s="12">
        <f ca="1">IFERROR(__xludf.DUMMYFUNCTION("""COMPUTED_VALUE"""),9506)</f>
        <v>9506</v>
      </c>
      <c r="C243" s="12">
        <f ca="1">IFERROR(__xludf.DUMMYFUNCTION("""COMPUTED_VALUE"""),5036)</f>
        <v>5036</v>
      </c>
      <c r="D243" s="12">
        <f ca="1">IFERROR(__xludf.DUMMYFUNCTION("""COMPUTED_VALUE"""),6421)</f>
        <v>6421</v>
      </c>
      <c r="E243" s="12">
        <f ca="1">IFERROR(__xludf.DUMMYFUNCTION("""COMPUTED_VALUE"""),4409)</f>
        <v>4409</v>
      </c>
      <c r="F243" s="12">
        <f ca="1">IFERROR(__xludf.DUMMYFUNCTION("""COMPUTED_VALUE"""),3175)</f>
        <v>3175</v>
      </c>
      <c r="G243" s="12">
        <f ca="1">IFERROR(__xludf.DUMMYFUNCTION("""COMPUTED_VALUE"""),2616)</f>
        <v>2616</v>
      </c>
      <c r="H243" s="12">
        <f ca="1">IFERROR(__xludf.DUMMYFUNCTION("""COMPUTED_VALUE"""),5317)</f>
        <v>5317</v>
      </c>
      <c r="I243" s="12">
        <f ca="1">IFERROR(__xludf.DUMMYFUNCTION("""COMPUTED_VALUE"""),4771)</f>
        <v>4771</v>
      </c>
      <c r="J243" s="12">
        <f ca="1">IFERROR(__xludf.DUMMYFUNCTION("""COMPUTED_VALUE"""),3265)</f>
        <v>3265</v>
      </c>
      <c r="K243" s="12">
        <f ca="1">IFERROR(__xludf.DUMMYFUNCTION("""COMPUTED_VALUE"""),3990)</f>
        <v>3990</v>
      </c>
      <c r="L243" s="12">
        <f ca="1">IFERROR(__xludf.DUMMYFUNCTION("""COMPUTED_VALUE"""),4722)</f>
        <v>4722</v>
      </c>
      <c r="M243" s="12">
        <f ca="1">IFERROR(__xludf.DUMMYFUNCTION("""COMPUTED_VALUE"""),5764)</f>
        <v>5764</v>
      </c>
      <c r="N243" s="12">
        <f ca="1">IFERROR(__xludf.DUMMYFUNCTION("""COMPUTED_VALUE"""),4900)</f>
        <v>4900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spans="1:38" ht="13.2" x14ac:dyDescent="0.25">
      <c r="A244" s="12" t="str">
        <f ca="1">IFERROR(__xludf.DUMMYFUNCTION("""COMPUTED_VALUE"""),"                        right Field CA2")</f>
        <v xml:space="preserve">                        right Field CA2</v>
      </c>
      <c r="B244" s="12">
        <f ca="1">IFERROR(__xludf.DUMMYFUNCTION("""COMPUTED_VALUE"""),8552)</f>
        <v>8552</v>
      </c>
      <c r="C244" s="12">
        <f ca="1">IFERROR(__xludf.DUMMYFUNCTION("""COMPUTED_VALUE"""),3175)</f>
        <v>3175</v>
      </c>
      <c r="D244" s="12">
        <f ca="1">IFERROR(__xludf.DUMMYFUNCTION("""COMPUTED_VALUE"""),3079)</f>
        <v>3079</v>
      </c>
      <c r="E244" s="12">
        <f ca="1">IFERROR(__xludf.DUMMYFUNCTION("""COMPUTED_VALUE"""),2959)</f>
        <v>2959</v>
      </c>
      <c r="F244" s="12">
        <f ca="1">IFERROR(__xludf.DUMMYFUNCTION("""COMPUTED_VALUE"""),1962)</f>
        <v>1962</v>
      </c>
      <c r="G244" s="12">
        <f ca="1">IFERROR(__xludf.DUMMYFUNCTION("""COMPUTED_VALUE"""),1603)</f>
        <v>1603</v>
      </c>
      <c r="H244" s="12">
        <f ca="1">IFERROR(__xludf.DUMMYFUNCTION("""COMPUTED_VALUE"""),3773)</f>
        <v>3773</v>
      </c>
      <c r="I244" s="12">
        <f ca="1">IFERROR(__xludf.DUMMYFUNCTION("""COMPUTED_VALUE"""),3611)</f>
        <v>3611</v>
      </c>
      <c r="J244" s="12">
        <f ca="1">IFERROR(__xludf.DUMMYFUNCTION("""COMPUTED_VALUE"""),1697)</f>
        <v>1697</v>
      </c>
      <c r="K244" s="12">
        <f ca="1">IFERROR(__xludf.DUMMYFUNCTION("""COMPUTED_VALUE"""),2924)</f>
        <v>2924</v>
      </c>
      <c r="L244" s="12">
        <f ca="1">IFERROR(__xludf.DUMMYFUNCTION("""COMPUTED_VALUE"""),4072)</f>
        <v>4072</v>
      </c>
      <c r="M244" s="12">
        <f ca="1">IFERROR(__xludf.DUMMYFUNCTION("""COMPUTED_VALUE"""),3708)</f>
        <v>3708</v>
      </c>
      <c r="N244" s="12">
        <f ca="1">IFERROR(__xludf.DUMMYFUNCTION("""COMPUTED_VALUE"""),3357)</f>
        <v>3357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spans="1:38" ht="13.2" x14ac:dyDescent="0.25">
      <c r="A245" s="12" t="str">
        <f ca="1">IFERROR(__xludf.DUMMYFUNCTION("""COMPUTED_VALUE"""),"                        right Field CA3")</f>
        <v xml:space="preserve">                        right Field CA3</v>
      </c>
      <c r="B245" s="12">
        <f ca="1">IFERROR(__xludf.DUMMYFUNCTION("""COMPUTED_VALUE"""),6740)</f>
        <v>6740</v>
      </c>
      <c r="C245" s="12">
        <f ca="1">IFERROR(__xludf.DUMMYFUNCTION("""COMPUTED_VALUE"""),3267)</f>
        <v>3267</v>
      </c>
      <c r="D245" s="12">
        <f ca="1">IFERROR(__xludf.DUMMYFUNCTION("""COMPUTED_VALUE"""),3434)</f>
        <v>3434</v>
      </c>
      <c r="E245" s="12">
        <f ca="1">IFERROR(__xludf.DUMMYFUNCTION("""COMPUTED_VALUE"""),3201)</f>
        <v>3201</v>
      </c>
      <c r="F245" s="12">
        <f ca="1">IFERROR(__xludf.DUMMYFUNCTION("""COMPUTED_VALUE"""),2267)</f>
        <v>2267</v>
      </c>
      <c r="G245" s="12">
        <f ca="1">IFERROR(__xludf.DUMMYFUNCTION("""COMPUTED_VALUE"""),1869)</f>
        <v>1869</v>
      </c>
      <c r="H245" s="12">
        <f ca="1">IFERROR(__xludf.DUMMYFUNCTION("""COMPUTED_VALUE"""),3159)</f>
        <v>3159</v>
      </c>
      <c r="I245" s="12">
        <f ca="1">IFERROR(__xludf.DUMMYFUNCTION("""COMPUTED_VALUE"""),3700)</f>
        <v>3700</v>
      </c>
      <c r="J245" s="12">
        <f ca="1">IFERROR(__xludf.DUMMYFUNCTION("""COMPUTED_VALUE"""),1888)</f>
        <v>1888</v>
      </c>
      <c r="K245" s="12">
        <f ca="1">IFERROR(__xludf.DUMMYFUNCTION("""COMPUTED_VALUE"""),2943)</f>
        <v>2943</v>
      </c>
      <c r="L245" s="12">
        <f ca="1">IFERROR(__xludf.DUMMYFUNCTION("""COMPUTED_VALUE"""),3585)</f>
        <v>3585</v>
      </c>
      <c r="M245" s="12">
        <f ca="1">IFERROR(__xludf.DUMMYFUNCTION("""COMPUTED_VALUE"""),3431)</f>
        <v>3431</v>
      </c>
      <c r="N245" s="12">
        <f ca="1">IFERROR(__xludf.DUMMYFUNCTION("""COMPUTED_VALUE"""),3269)</f>
        <v>3269</v>
      </c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spans="1:38" ht="13.2" x14ac:dyDescent="0.25">
      <c r="A246" s="12" t="str">
        <f ca="1">IFERROR(__xludf.DUMMYFUNCTION("""COMPUTED_VALUE"""),"                     right Dentate gyrus")</f>
        <v xml:space="preserve">                     right Dentate gyrus</v>
      </c>
      <c r="B246" s="12">
        <f ca="1">IFERROR(__xludf.DUMMYFUNCTION("""COMPUTED_VALUE"""),4182)</f>
        <v>4182</v>
      </c>
      <c r="C246" s="12">
        <f ca="1">IFERROR(__xludf.DUMMYFUNCTION("""COMPUTED_VALUE"""),3143)</f>
        <v>3143</v>
      </c>
      <c r="D246" s="12">
        <f ca="1">IFERROR(__xludf.DUMMYFUNCTION("""COMPUTED_VALUE"""),2032)</f>
        <v>2032</v>
      </c>
      <c r="E246" s="12">
        <f ca="1">IFERROR(__xludf.DUMMYFUNCTION("""COMPUTED_VALUE"""),1718)</f>
        <v>1718</v>
      </c>
      <c r="F246" s="12">
        <f ca="1">IFERROR(__xludf.DUMMYFUNCTION("""COMPUTED_VALUE"""),1195)</f>
        <v>1195</v>
      </c>
      <c r="G246" s="12">
        <f ca="1">IFERROR(__xludf.DUMMYFUNCTION("""COMPUTED_VALUE"""),873)</f>
        <v>873</v>
      </c>
      <c r="H246" s="12">
        <f ca="1">IFERROR(__xludf.DUMMYFUNCTION("""COMPUTED_VALUE"""),1777)</f>
        <v>1777</v>
      </c>
      <c r="I246" s="12">
        <f ca="1">IFERROR(__xludf.DUMMYFUNCTION("""COMPUTED_VALUE"""),1991)</f>
        <v>1991</v>
      </c>
      <c r="J246" s="12">
        <f ca="1">IFERROR(__xludf.DUMMYFUNCTION("""COMPUTED_VALUE"""),1213)</f>
        <v>1213</v>
      </c>
      <c r="K246" s="12">
        <f ca="1">IFERROR(__xludf.DUMMYFUNCTION("""COMPUTED_VALUE"""),2617)</f>
        <v>2617</v>
      </c>
      <c r="L246" s="12">
        <f ca="1">IFERROR(__xludf.DUMMYFUNCTION("""COMPUTED_VALUE"""),3764)</f>
        <v>3764</v>
      </c>
      <c r="M246" s="12">
        <f ca="1">IFERROR(__xludf.DUMMYFUNCTION("""COMPUTED_VALUE"""),2288)</f>
        <v>2288</v>
      </c>
      <c r="N246" s="12">
        <f ca="1">IFERROR(__xludf.DUMMYFUNCTION("""COMPUTED_VALUE"""),2159)</f>
        <v>2159</v>
      </c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spans="1:38" ht="13.2" x14ac:dyDescent="0.25">
      <c r="A247" s="12" t="str">
        <f ca="1">IFERROR(__xludf.DUMMYFUNCTION("""COMPUTED_VALUE"""),"                        right Dentate gyrus, molecular layer")</f>
        <v xml:space="preserve">                        right Dentate gyrus, molecular layer</v>
      </c>
      <c r="B247" s="12">
        <f ca="1">IFERROR(__xludf.DUMMYFUNCTION("""COMPUTED_VALUE"""),4005)</f>
        <v>4005</v>
      </c>
      <c r="C247" s="12">
        <f ca="1">IFERROR(__xludf.DUMMYFUNCTION("""COMPUTED_VALUE"""),3142)</f>
        <v>3142</v>
      </c>
      <c r="D247" s="12">
        <f ca="1">IFERROR(__xludf.DUMMYFUNCTION("""COMPUTED_VALUE"""),1603)</f>
        <v>1603</v>
      </c>
      <c r="E247" s="12">
        <f ca="1">IFERROR(__xludf.DUMMYFUNCTION("""COMPUTED_VALUE"""),1011)</f>
        <v>1011</v>
      </c>
      <c r="F247" s="12">
        <f ca="1">IFERROR(__xludf.DUMMYFUNCTION("""COMPUTED_VALUE"""),546)</f>
        <v>546</v>
      </c>
      <c r="G247" s="12">
        <f ca="1">IFERROR(__xludf.DUMMYFUNCTION("""COMPUTED_VALUE"""),387)</f>
        <v>387</v>
      </c>
      <c r="H247" s="12">
        <f ca="1">IFERROR(__xludf.DUMMYFUNCTION("""COMPUTED_VALUE"""),1469)</f>
        <v>1469</v>
      </c>
      <c r="I247" s="12">
        <f ca="1">IFERROR(__xludf.DUMMYFUNCTION("""COMPUTED_VALUE"""),1510)</f>
        <v>1510</v>
      </c>
      <c r="J247" s="12">
        <f ca="1">IFERROR(__xludf.DUMMYFUNCTION("""COMPUTED_VALUE"""),639)</f>
        <v>639</v>
      </c>
      <c r="K247" s="12">
        <f ca="1">IFERROR(__xludf.DUMMYFUNCTION("""COMPUTED_VALUE"""),2047)</f>
        <v>2047</v>
      </c>
      <c r="L247" s="12">
        <f ca="1">IFERROR(__xludf.DUMMYFUNCTION("""COMPUTED_VALUE"""),3404)</f>
        <v>3404</v>
      </c>
      <c r="M247" s="12">
        <f ca="1">IFERROR(__xludf.DUMMYFUNCTION("""COMPUTED_VALUE"""),2045)</f>
        <v>2045</v>
      </c>
      <c r="N247" s="12">
        <f ca="1">IFERROR(__xludf.DUMMYFUNCTION("""COMPUTED_VALUE"""),1752)</f>
        <v>1752</v>
      </c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spans="1:38" ht="13.2" x14ac:dyDescent="0.25">
      <c r="A248" s="12" t="str">
        <f ca="1">IFERROR(__xludf.DUMMYFUNCTION("""COMPUTED_VALUE"""),"                        right Dentate gyrus, polymorph layer")</f>
        <v xml:space="preserve">                        right Dentate gyrus, polymorph layer</v>
      </c>
      <c r="B248" s="12">
        <f ca="1">IFERROR(__xludf.DUMMYFUNCTION("""COMPUTED_VALUE"""),4576)</f>
        <v>4576</v>
      </c>
      <c r="C248" s="12">
        <f ca="1">IFERROR(__xludf.DUMMYFUNCTION("""COMPUTED_VALUE"""),2637)</f>
        <v>2637</v>
      </c>
      <c r="D248" s="12">
        <f ca="1">IFERROR(__xludf.DUMMYFUNCTION("""COMPUTED_VALUE"""),3665)</f>
        <v>3665</v>
      </c>
      <c r="E248" s="12">
        <f ca="1">IFERROR(__xludf.DUMMYFUNCTION("""COMPUTED_VALUE"""),3809)</f>
        <v>3809</v>
      </c>
      <c r="F248" s="12">
        <f ca="1">IFERROR(__xludf.DUMMYFUNCTION("""COMPUTED_VALUE"""),2816)</f>
        <v>2816</v>
      </c>
      <c r="G248" s="12">
        <f ca="1">IFERROR(__xludf.DUMMYFUNCTION("""COMPUTED_VALUE"""),2623)</f>
        <v>2623</v>
      </c>
      <c r="H248" s="12">
        <f ca="1">IFERROR(__xludf.DUMMYFUNCTION("""COMPUTED_VALUE"""),3045)</f>
        <v>3045</v>
      </c>
      <c r="I248" s="12">
        <f ca="1">IFERROR(__xludf.DUMMYFUNCTION("""COMPUTED_VALUE"""),3631)</f>
        <v>3631</v>
      </c>
      <c r="J248" s="12">
        <f ca="1">IFERROR(__xludf.DUMMYFUNCTION("""COMPUTED_VALUE"""),2291)</f>
        <v>2291</v>
      </c>
      <c r="K248" s="12">
        <f ca="1">IFERROR(__xludf.DUMMYFUNCTION("""COMPUTED_VALUE"""),4036)</f>
        <v>4036</v>
      </c>
      <c r="L248" s="12">
        <f ca="1">IFERROR(__xludf.DUMMYFUNCTION("""COMPUTED_VALUE"""),4279)</f>
        <v>4279</v>
      </c>
      <c r="M248" s="12">
        <f ca="1">IFERROR(__xludf.DUMMYFUNCTION("""COMPUTED_VALUE"""),3018)</f>
        <v>3018</v>
      </c>
      <c r="N248" s="12">
        <f ca="1">IFERROR(__xludf.DUMMYFUNCTION("""COMPUTED_VALUE"""),3313)</f>
        <v>3313</v>
      </c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spans="1:38" ht="13.2" x14ac:dyDescent="0.25">
      <c r="A249" s="12" t="str">
        <f ca="1">IFERROR(__xludf.DUMMYFUNCTION("""COMPUTED_VALUE"""),"                        right Dentate gyrus, granule cell layer")</f>
        <v xml:space="preserve">                        right Dentate gyrus, granule cell layer</v>
      </c>
      <c r="B249" s="12">
        <f ca="1">IFERROR(__xludf.DUMMYFUNCTION("""COMPUTED_VALUE"""),4490)</f>
        <v>4490</v>
      </c>
      <c r="C249" s="12">
        <f ca="1">IFERROR(__xludf.DUMMYFUNCTION("""COMPUTED_VALUE"""),3361)</f>
        <v>3361</v>
      </c>
      <c r="D249" s="12">
        <f ca="1">IFERROR(__xludf.DUMMYFUNCTION("""COMPUTED_VALUE"""),2491)</f>
        <v>2491</v>
      </c>
      <c r="E249" s="12">
        <f ca="1">IFERROR(__xludf.DUMMYFUNCTION("""COMPUTED_VALUE"""),2728)</f>
        <v>2728</v>
      </c>
      <c r="F249" s="12">
        <f ca="1">IFERROR(__xludf.DUMMYFUNCTION("""COMPUTED_VALUE"""),2250)</f>
        <v>2250</v>
      </c>
      <c r="G249" s="12">
        <f ca="1">IFERROR(__xludf.DUMMYFUNCTION("""COMPUTED_VALUE"""),1435)</f>
        <v>1435</v>
      </c>
      <c r="H249" s="12">
        <f ca="1">IFERROR(__xludf.DUMMYFUNCTION("""COMPUTED_VALUE"""),2064)</f>
        <v>2064</v>
      </c>
      <c r="I249" s="12">
        <f ca="1">IFERROR(__xludf.DUMMYFUNCTION("""COMPUTED_VALUE"""),2585)</f>
        <v>2585</v>
      </c>
      <c r="J249" s="12">
        <f ca="1">IFERROR(__xludf.DUMMYFUNCTION("""COMPUTED_VALUE"""),2297)</f>
        <v>2297</v>
      </c>
      <c r="K249" s="12">
        <f ca="1">IFERROR(__xludf.DUMMYFUNCTION("""COMPUTED_VALUE"""),3546)</f>
        <v>3546</v>
      </c>
      <c r="L249" s="12">
        <f ca="1">IFERROR(__xludf.DUMMYFUNCTION("""COMPUTED_VALUE"""),4513)</f>
        <v>4513</v>
      </c>
      <c r="M249" s="12">
        <f ca="1">IFERROR(__xludf.DUMMYFUNCTION("""COMPUTED_VALUE"""),2628)</f>
        <v>2628</v>
      </c>
      <c r="N249" s="12">
        <f ca="1">IFERROR(__xludf.DUMMYFUNCTION("""COMPUTED_VALUE"""),2761)</f>
        <v>2761</v>
      </c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spans="1:38" ht="13.2" x14ac:dyDescent="0.25">
      <c r="A250" s="12" t="str">
        <f ca="1">IFERROR(__xludf.DUMMYFUNCTION("""COMPUTED_VALUE"""),"                  right Retrohippocampal region")</f>
        <v xml:space="preserve">                  right Retrohippocampal region</v>
      </c>
      <c r="B250" s="12">
        <f ca="1">IFERROR(__xludf.DUMMYFUNCTION("""COMPUTED_VALUE"""),7111)</f>
        <v>7111</v>
      </c>
      <c r="C250" s="12">
        <f ca="1">IFERROR(__xludf.DUMMYFUNCTION("""COMPUTED_VALUE"""),6994)</f>
        <v>6994</v>
      </c>
      <c r="D250" s="12">
        <f ca="1">IFERROR(__xludf.DUMMYFUNCTION("""COMPUTED_VALUE"""),8694)</f>
        <v>8694</v>
      </c>
      <c r="E250" s="12">
        <f ca="1">IFERROR(__xludf.DUMMYFUNCTION("""COMPUTED_VALUE"""),6161)</f>
        <v>6161</v>
      </c>
      <c r="F250" s="12">
        <f ca="1">IFERROR(__xludf.DUMMYFUNCTION("""COMPUTED_VALUE"""),4093)</f>
        <v>4093</v>
      </c>
      <c r="G250" s="12">
        <f ca="1">IFERROR(__xludf.DUMMYFUNCTION("""COMPUTED_VALUE"""),3940)</f>
        <v>3940</v>
      </c>
      <c r="H250" s="12">
        <f ca="1">IFERROR(__xludf.DUMMYFUNCTION("""COMPUTED_VALUE"""),4959)</f>
        <v>4959</v>
      </c>
      <c r="I250" s="12">
        <f ca="1">IFERROR(__xludf.DUMMYFUNCTION("""COMPUTED_VALUE"""),5581)</f>
        <v>5581</v>
      </c>
      <c r="J250" s="12">
        <f ca="1">IFERROR(__xludf.DUMMYFUNCTION("""COMPUTED_VALUE"""),4578)</f>
        <v>4578</v>
      </c>
      <c r="K250" s="12">
        <f ca="1">IFERROR(__xludf.DUMMYFUNCTION("""COMPUTED_VALUE"""),4316)</f>
        <v>4316</v>
      </c>
      <c r="L250" s="12">
        <f ca="1">IFERROR(__xludf.DUMMYFUNCTION("""COMPUTED_VALUE"""),2940)</f>
        <v>2940</v>
      </c>
      <c r="M250" s="12">
        <f ca="1">IFERROR(__xludf.DUMMYFUNCTION("""COMPUTED_VALUE"""),7809)</f>
        <v>7809</v>
      </c>
      <c r="N250" s="12">
        <f ca="1">IFERROR(__xludf.DUMMYFUNCTION("""COMPUTED_VALUE"""),5732)</f>
        <v>5732</v>
      </c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spans="1:38" ht="13.2" x14ac:dyDescent="0.25">
      <c r="A251" s="12" t="str">
        <f ca="1">IFERROR(__xludf.DUMMYFUNCTION("""COMPUTED_VALUE"""),"                     right Entorhinal area")</f>
        <v xml:space="preserve">                     right Entorhinal area</v>
      </c>
      <c r="B251" s="12">
        <f ca="1">IFERROR(__xludf.DUMMYFUNCTION("""COMPUTED_VALUE"""),5583)</f>
        <v>5583</v>
      </c>
      <c r="C251" s="12">
        <f ca="1">IFERROR(__xludf.DUMMYFUNCTION("""COMPUTED_VALUE"""),7009)</f>
        <v>7009</v>
      </c>
      <c r="D251" s="12">
        <f ca="1">IFERROR(__xludf.DUMMYFUNCTION("""COMPUTED_VALUE"""),8844)</f>
        <v>8844</v>
      </c>
      <c r="E251" s="12">
        <f ca="1">IFERROR(__xludf.DUMMYFUNCTION("""COMPUTED_VALUE"""),6073)</f>
        <v>6073</v>
      </c>
      <c r="F251" s="12">
        <f ca="1">IFERROR(__xludf.DUMMYFUNCTION("""COMPUTED_VALUE"""),3319)</f>
        <v>3319</v>
      </c>
      <c r="G251" s="12">
        <f ca="1">IFERROR(__xludf.DUMMYFUNCTION("""COMPUTED_VALUE"""),4109)</f>
        <v>4109</v>
      </c>
      <c r="H251" s="12">
        <f ca="1">IFERROR(__xludf.DUMMYFUNCTION("""COMPUTED_VALUE"""),5239)</f>
        <v>5239</v>
      </c>
      <c r="I251" s="12">
        <f ca="1">IFERROR(__xludf.DUMMYFUNCTION("""COMPUTED_VALUE"""),5363)</f>
        <v>5363</v>
      </c>
      <c r="J251" s="12">
        <f ca="1">IFERROR(__xludf.DUMMYFUNCTION("""COMPUTED_VALUE"""),4872)</f>
        <v>4872</v>
      </c>
      <c r="K251" s="12">
        <f ca="1">IFERROR(__xludf.DUMMYFUNCTION("""COMPUTED_VALUE"""),3301)</f>
        <v>3301</v>
      </c>
      <c r="L251" s="12">
        <f ca="1">IFERROR(__xludf.DUMMYFUNCTION("""COMPUTED_VALUE"""),1992)</f>
        <v>1992</v>
      </c>
      <c r="M251" s="12">
        <f ca="1">IFERROR(__xludf.DUMMYFUNCTION("""COMPUTED_VALUE"""),7369)</f>
        <v>7369</v>
      </c>
      <c r="N251" s="12">
        <f ca="1">IFERROR(__xludf.DUMMYFUNCTION("""COMPUTED_VALUE"""),5466)</f>
        <v>5466</v>
      </c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spans="1:38" ht="13.2" x14ac:dyDescent="0.25">
      <c r="A252" s="12" t="str">
        <f ca="1">IFERROR(__xludf.DUMMYFUNCTION("""COMPUTED_VALUE"""),"                        right Entorhinal area, lateral part")</f>
        <v xml:space="preserve">                        right Entorhinal area, lateral part</v>
      </c>
      <c r="B252" s="12">
        <f ca="1">IFERROR(__xludf.DUMMYFUNCTION("""COMPUTED_VALUE"""),6792)</f>
        <v>6792</v>
      </c>
      <c r="C252" s="12">
        <f ca="1">IFERROR(__xludf.DUMMYFUNCTION("""COMPUTED_VALUE"""),9590)</f>
        <v>9590</v>
      </c>
      <c r="D252" s="12">
        <f ca="1">IFERROR(__xludf.DUMMYFUNCTION("""COMPUTED_VALUE"""),10595)</f>
        <v>10595</v>
      </c>
      <c r="E252" s="12">
        <f ca="1">IFERROR(__xludf.DUMMYFUNCTION("""COMPUTED_VALUE"""),6662)</f>
        <v>6662</v>
      </c>
      <c r="F252" s="12">
        <f ca="1">IFERROR(__xludf.DUMMYFUNCTION("""COMPUTED_VALUE"""),3540)</f>
        <v>3540</v>
      </c>
      <c r="G252" s="12">
        <f ca="1">IFERROR(__xludf.DUMMYFUNCTION("""COMPUTED_VALUE"""),4038)</f>
        <v>4038</v>
      </c>
      <c r="H252" s="12">
        <f ca="1">IFERROR(__xludf.DUMMYFUNCTION("""COMPUTED_VALUE"""),6846)</f>
        <v>6846</v>
      </c>
      <c r="I252" s="12">
        <f ca="1">IFERROR(__xludf.DUMMYFUNCTION("""COMPUTED_VALUE"""),6531)</f>
        <v>6531</v>
      </c>
      <c r="J252" s="12">
        <f ca="1">IFERROR(__xludf.DUMMYFUNCTION("""COMPUTED_VALUE"""),6327)</f>
        <v>6327</v>
      </c>
      <c r="K252" s="12">
        <f ca="1">IFERROR(__xludf.DUMMYFUNCTION("""COMPUTED_VALUE"""),4127)</f>
        <v>4127</v>
      </c>
      <c r="L252" s="12">
        <f ca="1">IFERROR(__xludf.DUMMYFUNCTION("""COMPUTED_VALUE"""),2629)</f>
        <v>2629</v>
      </c>
      <c r="M252" s="12">
        <f ca="1">IFERROR(__xludf.DUMMYFUNCTION("""COMPUTED_VALUE"""),10056)</f>
        <v>10056</v>
      </c>
      <c r="N252" s="12">
        <f ca="1">IFERROR(__xludf.DUMMYFUNCTION("""COMPUTED_VALUE"""),6686)</f>
        <v>6686</v>
      </c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spans="1:38" ht="13.2" x14ac:dyDescent="0.25">
      <c r="A253" s="12" t="str">
        <f ca="1">IFERROR(__xludf.DUMMYFUNCTION("""COMPUTED_VALUE"""),"                        right Entorhinal area, medial part, dorsal zone")</f>
        <v xml:space="preserve">                        right Entorhinal area, medial part, dorsal zone</v>
      </c>
      <c r="B253" s="12">
        <f ca="1">IFERROR(__xludf.DUMMYFUNCTION("""COMPUTED_VALUE"""),4049)</f>
        <v>4049</v>
      </c>
      <c r="C253" s="12">
        <f ca="1">IFERROR(__xludf.DUMMYFUNCTION("""COMPUTED_VALUE"""),3736)</f>
        <v>3736</v>
      </c>
      <c r="D253" s="12">
        <f ca="1">IFERROR(__xludf.DUMMYFUNCTION("""COMPUTED_VALUE"""),6624)</f>
        <v>6624</v>
      </c>
      <c r="E253" s="12">
        <f ca="1">IFERROR(__xludf.DUMMYFUNCTION("""COMPUTED_VALUE"""),5326)</f>
        <v>5326</v>
      </c>
      <c r="F253" s="12">
        <f ca="1">IFERROR(__xludf.DUMMYFUNCTION("""COMPUTED_VALUE"""),3038)</f>
        <v>3038</v>
      </c>
      <c r="G253" s="12">
        <f ca="1">IFERROR(__xludf.DUMMYFUNCTION("""COMPUTED_VALUE"""),4199)</f>
        <v>4199</v>
      </c>
      <c r="H253" s="12">
        <f ca="1">IFERROR(__xludf.DUMMYFUNCTION("""COMPUTED_VALUE"""),3201)</f>
        <v>3201</v>
      </c>
      <c r="I253" s="12">
        <f ca="1">IFERROR(__xludf.DUMMYFUNCTION("""COMPUTED_VALUE"""),3883)</f>
        <v>3883</v>
      </c>
      <c r="J253" s="12">
        <f ca="1">IFERROR(__xludf.DUMMYFUNCTION("""COMPUTED_VALUE"""),3026)</f>
        <v>3026</v>
      </c>
      <c r="K253" s="12">
        <f ca="1">IFERROR(__xludf.DUMMYFUNCTION("""COMPUTED_VALUE"""),2254)</f>
        <v>2254</v>
      </c>
      <c r="L253" s="12">
        <f ca="1">IFERROR(__xludf.DUMMYFUNCTION("""COMPUTED_VALUE"""),1185)</f>
        <v>1185</v>
      </c>
      <c r="M253" s="12">
        <f ca="1">IFERROR(__xludf.DUMMYFUNCTION("""COMPUTED_VALUE"""),3959)</f>
        <v>3959</v>
      </c>
      <c r="N253" s="12">
        <f ca="1">IFERROR(__xludf.DUMMYFUNCTION("""COMPUTED_VALUE"""),3919)</f>
        <v>3919</v>
      </c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spans="1:38" ht="13.2" x14ac:dyDescent="0.25">
      <c r="A254" s="12" t="str">
        <f ca="1">IFERROR(__xludf.DUMMYFUNCTION("""COMPUTED_VALUE"""),"                     right Parasubiculum")</f>
        <v xml:space="preserve">                     right Parasubiculum</v>
      </c>
      <c r="B254" s="12">
        <f ca="1">IFERROR(__xludf.DUMMYFUNCTION("""COMPUTED_VALUE"""),1517)</f>
        <v>1517</v>
      </c>
      <c r="C254" s="12">
        <f ca="1">IFERROR(__xludf.DUMMYFUNCTION("""COMPUTED_VALUE"""),2729)</f>
        <v>2729</v>
      </c>
      <c r="D254" s="12">
        <f ca="1">IFERROR(__xludf.DUMMYFUNCTION("""COMPUTED_VALUE"""),5281)</f>
        <v>5281</v>
      </c>
      <c r="E254" s="12">
        <f ca="1">IFERROR(__xludf.DUMMYFUNCTION("""COMPUTED_VALUE"""),3356)</f>
        <v>3356</v>
      </c>
      <c r="F254" s="12">
        <f ca="1">IFERROR(__xludf.DUMMYFUNCTION("""COMPUTED_VALUE"""),3327)</f>
        <v>3327</v>
      </c>
      <c r="G254" s="12">
        <f ca="1">IFERROR(__xludf.DUMMYFUNCTION("""COMPUTED_VALUE"""),3087)</f>
        <v>3087</v>
      </c>
      <c r="H254" s="12">
        <f ca="1">IFERROR(__xludf.DUMMYFUNCTION("""COMPUTED_VALUE"""),1198)</f>
        <v>1198</v>
      </c>
      <c r="I254" s="12">
        <f ca="1">IFERROR(__xludf.DUMMYFUNCTION("""COMPUTED_VALUE"""),2413)</f>
        <v>2413</v>
      </c>
      <c r="J254" s="12">
        <f ca="1">IFERROR(__xludf.DUMMYFUNCTION("""COMPUTED_VALUE"""),1638)</f>
        <v>1638</v>
      </c>
      <c r="K254" s="12">
        <f ca="1">IFERROR(__xludf.DUMMYFUNCTION("""COMPUTED_VALUE"""),3782)</f>
        <v>3782</v>
      </c>
      <c r="L254" s="12">
        <f ca="1">IFERROR(__xludf.DUMMYFUNCTION("""COMPUTED_VALUE"""),974)</f>
        <v>974</v>
      </c>
      <c r="M254" s="12">
        <f ca="1">IFERROR(__xludf.DUMMYFUNCTION("""COMPUTED_VALUE"""),1168)</f>
        <v>1168</v>
      </c>
      <c r="N254" s="12">
        <f ca="1">IFERROR(__xludf.DUMMYFUNCTION("""COMPUTED_VALUE"""),2699)</f>
        <v>2699</v>
      </c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spans="1:38" ht="13.2" x14ac:dyDescent="0.25">
      <c r="A255" s="12" t="str">
        <f ca="1">IFERROR(__xludf.DUMMYFUNCTION("""COMPUTED_VALUE"""),"                     right Postsubiculum")</f>
        <v xml:space="preserve">                     right Postsubiculum</v>
      </c>
      <c r="B255" s="12">
        <f ca="1">IFERROR(__xludf.DUMMYFUNCTION("""COMPUTED_VALUE"""),20320)</f>
        <v>20320</v>
      </c>
      <c r="C255" s="12">
        <f ca="1">IFERROR(__xludf.DUMMYFUNCTION("""COMPUTED_VALUE"""),9755)</f>
        <v>9755</v>
      </c>
      <c r="D255" s="12">
        <f ca="1">IFERROR(__xludf.DUMMYFUNCTION("""COMPUTED_VALUE"""),7619)</f>
        <v>7619</v>
      </c>
      <c r="E255" s="12">
        <f ca="1">IFERROR(__xludf.DUMMYFUNCTION("""COMPUTED_VALUE"""),7118)</f>
        <v>7118</v>
      </c>
      <c r="F255" s="12">
        <f ca="1">IFERROR(__xludf.DUMMYFUNCTION("""COMPUTED_VALUE"""),9229)</f>
        <v>9229</v>
      </c>
      <c r="G255" s="12">
        <f ca="1">IFERROR(__xludf.DUMMYFUNCTION("""COMPUTED_VALUE"""),4542)</f>
        <v>4542</v>
      </c>
      <c r="H255" s="12">
        <f ca="1">IFERROR(__xludf.DUMMYFUNCTION("""COMPUTED_VALUE"""),4724)</f>
        <v>4724</v>
      </c>
      <c r="I255" s="12">
        <f ca="1">IFERROR(__xludf.DUMMYFUNCTION("""COMPUTED_VALUE"""),5092)</f>
        <v>5092</v>
      </c>
      <c r="J255" s="12">
        <f ca="1">IFERROR(__xludf.DUMMYFUNCTION("""COMPUTED_VALUE"""),4532)</f>
        <v>4532</v>
      </c>
      <c r="K255" s="12">
        <f ca="1">IFERROR(__xludf.DUMMYFUNCTION("""COMPUTED_VALUE"""),8247)</f>
        <v>8247</v>
      </c>
      <c r="L255" s="12">
        <f ca="1">IFERROR(__xludf.DUMMYFUNCTION("""COMPUTED_VALUE"""),8617)</f>
        <v>8617</v>
      </c>
      <c r="M255" s="12">
        <f ca="1">IFERROR(__xludf.DUMMYFUNCTION("""COMPUTED_VALUE"""),12666)</f>
        <v>12666</v>
      </c>
      <c r="N255" s="12">
        <f ca="1">IFERROR(__xludf.DUMMYFUNCTION("""COMPUTED_VALUE"""),8279)</f>
        <v>8279</v>
      </c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spans="1:38" ht="13.2" x14ac:dyDescent="0.25">
      <c r="A256" s="12" t="str">
        <f ca="1">IFERROR(__xludf.DUMMYFUNCTION("""COMPUTED_VALUE"""),"                     right Presubiculum")</f>
        <v xml:space="preserve">                     right Presubiculum</v>
      </c>
      <c r="B256" s="12">
        <f ca="1">IFERROR(__xludf.DUMMYFUNCTION("""COMPUTED_VALUE"""),4308)</f>
        <v>4308</v>
      </c>
      <c r="C256" s="12">
        <f ca="1">IFERROR(__xludf.DUMMYFUNCTION("""COMPUTED_VALUE"""),5006)</f>
        <v>5006</v>
      </c>
      <c r="D256" s="12">
        <f ca="1">IFERROR(__xludf.DUMMYFUNCTION("""COMPUTED_VALUE"""),7546)</f>
        <v>7546</v>
      </c>
      <c r="E256" s="12">
        <f ca="1">IFERROR(__xludf.DUMMYFUNCTION("""COMPUTED_VALUE"""),6276)</f>
        <v>6276</v>
      </c>
      <c r="F256" s="12">
        <f ca="1">IFERROR(__xludf.DUMMYFUNCTION("""COMPUTED_VALUE"""),6454)</f>
        <v>6454</v>
      </c>
      <c r="G256" s="12">
        <f ca="1">IFERROR(__xludf.DUMMYFUNCTION("""COMPUTED_VALUE"""),4159)</f>
        <v>4159</v>
      </c>
      <c r="H256" s="12">
        <f ca="1">IFERROR(__xludf.DUMMYFUNCTION("""COMPUTED_VALUE"""),1730)</f>
        <v>1730</v>
      </c>
      <c r="I256" s="12">
        <f ca="1">IFERROR(__xludf.DUMMYFUNCTION("""COMPUTED_VALUE"""),4249)</f>
        <v>4249</v>
      </c>
      <c r="J256" s="12">
        <f ca="1">IFERROR(__xludf.DUMMYFUNCTION("""COMPUTED_VALUE"""),3525)</f>
        <v>3525</v>
      </c>
      <c r="K256" s="12">
        <f ca="1">IFERROR(__xludf.DUMMYFUNCTION("""COMPUTED_VALUE"""),9611)</f>
        <v>9611</v>
      </c>
      <c r="L256" s="12">
        <f ca="1">IFERROR(__xludf.DUMMYFUNCTION("""COMPUTED_VALUE"""),1853)</f>
        <v>1853</v>
      </c>
      <c r="M256" s="12">
        <f ca="1">IFERROR(__xludf.DUMMYFUNCTION("""COMPUTED_VALUE"""),5896)</f>
        <v>5896</v>
      </c>
      <c r="N256" s="12">
        <f ca="1">IFERROR(__xludf.DUMMYFUNCTION("""COMPUTED_VALUE"""),5035)</f>
        <v>5035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spans="1:38" ht="13.2" x14ac:dyDescent="0.25">
      <c r="A257" s="12" t="str">
        <f ca="1">IFERROR(__xludf.DUMMYFUNCTION("""COMPUTED_VALUE"""),"                     right Subiculum")</f>
        <v xml:space="preserve">                     right Subiculum</v>
      </c>
      <c r="B257" s="12">
        <f ca="1">IFERROR(__xludf.DUMMYFUNCTION("""COMPUTED_VALUE"""),9449)</f>
        <v>9449</v>
      </c>
      <c r="C257" s="12">
        <f ca="1">IFERROR(__xludf.DUMMYFUNCTION("""COMPUTED_VALUE"""),6295)</f>
        <v>6295</v>
      </c>
      <c r="D257" s="12">
        <f ca="1">IFERROR(__xludf.DUMMYFUNCTION("""COMPUTED_VALUE"""),8696)</f>
        <v>8696</v>
      </c>
      <c r="E257" s="12">
        <f ca="1">IFERROR(__xludf.DUMMYFUNCTION("""COMPUTED_VALUE"""),6545)</f>
        <v>6545</v>
      </c>
      <c r="F257" s="12">
        <f ca="1">IFERROR(__xludf.DUMMYFUNCTION("""COMPUTED_VALUE"""),4407)</f>
        <v>4407</v>
      </c>
      <c r="G257" s="12">
        <f ca="1">IFERROR(__xludf.DUMMYFUNCTION("""COMPUTED_VALUE"""),3524)</f>
        <v>3524</v>
      </c>
      <c r="H257" s="12">
        <f ca="1">IFERROR(__xludf.DUMMYFUNCTION("""COMPUTED_VALUE"""),4225)</f>
        <v>4225</v>
      </c>
      <c r="I257" s="12">
        <f ca="1">IFERROR(__xludf.DUMMYFUNCTION("""COMPUTED_VALUE"""),6038)</f>
        <v>6038</v>
      </c>
      <c r="J257" s="12">
        <f ca="1">IFERROR(__xludf.DUMMYFUNCTION("""COMPUTED_VALUE"""),4304)</f>
        <v>4304</v>
      </c>
      <c r="K257" s="12">
        <f ca="1">IFERROR(__xludf.DUMMYFUNCTION("""COMPUTED_VALUE"""),4299)</f>
        <v>4299</v>
      </c>
      <c r="L257" s="12">
        <f ca="1">IFERROR(__xludf.DUMMYFUNCTION("""COMPUTED_VALUE"""),4513)</f>
        <v>4513</v>
      </c>
      <c r="M257" s="12">
        <f ca="1">IFERROR(__xludf.DUMMYFUNCTION("""COMPUTED_VALUE"""),8148)</f>
        <v>8148</v>
      </c>
      <c r="N257" s="12">
        <f ca="1">IFERROR(__xludf.DUMMYFUNCTION("""COMPUTED_VALUE"""),5902)</f>
        <v>5902</v>
      </c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spans="1:38" ht="13.2" x14ac:dyDescent="0.25">
      <c r="A258" s="12" t="str">
        <f ca="1">IFERROR(__xludf.DUMMYFUNCTION("""COMPUTED_VALUE"""),"                     right Prosubiculum")</f>
        <v xml:space="preserve">                     right Prosubiculum</v>
      </c>
      <c r="B258" s="12">
        <f ca="1">IFERROR(__xludf.DUMMYFUNCTION("""COMPUTED_VALUE"""),9978)</f>
        <v>9978</v>
      </c>
      <c r="C258" s="12">
        <f ca="1">IFERROR(__xludf.DUMMYFUNCTION("""COMPUTED_VALUE"""),10235)</f>
        <v>10235</v>
      </c>
      <c r="D258" s="12">
        <f ca="1">IFERROR(__xludf.DUMMYFUNCTION("""COMPUTED_VALUE"""),12646)</f>
        <v>12646</v>
      </c>
      <c r="E258" s="12">
        <f ca="1">IFERROR(__xludf.DUMMYFUNCTION("""COMPUTED_VALUE"""),7500)</f>
        <v>7500</v>
      </c>
      <c r="F258" s="12">
        <f ca="1">IFERROR(__xludf.DUMMYFUNCTION("""COMPUTED_VALUE"""),4543)</f>
        <v>4543</v>
      </c>
      <c r="G258" s="12">
        <f ca="1">IFERROR(__xludf.DUMMYFUNCTION("""COMPUTED_VALUE"""),3106)</f>
        <v>3106</v>
      </c>
      <c r="H258" s="12">
        <f ca="1">IFERROR(__xludf.DUMMYFUNCTION("""COMPUTED_VALUE"""),8003)</f>
        <v>8003</v>
      </c>
      <c r="I258" s="12">
        <f ca="1">IFERROR(__xludf.DUMMYFUNCTION("""COMPUTED_VALUE"""),9704)</f>
        <v>9704</v>
      </c>
      <c r="J258" s="12">
        <f ca="1">IFERROR(__xludf.DUMMYFUNCTION("""COMPUTED_VALUE"""),5547)</f>
        <v>5547</v>
      </c>
      <c r="K258" s="12">
        <f ca="1">IFERROR(__xludf.DUMMYFUNCTION("""COMPUTED_VALUE"""),5737)</f>
        <v>5737</v>
      </c>
      <c r="L258" s="12">
        <f ca="1">IFERROR(__xludf.DUMMYFUNCTION("""COMPUTED_VALUE"""),5483)</f>
        <v>5483</v>
      </c>
      <c r="M258" s="12">
        <f ca="1">IFERROR(__xludf.DUMMYFUNCTION("""COMPUTED_VALUE"""),13583)</f>
        <v>13583</v>
      </c>
      <c r="N258" s="12">
        <f ca="1">IFERROR(__xludf.DUMMYFUNCTION("""COMPUTED_VALUE"""),8095)</f>
        <v>8095</v>
      </c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spans="1:38" ht="13.2" x14ac:dyDescent="0.25">
      <c r="A259" s="12" t="str">
        <f ca="1">IFERROR(__xludf.DUMMYFUNCTION("""COMPUTED_VALUE"""),"                     right Hippocampo-amygdalar transition area")</f>
        <v xml:space="preserve">                     right Hippocampo-amygdalar transition area</v>
      </c>
      <c r="B259" s="12">
        <f ca="1">IFERROR(__xludf.DUMMYFUNCTION("""COMPUTED_VALUE"""),10829)</f>
        <v>10829</v>
      </c>
      <c r="C259" s="12">
        <f ca="1">IFERROR(__xludf.DUMMYFUNCTION("""COMPUTED_VALUE"""),5401)</f>
        <v>5401</v>
      </c>
      <c r="D259" s="12">
        <f ca="1">IFERROR(__xludf.DUMMYFUNCTION("""COMPUTED_VALUE"""),7473)</f>
        <v>7473</v>
      </c>
      <c r="E259" s="12">
        <f ca="1">IFERROR(__xludf.DUMMYFUNCTION("""COMPUTED_VALUE"""),5800)</f>
        <v>5800</v>
      </c>
      <c r="F259" s="12">
        <f ca="1">IFERROR(__xludf.DUMMYFUNCTION("""COMPUTED_VALUE"""),3032)</f>
        <v>3032</v>
      </c>
      <c r="G259" s="12">
        <f ca="1">IFERROR(__xludf.DUMMYFUNCTION("""COMPUTED_VALUE"""),3773)</f>
        <v>3773</v>
      </c>
      <c r="H259" s="12">
        <f ca="1">IFERROR(__xludf.DUMMYFUNCTION("""COMPUTED_VALUE"""),8548)</f>
        <v>8548</v>
      </c>
      <c r="I259" s="12">
        <f ca="1">IFERROR(__xludf.DUMMYFUNCTION("""COMPUTED_VALUE"""),7455)</f>
        <v>7455</v>
      </c>
      <c r="J259" s="12">
        <f ca="1">IFERROR(__xludf.DUMMYFUNCTION("""COMPUTED_VALUE"""),4361)</f>
        <v>4361</v>
      </c>
      <c r="K259" s="12">
        <f ca="1">IFERROR(__xludf.DUMMYFUNCTION("""COMPUTED_VALUE"""),4313)</f>
        <v>4313</v>
      </c>
      <c r="L259" s="12">
        <f ca="1">IFERROR(__xludf.DUMMYFUNCTION("""COMPUTED_VALUE"""),3376)</f>
        <v>3376</v>
      </c>
      <c r="M259" s="12">
        <f ca="1">IFERROR(__xludf.DUMMYFUNCTION("""COMPUTED_VALUE"""),7642)</f>
        <v>7642</v>
      </c>
      <c r="N259" s="12">
        <f ca="1">IFERROR(__xludf.DUMMYFUNCTION("""COMPUTED_VALUE"""),6080)</f>
        <v>6080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spans="1:38" ht="13.2" x14ac:dyDescent="0.25">
      <c r="A260" s="12" t="str">
        <f ca="1">IFERROR(__xludf.DUMMYFUNCTION("""COMPUTED_VALUE"""),"                     right Area prostriata")</f>
        <v xml:space="preserve">                     right Area prostriata</v>
      </c>
      <c r="B260" s="12">
        <f ca="1">IFERROR(__xludf.DUMMYFUNCTION("""COMPUTED_VALUE"""),9470)</f>
        <v>9470</v>
      </c>
      <c r="C260" s="12">
        <f ca="1">IFERROR(__xludf.DUMMYFUNCTION("""COMPUTED_VALUE"""),8805)</f>
        <v>8805</v>
      </c>
      <c r="D260" s="12">
        <f ca="1">IFERROR(__xludf.DUMMYFUNCTION("""COMPUTED_VALUE"""),5761)</f>
        <v>5761</v>
      </c>
      <c r="E260" s="12">
        <f ca="1">IFERROR(__xludf.DUMMYFUNCTION("""COMPUTED_VALUE"""),6406)</f>
        <v>6406</v>
      </c>
      <c r="F260" s="12">
        <f ca="1">IFERROR(__xludf.DUMMYFUNCTION("""COMPUTED_VALUE"""),7275)</f>
        <v>7275</v>
      </c>
      <c r="G260" s="12">
        <f ca="1">IFERROR(__xludf.DUMMYFUNCTION("""COMPUTED_VALUE"""),4047)</f>
        <v>4047</v>
      </c>
      <c r="H260" s="12">
        <f ca="1">IFERROR(__xludf.DUMMYFUNCTION("""COMPUTED_VALUE"""),3804)</f>
        <v>3804</v>
      </c>
      <c r="I260" s="12">
        <f ca="1">IFERROR(__xludf.DUMMYFUNCTION("""COMPUTED_VALUE"""),5839)</f>
        <v>5839</v>
      </c>
      <c r="J260" s="12">
        <f ca="1">IFERROR(__xludf.DUMMYFUNCTION("""COMPUTED_VALUE"""),4048)</f>
        <v>4048</v>
      </c>
      <c r="K260" s="12">
        <f ca="1">IFERROR(__xludf.DUMMYFUNCTION("""COMPUTED_VALUE"""),7790)</f>
        <v>7790</v>
      </c>
      <c r="L260" s="12">
        <f ca="1">IFERROR(__xludf.DUMMYFUNCTION("""COMPUTED_VALUE"""),5194)</f>
        <v>5194</v>
      </c>
      <c r="M260" s="12">
        <f ca="1">IFERROR(__xludf.DUMMYFUNCTION("""COMPUTED_VALUE"""),6551)</f>
        <v>6551</v>
      </c>
      <c r="N260" s="12">
        <f ca="1">IFERROR(__xludf.DUMMYFUNCTION("""COMPUTED_VALUE"""),6303)</f>
        <v>6303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spans="1:38" ht="13.2" x14ac:dyDescent="0.25">
      <c r="A261" s="12" t="str">
        <f ca="1">IFERROR(__xludf.DUMMYFUNCTION("""COMPUTED_VALUE"""),"            right Cortical subplate")</f>
        <v xml:space="preserve">            right Cortical subplate</v>
      </c>
      <c r="B261" s="12">
        <f ca="1">IFERROR(__xludf.DUMMYFUNCTION("""COMPUTED_VALUE"""),11904)</f>
        <v>11904</v>
      </c>
      <c r="C261" s="12">
        <f ca="1">IFERROR(__xludf.DUMMYFUNCTION("""COMPUTED_VALUE"""),7845)</f>
        <v>7845</v>
      </c>
      <c r="D261" s="12">
        <f ca="1">IFERROR(__xludf.DUMMYFUNCTION("""COMPUTED_VALUE"""),8760)</f>
        <v>8760</v>
      </c>
      <c r="E261" s="12">
        <f ca="1">IFERROR(__xludf.DUMMYFUNCTION("""COMPUTED_VALUE"""),6810)</f>
        <v>6810</v>
      </c>
      <c r="F261" s="12">
        <f ca="1">IFERROR(__xludf.DUMMYFUNCTION("""COMPUTED_VALUE"""),3766)</f>
        <v>3766</v>
      </c>
      <c r="G261" s="12">
        <f ca="1">IFERROR(__xludf.DUMMYFUNCTION("""COMPUTED_VALUE"""),4269)</f>
        <v>4269</v>
      </c>
      <c r="H261" s="12">
        <f ca="1">IFERROR(__xludf.DUMMYFUNCTION("""COMPUTED_VALUE"""),10695)</f>
        <v>10695</v>
      </c>
      <c r="I261" s="12">
        <f ca="1">IFERROR(__xludf.DUMMYFUNCTION("""COMPUTED_VALUE"""),10884)</f>
        <v>10884</v>
      </c>
      <c r="J261" s="12">
        <f ca="1">IFERROR(__xludf.DUMMYFUNCTION("""COMPUTED_VALUE"""),6120)</f>
        <v>6120</v>
      </c>
      <c r="K261" s="12">
        <f ca="1">IFERROR(__xludf.DUMMYFUNCTION("""COMPUTED_VALUE"""),5300)</f>
        <v>5300</v>
      </c>
      <c r="L261" s="12">
        <f ca="1">IFERROR(__xludf.DUMMYFUNCTION("""COMPUTED_VALUE"""),6014)</f>
        <v>6014</v>
      </c>
      <c r="M261" s="12">
        <f ca="1">IFERROR(__xludf.DUMMYFUNCTION("""COMPUTED_VALUE"""),6265)</f>
        <v>6265</v>
      </c>
      <c r="N261" s="12">
        <f ca="1">IFERROR(__xludf.DUMMYFUNCTION("""COMPUTED_VALUE"""),7577)</f>
        <v>7577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spans="1:38" ht="13.2" x14ac:dyDescent="0.25">
      <c r="A262" s="12" t="str">
        <f ca="1">IFERROR(__xludf.DUMMYFUNCTION("""COMPUTED_VALUE"""),"               right Claustrum")</f>
        <v xml:space="preserve">               right Claustrum</v>
      </c>
      <c r="B262" s="12">
        <f ca="1">IFERROR(__xludf.DUMMYFUNCTION("""COMPUTED_VALUE"""),21948)</f>
        <v>21948</v>
      </c>
      <c r="C262" s="12">
        <f ca="1">IFERROR(__xludf.DUMMYFUNCTION("""COMPUTED_VALUE"""),15100)</f>
        <v>15100</v>
      </c>
      <c r="D262" s="12">
        <f ca="1">IFERROR(__xludf.DUMMYFUNCTION("""COMPUTED_VALUE"""),8972)</f>
        <v>8972</v>
      </c>
      <c r="E262" s="12">
        <f ca="1">IFERROR(__xludf.DUMMYFUNCTION("""COMPUTED_VALUE"""),13526)</f>
        <v>13526</v>
      </c>
      <c r="F262" s="12">
        <f ca="1">IFERROR(__xludf.DUMMYFUNCTION("""COMPUTED_VALUE"""),6338)</f>
        <v>6338</v>
      </c>
      <c r="G262" s="12">
        <f ca="1">IFERROR(__xludf.DUMMYFUNCTION("""COMPUTED_VALUE"""),8217)</f>
        <v>8217</v>
      </c>
      <c r="H262" s="12">
        <f ca="1">IFERROR(__xludf.DUMMYFUNCTION("""COMPUTED_VALUE"""),14616)</f>
        <v>14616</v>
      </c>
      <c r="I262" s="12">
        <f ca="1">IFERROR(__xludf.DUMMYFUNCTION("""COMPUTED_VALUE"""),16450)</f>
        <v>16450</v>
      </c>
      <c r="J262" s="12">
        <f ca="1">IFERROR(__xludf.DUMMYFUNCTION("""COMPUTED_VALUE"""),13397)</f>
        <v>13397</v>
      </c>
      <c r="K262" s="12">
        <f ca="1">IFERROR(__xludf.DUMMYFUNCTION("""COMPUTED_VALUE"""),9555)</f>
        <v>9555</v>
      </c>
      <c r="L262" s="12">
        <f ca="1">IFERROR(__xludf.DUMMYFUNCTION("""COMPUTED_VALUE"""),8471)</f>
        <v>8471</v>
      </c>
      <c r="M262" s="12">
        <f ca="1">IFERROR(__xludf.DUMMYFUNCTION("""COMPUTED_VALUE"""),8994)</f>
        <v>8994</v>
      </c>
      <c r="N262" s="12">
        <f ca="1">IFERROR(__xludf.DUMMYFUNCTION("""COMPUTED_VALUE"""),12366)</f>
        <v>12366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spans="1:38" ht="13.2" x14ac:dyDescent="0.25">
      <c r="A263" s="12" t="str">
        <f ca="1">IFERROR(__xludf.DUMMYFUNCTION("""COMPUTED_VALUE"""),"               right Endopiriform nucleus")</f>
        <v xml:space="preserve">               right Endopiriform nucleus</v>
      </c>
      <c r="B263" s="12">
        <f ca="1">IFERROR(__xludf.DUMMYFUNCTION("""COMPUTED_VALUE"""),10970)</f>
        <v>10970</v>
      </c>
      <c r="C263" s="12">
        <f ca="1">IFERROR(__xludf.DUMMYFUNCTION("""COMPUTED_VALUE"""),8081)</f>
        <v>8081</v>
      </c>
      <c r="D263" s="12">
        <f ca="1">IFERROR(__xludf.DUMMYFUNCTION("""COMPUTED_VALUE"""),7075)</f>
        <v>7075</v>
      </c>
      <c r="E263" s="12">
        <f ca="1">IFERROR(__xludf.DUMMYFUNCTION("""COMPUTED_VALUE"""),6930)</f>
        <v>6930</v>
      </c>
      <c r="F263" s="12">
        <f ca="1">IFERROR(__xludf.DUMMYFUNCTION("""COMPUTED_VALUE"""),3512)</f>
        <v>3512</v>
      </c>
      <c r="G263" s="12">
        <f ca="1">IFERROR(__xludf.DUMMYFUNCTION("""COMPUTED_VALUE"""),3825)</f>
        <v>3825</v>
      </c>
      <c r="H263" s="12">
        <f ca="1">IFERROR(__xludf.DUMMYFUNCTION("""COMPUTED_VALUE"""),8823)</f>
        <v>8823</v>
      </c>
      <c r="I263" s="12">
        <f ca="1">IFERROR(__xludf.DUMMYFUNCTION("""COMPUTED_VALUE"""),8546)</f>
        <v>8546</v>
      </c>
      <c r="J263" s="12">
        <f ca="1">IFERROR(__xludf.DUMMYFUNCTION("""COMPUTED_VALUE"""),6920)</f>
        <v>6920</v>
      </c>
      <c r="K263" s="12">
        <f ca="1">IFERROR(__xludf.DUMMYFUNCTION("""COMPUTED_VALUE"""),4655)</f>
        <v>4655</v>
      </c>
      <c r="L263" s="12">
        <f ca="1">IFERROR(__xludf.DUMMYFUNCTION("""COMPUTED_VALUE"""),6072)</f>
        <v>6072</v>
      </c>
      <c r="M263" s="12">
        <f ca="1">IFERROR(__xludf.DUMMYFUNCTION("""COMPUTED_VALUE"""),5955)</f>
        <v>5955</v>
      </c>
      <c r="N263" s="12">
        <f ca="1">IFERROR(__xludf.DUMMYFUNCTION("""COMPUTED_VALUE"""),6884)</f>
        <v>6884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spans="1:38" ht="13.2" x14ac:dyDescent="0.25">
      <c r="A264" s="12" t="str">
        <f ca="1">IFERROR(__xludf.DUMMYFUNCTION("""COMPUTED_VALUE"""),"                  right Endopiriform nucleus, dorsal part")</f>
        <v xml:space="preserve">                  right Endopiriform nucleus, dorsal part</v>
      </c>
      <c r="B264" s="12">
        <f ca="1">IFERROR(__xludf.DUMMYFUNCTION("""COMPUTED_VALUE"""),12174)</f>
        <v>12174</v>
      </c>
      <c r="C264" s="12">
        <f ca="1">IFERROR(__xludf.DUMMYFUNCTION("""COMPUTED_VALUE"""),9347)</f>
        <v>9347</v>
      </c>
      <c r="D264" s="12">
        <f ca="1">IFERROR(__xludf.DUMMYFUNCTION("""COMPUTED_VALUE"""),7179)</f>
        <v>7179</v>
      </c>
      <c r="E264" s="12">
        <f ca="1">IFERROR(__xludf.DUMMYFUNCTION("""COMPUTED_VALUE"""),7952)</f>
        <v>7952</v>
      </c>
      <c r="F264" s="12">
        <f ca="1">IFERROR(__xludf.DUMMYFUNCTION("""COMPUTED_VALUE"""),3979)</f>
        <v>3979</v>
      </c>
      <c r="G264" s="12">
        <f ca="1">IFERROR(__xludf.DUMMYFUNCTION("""COMPUTED_VALUE"""),3958)</f>
        <v>3958</v>
      </c>
      <c r="H264" s="12">
        <f ca="1">IFERROR(__xludf.DUMMYFUNCTION("""COMPUTED_VALUE"""),9536)</f>
        <v>9536</v>
      </c>
      <c r="I264" s="12">
        <f ca="1">IFERROR(__xludf.DUMMYFUNCTION("""COMPUTED_VALUE"""),9452)</f>
        <v>9452</v>
      </c>
      <c r="J264" s="12">
        <f ca="1">IFERROR(__xludf.DUMMYFUNCTION("""COMPUTED_VALUE"""),7391)</f>
        <v>7391</v>
      </c>
      <c r="K264" s="12">
        <f ca="1">IFERROR(__xludf.DUMMYFUNCTION("""COMPUTED_VALUE"""),5055)</f>
        <v>5055</v>
      </c>
      <c r="L264" s="12">
        <f ca="1">IFERROR(__xludf.DUMMYFUNCTION("""COMPUTED_VALUE"""),6507)</f>
        <v>6507</v>
      </c>
      <c r="M264" s="12">
        <f ca="1">IFERROR(__xludf.DUMMYFUNCTION("""COMPUTED_VALUE"""),6477)</f>
        <v>6477</v>
      </c>
      <c r="N264" s="12">
        <f ca="1">IFERROR(__xludf.DUMMYFUNCTION("""COMPUTED_VALUE"""),7559)</f>
        <v>7559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spans="1:38" ht="13.2" x14ac:dyDescent="0.25">
      <c r="A265" s="12" t="str">
        <f ca="1">IFERROR(__xludf.DUMMYFUNCTION("""COMPUTED_VALUE"""),"                  right Endopiriform nucleus, ventral part")</f>
        <v xml:space="preserve">                  right Endopiriform nucleus, ventral part</v>
      </c>
      <c r="B265" s="12">
        <f ca="1">IFERROR(__xludf.DUMMYFUNCTION("""COMPUTED_VALUE"""),8722)</f>
        <v>8722</v>
      </c>
      <c r="C265" s="12">
        <f ca="1">IFERROR(__xludf.DUMMYFUNCTION("""COMPUTED_VALUE"""),5717)</f>
        <v>5717</v>
      </c>
      <c r="D265" s="12">
        <f ca="1">IFERROR(__xludf.DUMMYFUNCTION("""COMPUTED_VALUE"""),6880)</f>
        <v>6880</v>
      </c>
      <c r="E265" s="12">
        <f ca="1">IFERROR(__xludf.DUMMYFUNCTION("""COMPUTED_VALUE"""),5023)</f>
        <v>5023</v>
      </c>
      <c r="F265" s="12">
        <f ca="1">IFERROR(__xludf.DUMMYFUNCTION("""COMPUTED_VALUE"""),2641)</f>
        <v>2641</v>
      </c>
      <c r="G265" s="12">
        <f ca="1">IFERROR(__xludf.DUMMYFUNCTION("""COMPUTED_VALUE"""),3578)</f>
        <v>3578</v>
      </c>
      <c r="H265" s="12">
        <f ca="1">IFERROR(__xludf.DUMMYFUNCTION("""COMPUTED_VALUE"""),7491)</f>
        <v>7491</v>
      </c>
      <c r="I265" s="12">
        <f ca="1">IFERROR(__xludf.DUMMYFUNCTION("""COMPUTED_VALUE"""),6855)</f>
        <v>6855</v>
      </c>
      <c r="J265" s="12">
        <f ca="1">IFERROR(__xludf.DUMMYFUNCTION("""COMPUTED_VALUE"""),6040)</f>
        <v>6040</v>
      </c>
      <c r="K265" s="12">
        <f ca="1">IFERROR(__xludf.DUMMYFUNCTION("""COMPUTED_VALUE"""),3906)</f>
        <v>3906</v>
      </c>
      <c r="L265" s="12">
        <f ca="1">IFERROR(__xludf.DUMMYFUNCTION("""COMPUTED_VALUE"""),5260)</f>
        <v>5260</v>
      </c>
      <c r="M265" s="12">
        <f ca="1">IFERROR(__xludf.DUMMYFUNCTION("""COMPUTED_VALUE"""),4981)</f>
        <v>4981</v>
      </c>
      <c r="N265" s="12">
        <f ca="1">IFERROR(__xludf.DUMMYFUNCTION("""COMPUTED_VALUE"""),5625)</f>
        <v>5625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spans="1:38" ht="13.2" x14ac:dyDescent="0.25">
      <c r="A266" s="12" t="str">
        <f ca="1">IFERROR(__xludf.DUMMYFUNCTION("""COMPUTED_VALUE"""),"               right Lateral amygdalar nucleus")</f>
        <v xml:space="preserve">               right Lateral amygdalar nucleus</v>
      </c>
      <c r="B266" s="12">
        <f ca="1">IFERROR(__xludf.DUMMYFUNCTION("""COMPUTED_VALUE"""),12364)</f>
        <v>12364</v>
      </c>
      <c r="C266" s="12">
        <f ca="1">IFERROR(__xludf.DUMMYFUNCTION("""COMPUTED_VALUE"""),9072)</f>
        <v>9072</v>
      </c>
      <c r="D266" s="12">
        <f ca="1">IFERROR(__xludf.DUMMYFUNCTION("""COMPUTED_VALUE"""),12145)</f>
        <v>12145</v>
      </c>
      <c r="E266" s="12">
        <f ca="1">IFERROR(__xludf.DUMMYFUNCTION("""COMPUTED_VALUE"""),9770)</f>
        <v>9770</v>
      </c>
      <c r="F266" s="12">
        <f ca="1">IFERROR(__xludf.DUMMYFUNCTION("""COMPUTED_VALUE"""),6378)</f>
        <v>6378</v>
      </c>
      <c r="G266" s="12">
        <f ca="1">IFERROR(__xludf.DUMMYFUNCTION("""COMPUTED_VALUE"""),6605)</f>
        <v>6605</v>
      </c>
      <c r="H266" s="12">
        <f ca="1">IFERROR(__xludf.DUMMYFUNCTION("""COMPUTED_VALUE"""),17097)</f>
        <v>17097</v>
      </c>
      <c r="I266" s="12">
        <f ca="1">IFERROR(__xludf.DUMMYFUNCTION("""COMPUTED_VALUE"""),26165)</f>
        <v>26165</v>
      </c>
      <c r="J266" s="12">
        <f ca="1">IFERROR(__xludf.DUMMYFUNCTION("""COMPUTED_VALUE"""),5758)</f>
        <v>5758</v>
      </c>
      <c r="K266" s="12">
        <f ca="1">IFERROR(__xludf.DUMMYFUNCTION("""COMPUTED_VALUE"""),7958)</f>
        <v>7958</v>
      </c>
      <c r="L266" s="12">
        <f ca="1">IFERROR(__xludf.DUMMYFUNCTION("""COMPUTED_VALUE"""),7393)</f>
        <v>7393</v>
      </c>
      <c r="M266" s="12">
        <f ca="1">IFERROR(__xludf.DUMMYFUNCTION("""COMPUTED_VALUE"""),6293)</f>
        <v>6293</v>
      </c>
      <c r="N266" s="12">
        <f ca="1">IFERROR(__xludf.DUMMYFUNCTION("""COMPUTED_VALUE"""),11247)</f>
        <v>11247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spans="1:38" ht="13.2" x14ac:dyDescent="0.25">
      <c r="A267" s="12" t="str">
        <f ca="1">IFERROR(__xludf.DUMMYFUNCTION("""COMPUTED_VALUE"""),"               right Basolateral amygdalar nucleus")</f>
        <v xml:space="preserve">               right Basolateral amygdalar nucleus</v>
      </c>
      <c r="B267" s="12">
        <f ca="1">IFERROR(__xludf.DUMMYFUNCTION("""COMPUTED_VALUE"""),9895)</f>
        <v>9895</v>
      </c>
      <c r="C267" s="12">
        <f ca="1">IFERROR(__xludf.DUMMYFUNCTION("""COMPUTED_VALUE"""),6818)</f>
        <v>6818</v>
      </c>
      <c r="D267" s="12">
        <f ca="1">IFERROR(__xludf.DUMMYFUNCTION("""COMPUTED_VALUE"""),8515)</f>
        <v>8515</v>
      </c>
      <c r="E267" s="12">
        <f ca="1">IFERROR(__xludf.DUMMYFUNCTION("""COMPUTED_VALUE"""),4627)</f>
        <v>4627</v>
      </c>
      <c r="F267" s="12">
        <f ca="1">IFERROR(__xludf.DUMMYFUNCTION("""COMPUTED_VALUE"""),2723)</f>
        <v>2723</v>
      </c>
      <c r="G267" s="12">
        <f ca="1">IFERROR(__xludf.DUMMYFUNCTION("""COMPUTED_VALUE"""),3252)</f>
        <v>3252</v>
      </c>
      <c r="H267" s="12">
        <f ca="1">IFERROR(__xludf.DUMMYFUNCTION("""COMPUTED_VALUE"""),10108)</f>
        <v>10108</v>
      </c>
      <c r="I267" s="12">
        <f ca="1">IFERROR(__xludf.DUMMYFUNCTION("""COMPUTED_VALUE"""),10818)</f>
        <v>10818</v>
      </c>
      <c r="J267" s="12">
        <f ca="1">IFERROR(__xludf.DUMMYFUNCTION("""COMPUTED_VALUE"""),4991)</f>
        <v>4991</v>
      </c>
      <c r="K267" s="12">
        <f ca="1">IFERROR(__xludf.DUMMYFUNCTION("""COMPUTED_VALUE"""),4936)</f>
        <v>4936</v>
      </c>
      <c r="L267" s="12">
        <f ca="1">IFERROR(__xludf.DUMMYFUNCTION("""COMPUTED_VALUE"""),5082)</f>
        <v>5082</v>
      </c>
      <c r="M267" s="12">
        <f ca="1">IFERROR(__xludf.DUMMYFUNCTION("""COMPUTED_VALUE"""),5067)</f>
        <v>5067</v>
      </c>
      <c r="N267" s="12">
        <f ca="1">IFERROR(__xludf.DUMMYFUNCTION("""COMPUTED_VALUE"""),6603)</f>
        <v>6603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spans="1:38" ht="13.2" x14ac:dyDescent="0.25">
      <c r="A268" s="12" t="str">
        <f ca="1">IFERROR(__xludf.DUMMYFUNCTION("""COMPUTED_VALUE"""),"                  right Basolateral amygdalar nucleus, anterior part")</f>
        <v xml:space="preserve">                  right Basolateral amygdalar nucleus, anterior part</v>
      </c>
      <c r="B268" s="12">
        <f ca="1">IFERROR(__xludf.DUMMYFUNCTION("""COMPUTED_VALUE"""),12510)</f>
        <v>12510</v>
      </c>
      <c r="C268" s="12">
        <f ca="1">IFERROR(__xludf.DUMMYFUNCTION("""COMPUTED_VALUE"""),8065)</f>
        <v>8065</v>
      </c>
      <c r="D268" s="12">
        <f ca="1">IFERROR(__xludf.DUMMYFUNCTION("""COMPUTED_VALUE"""),10550)</f>
        <v>10550</v>
      </c>
      <c r="E268" s="12">
        <f ca="1">IFERROR(__xludf.DUMMYFUNCTION("""COMPUTED_VALUE"""),6689)</f>
        <v>6689</v>
      </c>
      <c r="F268" s="12">
        <f ca="1">IFERROR(__xludf.DUMMYFUNCTION("""COMPUTED_VALUE"""),3801)</f>
        <v>3801</v>
      </c>
      <c r="G268" s="12">
        <f ca="1">IFERROR(__xludf.DUMMYFUNCTION("""COMPUTED_VALUE"""),4475)</f>
        <v>4475</v>
      </c>
      <c r="H268" s="12">
        <f ca="1">IFERROR(__xludf.DUMMYFUNCTION("""COMPUTED_VALUE"""),12049)</f>
        <v>12049</v>
      </c>
      <c r="I268" s="12">
        <f ca="1">IFERROR(__xludf.DUMMYFUNCTION("""COMPUTED_VALUE"""),13160)</f>
        <v>13160</v>
      </c>
      <c r="J268" s="12">
        <f ca="1">IFERROR(__xludf.DUMMYFUNCTION("""COMPUTED_VALUE"""),6157)</f>
        <v>6157</v>
      </c>
      <c r="K268" s="12">
        <f ca="1">IFERROR(__xludf.DUMMYFUNCTION("""COMPUTED_VALUE"""),4903)</f>
        <v>4903</v>
      </c>
      <c r="L268" s="12">
        <f ca="1">IFERROR(__xludf.DUMMYFUNCTION("""COMPUTED_VALUE"""),5873)</f>
        <v>5873</v>
      </c>
      <c r="M268" s="12">
        <f ca="1">IFERROR(__xludf.DUMMYFUNCTION("""COMPUTED_VALUE"""),6241)</f>
        <v>6241</v>
      </c>
      <c r="N268" s="12">
        <f ca="1">IFERROR(__xludf.DUMMYFUNCTION("""COMPUTED_VALUE"""),8178)</f>
        <v>8178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spans="1:38" ht="13.2" x14ac:dyDescent="0.25">
      <c r="A269" s="12" t="str">
        <f ca="1">IFERROR(__xludf.DUMMYFUNCTION("""COMPUTED_VALUE"""),"                  right Basolateral amygdalar nucleus, posterior part")</f>
        <v xml:space="preserve">                  right Basolateral amygdalar nucleus, posterior part</v>
      </c>
      <c r="B269" s="12">
        <f ca="1">IFERROR(__xludf.DUMMYFUNCTION("""COMPUTED_VALUE"""),8838)</f>
        <v>8838</v>
      </c>
      <c r="C269" s="12">
        <f ca="1">IFERROR(__xludf.DUMMYFUNCTION("""COMPUTED_VALUE"""),7349)</f>
        <v>7349</v>
      </c>
      <c r="D269" s="12">
        <f ca="1">IFERROR(__xludf.DUMMYFUNCTION("""COMPUTED_VALUE"""),8367)</f>
        <v>8367</v>
      </c>
      <c r="E269" s="12">
        <f ca="1">IFERROR(__xludf.DUMMYFUNCTION("""COMPUTED_VALUE"""),3625)</f>
        <v>3625</v>
      </c>
      <c r="F269" s="12">
        <f ca="1">IFERROR(__xludf.DUMMYFUNCTION("""COMPUTED_VALUE"""),2527)</f>
        <v>2527</v>
      </c>
      <c r="G269" s="12">
        <f ca="1">IFERROR(__xludf.DUMMYFUNCTION("""COMPUTED_VALUE"""),2629)</f>
        <v>2629</v>
      </c>
      <c r="H269" s="12">
        <f ca="1">IFERROR(__xludf.DUMMYFUNCTION("""COMPUTED_VALUE"""),9969)</f>
        <v>9969</v>
      </c>
      <c r="I269" s="12">
        <f ca="1">IFERROR(__xludf.DUMMYFUNCTION("""COMPUTED_VALUE"""),10457)</f>
        <v>10457</v>
      </c>
      <c r="J269" s="12">
        <f ca="1">IFERROR(__xludf.DUMMYFUNCTION("""COMPUTED_VALUE"""),3730)</f>
        <v>3730</v>
      </c>
      <c r="K269" s="12">
        <f ca="1">IFERROR(__xludf.DUMMYFUNCTION("""COMPUTED_VALUE"""),6544)</f>
        <v>6544</v>
      </c>
      <c r="L269" s="12">
        <f ca="1">IFERROR(__xludf.DUMMYFUNCTION("""COMPUTED_VALUE"""),4690)</f>
        <v>4690</v>
      </c>
      <c r="M269" s="12">
        <f ca="1">IFERROR(__xludf.DUMMYFUNCTION("""COMPUTED_VALUE"""),5240)</f>
        <v>5240</v>
      </c>
      <c r="N269" s="12">
        <f ca="1">IFERROR(__xludf.DUMMYFUNCTION("""COMPUTED_VALUE"""),6349)</f>
        <v>6349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spans="1:38" ht="13.2" x14ac:dyDescent="0.25">
      <c r="A270" s="12" t="str">
        <f ca="1">IFERROR(__xludf.DUMMYFUNCTION("""COMPUTED_VALUE"""),"                  right Basolateral amygdalar nucleus, ventral part")</f>
        <v xml:space="preserve">                  right Basolateral amygdalar nucleus, ventral part</v>
      </c>
      <c r="B270" s="12">
        <f ca="1">IFERROR(__xludf.DUMMYFUNCTION("""COMPUTED_VALUE"""),6881)</f>
        <v>6881</v>
      </c>
      <c r="C270" s="12">
        <f ca="1">IFERROR(__xludf.DUMMYFUNCTION("""COMPUTED_VALUE"""),3624)</f>
        <v>3624</v>
      </c>
      <c r="D270" s="12">
        <f ca="1">IFERROR(__xludf.DUMMYFUNCTION("""COMPUTED_VALUE"""),5024)</f>
        <v>5024</v>
      </c>
      <c r="E270" s="12">
        <f ca="1">IFERROR(__xludf.DUMMYFUNCTION("""COMPUTED_VALUE"""),2531)</f>
        <v>2531</v>
      </c>
      <c r="F270" s="12">
        <f ca="1">IFERROR(__xludf.DUMMYFUNCTION("""COMPUTED_VALUE"""),1072)</f>
        <v>1072</v>
      </c>
      <c r="G270" s="12">
        <f ca="1">IFERROR(__xludf.DUMMYFUNCTION("""COMPUTED_VALUE"""),2061)</f>
        <v>2061</v>
      </c>
      <c r="H270" s="12">
        <f ca="1">IFERROR(__xludf.DUMMYFUNCTION("""COMPUTED_VALUE"""),6771)</f>
        <v>6771</v>
      </c>
      <c r="I270" s="12">
        <f ca="1">IFERROR(__xludf.DUMMYFUNCTION("""COMPUTED_VALUE"""),7123)</f>
        <v>7123</v>
      </c>
      <c r="J270" s="12">
        <f ca="1">IFERROR(__xludf.DUMMYFUNCTION("""COMPUTED_VALUE"""),4988)</f>
        <v>4988</v>
      </c>
      <c r="K270" s="12">
        <f ca="1">IFERROR(__xludf.DUMMYFUNCTION("""COMPUTED_VALUE"""),2267)</f>
        <v>2267</v>
      </c>
      <c r="L270" s="12">
        <f ca="1">IFERROR(__xludf.DUMMYFUNCTION("""COMPUTED_VALUE"""),4295)</f>
        <v>4295</v>
      </c>
      <c r="M270" s="12">
        <f ca="1">IFERROR(__xludf.DUMMYFUNCTION("""COMPUTED_VALUE"""),2613)</f>
        <v>2613</v>
      </c>
      <c r="N270" s="12">
        <f ca="1">IFERROR(__xludf.DUMMYFUNCTION("""COMPUTED_VALUE"""),4136)</f>
        <v>4136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spans="1:38" ht="13.2" x14ac:dyDescent="0.25">
      <c r="A271" s="12" t="str">
        <f ca="1">IFERROR(__xludf.DUMMYFUNCTION("""COMPUTED_VALUE"""),"               right Basomedial amygdalar nucleus")</f>
        <v xml:space="preserve">               right Basomedial amygdalar nucleus</v>
      </c>
      <c r="B271" s="12">
        <f ca="1">IFERROR(__xludf.DUMMYFUNCTION("""COMPUTED_VALUE"""),12655)</f>
        <v>12655</v>
      </c>
      <c r="C271" s="12">
        <f ca="1">IFERROR(__xludf.DUMMYFUNCTION("""COMPUTED_VALUE"""),6803)</f>
        <v>6803</v>
      </c>
      <c r="D271" s="12">
        <f ca="1">IFERROR(__xludf.DUMMYFUNCTION("""COMPUTED_VALUE"""),9888)</f>
        <v>9888</v>
      </c>
      <c r="E271" s="12">
        <f ca="1">IFERROR(__xludf.DUMMYFUNCTION("""COMPUTED_VALUE"""),6664)</f>
        <v>6664</v>
      </c>
      <c r="F271" s="12">
        <f ca="1">IFERROR(__xludf.DUMMYFUNCTION("""COMPUTED_VALUE"""),4044)</f>
        <v>4044</v>
      </c>
      <c r="G271" s="12">
        <f ca="1">IFERROR(__xludf.DUMMYFUNCTION("""COMPUTED_VALUE"""),4728)</f>
        <v>4728</v>
      </c>
      <c r="H271" s="12">
        <f ca="1">IFERROR(__xludf.DUMMYFUNCTION("""COMPUTED_VALUE"""),11273)</f>
        <v>11273</v>
      </c>
      <c r="I271" s="12">
        <f ca="1">IFERROR(__xludf.DUMMYFUNCTION("""COMPUTED_VALUE"""),8930)</f>
        <v>8930</v>
      </c>
      <c r="J271" s="12">
        <f ca="1">IFERROR(__xludf.DUMMYFUNCTION("""COMPUTED_VALUE"""),4543)</f>
        <v>4543</v>
      </c>
      <c r="K271" s="12">
        <f ca="1">IFERROR(__xludf.DUMMYFUNCTION("""COMPUTED_VALUE"""),4944)</f>
        <v>4944</v>
      </c>
      <c r="L271" s="12">
        <f ca="1">IFERROR(__xludf.DUMMYFUNCTION("""COMPUTED_VALUE"""),5699)</f>
        <v>5699</v>
      </c>
      <c r="M271" s="12">
        <f ca="1">IFERROR(__xludf.DUMMYFUNCTION("""COMPUTED_VALUE"""),7162)</f>
        <v>7162</v>
      </c>
      <c r="N271" s="12">
        <f ca="1">IFERROR(__xludf.DUMMYFUNCTION("""COMPUTED_VALUE"""),7470)</f>
        <v>7470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spans="1:38" ht="13.2" x14ac:dyDescent="0.25">
      <c r="A272" s="12" t="str">
        <f ca="1">IFERROR(__xludf.DUMMYFUNCTION("""COMPUTED_VALUE"""),"                  right Basomedial amygdalar nucleus, anterior part")</f>
        <v xml:space="preserve">                  right Basomedial amygdalar nucleus, anterior part</v>
      </c>
      <c r="B272" s="12">
        <f ca="1">IFERROR(__xludf.DUMMYFUNCTION("""COMPUTED_VALUE"""),13445)</f>
        <v>13445</v>
      </c>
      <c r="C272" s="12">
        <f ca="1">IFERROR(__xludf.DUMMYFUNCTION("""COMPUTED_VALUE"""),6552)</f>
        <v>6552</v>
      </c>
      <c r="D272" s="12">
        <f ca="1">IFERROR(__xludf.DUMMYFUNCTION("""COMPUTED_VALUE"""),10370)</f>
        <v>10370</v>
      </c>
      <c r="E272" s="12">
        <f ca="1">IFERROR(__xludf.DUMMYFUNCTION("""COMPUTED_VALUE"""),7370)</f>
        <v>7370</v>
      </c>
      <c r="F272" s="12">
        <f ca="1">IFERROR(__xludf.DUMMYFUNCTION("""COMPUTED_VALUE"""),4258)</f>
        <v>4258</v>
      </c>
      <c r="G272" s="12">
        <f ca="1">IFERROR(__xludf.DUMMYFUNCTION("""COMPUTED_VALUE"""),4364)</f>
        <v>4364</v>
      </c>
      <c r="H272" s="12">
        <f ca="1">IFERROR(__xludf.DUMMYFUNCTION("""COMPUTED_VALUE"""),10115)</f>
        <v>10115</v>
      </c>
      <c r="I272" s="12">
        <f ca="1">IFERROR(__xludf.DUMMYFUNCTION("""COMPUTED_VALUE"""),7754)</f>
        <v>7754</v>
      </c>
      <c r="J272" s="12">
        <f ca="1">IFERROR(__xludf.DUMMYFUNCTION("""COMPUTED_VALUE"""),3583)</f>
        <v>3583</v>
      </c>
      <c r="K272" s="12">
        <f ca="1">IFERROR(__xludf.DUMMYFUNCTION("""COMPUTED_VALUE"""),3469)</f>
        <v>3469</v>
      </c>
      <c r="L272" s="12">
        <f ca="1">IFERROR(__xludf.DUMMYFUNCTION("""COMPUTED_VALUE"""),5702)</f>
        <v>5702</v>
      </c>
      <c r="M272" s="12">
        <f ca="1">IFERROR(__xludf.DUMMYFUNCTION("""COMPUTED_VALUE"""),7101)</f>
        <v>7101</v>
      </c>
      <c r="N272" s="12">
        <f ca="1">IFERROR(__xludf.DUMMYFUNCTION("""COMPUTED_VALUE"""),7243)</f>
        <v>7243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spans="1:38" ht="13.2" x14ac:dyDescent="0.25">
      <c r="A273" s="12" t="str">
        <f ca="1">IFERROR(__xludf.DUMMYFUNCTION("""COMPUTED_VALUE"""),"                  right Basomedial amygdalar nucleus, posterior part")</f>
        <v xml:space="preserve">                  right Basomedial amygdalar nucleus, posterior part</v>
      </c>
      <c r="B273" s="12">
        <f ca="1">IFERROR(__xludf.DUMMYFUNCTION("""COMPUTED_VALUE"""),11810)</f>
        <v>11810</v>
      </c>
      <c r="C273" s="12">
        <f ca="1">IFERROR(__xludf.DUMMYFUNCTION("""COMPUTED_VALUE"""),7073)</f>
        <v>7073</v>
      </c>
      <c r="D273" s="12">
        <f ca="1">IFERROR(__xludf.DUMMYFUNCTION("""COMPUTED_VALUE"""),9373)</f>
        <v>9373</v>
      </c>
      <c r="E273" s="12">
        <f ca="1">IFERROR(__xludf.DUMMYFUNCTION("""COMPUTED_VALUE"""),5909)</f>
        <v>5909</v>
      </c>
      <c r="F273" s="12">
        <f ca="1">IFERROR(__xludf.DUMMYFUNCTION("""COMPUTED_VALUE"""),3815)</f>
        <v>3815</v>
      </c>
      <c r="G273" s="12">
        <f ca="1">IFERROR(__xludf.DUMMYFUNCTION("""COMPUTED_VALUE"""),5119)</f>
        <v>5119</v>
      </c>
      <c r="H273" s="12">
        <f ca="1">IFERROR(__xludf.DUMMYFUNCTION("""COMPUTED_VALUE"""),12513)</f>
        <v>12513</v>
      </c>
      <c r="I273" s="12">
        <f ca="1">IFERROR(__xludf.DUMMYFUNCTION("""COMPUTED_VALUE"""),10189)</f>
        <v>10189</v>
      </c>
      <c r="J273" s="12">
        <f ca="1">IFERROR(__xludf.DUMMYFUNCTION("""COMPUTED_VALUE"""),5570)</f>
        <v>5570</v>
      </c>
      <c r="K273" s="12">
        <f ca="1">IFERROR(__xludf.DUMMYFUNCTION("""COMPUTED_VALUE"""),6522)</f>
        <v>6522</v>
      </c>
      <c r="L273" s="12">
        <f ca="1">IFERROR(__xludf.DUMMYFUNCTION("""COMPUTED_VALUE"""),5697)</f>
        <v>5697</v>
      </c>
      <c r="M273" s="12">
        <f ca="1">IFERROR(__xludf.DUMMYFUNCTION("""COMPUTED_VALUE"""),7227)</f>
        <v>7227</v>
      </c>
      <c r="N273" s="12">
        <f ca="1">IFERROR(__xludf.DUMMYFUNCTION("""COMPUTED_VALUE"""),7712)</f>
        <v>7712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spans="1:38" ht="13.2" x14ac:dyDescent="0.25">
      <c r="A274" s="12" t="str">
        <f ca="1">IFERROR(__xludf.DUMMYFUNCTION("""COMPUTED_VALUE"""),"               right Posterior amygdalar nucleus")</f>
        <v xml:space="preserve">               right Posterior amygdalar nucleus</v>
      </c>
      <c r="B274" s="12">
        <f ca="1">IFERROR(__xludf.DUMMYFUNCTION("""COMPUTED_VALUE"""),11876)</f>
        <v>11876</v>
      </c>
      <c r="C274" s="12">
        <f ca="1">IFERROR(__xludf.DUMMYFUNCTION("""COMPUTED_VALUE"""),5932)</f>
        <v>5932</v>
      </c>
      <c r="D274" s="12">
        <f ca="1">IFERROR(__xludf.DUMMYFUNCTION("""COMPUTED_VALUE"""),9557)</f>
        <v>9557</v>
      </c>
      <c r="E274" s="12">
        <f ca="1">IFERROR(__xludf.DUMMYFUNCTION("""COMPUTED_VALUE"""),5065)</f>
        <v>5065</v>
      </c>
      <c r="F274" s="12">
        <f ca="1">IFERROR(__xludf.DUMMYFUNCTION("""COMPUTED_VALUE"""),2730)</f>
        <v>2730</v>
      </c>
      <c r="G274" s="12">
        <f ca="1">IFERROR(__xludf.DUMMYFUNCTION("""COMPUTED_VALUE"""),2910)</f>
        <v>2910</v>
      </c>
      <c r="H274" s="12">
        <f ca="1">IFERROR(__xludf.DUMMYFUNCTION("""COMPUTED_VALUE"""),9182)</f>
        <v>9182</v>
      </c>
      <c r="I274" s="12">
        <f ca="1">IFERROR(__xludf.DUMMYFUNCTION("""COMPUTED_VALUE"""),5256)</f>
        <v>5256</v>
      </c>
      <c r="J274" s="12">
        <f ca="1">IFERROR(__xludf.DUMMYFUNCTION("""COMPUTED_VALUE"""),4749)</f>
        <v>4749</v>
      </c>
      <c r="K274" s="12">
        <f ca="1">IFERROR(__xludf.DUMMYFUNCTION("""COMPUTED_VALUE"""),4231)</f>
        <v>4231</v>
      </c>
      <c r="L274" s="12">
        <f ca="1">IFERROR(__xludf.DUMMYFUNCTION("""COMPUTED_VALUE"""),5943)</f>
        <v>5943</v>
      </c>
      <c r="M274" s="12">
        <f ca="1">IFERROR(__xludf.DUMMYFUNCTION("""COMPUTED_VALUE"""),7297)</f>
        <v>7297</v>
      </c>
      <c r="N274" s="12">
        <f ca="1">IFERROR(__xludf.DUMMYFUNCTION("""COMPUTED_VALUE"""),6213)</f>
        <v>6213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spans="1:38" ht="13.2" x14ac:dyDescent="0.25">
      <c r="A275" s="12" t="str">
        <f ca="1">IFERROR(__xludf.DUMMYFUNCTION("""COMPUTED_VALUE"""),"         right Cerebral nuclei")</f>
        <v xml:space="preserve">         right Cerebral nuclei</v>
      </c>
      <c r="B275" s="12">
        <f ca="1">IFERROR(__xludf.DUMMYFUNCTION("""COMPUTED_VALUE"""),8140)</f>
        <v>8140</v>
      </c>
      <c r="C275" s="12">
        <f ca="1">IFERROR(__xludf.DUMMYFUNCTION("""COMPUTED_VALUE"""),6580)</f>
        <v>6580</v>
      </c>
      <c r="D275" s="12">
        <f ca="1">IFERROR(__xludf.DUMMYFUNCTION("""COMPUTED_VALUE"""),5317)</f>
        <v>5317</v>
      </c>
      <c r="E275" s="12">
        <f ca="1">IFERROR(__xludf.DUMMYFUNCTION("""COMPUTED_VALUE"""),3984)</f>
        <v>3984</v>
      </c>
      <c r="F275" s="12">
        <f ca="1">IFERROR(__xludf.DUMMYFUNCTION("""COMPUTED_VALUE"""),2638)</f>
        <v>2638</v>
      </c>
      <c r="G275" s="12">
        <f ca="1">IFERROR(__xludf.DUMMYFUNCTION("""COMPUTED_VALUE"""),2152)</f>
        <v>2152</v>
      </c>
      <c r="H275" s="12">
        <f ca="1">IFERROR(__xludf.DUMMYFUNCTION("""COMPUTED_VALUE"""),6913)</f>
        <v>6913</v>
      </c>
      <c r="I275" s="12">
        <f ca="1">IFERROR(__xludf.DUMMYFUNCTION("""COMPUTED_VALUE"""),8114)</f>
        <v>8114</v>
      </c>
      <c r="J275" s="12">
        <f ca="1">IFERROR(__xludf.DUMMYFUNCTION("""COMPUTED_VALUE"""),4204)</f>
        <v>4204</v>
      </c>
      <c r="K275" s="12">
        <f ca="1">IFERROR(__xludf.DUMMYFUNCTION("""COMPUTED_VALUE"""),2653)</f>
        <v>2653</v>
      </c>
      <c r="L275" s="12">
        <f ca="1">IFERROR(__xludf.DUMMYFUNCTION("""COMPUTED_VALUE"""),3204)</f>
        <v>3204</v>
      </c>
      <c r="M275" s="12">
        <f ca="1">IFERROR(__xludf.DUMMYFUNCTION("""COMPUTED_VALUE"""),3965)</f>
        <v>3965</v>
      </c>
      <c r="N275" s="12">
        <f ca="1">IFERROR(__xludf.DUMMYFUNCTION("""COMPUTED_VALUE"""),5046)</f>
        <v>5046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spans="1:38" ht="13.2" x14ac:dyDescent="0.25">
      <c r="A276" s="12" t="str">
        <f ca="1">IFERROR(__xludf.DUMMYFUNCTION("""COMPUTED_VALUE"""),"            right Striatum")</f>
        <v xml:space="preserve">            right Striatum</v>
      </c>
      <c r="B276" s="12">
        <f ca="1">IFERROR(__xludf.DUMMYFUNCTION("""COMPUTED_VALUE"""),8645)</f>
        <v>8645</v>
      </c>
      <c r="C276" s="12">
        <f ca="1">IFERROR(__xludf.DUMMYFUNCTION("""COMPUTED_VALUE"""),6893)</f>
        <v>6893</v>
      </c>
      <c r="D276" s="12">
        <f ca="1">IFERROR(__xludf.DUMMYFUNCTION("""COMPUTED_VALUE"""),5817)</f>
        <v>5817</v>
      </c>
      <c r="E276" s="12">
        <f ca="1">IFERROR(__xludf.DUMMYFUNCTION("""COMPUTED_VALUE"""),4288)</f>
        <v>4288</v>
      </c>
      <c r="F276" s="12">
        <f ca="1">IFERROR(__xludf.DUMMYFUNCTION("""COMPUTED_VALUE"""),2772)</f>
        <v>2772</v>
      </c>
      <c r="G276" s="12">
        <f ca="1">IFERROR(__xludf.DUMMYFUNCTION("""COMPUTED_VALUE"""),2260)</f>
        <v>2260</v>
      </c>
      <c r="H276" s="12">
        <f ca="1">IFERROR(__xludf.DUMMYFUNCTION("""COMPUTED_VALUE"""),7188)</f>
        <v>7188</v>
      </c>
      <c r="I276" s="12">
        <f ca="1">IFERROR(__xludf.DUMMYFUNCTION("""COMPUTED_VALUE"""),8630)</f>
        <v>8630</v>
      </c>
      <c r="J276" s="12">
        <f ca="1">IFERROR(__xludf.DUMMYFUNCTION("""COMPUTED_VALUE"""),4470)</f>
        <v>4470</v>
      </c>
      <c r="K276" s="12">
        <f ca="1">IFERROR(__xludf.DUMMYFUNCTION("""COMPUTED_VALUE"""),2835)</f>
        <v>2835</v>
      </c>
      <c r="L276" s="12">
        <f ca="1">IFERROR(__xludf.DUMMYFUNCTION("""COMPUTED_VALUE"""),3376)</f>
        <v>3376</v>
      </c>
      <c r="M276" s="12">
        <f ca="1">IFERROR(__xludf.DUMMYFUNCTION("""COMPUTED_VALUE"""),4204)</f>
        <v>4204</v>
      </c>
      <c r="N276" s="12">
        <f ca="1">IFERROR(__xludf.DUMMYFUNCTION("""COMPUTED_VALUE"""),5350)</f>
        <v>5350</v>
      </c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spans="1:38" ht="13.2" x14ac:dyDescent="0.25">
      <c r="A277" s="12" t="str">
        <f ca="1">IFERROR(__xludf.DUMMYFUNCTION("""COMPUTED_VALUE"""),"               right Striatum dorsal region")</f>
        <v xml:space="preserve">               right Striatum dorsal region</v>
      </c>
      <c r="B277" s="12">
        <f ca="1">IFERROR(__xludf.DUMMYFUNCTION("""COMPUTED_VALUE"""),6965)</f>
        <v>6965</v>
      </c>
      <c r="C277" s="12">
        <f ca="1">IFERROR(__xludf.DUMMYFUNCTION("""COMPUTED_VALUE"""),6382)</f>
        <v>6382</v>
      </c>
      <c r="D277" s="12">
        <f ca="1">IFERROR(__xludf.DUMMYFUNCTION("""COMPUTED_VALUE"""),5114)</f>
        <v>5114</v>
      </c>
      <c r="E277" s="12">
        <f ca="1">IFERROR(__xludf.DUMMYFUNCTION("""COMPUTED_VALUE"""),3418)</f>
        <v>3418</v>
      </c>
      <c r="F277" s="12">
        <f ca="1">IFERROR(__xludf.DUMMYFUNCTION("""COMPUTED_VALUE"""),1945)</f>
        <v>1945</v>
      </c>
      <c r="G277" s="12">
        <f ca="1">IFERROR(__xludf.DUMMYFUNCTION("""COMPUTED_VALUE"""),1366)</f>
        <v>1366</v>
      </c>
      <c r="H277" s="12">
        <f ca="1">IFERROR(__xludf.DUMMYFUNCTION("""COMPUTED_VALUE"""),5581)</f>
        <v>5581</v>
      </c>
      <c r="I277" s="12">
        <f ca="1">IFERROR(__xludf.DUMMYFUNCTION("""COMPUTED_VALUE"""),7596)</f>
        <v>7596</v>
      </c>
      <c r="J277" s="12">
        <f ca="1">IFERROR(__xludf.DUMMYFUNCTION("""COMPUTED_VALUE"""),3440)</f>
        <v>3440</v>
      </c>
      <c r="K277" s="12">
        <f ca="1">IFERROR(__xludf.DUMMYFUNCTION("""COMPUTED_VALUE"""),2211)</f>
        <v>2211</v>
      </c>
      <c r="L277" s="12">
        <f ca="1">IFERROR(__xludf.DUMMYFUNCTION("""COMPUTED_VALUE"""),2174)</f>
        <v>2174</v>
      </c>
      <c r="M277" s="12">
        <f ca="1">IFERROR(__xludf.DUMMYFUNCTION("""COMPUTED_VALUE"""),3510)</f>
        <v>3510</v>
      </c>
      <c r="N277" s="12">
        <f ca="1">IFERROR(__xludf.DUMMYFUNCTION("""COMPUTED_VALUE"""),4389)</f>
        <v>4389</v>
      </c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spans="1:38" ht="13.2" x14ac:dyDescent="0.25">
      <c r="A278" s="12" t="str">
        <f ca="1">IFERROR(__xludf.DUMMYFUNCTION("""COMPUTED_VALUE"""),"                  right Caudoputamen")</f>
        <v xml:space="preserve">                  right Caudoputamen</v>
      </c>
      <c r="B278" s="12">
        <f ca="1">IFERROR(__xludf.DUMMYFUNCTION("""COMPUTED_VALUE"""),6965)</f>
        <v>6965</v>
      </c>
      <c r="C278" s="12">
        <f ca="1">IFERROR(__xludf.DUMMYFUNCTION("""COMPUTED_VALUE"""),6382)</f>
        <v>6382</v>
      </c>
      <c r="D278" s="12">
        <f ca="1">IFERROR(__xludf.DUMMYFUNCTION("""COMPUTED_VALUE"""),5114)</f>
        <v>5114</v>
      </c>
      <c r="E278" s="12">
        <f ca="1">IFERROR(__xludf.DUMMYFUNCTION("""COMPUTED_VALUE"""),3418)</f>
        <v>3418</v>
      </c>
      <c r="F278" s="12">
        <f ca="1">IFERROR(__xludf.DUMMYFUNCTION("""COMPUTED_VALUE"""),1945)</f>
        <v>1945</v>
      </c>
      <c r="G278" s="12">
        <f ca="1">IFERROR(__xludf.DUMMYFUNCTION("""COMPUTED_VALUE"""),1366)</f>
        <v>1366</v>
      </c>
      <c r="H278" s="12">
        <f ca="1">IFERROR(__xludf.DUMMYFUNCTION("""COMPUTED_VALUE"""),5581)</f>
        <v>5581</v>
      </c>
      <c r="I278" s="12">
        <f ca="1">IFERROR(__xludf.DUMMYFUNCTION("""COMPUTED_VALUE"""),7596)</f>
        <v>7596</v>
      </c>
      <c r="J278" s="12">
        <f ca="1">IFERROR(__xludf.DUMMYFUNCTION("""COMPUTED_VALUE"""),3440)</f>
        <v>3440</v>
      </c>
      <c r="K278" s="12">
        <f ca="1">IFERROR(__xludf.DUMMYFUNCTION("""COMPUTED_VALUE"""),2211)</f>
        <v>2211</v>
      </c>
      <c r="L278" s="12">
        <f ca="1">IFERROR(__xludf.DUMMYFUNCTION("""COMPUTED_VALUE"""),2174)</f>
        <v>2174</v>
      </c>
      <c r="M278" s="12">
        <f ca="1">IFERROR(__xludf.DUMMYFUNCTION("""COMPUTED_VALUE"""),3510)</f>
        <v>3510</v>
      </c>
      <c r="N278" s="12">
        <f ca="1">IFERROR(__xludf.DUMMYFUNCTION("""COMPUTED_VALUE"""),4389)</f>
        <v>4389</v>
      </c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spans="1:38" ht="13.2" x14ac:dyDescent="0.25">
      <c r="A279" s="12" t="str">
        <f ca="1">IFERROR(__xludf.DUMMYFUNCTION("""COMPUTED_VALUE"""),"               right Striatum ventral region")</f>
        <v xml:space="preserve">               right Striatum ventral region</v>
      </c>
      <c r="B279" s="12">
        <f ca="1">IFERROR(__xludf.DUMMYFUNCTION("""COMPUTED_VALUE"""),8929)</f>
        <v>8929</v>
      </c>
      <c r="C279" s="12">
        <f ca="1">IFERROR(__xludf.DUMMYFUNCTION("""COMPUTED_VALUE"""),6923)</f>
        <v>6923</v>
      </c>
      <c r="D279" s="12">
        <f ca="1">IFERROR(__xludf.DUMMYFUNCTION("""COMPUTED_VALUE"""),5813)</f>
        <v>5813</v>
      </c>
      <c r="E279" s="12">
        <f ca="1">IFERROR(__xludf.DUMMYFUNCTION("""COMPUTED_VALUE"""),3992)</f>
        <v>3992</v>
      </c>
      <c r="F279" s="12">
        <f ca="1">IFERROR(__xludf.DUMMYFUNCTION("""COMPUTED_VALUE"""),2313)</f>
        <v>2313</v>
      </c>
      <c r="G279" s="12">
        <f ca="1">IFERROR(__xludf.DUMMYFUNCTION("""COMPUTED_VALUE"""),2256)</f>
        <v>2256</v>
      </c>
      <c r="H279" s="12">
        <f ca="1">IFERROR(__xludf.DUMMYFUNCTION("""COMPUTED_VALUE"""),8265)</f>
        <v>8265</v>
      </c>
      <c r="I279" s="12">
        <f ca="1">IFERROR(__xludf.DUMMYFUNCTION("""COMPUTED_VALUE"""),9112)</f>
        <v>9112</v>
      </c>
      <c r="J279" s="12">
        <f ca="1">IFERROR(__xludf.DUMMYFUNCTION("""COMPUTED_VALUE"""),5234)</f>
        <v>5234</v>
      </c>
      <c r="K279" s="12">
        <f ca="1">IFERROR(__xludf.DUMMYFUNCTION("""COMPUTED_VALUE"""),2829)</f>
        <v>2829</v>
      </c>
      <c r="L279" s="12">
        <f ca="1">IFERROR(__xludf.DUMMYFUNCTION("""COMPUTED_VALUE"""),4568)</f>
        <v>4568</v>
      </c>
      <c r="M279" s="12">
        <f ca="1">IFERROR(__xludf.DUMMYFUNCTION("""COMPUTED_VALUE"""),3040)</f>
        <v>3040</v>
      </c>
      <c r="N279" s="12">
        <f ca="1">IFERROR(__xludf.DUMMYFUNCTION("""COMPUTED_VALUE"""),5494)</f>
        <v>5494</v>
      </c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spans="1:38" ht="13.2" x14ac:dyDescent="0.25">
      <c r="A280" s="12" t="str">
        <f ca="1">IFERROR(__xludf.DUMMYFUNCTION("""COMPUTED_VALUE"""),"                  right Nucleus accumbens")</f>
        <v xml:space="preserve">                  right Nucleus accumbens</v>
      </c>
      <c r="B280" s="12">
        <f ca="1">IFERROR(__xludf.DUMMYFUNCTION("""COMPUTED_VALUE"""),11230)</f>
        <v>11230</v>
      </c>
      <c r="C280" s="12">
        <f ca="1">IFERROR(__xludf.DUMMYFUNCTION("""COMPUTED_VALUE"""),8439)</f>
        <v>8439</v>
      </c>
      <c r="D280" s="12">
        <f ca="1">IFERROR(__xludf.DUMMYFUNCTION("""COMPUTED_VALUE"""),6981)</f>
        <v>6981</v>
      </c>
      <c r="E280" s="12">
        <f ca="1">IFERROR(__xludf.DUMMYFUNCTION("""COMPUTED_VALUE"""),5017)</f>
        <v>5017</v>
      </c>
      <c r="F280" s="12">
        <f ca="1">IFERROR(__xludf.DUMMYFUNCTION("""COMPUTED_VALUE"""),3682)</f>
        <v>3682</v>
      </c>
      <c r="G280" s="12">
        <f ca="1">IFERROR(__xludf.DUMMYFUNCTION("""COMPUTED_VALUE"""),3289)</f>
        <v>3289</v>
      </c>
      <c r="H280" s="12">
        <f ca="1">IFERROR(__xludf.DUMMYFUNCTION("""COMPUTED_VALUE"""),9668)</f>
        <v>9668</v>
      </c>
      <c r="I280" s="12">
        <f ca="1">IFERROR(__xludf.DUMMYFUNCTION("""COMPUTED_VALUE"""),11249)</f>
        <v>11249</v>
      </c>
      <c r="J280" s="12">
        <f ca="1">IFERROR(__xludf.DUMMYFUNCTION("""COMPUTED_VALUE"""),6812)</f>
        <v>6812</v>
      </c>
      <c r="K280" s="12">
        <f ca="1">IFERROR(__xludf.DUMMYFUNCTION("""COMPUTED_VALUE"""),4177)</f>
        <v>4177</v>
      </c>
      <c r="L280" s="12">
        <f ca="1">IFERROR(__xludf.DUMMYFUNCTION("""COMPUTED_VALUE"""),5849)</f>
        <v>5849</v>
      </c>
      <c r="M280" s="12">
        <f ca="1">IFERROR(__xludf.DUMMYFUNCTION("""COMPUTED_VALUE"""),3203)</f>
        <v>3203</v>
      </c>
      <c r="N280" s="12">
        <f ca="1">IFERROR(__xludf.DUMMYFUNCTION("""COMPUTED_VALUE"""),6888)</f>
        <v>6888</v>
      </c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spans="1:38" ht="13.2" x14ac:dyDescent="0.25">
      <c r="A281" s="12" t="str">
        <f ca="1">IFERROR(__xludf.DUMMYFUNCTION("""COMPUTED_VALUE"""),"                  right Fundus of striatum")</f>
        <v xml:space="preserve">                  right Fundus of striatum</v>
      </c>
      <c r="B281" s="12">
        <f ca="1">IFERROR(__xludf.DUMMYFUNCTION("""COMPUTED_VALUE"""),9128)</f>
        <v>9128</v>
      </c>
      <c r="C281" s="12">
        <f ca="1">IFERROR(__xludf.DUMMYFUNCTION("""COMPUTED_VALUE"""),7536)</f>
        <v>7536</v>
      </c>
      <c r="D281" s="12">
        <f ca="1">IFERROR(__xludf.DUMMYFUNCTION("""COMPUTED_VALUE"""),6044)</f>
        <v>6044</v>
      </c>
      <c r="E281" s="12">
        <f ca="1">IFERROR(__xludf.DUMMYFUNCTION("""COMPUTED_VALUE"""),3442)</f>
        <v>3442</v>
      </c>
      <c r="F281" s="12">
        <f ca="1">IFERROR(__xludf.DUMMYFUNCTION("""COMPUTED_VALUE"""),1904)</f>
        <v>1904</v>
      </c>
      <c r="G281" s="12">
        <f ca="1">IFERROR(__xludf.DUMMYFUNCTION("""COMPUTED_VALUE"""),2020)</f>
        <v>2020</v>
      </c>
      <c r="H281" s="12">
        <f ca="1">IFERROR(__xludf.DUMMYFUNCTION("""COMPUTED_VALUE"""),8300)</f>
        <v>8300</v>
      </c>
      <c r="I281" s="12">
        <f ca="1">IFERROR(__xludf.DUMMYFUNCTION("""COMPUTED_VALUE"""),7337)</f>
        <v>7337</v>
      </c>
      <c r="J281" s="12">
        <f ca="1">IFERROR(__xludf.DUMMYFUNCTION("""COMPUTED_VALUE"""),7239)</f>
        <v>7239</v>
      </c>
      <c r="K281" s="12">
        <f ca="1">IFERROR(__xludf.DUMMYFUNCTION("""COMPUTED_VALUE"""),4325)</f>
        <v>4325</v>
      </c>
      <c r="L281" s="12">
        <f ca="1">IFERROR(__xludf.DUMMYFUNCTION("""COMPUTED_VALUE"""),1634)</f>
        <v>1634</v>
      </c>
      <c r="M281" s="12">
        <f ca="1">IFERROR(__xludf.DUMMYFUNCTION("""COMPUTED_VALUE"""),3094)</f>
        <v>3094</v>
      </c>
      <c r="N281" s="12">
        <f ca="1">IFERROR(__xludf.DUMMYFUNCTION("""COMPUTED_VALUE"""),5346)</f>
        <v>5346</v>
      </c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spans="1:38" ht="13.2" x14ac:dyDescent="0.25">
      <c r="A282" s="12" t="str">
        <f ca="1">IFERROR(__xludf.DUMMYFUNCTION("""COMPUTED_VALUE"""),"                  right Olfactory tubercle")</f>
        <v xml:space="preserve">                  right Olfactory tubercle</v>
      </c>
      <c r="B282" s="12">
        <f ca="1">IFERROR(__xludf.DUMMYFUNCTION("""COMPUTED_VALUE"""),6257)</f>
        <v>6257</v>
      </c>
      <c r="C282" s="12">
        <f ca="1">IFERROR(__xludf.DUMMYFUNCTION("""COMPUTED_VALUE"""),5109)</f>
        <v>5109</v>
      </c>
      <c r="D282" s="12">
        <f ca="1">IFERROR(__xludf.DUMMYFUNCTION("""COMPUTED_VALUE"""),4443)</f>
        <v>4443</v>
      </c>
      <c r="E282" s="12">
        <f ca="1">IFERROR(__xludf.DUMMYFUNCTION("""COMPUTED_VALUE"""),2874)</f>
        <v>2874</v>
      </c>
      <c r="F282" s="12">
        <f ca="1">IFERROR(__xludf.DUMMYFUNCTION("""COMPUTED_VALUE"""),784)</f>
        <v>784</v>
      </c>
      <c r="G282" s="12">
        <f ca="1">IFERROR(__xludf.DUMMYFUNCTION("""COMPUTED_VALUE"""),1094)</f>
        <v>1094</v>
      </c>
      <c r="H282" s="12">
        <f ca="1">IFERROR(__xludf.DUMMYFUNCTION("""COMPUTED_VALUE"""),6645)</f>
        <v>6645</v>
      </c>
      <c r="I282" s="12">
        <f ca="1">IFERROR(__xludf.DUMMYFUNCTION("""COMPUTED_VALUE"""),6852)</f>
        <v>6852</v>
      </c>
      <c r="J282" s="12">
        <f ca="1">IFERROR(__xludf.DUMMYFUNCTION("""COMPUTED_VALUE"""),3191)</f>
        <v>3191</v>
      </c>
      <c r="K282" s="12">
        <f ca="1">IFERROR(__xludf.DUMMYFUNCTION("""COMPUTED_VALUE"""),1109)</f>
        <v>1109</v>
      </c>
      <c r="L282" s="12">
        <f ca="1">IFERROR(__xludf.DUMMYFUNCTION("""COMPUTED_VALUE"""),3425)</f>
        <v>3425</v>
      </c>
      <c r="M282" s="12">
        <f ca="1">IFERROR(__xludf.DUMMYFUNCTION("""COMPUTED_VALUE"""),2848)</f>
        <v>2848</v>
      </c>
      <c r="N282" s="12">
        <f ca="1">IFERROR(__xludf.DUMMYFUNCTION("""COMPUTED_VALUE"""),3906)</f>
        <v>3906</v>
      </c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spans="1:38" ht="13.2" x14ac:dyDescent="0.25">
      <c r="A283" s="12" t="str">
        <f ca="1">IFERROR(__xludf.DUMMYFUNCTION("""COMPUTED_VALUE"""),"               right Lateral septal complex")</f>
        <v xml:space="preserve">               right Lateral septal complex</v>
      </c>
      <c r="B283" s="12">
        <f ca="1">IFERROR(__xludf.DUMMYFUNCTION("""COMPUTED_VALUE"""),13456)</f>
        <v>13456</v>
      </c>
      <c r="C283" s="12">
        <f ca="1">IFERROR(__xludf.DUMMYFUNCTION("""COMPUTED_VALUE"""),9828)</f>
        <v>9828</v>
      </c>
      <c r="D283" s="12">
        <f ca="1">IFERROR(__xludf.DUMMYFUNCTION("""COMPUTED_VALUE"""),7849)</f>
        <v>7849</v>
      </c>
      <c r="E283" s="12">
        <f ca="1">IFERROR(__xludf.DUMMYFUNCTION("""COMPUTED_VALUE"""),8720)</f>
        <v>8720</v>
      </c>
      <c r="F283" s="12">
        <f ca="1">IFERROR(__xludf.DUMMYFUNCTION("""COMPUTED_VALUE"""),6953)</f>
        <v>6953</v>
      </c>
      <c r="G283" s="12">
        <f ca="1">IFERROR(__xludf.DUMMYFUNCTION("""COMPUTED_VALUE"""),5708)</f>
        <v>5708</v>
      </c>
      <c r="H283" s="12">
        <f ca="1">IFERROR(__xludf.DUMMYFUNCTION("""COMPUTED_VALUE"""),9471)</f>
        <v>9471</v>
      </c>
      <c r="I283" s="12">
        <f ca="1">IFERROR(__xludf.DUMMYFUNCTION("""COMPUTED_VALUE"""),13191)</f>
        <v>13191</v>
      </c>
      <c r="J283" s="12">
        <f ca="1">IFERROR(__xludf.DUMMYFUNCTION("""COMPUTED_VALUE"""),8294)</f>
        <v>8294</v>
      </c>
      <c r="K283" s="12">
        <f ca="1">IFERROR(__xludf.DUMMYFUNCTION("""COMPUTED_VALUE"""),5819)</f>
        <v>5819</v>
      </c>
      <c r="L283" s="12">
        <f ca="1">IFERROR(__xludf.DUMMYFUNCTION("""COMPUTED_VALUE"""),5522)</f>
        <v>5522</v>
      </c>
      <c r="M283" s="12">
        <f ca="1">IFERROR(__xludf.DUMMYFUNCTION("""COMPUTED_VALUE"""),9258)</f>
        <v>9258</v>
      </c>
      <c r="N283" s="12">
        <f ca="1">IFERROR(__xludf.DUMMYFUNCTION("""COMPUTED_VALUE"""),8871)</f>
        <v>8871</v>
      </c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spans="1:38" ht="13.2" x14ac:dyDescent="0.25">
      <c r="A284" s="12" t="str">
        <f ca="1">IFERROR(__xludf.DUMMYFUNCTION("""COMPUTED_VALUE"""),"                  right Lateral septal nucleus")</f>
        <v xml:space="preserve">                  right Lateral septal nucleus</v>
      </c>
      <c r="B284" s="12">
        <f ca="1">IFERROR(__xludf.DUMMYFUNCTION("""COMPUTED_VALUE"""),14333)</f>
        <v>14333</v>
      </c>
      <c r="C284" s="12">
        <f ca="1">IFERROR(__xludf.DUMMYFUNCTION("""COMPUTED_VALUE"""),10404)</f>
        <v>10404</v>
      </c>
      <c r="D284" s="12">
        <f ca="1">IFERROR(__xludf.DUMMYFUNCTION("""COMPUTED_VALUE"""),8638)</f>
        <v>8638</v>
      </c>
      <c r="E284" s="12">
        <f ca="1">IFERROR(__xludf.DUMMYFUNCTION("""COMPUTED_VALUE"""),9475)</f>
        <v>9475</v>
      </c>
      <c r="F284" s="12">
        <f ca="1">IFERROR(__xludf.DUMMYFUNCTION("""COMPUTED_VALUE"""),7831)</f>
        <v>7831</v>
      </c>
      <c r="G284" s="12">
        <f ca="1">IFERROR(__xludf.DUMMYFUNCTION("""COMPUTED_VALUE"""),6430)</f>
        <v>6430</v>
      </c>
      <c r="H284" s="12">
        <f ca="1">IFERROR(__xludf.DUMMYFUNCTION("""COMPUTED_VALUE"""),10275)</f>
        <v>10275</v>
      </c>
      <c r="I284" s="12">
        <f ca="1">IFERROR(__xludf.DUMMYFUNCTION("""COMPUTED_VALUE"""),14622)</f>
        <v>14622</v>
      </c>
      <c r="J284" s="12">
        <f ca="1">IFERROR(__xludf.DUMMYFUNCTION("""COMPUTED_VALUE"""),9120)</f>
        <v>9120</v>
      </c>
      <c r="K284" s="12">
        <f ca="1">IFERROR(__xludf.DUMMYFUNCTION("""COMPUTED_VALUE"""),6332)</f>
        <v>6332</v>
      </c>
      <c r="L284" s="12">
        <f ca="1">IFERROR(__xludf.DUMMYFUNCTION("""COMPUTED_VALUE"""),6185)</f>
        <v>6185</v>
      </c>
      <c r="M284" s="12">
        <f ca="1">IFERROR(__xludf.DUMMYFUNCTION("""COMPUTED_VALUE"""),9963)</f>
        <v>9963</v>
      </c>
      <c r="N284" s="12">
        <f ca="1">IFERROR(__xludf.DUMMYFUNCTION("""COMPUTED_VALUE"""),9682)</f>
        <v>9682</v>
      </c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spans="1:38" ht="13.2" x14ac:dyDescent="0.25">
      <c r="A285" s="12" t="str">
        <f ca="1">IFERROR(__xludf.DUMMYFUNCTION("""COMPUTED_VALUE"""),"               right Striatum-like amygdalar nuclei")</f>
        <v xml:space="preserve">               right Striatum-like amygdalar nuclei</v>
      </c>
      <c r="B285" s="12">
        <f ca="1">IFERROR(__xludf.DUMMYFUNCTION("""COMPUTED_VALUE"""),14043)</f>
        <v>14043</v>
      </c>
      <c r="C285" s="12">
        <f ca="1">IFERROR(__xludf.DUMMYFUNCTION("""COMPUTED_VALUE"""),7139)</f>
        <v>7139</v>
      </c>
      <c r="D285" s="12">
        <f ca="1">IFERROR(__xludf.DUMMYFUNCTION("""COMPUTED_VALUE"""),8036)</f>
        <v>8036</v>
      </c>
      <c r="E285" s="12">
        <f ca="1">IFERROR(__xludf.DUMMYFUNCTION("""COMPUTED_VALUE"""),5495)</f>
        <v>5495</v>
      </c>
      <c r="F285" s="12">
        <f ca="1">IFERROR(__xludf.DUMMYFUNCTION("""COMPUTED_VALUE"""),4444)</f>
        <v>4444</v>
      </c>
      <c r="G285" s="12">
        <f ca="1">IFERROR(__xludf.DUMMYFUNCTION("""COMPUTED_VALUE"""),3845)</f>
        <v>3845</v>
      </c>
      <c r="H285" s="12">
        <f ca="1">IFERROR(__xludf.DUMMYFUNCTION("""COMPUTED_VALUE"""),10351)</f>
        <v>10351</v>
      </c>
      <c r="I285" s="12">
        <f ca="1">IFERROR(__xludf.DUMMYFUNCTION("""COMPUTED_VALUE"""),7800)</f>
        <v>7800</v>
      </c>
      <c r="J285" s="12">
        <f ca="1">IFERROR(__xludf.DUMMYFUNCTION("""COMPUTED_VALUE"""),4970)</f>
        <v>4970</v>
      </c>
      <c r="K285" s="12">
        <f ca="1">IFERROR(__xludf.DUMMYFUNCTION("""COMPUTED_VALUE"""),3757)</f>
        <v>3757</v>
      </c>
      <c r="L285" s="12">
        <f ca="1">IFERROR(__xludf.DUMMYFUNCTION("""COMPUTED_VALUE"""),6114)</f>
        <v>6114</v>
      </c>
      <c r="M285" s="12">
        <f ca="1">IFERROR(__xludf.DUMMYFUNCTION("""COMPUTED_VALUE"""),5862)</f>
        <v>5862</v>
      </c>
      <c r="N285" s="12">
        <f ca="1">IFERROR(__xludf.DUMMYFUNCTION("""COMPUTED_VALUE"""),6978)</f>
        <v>6978</v>
      </c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spans="1:38" ht="13.2" x14ac:dyDescent="0.25">
      <c r="A286" s="12" t="str">
        <f ca="1">IFERROR(__xludf.DUMMYFUNCTION("""COMPUTED_VALUE"""),"                  right Anterior amygdalar area")</f>
        <v xml:space="preserve">                  right Anterior amygdalar area</v>
      </c>
      <c r="B286" s="12">
        <f ca="1">IFERROR(__xludf.DUMMYFUNCTION("""COMPUTED_VALUE"""),7763)</f>
        <v>7763</v>
      </c>
      <c r="C286" s="12">
        <f ca="1">IFERROR(__xludf.DUMMYFUNCTION("""COMPUTED_VALUE"""),4311)</f>
        <v>4311</v>
      </c>
      <c r="D286" s="12">
        <f ca="1">IFERROR(__xludf.DUMMYFUNCTION("""COMPUTED_VALUE"""),3974)</f>
        <v>3974</v>
      </c>
      <c r="E286" s="12">
        <f ca="1">IFERROR(__xludf.DUMMYFUNCTION("""COMPUTED_VALUE"""),4033)</f>
        <v>4033</v>
      </c>
      <c r="F286" s="12">
        <f ca="1">IFERROR(__xludf.DUMMYFUNCTION("""COMPUTED_VALUE"""),2873)</f>
        <v>2873</v>
      </c>
      <c r="G286" s="12">
        <f ca="1">IFERROR(__xludf.DUMMYFUNCTION("""COMPUTED_VALUE"""),2730)</f>
        <v>2730</v>
      </c>
      <c r="H286" s="12">
        <f ca="1">IFERROR(__xludf.DUMMYFUNCTION("""COMPUTED_VALUE"""),6341)</f>
        <v>6341</v>
      </c>
      <c r="I286" s="12">
        <f ca="1">IFERROR(__xludf.DUMMYFUNCTION("""COMPUTED_VALUE"""),6296)</f>
        <v>6296</v>
      </c>
      <c r="J286" s="12">
        <f ca="1">IFERROR(__xludf.DUMMYFUNCTION("""COMPUTED_VALUE"""),2390)</f>
        <v>2390</v>
      </c>
      <c r="K286" s="12">
        <f ca="1">IFERROR(__xludf.DUMMYFUNCTION("""COMPUTED_VALUE"""),2289)</f>
        <v>2289</v>
      </c>
      <c r="L286" s="12">
        <f ca="1">IFERROR(__xludf.DUMMYFUNCTION("""COMPUTED_VALUE"""),2885)</f>
        <v>2885</v>
      </c>
      <c r="M286" s="12">
        <f ca="1">IFERROR(__xludf.DUMMYFUNCTION("""COMPUTED_VALUE"""),4356)</f>
        <v>4356</v>
      </c>
      <c r="N286" s="12">
        <f ca="1">IFERROR(__xludf.DUMMYFUNCTION("""COMPUTED_VALUE"""),4342)</f>
        <v>4342</v>
      </c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spans="1:38" ht="13.2" x14ac:dyDescent="0.25">
      <c r="A287" s="12" t="str">
        <f ca="1">IFERROR(__xludf.DUMMYFUNCTION("""COMPUTED_VALUE"""),"                  right Bed nucleus of the accessory olfactory tract")</f>
        <v xml:space="preserve">                  right Bed nucleus of the accessory olfactory tract</v>
      </c>
      <c r="B287" s="12">
        <f ca="1">IFERROR(__xludf.DUMMYFUNCTION("""COMPUTED_VALUE"""),3234)</f>
        <v>3234</v>
      </c>
      <c r="C287" s="12">
        <f ca="1">IFERROR(__xludf.DUMMYFUNCTION("""COMPUTED_VALUE"""),7250)</f>
        <v>7250</v>
      </c>
      <c r="D287" s="12">
        <f ca="1">IFERROR(__xludf.DUMMYFUNCTION("""COMPUTED_VALUE"""),1223)</f>
        <v>1223</v>
      </c>
      <c r="E287" s="12">
        <f ca="1">IFERROR(__xludf.DUMMYFUNCTION("""COMPUTED_VALUE"""),1764)</f>
        <v>1764</v>
      </c>
      <c r="F287" s="12">
        <f ca="1">IFERROR(__xludf.DUMMYFUNCTION("""COMPUTED_VALUE"""),501)</f>
        <v>501</v>
      </c>
      <c r="G287" s="12">
        <f ca="1">IFERROR(__xludf.DUMMYFUNCTION("""COMPUTED_VALUE"""),1122)</f>
        <v>1122</v>
      </c>
      <c r="H287" s="12">
        <f ca="1">IFERROR(__xludf.DUMMYFUNCTION("""COMPUTED_VALUE"""),4711)</f>
        <v>4711</v>
      </c>
      <c r="I287" s="12">
        <f ca="1">IFERROR(__xludf.DUMMYFUNCTION("""COMPUTED_VALUE"""),6977)</f>
        <v>6977</v>
      </c>
      <c r="J287" s="12">
        <f ca="1">IFERROR(__xludf.DUMMYFUNCTION("""COMPUTED_VALUE"""),320)</f>
        <v>320</v>
      </c>
      <c r="K287" s="12">
        <f ca="1">IFERROR(__xludf.DUMMYFUNCTION("""COMPUTED_VALUE"""),481)</f>
        <v>481</v>
      </c>
      <c r="L287" s="12">
        <f ca="1">IFERROR(__xludf.DUMMYFUNCTION("""COMPUTED_VALUE"""),1644)</f>
        <v>1644</v>
      </c>
      <c r="M287" s="12">
        <f ca="1">IFERROR(__xludf.DUMMYFUNCTION("""COMPUTED_VALUE"""),6576)</f>
        <v>6576</v>
      </c>
      <c r="N287" s="12">
        <f ca="1">IFERROR(__xludf.DUMMYFUNCTION("""COMPUTED_VALUE"""),3230)</f>
        <v>3230</v>
      </c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spans="1:38" ht="13.2" x14ac:dyDescent="0.25">
      <c r="A288" s="12" t="str">
        <f ca="1">IFERROR(__xludf.DUMMYFUNCTION("""COMPUTED_VALUE"""),"                  right Central amygdalar nucleus")</f>
        <v xml:space="preserve">                  right Central amygdalar nucleus</v>
      </c>
      <c r="B288" s="12">
        <f ca="1">IFERROR(__xludf.DUMMYFUNCTION("""COMPUTED_VALUE"""),11982)</f>
        <v>11982</v>
      </c>
      <c r="C288" s="12">
        <f ca="1">IFERROR(__xludf.DUMMYFUNCTION("""COMPUTED_VALUE"""),9016)</f>
        <v>9016</v>
      </c>
      <c r="D288" s="12">
        <f ca="1">IFERROR(__xludf.DUMMYFUNCTION("""COMPUTED_VALUE"""),7774)</f>
        <v>7774</v>
      </c>
      <c r="E288" s="12">
        <f ca="1">IFERROR(__xludf.DUMMYFUNCTION("""COMPUTED_VALUE"""),4864)</f>
        <v>4864</v>
      </c>
      <c r="F288" s="12">
        <f ca="1">IFERROR(__xludf.DUMMYFUNCTION("""COMPUTED_VALUE"""),4057)</f>
        <v>4057</v>
      </c>
      <c r="G288" s="12">
        <f ca="1">IFERROR(__xludf.DUMMYFUNCTION("""COMPUTED_VALUE"""),4071)</f>
        <v>4071</v>
      </c>
      <c r="H288" s="12">
        <f ca="1">IFERROR(__xludf.DUMMYFUNCTION("""COMPUTED_VALUE"""),11944)</f>
        <v>11944</v>
      </c>
      <c r="I288" s="12">
        <f ca="1">IFERROR(__xludf.DUMMYFUNCTION("""COMPUTED_VALUE"""),9715)</f>
        <v>9715</v>
      </c>
      <c r="J288" s="12">
        <f ca="1">IFERROR(__xludf.DUMMYFUNCTION("""COMPUTED_VALUE"""),4641)</f>
        <v>4641</v>
      </c>
      <c r="K288" s="12">
        <f ca="1">IFERROR(__xludf.DUMMYFUNCTION("""COMPUTED_VALUE"""),4370)</f>
        <v>4370</v>
      </c>
      <c r="L288" s="12">
        <f ca="1">IFERROR(__xludf.DUMMYFUNCTION("""COMPUTED_VALUE"""),2535)</f>
        <v>2535</v>
      </c>
      <c r="M288" s="12">
        <f ca="1">IFERROR(__xludf.DUMMYFUNCTION("""COMPUTED_VALUE"""),3547)</f>
        <v>3547</v>
      </c>
      <c r="N288" s="12">
        <f ca="1">IFERROR(__xludf.DUMMYFUNCTION("""COMPUTED_VALUE"""),7023)</f>
        <v>7023</v>
      </c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spans="1:38" ht="13.2" x14ac:dyDescent="0.25">
      <c r="A289" s="12" t="str">
        <f ca="1">IFERROR(__xludf.DUMMYFUNCTION("""COMPUTED_VALUE"""),"                  right Intercalated amygdalar nucleus")</f>
        <v xml:space="preserve">                  right Intercalated amygdalar nucleus</v>
      </c>
      <c r="B289" s="12">
        <f ca="1">IFERROR(__xludf.DUMMYFUNCTION("""COMPUTED_VALUE"""),15048)</f>
        <v>15048</v>
      </c>
      <c r="C289" s="12">
        <f ca="1">IFERROR(__xludf.DUMMYFUNCTION("""COMPUTED_VALUE"""),7998)</f>
        <v>7998</v>
      </c>
      <c r="D289" s="12">
        <f ca="1">IFERROR(__xludf.DUMMYFUNCTION("""COMPUTED_VALUE"""),11168)</f>
        <v>11168</v>
      </c>
      <c r="E289" s="12">
        <f ca="1">IFERROR(__xludf.DUMMYFUNCTION("""COMPUTED_VALUE"""),7342)</f>
        <v>7342</v>
      </c>
      <c r="F289" s="12">
        <f ca="1">IFERROR(__xludf.DUMMYFUNCTION("""COMPUTED_VALUE"""),4067)</f>
        <v>4067</v>
      </c>
      <c r="G289" s="12">
        <f ca="1">IFERROR(__xludf.DUMMYFUNCTION("""COMPUTED_VALUE"""),4209)</f>
        <v>4209</v>
      </c>
      <c r="H289" s="12">
        <f ca="1">IFERROR(__xludf.DUMMYFUNCTION("""COMPUTED_VALUE"""),11085)</f>
        <v>11085</v>
      </c>
      <c r="I289" s="12">
        <f ca="1">IFERROR(__xludf.DUMMYFUNCTION("""COMPUTED_VALUE"""),8726)</f>
        <v>8726</v>
      </c>
      <c r="J289" s="12">
        <f ca="1">IFERROR(__xludf.DUMMYFUNCTION("""COMPUTED_VALUE"""),4302)</f>
        <v>4302</v>
      </c>
      <c r="K289" s="12">
        <f ca="1">IFERROR(__xludf.DUMMYFUNCTION("""COMPUTED_VALUE"""),3606)</f>
        <v>3606</v>
      </c>
      <c r="L289" s="12">
        <f ca="1">IFERROR(__xludf.DUMMYFUNCTION("""COMPUTED_VALUE"""),6204)</f>
        <v>6204</v>
      </c>
      <c r="M289" s="12">
        <f ca="1">IFERROR(__xludf.DUMMYFUNCTION("""COMPUTED_VALUE"""),6829)</f>
        <v>6829</v>
      </c>
      <c r="N289" s="12">
        <f ca="1">IFERROR(__xludf.DUMMYFUNCTION("""COMPUTED_VALUE"""),7835)</f>
        <v>7835</v>
      </c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spans="1:38" ht="13.2" x14ac:dyDescent="0.25">
      <c r="A290" s="12" t="str">
        <f ca="1">IFERROR(__xludf.DUMMYFUNCTION("""COMPUTED_VALUE"""),"                  right Medial amygdalar nucleus")</f>
        <v xml:space="preserve">                  right Medial amygdalar nucleus</v>
      </c>
      <c r="B290" s="12">
        <f ca="1">IFERROR(__xludf.DUMMYFUNCTION("""COMPUTED_VALUE"""),16956)</f>
        <v>16956</v>
      </c>
      <c r="C290" s="12">
        <f ca="1">IFERROR(__xludf.DUMMYFUNCTION("""COMPUTED_VALUE"""),6531)</f>
        <v>6531</v>
      </c>
      <c r="D290" s="12">
        <f ca="1">IFERROR(__xludf.DUMMYFUNCTION("""COMPUTED_VALUE"""),8999)</f>
        <v>8999</v>
      </c>
      <c r="E290" s="12">
        <f ca="1">IFERROR(__xludf.DUMMYFUNCTION("""COMPUTED_VALUE"""),6141)</f>
        <v>6141</v>
      </c>
      <c r="F290" s="12">
        <f ca="1">IFERROR(__xludf.DUMMYFUNCTION("""COMPUTED_VALUE"""),5162)</f>
        <v>5162</v>
      </c>
      <c r="G290" s="12">
        <f ca="1">IFERROR(__xludf.DUMMYFUNCTION("""COMPUTED_VALUE"""),3972)</f>
        <v>3972</v>
      </c>
      <c r="H290" s="12">
        <f ca="1">IFERROR(__xludf.DUMMYFUNCTION("""COMPUTED_VALUE"""),10298)</f>
        <v>10298</v>
      </c>
      <c r="I290" s="12">
        <f ca="1">IFERROR(__xludf.DUMMYFUNCTION("""COMPUTED_VALUE"""),6850)</f>
        <v>6850</v>
      </c>
      <c r="J290" s="12">
        <f ca="1">IFERROR(__xludf.DUMMYFUNCTION("""COMPUTED_VALUE"""),5930)</f>
        <v>5930</v>
      </c>
      <c r="K290" s="12">
        <f ca="1">IFERROR(__xludf.DUMMYFUNCTION("""COMPUTED_VALUE"""),3770)</f>
        <v>3770</v>
      </c>
      <c r="L290" s="12">
        <f ca="1">IFERROR(__xludf.DUMMYFUNCTION("""COMPUTED_VALUE"""),9271)</f>
        <v>9271</v>
      </c>
      <c r="M290" s="12">
        <f ca="1">IFERROR(__xludf.DUMMYFUNCTION("""COMPUTED_VALUE"""),7637)</f>
        <v>7637</v>
      </c>
      <c r="N290" s="12">
        <f ca="1">IFERROR(__xludf.DUMMYFUNCTION("""COMPUTED_VALUE"""),7561)</f>
        <v>7561</v>
      </c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spans="1:38" ht="13.2" x14ac:dyDescent="0.25">
      <c r="A291" s="12" t="str">
        <f ca="1">IFERROR(__xludf.DUMMYFUNCTION("""COMPUTED_VALUE"""),"            right Pallidum")</f>
        <v xml:space="preserve">            right Pallidum</v>
      </c>
      <c r="B291" s="12">
        <f ca="1">IFERROR(__xludf.DUMMYFUNCTION("""COMPUTED_VALUE"""),5717)</f>
        <v>5717</v>
      </c>
      <c r="C291" s="12">
        <f ca="1">IFERROR(__xludf.DUMMYFUNCTION("""COMPUTED_VALUE"""),5079)</f>
        <v>5079</v>
      </c>
      <c r="D291" s="12">
        <f ca="1">IFERROR(__xludf.DUMMYFUNCTION("""COMPUTED_VALUE"""),2923)</f>
        <v>2923</v>
      </c>
      <c r="E291" s="12">
        <f ca="1">IFERROR(__xludf.DUMMYFUNCTION("""COMPUTED_VALUE"""),2526)</f>
        <v>2526</v>
      </c>
      <c r="F291" s="12">
        <f ca="1">IFERROR(__xludf.DUMMYFUNCTION("""COMPUTED_VALUE"""),1998)</f>
        <v>1998</v>
      </c>
      <c r="G291" s="12">
        <f ca="1">IFERROR(__xludf.DUMMYFUNCTION("""COMPUTED_VALUE"""),1636)</f>
        <v>1636</v>
      </c>
      <c r="H291" s="12">
        <f ca="1">IFERROR(__xludf.DUMMYFUNCTION("""COMPUTED_VALUE"""),5598)</f>
        <v>5598</v>
      </c>
      <c r="I291" s="12">
        <f ca="1">IFERROR(__xludf.DUMMYFUNCTION("""COMPUTED_VALUE"""),5645)</f>
        <v>5645</v>
      </c>
      <c r="J291" s="12">
        <f ca="1">IFERROR(__xludf.DUMMYFUNCTION("""COMPUTED_VALUE"""),2929)</f>
        <v>2929</v>
      </c>
      <c r="K291" s="12">
        <f ca="1">IFERROR(__xludf.DUMMYFUNCTION("""COMPUTED_VALUE"""),1782)</f>
        <v>1782</v>
      </c>
      <c r="L291" s="12">
        <f ca="1">IFERROR(__xludf.DUMMYFUNCTION("""COMPUTED_VALUE"""),2382)</f>
        <v>2382</v>
      </c>
      <c r="M291" s="12">
        <f ca="1">IFERROR(__xludf.DUMMYFUNCTION("""COMPUTED_VALUE"""),2818)</f>
        <v>2818</v>
      </c>
      <c r="N291" s="12">
        <f ca="1">IFERROR(__xludf.DUMMYFUNCTION("""COMPUTED_VALUE"""),3592)</f>
        <v>3592</v>
      </c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spans="1:38" ht="13.2" x14ac:dyDescent="0.25">
      <c r="A292" s="12" t="str">
        <f ca="1">IFERROR(__xludf.DUMMYFUNCTION("""COMPUTED_VALUE"""),"               right Pallidum, dorsal region")</f>
        <v xml:space="preserve">               right Pallidum, dorsal region</v>
      </c>
      <c r="B292" s="12">
        <f ca="1">IFERROR(__xludf.DUMMYFUNCTION("""COMPUTED_VALUE"""),2849)</f>
        <v>2849</v>
      </c>
      <c r="C292" s="12">
        <f ca="1">IFERROR(__xludf.DUMMYFUNCTION("""COMPUTED_VALUE"""),4420)</f>
        <v>4420</v>
      </c>
      <c r="D292" s="12">
        <f ca="1">IFERROR(__xludf.DUMMYFUNCTION("""COMPUTED_VALUE"""),1748)</f>
        <v>1748</v>
      </c>
      <c r="E292" s="12">
        <f ca="1">IFERROR(__xludf.DUMMYFUNCTION("""COMPUTED_VALUE"""),1097)</f>
        <v>1097</v>
      </c>
      <c r="F292" s="12">
        <f ca="1">IFERROR(__xludf.DUMMYFUNCTION("""COMPUTED_VALUE"""),476)</f>
        <v>476</v>
      </c>
      <c r="G292" s="12">
        <f ca="1">IFERROR(__xludf.DUMMYFUNCTION("""COMPUTED_VALUE"""),404)</f>
        <v>404</v>
      </c>
      <c r="H292" s="12">
        <f ca="1">IFERROR(__xludf.DUMMYFUNCTION("""COMPUTED_VALUE"""),4626)</f>
        <v>4626</v>
      </c>
      <c r="I292" s="12">
        <f ca="1">IFERROR(__xludf.DUMMYFUNCTION("""COMPUTED_VALUE"""),3484)</f>
        <v>3484</v>
      </c>
      <c r="J292" s="12">
        <f ca="1">IFERROR(__xludf.DUMMYFUNCTION("""COMPUTED_VALUE"""),1025)</f>
        <v>1025</v>
      </c>
      <c r="K292" s="12">
        <f ca="1">IFERROR(__xludf.DUMMYFUNCTION("""COMPUTED_VALUE"""),805)</f>
        <v>805</v>
      </c>
      <c r="L292" s="12">
        <f ca="1">IFERROR(__xludf.DUMMYFUNCTION("""COMPUTED_VALUE"""),637)</f>
        <v>637</v>
      </c>
      <c r="M292" s="12">
        <f ca="1">IFERROR(__xludf.DUMMYFUNCTION("""COMPUTED_VALUE"""),1330)</f>
        <v>1330</v>
      </c>
      <c r="N292" s="12">
        <f ca="1">IFERROR(__xludf.DUMMYFUNCTION("""COMPUTED_VALUE"""),2139)</f>
        <v>2139</v>
      </c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spans="1:38" ht="13.2" x14ac:dyDescent="0.25">
      <c r="A293" s="12" t="str">
        <f ca="1">IFERROR(__xludf.DUMMYFUNCTION("""COMPUTED_VALUE"""),"               right Pallidum, ventral region")</f>
        <v xml:space="preserve">               right Pallidum, ventral region</v>
      </c>
      <c r="B293" s="12">
        <f ca="1">IFERROR(__xludf.DUMMYFUNCTION("""COMPUTED_VALUE"""),5483)</f>
        <v>5483</v>
      </c>
      <c r="C293" s="12">
        <f ca="1">IFERROR(__xludf.DUMMYFUNCTION("""COMPUTED_VALUE"""),4069)</f>
        <v>4069</v>
      </c>
      <c r="D293" s="12">
        <f ca="1">IFERROR(__xludf.DUMMYFUNCTION("""COMPUTED_VALUE"""),2810)</f>
        <v>2810</v>
      </c>
      <c r="E293" s="12">
        <f ca="1">IFERROR(__xludf.DUMMYFUNCTION("""COMPUTED_VALUE"""),2148)</f>
        <v>2148</v>
      </c>
      <c r="F293" s="12">
        <f ca="1">IFERROR(__xludf.DUMMYFUNCTION("""COMPUTED_VALUE"""),1562)</f>
        <v>1562</v>
      </c>
      <c r="G293" s="12">
        <f ca="1">IFERROR(__xludf.DUMMYFUNCTION("""COMPUTED_VALUE"""),1388)</f>
        <v>1388</v>
      </c>
      <c r="H293" s="12">
        <f ca="1">IFERROR(__xludf.DUMMYFUNCTION("""COMPUTED_VALUE"""),5071)</f>
        <v>5071</v>
      </c>
      <c r="I293" s="12">
        <f ca="1">IFERROR(__xludf.DUMMYFUNCTION("""COMPUTED_VALUE"""),5284)</f>
        <v>5284</v>
      </c>
      <c r="J293" s="12">
        <f ca="1">IFERROR(__xludf.DUMMYFUNCTION("""COMPUTED_VALUE"""),2403)</f>
        <v>2403</v>
      </c>
      <c r="K293" s="12">
        <f ca="1">IFERROR(__xludf.DUMMYFUNCTION("""COMPUTED_VALUE"""),1450)</f>
        <v>1450</v>
      </c>
      <c r="L293" s="12">
        <f ca="1">IFERROR(__xludf.DUMMYFUNCTION("""COMPUTED_VALUE"""),2654)</f>
        <v>2654</v>
      </c>
      <c r="M293" s="12">
        <f ca="1">IFERROR(__xludf.DUMMYFUNCTION("""COMPUTED_VALUE"""),2349)</f>
        <v>2349</v>
      </c>
      <c r="N293" s="12">
        <f ca="1">IFERROR(__xludf.DUMMYFUNCTION("""COMPUTED_VALUE"""),3189)</f>
        <v>3189</v>
      </c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spans="1:38" ht="13.2" x14ac:dyDescent="0.25">
      <c r="A294" s="12" t="str">
        <f ca="1">IFERROR(__xludf.DUMMYFUNCTION("""COMPUTED_VALUE"""),"               right Pallidum, medial region")</f>
        <v xml:space="preserve">               right Pallidum, medial region</v>
      </c>
      <c r="B294" s="12">
        <f ca="1">IFERROR(__xludf.DUMMYFUNCTION("""COMPUTED_VALUE"""),6007)</f>
        <v>6007</v>
      </c>
      <c r="C294" s="12">
        <f ca="1">IFERROR(__xludf.DUMMYFUNCTION("""COMPUTED_VALUE"""),5095)</f>
        <v>5095</v>
      </c>
      <c r="D294" s="12">
        <f ca="1">IFERROR(__xludf.DUMMYFUNCTION("""COMPUTED_VALUE"""),2107)</f>
        <v>2107</v>
      </c>
      <c r="E294" s="12">
        <f ca="1">IFERROR(__xludf.DUMMYFUNCTION("""COMPUTED_VALUE"""),3234)</f>
        <v>3234</v>
      </c>
      <c r="F294" s="12">
        <f ca="1">IFERROR(__xludf.DUMMYFUNCTION("""COMPUTED_VALUE"""),2580)</f>
        <v>2580</v>
      </c>
      <c r="G294" s="12">
        <f ca="1">IFERROR(__xludf.DUMMYFUNCTION("""COMPUTED_VALUE"""),2211)</f>
        <v>2211</v>
      </c>
      <c r="H294" s="12">
        <f ca="1">IFERROR(__xludf.DUMMYFUNCTION("""COMPUTED_VALUE"""),4850)</f>
        <v>4850</v>
      </c>
      <c r="I294" s="12">
        <f ca="1">IFERROR(__xludf.DUMMYFUNCTION("""COMPUTED_VALUE"""),5010)</f>
        <v>5010</v>
      </c>
      <c r="J294" s="12">
        <f ca="1">IFERROR(__xludf.DUMMYFUNCTION("""COMPUTED_VALUE"""),2927)</f>
        <v>2927</v>
      </c>
      <c r="K294" s="12">
        <f ca="1">IFERROR(__xludf.DUMMYFUNCTION("""COMPUTED_VALUE"""),1596)</f>
        <v>1596</v>
      </c>
      <c r="L294" s="12">
        <f ca="1">IFERROR(__xludf.DUMMYFUNCTION("""COMPUTED_VALUE"""),2112)</f>
        <v>2112</v>
      </c>
      <c r="M294" s="12">
        <f ca="1">IFERROR(__xludf.DUMMYFUNCTION("""COMPUTED_VALUE"""),3366)</f>
        <v>3366</v>
      </c>
      <c r="N294" s="12">
        <f ca="1">IFERROR(__xludf.DUMMYFUNCTION("""COMPUTED_VALUE"""),3587)</f>
        <v>3587</v>
      </c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spans="1:38" ht="13.2" x14ac:dyDescent="0.25">
      <c r="A295" s="12" t="str">
        <f ca="1">IFERROR(__xludf.DUMMYFUNCTION("""COMPUTED_VALUE"""),"                  right Medial septal complex")</f>
        <v xml:space="preserve">                  right Medial septal complex</v>
      </c>
      <c r="B295" s="12">
        <f ca="1">IFERROR(__xludf.DUMMYFUNCTION("""COMPUTED_VALUE"""),6068)</f>
        <v>6068</v>
      </c>
      <c r="C295" s="12">
        <f ca="1">IFERROR(__xludf.DUMMYFUNCTION("""COMPUTED_VALUE"""),4668)</f>
        <v>4668</v>
      </c>
      <c r="D295" s="12">
        <f ca="1">IFERROR(__xludf.DUMMYFUNCTION("""COMPUTED_VALUE"""),2149)</f>
        <v>2149</v>
      </c>
      <c r="E295" s="12">
        <f ca="1">IFERROR(__xludf.DUMMYFUNCTION("""COMPUTED_VALUE"""),2710)</f>
        <v>2710</v>
      </c>
      <c r="F295" s="12">
        <f ca="1">IFERROR(__xludf.DUMMYFUNCTION("""COMPUTED_VALUE"""),2781)</f>
        <v>2781</v>
      </c>
      <c r="G295" s="12">
        <f ca="1">IFERROR(__xludf.DUMMYFUNCTION("""COMPUTED_VALUE"""),2328)</f>
        <v>2328</v>
      </c>
      <c r="H295" s="12">
        <f ca="1">IFERROR(__xludf.DUMMYFUNCTION("""COMPUTED_VALUE"""),5034)</f>
        <v>5034</v>
      </c>
      <c r="I295" s="12">
        <f ca="1">IFERROR(__xludf.DUMMYFUNCTION("""COMPUTED_VALUE"""),5256)</f>
        <v>5256</v>
      </c>
      <c r="J295" s="12">
        <f ca="1">IFERROR(__xludf.DUMMYFUNCTION("""COMPUTED_VALUE"""),2691)</f>
        <v>2691</v>
      </c>
      <c r="K295" s="12">
        <f ca="1">IFERROR(__xludf.DUMMYFUNCTION("""COMPUTED_VALUE"""),1395)</f>
        <v>1395</v>
      </c>
      <c r="L295" s="12">
        <f ca="1">IFERROR(__xludf.DUMMYFUNCTION("""COMPUTED_VALUE"""),2414)</f>
        <v>2414</v>
      </c>
      <c r="M295" s="12">
        <f ca="1">IFERROR(__xludf.DUMMYFUNCTION("""COMPUTED_VALUE"""),3540)</f>
        <v>3540</v>
      </c>
      <c r="N295" s="12">
        <f ca="1">IFERROR(__xludf.DUMMYFUNCTION("""COMPUTED_VALUE"""),3566)</f>
        <v>3566</v>
      </c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spans="1:38" ht="13.2" x14ac:dyDescent="0.25">
      <c r="A296" s="12" t="str">
        <f ca="1">IFERROR(__xludf.DUMMYFUNCTION("""COMPUTED_VALUE"""),"                  right Triangular nucleus of septum")</f>
        <v xml:space="preserve">                  right Triangular nucleus of septum</v>
      </c>
      <c r="B296" s="12">
        <f ca="1">IFERROR(__xludf.DUMMYFUNCTION("""COMPUTED_VALUE"""),5807)</f>
        <v>5807</v>
      </c>
      <c r="C296" s="12">
        <f ca="1">IFERROR(__xludf.DUMMYFUNCTION("""COMPUTED_VALUE"""),6484)</f>
        <v>6484</v>
      </c>
      <c r="D296" s="12">
        <f ca="1">IFERROR(__xludf.DUMMYFUNCTION("""COMPUTED_VALUE"""),1970)</f>
        <v>1970</v>
      </c>
      <c r="E296" s="12">
        <f ca="1">IFERROR(__xludf.DUMMYFUNCTION("""COMPUTED_VALUE"""),4938)</f>
        <v>4938</v>
      </c>
      <c r="F296" s="12">
        <f ca="1">IFERROR(__xludf.DUMMYFUNCTION("""COMPUTED_VALUE"""),1927)</f>
        <v>1927</v>
      </c>
      <c r="G296" s="12">
        <f ca="1">IFERROR(__xludf.DUMMYFUNCTION("""COMPUTED_VALUE"""),1833)</f>
        <v>1833</v>
      </c>
      <c r="H296" s="12">
        <f ca="1">IFERROR(__xludf.DUMMYFUNCTION("""COMPUTED_VALUE"""),4251)</f>
        <v>4251</v>
      </c>
      <c r="I296" s="12">
        <f ca="1">IFERROR(__xludf.DUMMYFUNCTION("""COMPUTED_VALUE"""),4213)</f>
        <v>4213</v>
      </c>
      <c r="J296" s="12">
        <f ca="1">IFERROR(__xludf.DUMMYFUNCTION("""COMPUTED_VALUE"""),3696)</f>
        <v>3696</v>
      </c>
      <c r="K296" s="12">
        <f ca="1">IFERROR(__xludf.DUMMYFUNCTION("""COMPUTED_VALUE"""),2248)</f>
        <v>2248</v>
      </c>
      <c r="L296" s="12">
        <f ca="1">IFERROR(__xludf.DUMMYFUNCTION("""COMPUTED_VALUE"""),1129)</f>
        <v>1129</v>
      </c>
      <c r="M296" s="12">
        <f ca="1">IFERROR(__xludf.DUMMYFUNCTION("""COMPUTED_VALUE"""),2803)</f>
        <v>2803</v>
      </c>
      <c r="N296" s="12">
        <f ca="1">IFERROR(__xludf.DUMMYFUNCTION("""COMPUTED_VALUE"""),3653)</f>
        <v>3653</v>
      </c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spans="1:38" ht="13.2" x14ac:dyDescent="0.25">
      <c r="A297" s="12" t="str">
        <f ca="1">IFERROR(__xludf.DUMMYFUNCTION("""COMPUTED_VALUE"""),"               right Pallidum, caudal region")</f>
        <v xml:space="preserve">               right Pallidum, caudal region</v>
      </c>
      <c r="B297" s="12">
        <f ca="1">IFERROR(__xludf.DUMMYFUNCTION("""COMPUTED_VALUE"""),11492)</f>
        <v>11492</v>
      </c>
      <c r="C297" s="12">
        <f ca="1">IFERROR(__xludf.DUMMYFUNCTION("""COMPUTED_VALUE"""),9360)</f>
        <v>9360</v>
      </c>
      <c r="D297" s="12">
        <f ca="1">IFERROR(__xludf.DUMMYFUNCTION("""COMPUTED_VALUE"""),6302)</f>
        <v>6302</v>
      </c>
      <c r="E297" s="12">
        <f ca="1">IFERROR(__xludf.DUMMYFUNCTION("""COMPUTED_VALUE"""),5287)</f>
        <v>5287</v>
      </c>
      <c r="F297" s="12">
        <f ca="1">IFERROR(__xludf.DUMMYFUNCTION("""COMPUTED_VALUE"""),4824)</f>
        <v>4824</v>
      </c>
      <c r="G297" s="12">
        <f ca="1">IFERROR(__xludf.DUMMYFUNCTION("""COMPUTED_VALUE"""),3506)</f>
        <v>3506</v>
      </c>
      <c r="H297" s="12">
        <f ca="1">IFERROR(__xludf.DUMMYFUNCTION("""COMPUTED_VALUE"""),10696)</f>
        <v>10696</v>
      </c>
      <c r="I297" s="12">
        <f ca="1">IFERROR(__xludf.DUMMYFUNCTION("""COMPUTED_VALUE"""),11915)</f>
        <v>11915</v>
      </c>
      <c r="J297" s="12">
        <f ca="1">IFERROR(__xludf.DUMMYFUNCTION("""COMPUTED_VALUE"""),7523)</f>
        <v>7523</v>
      </c>
      <c r="K297" s="12">
        <f ca="1">IFERROR(__xludf.DUMMYFUNCTION("""COMPUTED_VALUE"""),4529)</f>
        <v>4529</v>
      </c>
      <c r="L297" s="12">
        <f ca="1">IFERROR(__xludf.DUMMYFUNCTION("""COMPUTED_VALUE"""),5013)</f>
        <v>5013</v>
      </c>
      <c r="M297" s="12">
        <f ca="1">IFERROR(__xludf.DUMMYFUNCTION("""COMPUTED_VALUE"""),6584)</f>
        <v>6584</v>
      </c>
      <c r="N297" s="12">
        <f ca="1">IFERROR(__xludf.DUMMYFUNCTION("""COMPUTED_VALUE"""),7467)</f>
        <v>7467</v>
      </c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spans="1:38" ht="13.2" x14ac:dyDescent="0.25">
      <c r="A298" s="12" t="str">
        <f ca="1">IFERROR(__xludf.DUMMYFUNCTION("""COMPUTED_VALUE"""),"      right Brain stem")</f>
        <v xml:space="preserve">      right Brain stem</v>
      </c>
      <c r="B298" s="12">
        <f ca="1">IFERROR(__xludf.DUMMYFUNCTION("""COMPUTED_VALUE"""),3851)</f>
        <v>3851</v>
      </c>
      <c r="C298" s="12">
        <f ca="1">IFERROR(__xludf.DUMMYFUNCTION("""COMPUTED_VALUE"""),3610)</f>
        <v>3610</v>
      </c>
      <c r="D298" s="12">
        <f ca="1">IFERROR(__xludf.DUMMYFUNCTION("""COMPUTED_VALUE"""),3303)</f>
        <v>3303</v>
      </c>
      <c r="E298" s="12">
        <f ca="1">IFERROR(__xludf.DUMMYFUNCTION("""COMPUTED_VALUE"""),3714)</f>
        <v>3714</v>
      </c>
      <c r="F298" s="12">
        <f ca="1">IFERROR(__xludf.DUMMYFUNCTION("""COMPUTED_VALUE"""),2612)</f>
        <v>2612</v>
      </c>
      <c r="G298" s="12">
        <f ca="1">IFERROR(__xludf.DUMMYFUNCTION("""COMPUTED_VALUE"""),2196)</f>
        <v>2196</v>
      </c>
      <c r="H298" s="12">
        <f ca="1">IFERROR(__xludf.DUMMYFUNCTION("""COMPUTED_VALUE"""),4475)</f>
        <v>4475</v>
      </c>
      <c r="I298" s="12">
        <f ca="1">IFERROR(__xludf.DUMMYFUNCTION("""COMPUTED_VALUE"""),5517)</f>
        <v>5517</v>
      </c>
      <c r="J298" s="12">
        <f ca="1">IFERROR(__xludf.DUMMYFUNCTION("""COMPUTED_VALUE"""),3545)</f>
        <v>3545</v>
      </c>
      <c r="K298" s="12">
        <f ca="1">IFERROR(__xludf.DUMMYFUNCTION("""COMPUTED_VALUE"""),2577)</f>
        <v>2577</v>
      </c>
      <c r="L298" s="12">
        <f ca="1">IFERROR(__xludf.DUMMYFUNCTION("""COMPUTED_VALUE"""),2388)</f>
        <v>2388</v>
      </c>
      <c r="M298" s="12">
        <f ca="1">IFERROR(__xludf.DUMMYFUNCTION("""COMPUTED_VALUE"""),3954)</f>
        <v>3954</v>
      </c>
      <c r="N298" s="12">
        <f ca="1">IFERROR(__xludf.DUMMYFUNCTION("""COMPUTED_VALUE"""),3545)</f>
        <v>3545</v>
      </c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spans="1:38" ht="13.2" x14ac:dyDescent="0.25">
      <c r="A299" s="12" t="str">
        <f ca="1">IFERROR(__xludf.DUMMYFUNCTION("""COMPUTED_VALUE"""),"         right Interbrain")</f>
        <v xml:space="preserve">         right Interbrain</v>
      </c>
      <c r="B299" s="12">
        <f ca="1">IFERROR(__xludf.DUMMYFUNCTION("""COMPUTED_VALUE"""),6155)</f>
        <v>6155</v>
      </c>
      <c r="C299" s="12">
        <f ca="1">IFERROR(__xludf.DUMMYFUNCTION("""COMPUTED_VALUE"""),5506)</f>
        <v>5506</v>
      </c>
      <c r="D299" s="12">
        <f ca="1">IFERROR(__xludf.DUMMYFUNCTION("""COMPUTED_VALUE"""),4513)</f>
        <v>4513</v>
      </c>
      <c r="E299" s="12">
        <f ca="1">IFERROR(__xludf.DUMMYFUNCTION("""COMPUTED_VALUE"""),4586)</f>
        <v>4586</v>
      </c>
      <c r="F299" s="12">
        <f ca="1">IFERROR(__xludf.DUMMYFUNCTION("""COMPUTED_VALUE"""),4032)</f>
        <v>4032</v>
      </c>
      <c r="G299" s="12">
        <f ca="1">IFERROR(__xludf.DUMMYFUNCTION("""COMPUTED_VALUE"""),3328)</f>
        <v>3328</v>
      </c>
      <c r="H299" s="12">
        <f ca="1">IFERROR(__xludf.DUMMYFUNCTION("""COMPUTED_VALUE"""),6363)</f>
        <v>6363</v>
      </c>
      <c r="I299" s="12">
        <f ca="1">IFERROR(__xludf.DUMMYFUNCTION("""COMPUTED_VALUE"""),7787)</f>
        <v>7787</v>
      </c>
      <c r="J299" s="12">
        <f ca="1">IFERROR(__xludf.DUMMYFUNCTION("""COMPUTED_VALUE"""),4449)</f>
        <v>4449</v>
      </c>
      <c r="K299" s="12">
        <f ca="1">IFERROR(__xludf.DUMMYFUNCTION("""COMPUTED_VALUE"""),2972)</f>
        <v>2972</v>
      </c>
      <c r="L299" s="12">
        <f ca="1">IFERROR(__xludf.DUMMYFUNCTION("""COMPUTED_VALUE"""),3489)</f>
        <v>3489</v>
      </c>
      <c r="M299" s="12">
        <f ca="1">IFERROR(__xludf.DUMMYFUNCTION("""COMPUTED_VALUE"""),4812)</f>
        <v>4812</v>
      </c>
      <c r="N299" s="12">
        <f ca="1">IFERROR(__xludf.DUMMYFUNCTION("""COMPUTED_VALUE"""),4997)</f>
        <v>4997</v>
      </c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spans="1:38" ht="13.2" x14ac:dyDescent="0.25">
      <c r="A300" s="12" t="str">
        <f ca="1">IFERROR(__xludf.DUMMYFUNCTION("""COMPUTED_VALUE"""),"            right Thalamus")</f>
        <v xml:space="preserve">            right Thalamus</v>
      </c>
      <c r="B300" s="12">
        <f ca="1">IFERROR(__xludf.DUMMYFUNCTION("""COMPUTED_VALUE"""),3622)</f>
        <v>3622</v>
      </c>
      <c r="C300" s="12">
        <f ca="1">IFERROR(__xludf.DUMMYFUNCTION("""COMPUTED_VALUE"""),5350)</f>
        <v>5350</v>
      </c>
      <c r="D300" s="12">
        <f ca="1">IFERROR(__xludf.DUMMYFUNCTION("""COMPUTED_VALUE"""),3237)</f>
        <v>3237</v>
      </c>
      <c r="E300" s="12">
        <f ca="1">IFERROR(__xludf.DUMMYFUNCTION("""COMPUTED_VALUE"""),3362)</f>
        <v>3362</v>
      </c>
      <c r="F300" s="12">
        <f ca="1">IFERROR(__xludf.DUMMYFUNCTION("""COMPUTED_VALUE"""),3038)</f>
        <v>3038</v>
      </c>
      <c r="G300" s="12">
        <f ca="1">IFERROR(__xludf.DUMMYFUNCTION("""COMPUTED_VALUE"""),2334)</f>
        <v>2334</v>
      </c>
      <c r="H300" s="12">
        <f ca="1">IFERROR(__xludf.DUMMYFUNCTION("""COMPUTED_VALUE"""),4016)</f>
        <v>4016</v>
      </c>
      <c r="I300" s="12">
        <f ca="1">IFERROR(__xludf.DUMMYFUNCTION("""COMPUTED_VALUE"""),5475)</f>
        <v>5475</v>
      </c>
      <c r="J300" s="12">
        <f ca="1">IFERROR(__xludf.DUMMYFUNCTION("""COMPUTED_VALUE"""),3039)</f>
        <v>3039</v>
      </c>
      <c r="K300" s="12">
        <f ca="1">IFERROR(__xludf.DUMMYFUNCTION("""COMPUTED_VALUE"""),2215)</f>
        <v>2215</v>
      </c>
      <c r="L300" s="12">
        <f ca="1">IFERROR(__xludf.DUMMYFUNCTION("""COMPUTED_VALUE"""),2599)</f>
        <v>2599</v>
      </c>
      <c r="M300" s="12">
        <f ca="1">IFERROR(__xludf.DUMMYFUNCTION("""COMPUTED_VALUE"""),3066)</f>
        <v>3066</v>
      </c>
      <c r="N300" s="12">
        <f ca="1">IFERROR(__xludf.DUMMYFUNCTION("""COMPUTED_VALUE"""),3632)</f>
        <v>3632</v>
      </c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spans="1:38" ht="13.2" x14ac:dyDescent="0.25">
      <c r="A301" s="12" t="str">
        <f ca="1">IFERROR(__xludf.DUMMYFUNCTION("""COMPUTED_VALUE"""),"               right Thalamus, sensory-motor cortex related")</f>
        <v xml:space="preserve">               right Thalamus, sensory-motor cortex related</v>
      </c>
      <c r="B301" s="12">
        <f ca="1">IFERROR(__xludf.DUMMYFUNCTION("""COMPUTED_VALUE"""),2998)</f>
        <v>2998</v>
      </c>
      <c r="C301" s="12">
        <f ca="1">IFERROR(__xludf.DUMMYFUNCTION("""COMPUTED_VALUE"""),4218)</f>
        <v>4218</v>
      </c>
      <c r="D301" s="12">
        <f ca="1">IFERROR(__xludf.DUMMYFUNCTION("""COMPUTED_VALUE"""),2401)</f>
        <v>2401</v>
      </c>
      <c r="E301" s="12">
        <f ca="1">IFERROR(__xludf.DUMMYFUNCTION("""COMPUTED_VALUE"""),2239)</f>
        <v>2239</v>
      </c>
      <c r="F301" s="12">
        <f ca="1">IFERROR(__xludf.DUMMYFUNCTION("""COMPUTED_VALUE"""),1934)</f>
        <v>1934</v>
      </c>
      <c r="G301" s="12">
        <f ca="1">IFERROR(__xludf.DUMMYFUNCTION("""COMPUTED_VALUE"""),1462)</f>
        <v>1462</v>
      </c>
      <c r="H301" s="12">
        <f ca="1">IFERROR(__xludf.DUMMYFUNCTION("""COMPUTED_VALUE"""),2927)</f>
        <v>2927</v>
      </c>
      <c r="I301" s="12">
        <f ca="1">IFERROR(__xludf.DUMMYFUNCTION("""COMPUTED_VALUE"""),3966)</f>
        <v>3966</v>
      </c>
      <c r="J301" s="12">
        <f ca="1">IFERROR(__xludf.DUMMYFUNCTION("""COMPUTED_VALUE"""),1901)</f>
        <v>1901</v>
      </c>
      <c r="K301" s="12">
        <f ca="1">IFERROR(__xludf.DUMMYFUNCTION("""COMPUTED_VALUE"""),1674)</f>
        <v>1674</v>
      </c>
      <c r="L301" s="12">
        <f ca="1">IFERROR(__xludf.DUMMYFUNCTION("""COMPUTED_VALUE"""),2631)</f>
        <v>2631</v>
      </c>
      <c r="M301" s="12">
        <f ca="1">IFERROR(__xludf.DUMMYFUNCTION("""COMPUTED_VALUE"""),2132)</f>
        <v>2132</v>
      </c>
      <c r="N301" s="12">
        <f ca="1">IFERROR(__xludf.DUMMYFUNCTION("""COMPUTED_VALUE"""),2662)</f>
        <v>2662</v>
      </c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spans="1:38" ht="13.2" x14ac:dyDescent="0.25">
      <c r="A302" s="12" t="str">
        <f ca="1">IFERROR(__xludf.DUMMYFUNCTION("""COMPUTED_VALUE"""),"                  right Ventral group of the dorsal thalamus")</f>
        <v xml:space="preserve">                  right Ventral group of the dorsal thalamus</v>
      </c>
      <c r="B302" s="12">
        <f ca="1">IFERROR(__xludf.DUMMYFUNCTION("""COMPUTED_VALUE"""),1989)</f>
        <v>1989</v>
      </c>
      <c r="C302" s="12">
        <f ca="1">IFERROR(__xludf.DUMMYFUNCTION("""COMPUTED_VALUE"""),3935)</f>
        <v>3935</v>
      </c>
      <c r="D302" s="12">
        <f ca="1">IFERROR(__xludf.DUMMYFUNCTION("""COMPUTED_VALUE"""),2095)</f>
        <v>2095</v>
      </c>
      <c r="E302" s="12">
        <f ca="1">IFERROR(__xludf.DUMMYFUNCTION("""COMPUTED_VALUE"""),1270)</f>
        <v>1270</v>
      </c>
      <c r="F302" s="12">
        <f ca="1">IFERROR(__xludf.DUMMYFUNCTION("""COMPUTED_VALUE"""),1390)</f>
        <v>1390</v>
      </c>
      <c r="G302" s="12">
        <f ca="1">IFERROR(__xludf.DUMMYFUNCTION("""COMPUTED_VALUE"""),749)</f>
        <v>749</v>
      </c>
      <c r="H302" s="12">
        <f ca="1">IFERROR(__xludf.DUMMYFUNCTION("""COMPUTED_VALUE"""),1837)</f>
        <v>1837</v>
      </c>
      <c r="I302" s="12">
        <f ca="1">IFERROR(__xludf.DUMMYFUNCTION("""COMPUTED_VALUE"""),2829)</f>
        <v>2829</v>
      </c>
      <c r="J302" s="12">
        <f ca="1">IFERROR(__xludf.DUMMYFUNCTION("""COMPUTED_VALUE"""),1513)</f>
        <v>1513</v>
      </c>
      <c r="K302" s="12">
        <f ca="1">IFERROR(__xludf.DUMMYFUNCTION("""COMPUTED_VALUE"""),1079)</f>
        <v>1079</v>
      </c>
      <c r="L302" s="12">
        <f ca="1">IFERROR(__xludf.DUMMYFUNCTION("""COMPUTED_VALUE"""),1180)</f>
        <v>1180</v>
      </c>
      <c r="M302" s="12">
        <f ca="1">IFERROR(__xludf.DUMMYFUNCTION("""COMPUTED_VALUE"""),1480)</f>
        <v>1480</v>
      </c>
      <c r="N302" s="12">
        <f ca="1">IFERROR(__xludf.DUMMYFUNCTION("""COMPUTED_VALUE"""),1921)</f>
        <v>1921</v>
      </c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spans="1:38" ht="13.2" x14ac:dyDescent="0.25">
      <c r="A303" s="12" t="str">
        <f ca="1">IFERROR(__xludf.DUMMYFUNCTION("""COMPUTED_VALUE"""),"               right Thalamus, polymodal association cortex related")</f>
        <v xml:space="preserve">               right Thalamus, polymodal association cortex related</v>
      </c>
      <c r="B303" s="12">
        <f ca="1">IFERROR(__xludf.DUMMYFUNCTION("""COMPUTED_VALUE"""),3820)</f>
        <v>3820</v>
      </c>
      <c r="C303" s="12">
        <f ca="1">IFERROR(__xludf.DUMMYFUNCTION("""COMPUTED_VALUE"""),5924)</f>
        <v>5924</v>
      </c>
      <c r="D303" s="12">
        <f ca="1">IFERROR(__xludf.DUMMYFUNCTION("""COMPUTED_VALUE"""),3630)</f>
        <v>3630</v>
      </c>
      <c r="E303" s="12">
        <f ca="1">IFERROR(__xludf.DUMMYFUNCTION("""COMPUTED_VALUE"""),3825)</f>
        <v>3825</v>
      </c>
      <c r="F303" s="12">
        <f ca="1">IFERROR(__xludf.DUMMYFUNCTION("""COMPUTED_VALUE"""),3538)</f>
        <v>3538</v>
      </c>
      <c r="G303" s="12">
        <f ca="1">IFERROR(__xludf.DUMMYFUNCTION("""COMPUTED_VALUE"""),2742)</f>
        <v>2742</v>
      </c>
      <c r="H303" s="12">
        <f ca="1">IFERROR(__xludf.DUMMYFUNCTION("""COMPUTED_VALUE"""),4424)</f>
        <v>4424</v>
      </c>
      <c r="I303" s="12">
        <f ca="1">IFERROR(__xludf.DUMMYFUNCTION("""COMPUTED_VALUE"""),6068)</f>
        <v>6068</v>
      </c>
      <c r="J303" s="12">
        <f ca="1">IFERROR(__xludf.DUMMYFUNCTION("""COMPUTED_VALUE"""),3519)</f>
        <v>3519</v>
      </c>
      <c r="K303" s="12">
        <f ca="1">IFERROR(__xludf.DUMMYFUNCTION("""COMPUTED_VALUE"""),2395)</f>
        <v>2395</v>
      </c>
      <c r="L303" s="12">
        <f ca="1">IFERROR(__xludf.DUMMYFUNCTION("""COMPUTED_VALUE"""),2511)</f>
        <v>2511</v>
      </c>
      <c r="M303" s="12">
        <f ca="1">IFERROR(__xludf.DUMMYFUNCTION("""COMPUTED_VALUE"""),3405)</f>
        <v>3405</v>
      </c>
      <c r="N303" s="12">
        <f ca="1">IFERROR(__xludf.DUMMYFUNCTION("""COMPUTED_VALUE"""),4041)</f>
        <v>4041</v>
      </c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spans="1:38" ht="13.2" x14ac:dyDescent="0.25">
      <c r="A304" s="12" t="str">
        <f ca="1">IFERROR(__xludf.DUMMYFUNCTION("""COMPUTED_VALUE"""),"            right Hypothalamus")</f>
        <v xml:space="preserve">            right Hypothalamus</v>
      </c>
      <c r="B304" s="12">
        <f ca="1">IFERROR(__xludf.DUMMYFUNCTION("""COMPUTED_VALUE"""),9530)</f>
        <v>9530</v>
      </c>
      <c r="C304" s="12">
        <f ca="1">IFERROR(__xludf.DUMMYFUNCTION("""COMPUTED_VALUE"""),5715)</f>
        <v>5715</v>
      </c>
      <c r="D304" s="12">
        <f ca="1">IFERROR(__xludf.DUMMYFUNCTION("""COMPUTED_VALUE"""),6214)</f>
        <v>6214</v>
      </c>
      <c r="E304" s="12">
        <f ca="1">IFERROR(__xludf.DUMMYFUNCTION("""COMPUTED_VALUE"""),6217)</f>
        <v>6217</v>
      </c>
      <c r="F304" s="12">
        <f ca="1">IFERROR(__xludf.DUMMYFUNCTION("""COMPUTED_VALUE"""),5357)</f>
        <v>5357</v>
      </c>
      <c r="G304" s="12">
        <f ca="1">IFERROR(__xludf.DUMMYFUNCTION("""COMPUTED_VALUE"""),4652)</f>
        <v>4652</v>
      </c>
      <c r="H304" s="12">
        <f ca="1">IFERROR(__xludf.DUMMYFUNCTION("""COMPUTED_VALUE"""),9492)</f>
        <v>9492</v>
      </c>
      <c r="I304" s="12">
        <f ca="1">IFERROR(__xludf.DUMMYFUNCTION("""COMPUTED_VALUE"""),10868)</f>
        <v>10868</v>
      </c>
      <c r="J304" s="12">
        <f ca="1">IFERROR(__xludf.DUMMYFUNCTION("""COMPUTED_VALUE"""),6327)</f>
        <v>6327</v>
      </c>
      <c r="K304" s="12">
        <f ca="1">IFERROR(__xludf.DUMMYFUNCTION("""COMPUTED_VALUE"""),3980)</f>
        <v>3980</v>
      </c>
      <c r="L304" s="12">
        <f ca="1">IFERROR(__xludf.DUMMYFUNCTION("""COMPUTED_VALUE"""),4676)</f>
        <v>4676</v>
      </c>
      <c r="M304" s="12">
        <f ca="1">IFERROR(__xludf.DUMMYFUNCTION("""COMPUTED_VALUE"""),7140)</f>
        <v>7140</v>
      </c>
      <c r="N304" s="12">
        <f ca="1">IFERROR(__xludf.DUMMYFUNCTION("""COMPUTED_VALUE"""),6815)</f>
        <v>6815</v>
      </c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spans="1:38" ht="13.2" x14ac:dyDescent="0.25">
      <c r="A305" s="12" t="str">
        <f ca="1">IFERROR(__xludf.DUMMYFUNCTION("""COMPUTED_VALUE"""),"               right Periventricular zone")</f>
        <v xml:space="preserve">               right Periventricular zone</v>
      </c>
      <c r="B305" s="12">
        <f ca="1">IFERROR(__xludf.DUMMYFUNCTION("""COMPUTED_VALUE"""),11039)</f>
        <v>11039</v>
      </c>
      <c r="C305" s="12">
        <f ca="1">IFERROR(__xludf.DUMMYFUNCTION("""COMPUTED_VALUE"""),7510)</f>
        <v>7510</v>
      </c>
      <c r="D305" s="12">
        <f ca="1">IFERROR(__xludf.DUMMYFUNCTION("""COMPUTED_VALUE"""),6968)</f>
        <v>6968</v>
      </c>
      <c r="E305" s="12">
        <f ca="1">IFERROR(__xludf.DUMMYFUNCTION("""COMPUTED_VALUE"""),7997)</f>
        <v>7997</v>
      </c>
      <c r="F305" s="12">
        <f ca="1">IFERROR(__xludf.DUMMYFUNCTION("""COMPUTED_VALUE"""),5860)</f>
        <v>5860</v>
      </c>
      <c r="G305" s="12">
        <f ca="1">IFERROR(__xludf.DUMMYFUNCTION("""COMPUTED_VALUE"""),5134)</f>
        <v>5134</v>
      </c>
      <c r="H305" s="12">
        <f ca="1">IFERROR(__xludf.DUMMYFUNCTION("""COMPUTED_VALUE"""),8221)</f>
        <v>8221</v>
      </c>
      <c r="I305" s="12">
        <f ca="1">IFERROR(__xludf.DUMMYFUNCTION("""COMPUTED_VALUE"""),15283)</f>
        <v>15283</v>
      </c>
      <c r="J305" s="12">
        <f ca="1">IFERROR(__xludf.DUMMYFUNCTION("""COMPUTED_VALUE"""),6143)</f>
        <v>6143</v>
      </c>
      <c r="K305" s="12">
        <f ca="1">IFERROR(__xludf.DUMMYFUNCTION("""COMPUTED_VALUE"""),5026)</f>
        <v>5026</v>
      </c>
      <c r="L305" s="12">
        <f ca="1">IFERROR(__xludf.DUMMYFUNCTION("""COMPUTED_VALUE"""),4431)</f>
        <v>4431</v>
      </c>
      <c r="M305" s="12">
        <f ca="1">IFERROR(__xludf.DUMMYFUNCTION("""COMPUTED_VALUE"""),8243)</f>
        <v>8243</v>
      </c>
      <c r="N305" s="12">
        <f ca="1">IFERROR(__xludf.DUMMYFUNCTION("""COMPUTED_VALUE"""),7905)</f>
        <v>7905</v>
      </c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spans="1:38" ht="13.2" x14ac:dyDescent="0.25">
      <c r="A306" s="12" t="str">
        <f ca="1">IFERROR(__xludf.DUMMYFUNCTION("""COMPUTED_VALUE"""),"               right Periventricular region")</f>
        <v xml:space="preserve">               right Periventricular region</v>
      </c>
      <c r="B306" s="12">
        <f ca="1">IFERROR(__xludf.DUMMYFUNCTION("""COMPUTED_VALUE"""),11389)</f>
        <v>11389</v>
      </c>
      <c r="C306" s="12">
        <f ca="1">IFERROR(__xludf.DUMMYFUNCTION("""COMPUTED_VALUE"""),7941)</f>
        <v>7941</v>
      </c>
      <c r="D306" s="12">
        <f ca="1">IFERROR(__xludf.DUMMYFUNCTION("""COMPUTED_VALUE"""),7271)</f>
        <v>7271</v>
      </c>
      <c r="E306" s="12">
        <f ca="1">IFERROR(__xludf.DUMMYFUNCTION("""COMPUTED_VALUE"""),8370)</f>
        <v>8370</v>
      </c>
      <c r="F306" s="12">
        <f ca="1">IFERROR(__xludf.DUMMYFUNCTION("""COMPUTED_VALUE"""),7455)</f>
        <v>7455</v>
      </c>
      <c r="G306" s="12">
        <f ca="1">IFERROR(__xludf.DUMMYFUNCTION("""COMPUTED_VALUE"""),6846)</f>
        <v>6846</v>
      </c>
      <c r="H306" s="12">
        <f ca="1">IFERROR(__xludf.DUMMYFUNCTION("""COMPUTED_VALUE"""),13721)</f>
        <v>13721</v>
      </c>
      <c r="I306" s="12">
        <f ca="1">IFERROR(__xludf.DUMMYFUNCTION("""COMPUTED_VALUE"""),16192)</f>
        <v>16192</v>
      </c>
      <c r="J306" s="12">
        <f ca="1">IFERROR(__xludf.DUMMYFUNCTION("""COMPUTED_VALUE"""),7353)</f>
        <v>7353</v>
      </c>
      <c r="K306" s="12">
        <f ca="1">IFERROR(__xludf.DUMMYFUNCTION("""COMPUTED_VALUE"""),4496)</f>
        <v>4496</v>
      </c>
      <c r="L306" s="12">
        <f ca="1">IFERROR(__xludf.DUMMYFUNCTION("""COMPUTED_VALUE"""),5136)</f>
        <v>5136</v>
      </c>
      <c r="M306" s="12">
        <f ca="1">IFERROR(__xludf.DUMMYFUNCTION("""COMPUTED_VALUE"""),7967)</f>
        <v>7967</v>
      </c>
      <c r="N306" s="12">
        <f ca="1">IFERROR(__xludf.DUMMYFUNCTION("""COMPUTED_VALUE"""),9080)</f>
        <v>9080</v>
      </c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spans="1:38" ht="13.2" x14ac:dyDescent="0.25">
      <c r="A307" s="12" t="str">
        <f ca="1">IFERROR(__xludf.DUMMYFUNCTION("""COMPUTED_VALUE"""),"               right Hypothalamic medial zone")</f>
        <v xml:space="preserve">               right Hypothalamic medial zone</v>
      </c>
      <c r="B307" s="12">
        <f ca="1">IFERROR(__xludf.DUMMYFUNCTION("""COMPUTED_VALUE"""),10861)</f>
        <v>10861</v>
      </c>
      <c r="C307" s="12">
        <f ca="1">IFERROR(__xludf.DUMMYFUNCTION("""COMPUTED_VALUE"""),5619)</f>
        <v>5619</v>
      </c>
      <c r="D307" s="12">
        <f ca="1">IFERROR(__xludf.DUMMYFUNCTION("""COMPUTED_VALUE"""),7095)</f>
        <v>7095</v>
      </c>
      <c r="E307" s="12">
        <f ca="1">IFERROR(__xludf.DUMMYFUNCTION("""COMPUTED_VALUE"""),7162)</f>
        <v>7162</v>
      </c>
      <c r="F307" s="12">
        <f ca="1">IFERROR(__xludf.DUMMYFUNCTION("""COMPUTED_VALUE"""),5615)</f>
        <v>5615</v>
      </c>
      <c r="G307" s="12">
        <f ca="1">IFERROR(__xludf.DUMMYFUNCTION("""COMPUTED_VALUE"""),4934)</f>
        <v>4934</v>
      </c>
      <c r="H307" s="12">
        <f ca="1">IFERROR(__xludf.DUMMYFUNCTION("""COMPUTED_VALUE"""),10754)</f>
        <v>10754</v>
      </c>
      <c r="I307" s="12">
        <f ca="1">IFERROR(__xludf.DUMMYFUNCTION("""COMPUTED_VALUE"""),11633)</f>
        <v>11633</v>
      </c>
      <c r="J307" s="12">
        <f ca="1">IFERROR(__xludf.DUMMYFUNCTION("""COMPUTED_VALUE"""),6944)</f>
        <v>6944</v>
      </c>
      <c r="K307" s="12">
        <f ca="1">IFERROR(__xludf.DUMMYFUNCTION("""COMPUTED_VALUE"""),4582)</f>
        <v>4582</v>
      </c>
      <c r="L307" s="12">
        <f ca="1">IFERROR(__xludf.DUMMYFUNCTION("""COMPUTED_VALUE"""),4819)</f>
        <v>4819</v>
      </c>
      <c r="M307" s="12">
        <f ca="1">IFERROR(__xludf.DUMMYFUNCTION("""COMPUTED_VALUE"""),9089)</f>
        <v>9089</v>
      </c>
      <c r="N307" s="12">
        <f ca="1">IFERROR(__xludf.DUMMYFUNCTION("""COMPUTED_VALUE"""),7508)</f>
        <v>7508</v>
      </c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spans="1:38" ht="13.2" x14ac:dyDescent="0.25">
      <c r="A308" s="12" t="str">
        <f ca="1">IFERROR(__xludf.DUMMYFUNCTION("""COMPUTED_VALUE"""),"               right Hypothalamic lateral zone")</f>
        <v xml:space="preserve">               right Hypothalamic lateral zone</v>
      </c>
      <c r="B308" s="12">
        <f ca="1">IFERROR(__xludf.DUMMYFUNCTION("""COMPUTED_VALUE"""),6976)</f>
        <v>6976</v>
      </c>
      <c r="C308" s="12">
        <f ca="1">IFERROR(__xludf.DUMMYFUNCTION("""COMPUTED_VALUE"""),4468)</f>
        <v>4468</v>
      </c>
      <c r="D308" s="12">
        <f ca="1">IFERROR(__xludf.DUMMYFUNCTION("""COMPUTED_VALUE"""),4772)</f>
        <v>4772</v>
      </c>
      <c r="E308" s="12">
        <f ca="1">IFERROR(__xludf.DUMMYFUNCTION("""COMPUTED_VALUE"""),4216)</f>
        <v>4216</v>
      </c>
      <c r="F308" s="12">
        <f ca="1">IFERROR(__xludf.DUMMYFUNCTION("""COMPUTED_VALUE"""),4053)</f>
        <v>4053</v>
      </c>
      <c r="G308" s="12">
        <f ca="1">IFERROR(__xludf.DUMMYFUNCTION("""COMPUTED_VALUE"""),3283)</f>
        <v>3283</v>
      </c>
      <c r="H308" s="12">
        <f ca="1">IFERROR(__xludf.DUMMYFUNCTION("""COMPUTED_VALUE"""),6582)</f>
        <v>6582</v>
      </c>
      <c r="I308" s="12">
        <f ca="1">IFERROR(__xludf.DUMMYFUNCTION("""COMPUTED_VALUE"""),7248)</f>
        <v>7248</v>
      </c>
      <c r="J308" s="12">
        <f ca="1">IFERROR(__xludf.DUMMYFUNCTION("""COMPUTED_VALUE"""),5066)</f>
        <v>5066</v>
      </c>
      <c r="K308" s="12">
        <f ca="1">IFERROR(__xludf.DUMMYFUNCTION("""COMPUTED_VALUE"""),2906)</f>
        <v>2906</v>
      </c>
      <c r="L308" s="12">
        <f ca="1">IFERROR(__xludf.DUMMYFUNCTION("""COMPUTED_VALUE"""),3950)</f>
        <v>3950</v>
      </c>
      <c r="M308" s="12">
        <f ca="1">IFERROR(__xludf.DUMMYFUNCTION("""COMPUTED_VALUE"""),4849)</f>
        <v>4849</v>
      </c>
      <c r="N308" s="12">
        <f ca="1">IFERROR(__xludf.DUMMYFUNCTION("""COMPUTED_VALUE"""),4936)</f>
        <v>4936</v>
      </c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spans="1:38" ht="13.2" x14ac:dyDescent="0.25">
      <c r="A309" s="12" t="str">
        <f ca="1">IFERROR(__xludf.DUMMYFUNCTION("""COMPUTED_VALUE"""),"         right Midbrain")</f>
        <v xml:space="preserve">         right Midbrain</v>
      </c>
      <c r="B309" s="12">
        <f ca="1">IFERROR(__xludf.DUMMYFUNCTION("""COMPUTED_VALUE"""),5342)</f>
        <v>5342</v>
      </c>
      <c r="C309" s="12">
        <f ca="1">IFERROR(__xludf.DUMMYFUNCTION("""COMPUTED_VALUE"""),4834)</f>
        <v>4834</v>
      </c>
      <c r="D309" s="12">
        <f ca="1">IFERROR(__xludf.DUMMYFUNCTION("""COMPUTED_VALUE"""),4774)</f>
        <v>4774</v>
      </c>
      <c r="E309" s="12">
        <f ca="1">IFERROR(__xludf.DUMMYFUNCTION("""COMPUTED_VALUE"""),5514)</f>
        <v>5514</v>
      </c>
      <c r="F309" s="12">
        <f ca="1">IFERROR(__xludf.DUMMYFUNCTION("""COMPUTED_VALUE"""),3805)</f>
        <v>3805</v>
      </c>
      <c r="G309" s="12">
        <f ca="1">IFERROR(__xludf.DUMMYFUNCTION("""COMPUTED_VALUE"""),3041)</f>
        <v>3041</v>
      </c>
      <c r="H309" s="12">
        <f ca="1">IFERROR(__xludf.DUMMYFUNCTION("""COMPUTED_VALUE"""),6755)</f>
        <v>6755</v>
      </c>
      <c r="I309" s="12">
        <f ca="1">IFERROR(__xludf.DUMMYFUNCTION("""COMPUTED_VALUE"""),7624)</f>
        <v>7624</v>
      </c>
      <c r="J309" s="12">
        <f ca="1">IFERROR(__xludf.DUMMYFUNCTION("""COMPUTED_VALUE"""),5113)</f>
        <v>5113</v>
      </c>
      <c r="K309" s="12">
        <f ca="1">IFERROR(__xludf.DUMMYFUNCTION("""COMPUTED_VALUE"""),4431)</f>
        <v>4431</v>
      </c>
      <c r="L309" s="12">
        <f ca="1">IFERROR(__xludf.DUMMYFUNCTION("""COMPUTED_VALUE"""),3812)</f>
        <v>3812</v>
      </c>
      <c r="M309" s="12">
        <f ca="1">IFERROR(__xludf.DUMMYFUNCTION("""COMPUTED_VALUE"""),6430)</f>
        <v>6430</v>
      </c>
      <c r="N309" s="12">
        <f ca="1">IFERROR(__xludf.DUMMYFUNCTION("""COMPUTED_VALUE"""),5146)</f>
        <v>5146</v>
      </c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spans="1:38" ht="13.2" x14ac:dyDescent="0.25">
      <c r="A310" s="12" t="str">
        <f ca="1">IFERROR(__xludf.DUMMYFUNCTION("""COMPUTED_VALUE"""),"            right Midbrain, sensory related")</f>
        <v xml:space="preserve">            right Midbrain, sensory related</v>
      </c>
      <c r="B310" s="12">
        <f ca="1">IFERROR(__xludf.DUMMYFUNCTION("""COMPUTED_VALUE"""),8121)</f>
        <v>8121</v>
      </c>
      <c r="C310" s="12">
        <f ca="1">IFERROR(__xludf.DUMMYFUNCTION("""COMPUTED_VALUE"""),5488)</f>
        <v>5488</v>
      </c>
      <c r="D310" s="12">
        <f ca="1">IFERROR(__xludf.DUMMYFUNCTION("""COMPUTED_VALUE"""),5686)</f>
        <v>5686</v>
      </c>
      <c r="E310" s="12">
        <f ca="1">IFERROR(__xludf.DUMMYFUNCTION("""COMPUTED_VALUE"""),6363)</f>
        <v>6363</v>
      </c>
      <c r="F310" s="12">
        <f ca="1">IFERROR(__xludf.DUMMYFUNCTION("""COMPUTED_VALUE"""),4932)</f>
        <v>4932</v>
      </c>
      <c r="G310" s="12">
        <f ca="1">IFERROR(__xludf.DUMMYFUNCTION("""COMPUTED_VALUE"""),4715)</f>
        <v>4715</v>
      </c>
      <c r="H310" s="12">
        <f ca="1">IFERROR(__xludf.DUMMYFUNCTION("""COMPUTED_VALUE"""),7493)</f>
        <v>7493</v>
      </c>
      <c r="I310" s="12">
        <f ca="1">IFERROR(__xludf.DUMMYFUNCTION("""COMPUTED_VALUE"""),8738)</f>
        <v>8738</v>
      </c>
      <c r="J310" s="12">
        <f ca="1">IFERROR(__xludf.DUMMYFUNCTION("""COMPUTED_VALUE"""),7076)</f>
        <v>7076</v>
      </c>
      <c r="K310" s="12">
        <f ca="1">IFERROR(__xludf.DUMMYFUNCTION("""COMPUTED_VALUE"""),7711)</f>
        <v>7711</v>
      </c>
      <c r="L310" s="12">
        <f ca="1">IFERROR(__xludf.DUMMYFUNCTION("""COMPUTED_VALUE"""),6490)</f>
        <v>6490</v>
      </c>
      <c r="M310" s="12">
        <f ca="1">IFERROR(__xludf.DUMMYFUNCTION("""COMPUTED_VALUE"""),9952)</f>
        <v>9952</v>
      </c>
      <c r="N310" s="12">
        <f ca="1">IFERROR(__xludf.DUMMYFUNCTION("""COMPUTED_VALUE"""),6649)</f>
        <v>6649</v>
      </c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spans="1:38" ht="13.2" x14ac:dyDescent="0.25">
      <c r="A311" s="12" t="str">
        <f ca="1">IFERROR(__xludf.DUMMYFUNCTION("""COMPUTED_VALUE"""),"               right Superior colliculus, sensory related")</f>
        <v xml:space="preserve">               right Superior colliculus, sensory related</v>
      </c>
      <c r="B311" s="12">
        <f ca="1">IFERROR(__xludf.DUMMYFUNCTION("""COMPUTED_VALUE"""),10968)</f>
        <v>10968</v>
      </c>
      <c r="C311" s="12">
        <f ca="1">IFERROR(__xludf.DUMMYFUNCTION("""COMPUTED_VALUE"""),6253)</f>
        <v>6253</v>
      </c>
      <c r="D311" s="12">
        <f ca="1">IFERROR(__xludf.DUMMYFUNCTION("""COMPUTED_VALUE"""),5836)</f>
        <v>5836</v>
      </c>
      <c r="E311" s="12">
        <f ca="1">IFERROR(__xludf.DUMMYFUNCTION("""COMPUTED_VALUE"""),8092)</f>
        <v>8092</v>
      </c>
      <c r="F311" s="12">
        <f ca="1">IFERROR(__xludf.DUMMYFUNCTION("""COMPUTED_VALUE"""),6284)</f>
        <v>6284</v>
      </c>
      <c r="G311" s="12">
        <f ca="1">IFERROR(__xludf.DUMMYFUNCTION("""COMPUTED_VALUE"""),5167)</f>
        <v>5167</v>
      </c>
      <c r="H311" s="12">
        <f ca="1">IFERROR(__xludf.DUMMYFUNCTION("""COMPUTED_VALUE"""),6163)</f>
        <v>6163</v>
      </c>
      <c r="I311" s="12">
        <f ca="1">IFERROR(__xludf.DUMMYFUNCTION("""COMPUTED_VALUE"""),10211)</f>
        <v>10211</v>
      </c>
      <c r="J311" s="12">
        <f ca="1">IFERROR(__xludf.DUMMYFUNCTION("""COMPUTED_VALUE"""),7863)</f>
        <v>7863</v>
      </c>
      <c r="K311" s="12">
        <f ca="1">IFERROR(__xludf.DUMMYFUNCTION("""COMPUTED_VALUE"""),10040)</f>
        <v>10040</v>
      </c>
      <c r="L311" s="12">
        <f ca="1">IFERROR(__xludf.DUMMYFUNCTION("""COMPUTED_VALUE"""),10641)</f>
        <v>10641</v>
      </c>
      <c r="M311" s="12">
        <f ca="1">IFERROR(__xludf.DUMMYFUNCTION("""COMPUTED_VALUE"""),17479)</f>
        <v>17479</v>
      </c>
      <c r="N311" s="12">
        <f ca="1">IFERROR(__xludf.DUMMYFUNCTION("""COMPUTED_VALUE"""),8081)</f>
        <v>8081</v>
      </c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spans="1:38" ht="13.2" x14ac:dyDescent="0.25">
      <c r="A312" s="12" t="str">
        <f ca="1">IFERROR(__xludf.DUMMYFUNCTION("""COMPUTED_VALUE"""),"               right Inferior colliculus")</f>
        <v xml:space="preserve">               right Inferior colliculus</v>
      </c>
      <c r="B312" s="12">
        <f ca="1">IFERROR(__xludf.DUMMYFUNCTION("""COMPUTED_VALUE"""),7101)</f>
        <v>7101</v>
      </c>
      <c r="C312" s="12">
        <f ca="1">IFERROR(__xludf.DUMMYFUNCTION("""COMPUTED_VALUE"""),5235)</f>
        <v>5235</v>
      </c>
      <c r="D312" s="12">
        <f ca="1">IFERROR(__xludf.DUMMYFUNCTION("""COMPUTED_VALUE"""),5759)</f>
        <v>5759</v>
      </c>
      <c r="E312" s="12">
        <f ca="1">IFERROR(__xludf.DUMMYFUNCTION("""COMPUTED_VALUE"""),5667)</f>
        <v>5667</v>
      </c>
      <c r="F312" s="12">
        <f ca="1">IFERROR(__xludf.DUMMYFUNCTION("""COMPUTED_VALUE"""),4434)</f>
        <v>4434</v>
      </c>
      <c r="G312" s="12">
        <f ca="1">IFERROR(__xludf.DUMMYFUNCTION("""COMPUTED_VALUE"""),4634)</f>
        <v>4634</v>
      </c>
      <c r="H312" s="12">
        <f ca="1">IFERROR(__xludf.DUMMYFUNCTION("""COMPUTED_VALUE"""),8124)</f>
        <v>8124</v>
      </c>
      <c r="I312" s="12">
        <f ca="1">IFERROR(__xludf.DUMMYFUNCTION("""COMPUTED_VALUE"""),8217)</f>
        <v>8217</v>
      </c>
      <c r="J312" s="12">
        <f ca="1">IFERROR(__xludf.DUMMYFUNCTION("""COMPUTED_VALUE"""),6930)</f>
        <v>6930</v>
      </c>
      <c r="K312" s="12">
        <f ca="1">IFERROR(__xludf.DUMMYFUNCTION("""COMPUTED_VALUE"""),6872)</f>
        <v>6872</v>
      </c>
      <c r="L312" s="12">
        <f ca="1">IFERROR(__xludf.DUMMYFUNCTION("""COMPUTED_VALUE"""),4796)</f>
        <v>4796</v>
      </c>
      <c r="M312" s="12">
        <f ca="1">IFERROR(__xludf.DUMMYFUNCTION("""COMPUTED_VALUE"""),6731)</f>
        <v>6731</v>
      </c>
      <c r="N312" s="12">
        <f ca="1">IFERROR(__xludf.DUMMYFUNCTION("""COMPUTED_VALUE"""),6137)</f>
        <v>6137</v>
      </c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spans="1:38" ht="13.2" x14ac:dyDescent="0.25">
      <c r="A313" s="12" t="str">
        <f ca="1">IFERROR(__xludf.DUMMYFUNCTION("""COMPUTED_VALUE"""),"            right Midbrain, motor related")</f>
        <v xml:space="preserve">            right Midbrain, motor related</v>
      </c>
      <c r="B313" s="12">
        <f ca="1">IFERROR(__xludf.DUMMYFUNCTION("""COMPUTED_VALUE"""),5317)</f>
        <v>5317</v>
      </c>
      <c r="C313" s="12">
        <f ca="1">IFERROR(__xludf.DUMMYFUNCTION("""COMPUTED_VALUE"""),4975)</f>
        <v>4975</v>
      </c>
      <c r="D313" s="12">
        <f ca="1">IFERROR(__xludf.DUMMYFUNCTION("""COMPUTED_VALUE"""),4915)</f>
        <v>4915</v>
      </c>
      <c r="E313" s="12">
        <f ca="1">IFERROR(__xludf.DUMMYFUNCTION("""COMPUTED_VALUE"""),5887)</f>
        <v>5887</v>
      </c>
      <c r="F313" s="12">
        <f ca="1">IFERROR(__xludf.DUMMYFUNCTION("""COMPUTED_VALUE"""),3959)</f>
        <v>3959</v>
      </c>
      <c r="G313" s="12">
        <f ca="1">IFERROR(__xludf.DUMMYFUNCTION("""COMPUTED_VALUE"""),2881)</f>
        <v>2881</v>
      </c>
      <c r="H313" s="12">
        <f ca="1">IFERROR(__xludf.DUMMYFUNCTION("""COMPUTED_VALUE"""),6942)</f>
        <v>6942</v>
      </c>
      <c r="I313" s="12">
        <f ca="1">IFERROR(__xludf.DUMMYFUNCTION("""COMPUTED_VALUE"""),7823)</f>
        <v>7823</v>
      </c>
      <c r="J313" s="12">
        <f ca="1">IFERROR(__xludf.DUMMYFUNCTION("""COMPUTED_VALUE"""),5142)</f>
        <v>5142</v>
      </c>
      <c r="K313" s="12">
        <f ca="1">IFERROR(__xludf.DUMMYFUNCTION("""COMPUTED_VALUE"""),4079)</f>
        <v>4079</v>
      </c>
      <c r="L313" s="12">
        <f ca="1">IFERROR(__xludf.DUMMYFUNCTION("""COMPUTED_VALUE"""),3538)</f>
        <v>3538</v>
      </c>
      <c r="M313" s="12">
        <f ca="1">IFERROR(__xludf.DUMMYFUNCTION("""COMPUTED_VALUE"""),6378)</f>
        <v>6378</v>
      </c>
      <c r="N313" s="12">
        <f ca="1">IFERROR(__xludf.DUMMYFUNCTION("""COMPUTED_VALUE"""),5218)</f>
        <v>5218</v>
      </c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spans="1:38" ht="13.2" x14ac:dyDescent="0.25">
      <c r="A314" s="12" t="str">
        <f ca="1">IFERROR(__xludf.DUMMYFUNCTION("""COMPUTED_VALUE"""),"               right Substantia nigra, reticular part")</f>
        <v xml:space="preserve">               right Substantia nigra, reticular part</v>
      </c>
      <c r="B314" s="12">
        <f ca="1">IFERROR(__xludf.DUMMYFUNCTION("""COMPUTED_VALUE"""),429)</f>
        <v>429</v>
      </c>
      <c r="C314" s="12">
        <f ca="1">IFERROR(__xludf.DUMMYFUNCTION("""COMPUTED_VALUE"""),1898)</f>
        <v>1898</v>
      </c>
      <c r="D314" s="12">
        <f ca="1">IFERROR(__xludf.DUMMYFUNCTION("""COMPUTED_VALUE"""),612)</f>
        <v>612</v>
      </c>
      <c r="E314" s="12">
        <f ca="1">IFERROR(__xludf.DUMMYFUNCTION("""COMPUTED_VALUE"""),427)</f>
        <v>427</v>
      </c>
      <c r="F314" s="12">
        <f ca="1">IFERROR(__xludf.DUMMYFUNCTION("""COMPUTED_VALUE"""),353)</f>
        <v>353</v>
      </c>
      <c r="G314" s="12">
        <f ca="1">IFERROR(__xludf.DUMMYFUNCTION("""COMPUTED_VALUE"""),312)</f>
        <v>312</v>
      </c>
      <c r="H314" s="12">
        <f ca="1">IFERROR(__xludf.DUMMYFUNCTION("""COMPUTED_VALUE"""),1219)</f>
        <v>1219</v>
      </c>
      <c r="I314" s="12">
        <f ca="1">IFERROR(__xludf.DUMMYFUNCTION("""COMPUTED_VALUE"""),1186)</f>
        <v>1186</v>
      </c>
      <c r="J314" s="12">
        <f ca="1">IFERROR(__xludf.DUMMYFUNCTION("""COMPUTED_VALUE"""),443)</f>
        <v>443</v>
      </c>
      <c r="K314" s="12">
        <f ca="1">IFERROR(__xludf.DUMMYFUNCTION("""COMPUTED_VALUE"""),314)</f>
        <v>314</v>
      </c>
      <c r="L314" s="12">
        <f ca="1">IFERROR(__xludf.DUMMYFUNCTION("""COMPUTED_VALUE"""),160)</f>
        <v>160</v>
      </c>
      <c r="M314" s="12">
        <f ca="1">IFERROR(__xludf.DUMMYFUNCTION("""COMPUTED_VALUE"""),289)</f>
        <v>289</v>
      </c>
      <c r="N314" s="12">
        <f ca="1">IFERROR(__xludf.DUMMYFUNCTION("""COMPUTED_VALUE"""),741)</f>
        <v>741</v>
      </c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spans="1:38" ht="13.2" x14ac:dyDescent="0.25">
      <c r="A315" s="12" t="str">
        <f ca="1">IFERROR(__xludf.DUMMYFUNCTION("""COMPUTED_VALUE"""),"               right Ventral tegmental area")</f>
        <v xml:space="preserve">               right Ventral tegmental area</v>
      </c>
      <c r="B315" s="12">
        <f ca="1">IFERROR(__xludf.DUMMYFUNCTION("""COMPUTED_VALUE"""),2157)</f>
        <v>2157</v>
      </c>
      <c r="C315" s="12">
        <f ca="1">IFERROR(__xludf.DUMMYFUNCTION("""COMPUTED_VALUE"""),3228)</f>
        <v>3228</v>
      </c>
      <c r="D315" s="12">
        <f ca="1">IFERROR(__xludf.DUMMYFUNCTION("""COMPUTED_VALUE"""),2910)</f>
        <v>2910</v>
      </c>
      <c r="E315" s="12">
        <f ca="1">IFERROR(__xludf.DUMMYFUNCTION("""COMPUTED_VALUE"""),2102)</f>
        <v>2102</v>
      </c>
      <c r="F315" s="12">
        <f ca="1">IFERROR(__xludf.DUMMYFUNCTION("""COMPUTED_VALUE"""),1745)</f>
        <v>1745</v>
      </c>
      <c r="G315" s="12">
        <f ca="1">IFERROR(__xludf.DUMMYFUNCTION("""COMPUTED_VALUE"""),1288)</f>
        <v>1288</v>
      </c>
      <c r="H315" s="12">
        <f ca="1">IFERROR(__xludf.DUMMYFUNCTION("""COMPUTED_VALUE"""),4084)</f>
        <v>4084</v>
      </c>
      <c r="I315" s="12">
        <f ca="1">IFERROR(__xludf.DUMMYFUNCTION("""COMPUTED_VALUE"""),5864)</f>
        <v>5864</v>
      </c>
      <c r="J315" s="12">
        <f ca="1">IFERROR(__xludf.DUMMYFUNCTION("""COMPUTED_VALUE"""),2104)</f>
        <v>2104</v>
      </c>
      <c r="K315" s="12">
        <f ca="1">IFERROR(__xludf.DUMMYFUNCTION("""COMPUTED_VALUE"""),1459)</f>
        <v>1459</v>
      </c>
      <c r="L315" s="12">
        <f ca="1">IFERROR(__xludf.DUMMYFUNCTION("""COMPUTED_VALUE"""),774)</f>
        <v>774</v>
      </c>
      <c r="M315" s="12">
        <f ca="1">IFERROR(__xludf.DUMMYFUNCTION("""COMPUTED_VALUE"""),2238)</f>
        <v>2238</v>
      </c>
      <c r="N315" s="12">
        <f ca="1">IFERROR(__xludf.DUMMYFUNCTION("""COMPUTED_VALUE"""),2693)</f>
        <v>2693</v>
      </c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spans="1:38" ht="13.2" x14ac:dyDescent="0.25">
      <c r="A316" s="12" t="str">
        <f ca="1">IFERROR(__xludf.DUMMYFUNCTION("""COMPUTED_VALUE"""),"               right Midbrain reticular nucleus")</f>
        <v xml:space="preserve">               right Midbrain reticular nucleus</v>
      </c>
      <c r="B316" s="12">
        <f ca="1">IFERROR(__xludf.DUMMYFUNCTION("""COMPUTED_VALUE"""),3278)</f>
        <v>3278</v>
      </c>
      <c r="C316" s="12">
        <f ca="1">IFERROR(__xludf.DUMMYFUNCTION("""COMPUTED_VALUE"""),4369)</f>
        <v>4369</v>
      </c>
      <c r="D316" s="12">
        <f ca="1">IFERROR(__xludf.DUMMYFUNCTION("""COMPUTED_VALUE"""),3807)</f>
        <v>3807</v>
      </c>
      <c r="E316" s="12">
        <f ca="1">IFERROR(__xludf.DUMMYFUNCTION("""COMPUTED_VALUE"""),3919)</f>
        <v>3919</v>
      </c>
      <c r="F316" s="12">
        <f ca="1">IFERROR(__xludf.DUMMYFUNCTION("""COMPUTED_VALUE"""),2567)</f>
        <v>2567</v>
      </c>
      <c r="G316" s="12">
        <f ca="1">IFERROR(__xludf.DUMMYFUNCTION("""COMPUTED_VALUE"""),1328)</f>
        <v>1328</v>
      </c>
      <c r="H316" s="12">
        <f ca="1">IFERROR(__xludf.DUMMYFUNCTION("""COMPUTED_VALUE"""),6536)</f>
        <v>6536</v>
      </c>
      <c r="I316" s="12">
        <f ca="1">IFERROR(__xludf.DUMMYFUNCTION("""COMPUTED_VALUE"""),6060)</f>
        <v>6060</v>
      </c>
      <c r="J316" s="12">
        <f ca="1">IFERROR(__xludf.DUMMYFUNCTION("""COMPUTED_VALUE"""),3403)</f>
        <v>3403</v>
      </c>
      <c r="K316" s="12">
        <f ca="1">IFERROR(__xludf.DUMMYFUNCTION("""COMPUTED_VALUE"""),2506)</f>
        <v>2506</v>
      </c>
      <c r="L316" s="12">
        <f ca="1">IFERROR(__xludf.DUMMYFUNCTION("""COMPUTED_VALUE"""),1757)</f>
        <v>1757</v>
      </c>
      <c r="M316" s="12">
        <f ca="1">IFERROR(__xludf.DUMMYFUNCTION("""COMPUTED_VALUE"""),3434)</f>
        <v>3434</v>
      </c>
      <c r="N316" s="12">
        <f ca="1">IFERROR(__xludf.DUMMYFUNCTION("""COMPUTED_VALUE"""),3769)</f>
        <v>3769</v>
      </c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spans="1:38" ht="13.2" x14ac:dyDescent="0.25">
      <c r="A317" s="12" t="str">
        <f ca="1">IFERROR(__xludf.DUMMYFUNCTION("""COMPUTED_VALUE"""),"               right Superior colliculus, motor related")</f>
        <v xml:space="preserve">               right Superior colliculus, motor related</v>
      </c>
      <c r="B317" s="12">
        <f ca="1">IFERROR(__xludf.DUMMYFUNCTION("""COMPUTED_VALUE"""),8591)</f>
        <v>8591</v>
      </c>
      <c r="C317" s="12">
        <f ca="1">IFERROR(__xludf.DUMMYFUNCTION("""COMPUTED_VALUE"""),5808)</f>
        <v>5808</v>
      </c>
      <c r="D317" s="12">
        <f ca="1">IFERROR(__xludf.DUMMYFUNCTION("""COMPUTED_VALUE"""),6461)</f>
        <v>6461</v>
      </c>
      <c r="E317" s="12">
        <f ca="1">IFERROR(__xludf.DUMMYFUNCTION("""COMPUTED_VALUE"""),7298)</f>
        <v>7298</v>
      </c>
      <c r="F317" s="12">
        <f ca="1">IFERROR(__xludf.DUMMYFUNCTION("""COMPUTED_VALUE"""),5242)</f>
        <v>5242</v>
      </c>
      <c r="G317" s="12">
        <f ca="1">IFERROR(__xludf.DUMMYFUNCTION("""COMPUTED_VALUE"""),3641)</f>
        <v>3641</v>
      </c>
      <c r="H317" s="12">
        <f ca="1">IFERROR(__xludf.DUMMYFUNCTION("""COMPUTED_VALUE"""),9169)</f>
        <v>9169</v>
      </c>
      <c r="I317" s="12">
        <f ca="1">IFERROR(__xludf.DUMMYFUNCTION("""COMPUTED_VALUE"""),10562)</f>
        <v>10562</v>
      </c>
      <c r="J317" s="12">
        <f ca="1">IFERROR(__xludf.DUMMYFUNCTION("""COMPUTED_VALUE"""),6396)</f>
        <v>6396</v>
      </c>
      <c r="K317" s="12">
        <f ca="1">IFERROR(__xludf.DUMMYFUNCTION("""COMPUTED_VALUE"""),5554)</f>
        <v>5554</v>
      </c>
      <c r="L317" s="12">
        <f ca="1">IFERROR(__xludf.DUMMYFUNCTION("""COMPUTED_VALUE"""),6634)</f>
        <v>6634</v>
      </c>
      <c r="M317" s="12">
        <f ca="1">IFERROR(__xludf.DUMMYFUNCTION("""COMPUTED_VALUE"""),9578)</f>
        <v>9578</v>
      </c>
      <c r="N317" s="12">
        <f ca="1">IFERROR(__xludf.DUMMYFUNCTION("""COMPUTED_VALUE"""),7016)</f>
        <v>7016</v>
      </c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spans="1:38" ht="13.2" x14ac:dyDescent="0.25">
      <c r="A318" s="12" t="str">
        <f ca="1">IFERROR(__xludf.DUMMYFUNCTION("""COMPUTED_VALUE"""),"               right Periaqueductal gray")</f>
        <v xml:space="preserve">               right Periaqueductal gray</v>
      </c>
      <c r="B318" s="12">
        <f ca="1">IFERROR(__xludf.DUMMYFUNCTION("""COMPUTED_VALUE"""),6226)</f>
        <v>6226</v>
      </c>
      <c r="C318" s="12">
        <f ca="1">IFERROR(__xludf.DUMMYFUNCTION("""COMPUTED_VALUE"""),4908)</f>
        <v>4908</v>
      </c>
      <c r="D318" s="12">
        <f ca="1">IFERROR(__xludf.DUMMYFUNCTION("""COMPUTED_VALUE"""),6937)</f>
        <v>6937</v>
      </c>
      <c r="E318" s="12">
        <f ca="1">IFERROR(__xludf.DUMMYFUNCTION("""COMPUTED_VALUE"""),9781)</f>
        <v>9781</v>
      </c>
      <c r="F318" s="12">
        <f ca="1">IFERROR(__xludf.DUMMYFUNCTION("""COMPUTED_VALUE"""),5777)</f>
        <v>5777</v>
      </c>
      <c r="G318" s="12">
        <f ca="1">IFERROR(__xludf.DUMMYFUNCTION("""COMPUTED_VALUE"""),4786)</f>
        <v>4786</v>
      </c>
      <c r="H318" s="12">
        <f ca="1">IFERROR(__xludf.DUMMYFUNCTION("""COMPUTED_VALUE"""),8077)</f>
        <v>8077</v>
      </c>
      <c r="I318" s="12">
        <f ca="1">IFERROR(__xludf.DUMMYFUNCTION("""COMPUTED_VALUE"""),10348)</f>
        <v>10348</v>
      </c>
      <c r="J318" s="12">
        <f ca="1">IFERROR(__xludf.DUMMYFUNCTION("""COMPUTED_VALUE"""),8720)</f>
        <v>8720</v>
      </c>
      <c r="K318" s="12">
        <f ca="1">IFERROR(__xludf.DUMMYFUNCTION("""COMPUTED_VALUE"""),6541)</f>
        <v>6541</v>
      </c>
      <c r="L318" s="12">
        <f ca="1">IFERROR(__xludf.DUMMYFUNCTION("""COMPUTED_VALUE"""),3675)</f>
        <v>3675</v>
      </c>
      <c r="M318" s="12">
        <f ca="1">IFERROR(__xludf.DUMMYFUNCTION("""COMPUTED_VALUE"""),9383)</f>
        <v>9383</v>
      </c>
      <c r="N318" s="12">
        <f ca="1">IFERROR(__xludf.DUMMYFUNCTION("""COMPUTED_VALUE"""),7067)</f>
        <v>7067</v>
      </c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spans="1:38" ht="13.2" x14ac:dyDescent="0.25">
      <c r="A319" s="12" t="str">
        <f ca="1">IFERROR(__xludf.DUMMYFUNCTION("""COMPUTED_VALUE"""),"               right Pretectal region")</f>
        <v xml:space="preserve">               right Pretectal region</v>
      </c>
      <c r="B319" s="12">
        <f ca="1">IFERROR(__xludf.DUMMYFUNCTION("""COMPUTED_VALUE"""),5170)</f>
        <v>5170</v>
      </c>
      <c r="C319" s="12">
        <f ca="1">IFERROR(__xludf.DUMMYFUNCTION("""COMPUTED_VALUE"""),7722)</f>
        <v>7722</v>
      </c>
      <c r="D319" s="12">
        <f ca="1">IFERROR(__xludf.DUMMYFUNCTION("""COMPUTED_VALUE"""),4075)</f>
        <v>4075</v>
      </c>
      <c r="E319" s="12">
        <f ca="1">IFERROR(__xludf.DUMMYFUNCTION("""COMPUTED_VALUE"""),4993)</f>
        <v>4993</v>
      </c>
      <c r="F319" s="12">
        <f ca="1">IFERROR(__xludf.DUMMYFUNCTION("""COMPUTED_VALUE"""),4332)</f>
        <v>4332</v>
      </c>
      <c r="G319" s="12">
        <f ca="1">IFERROR(__xludf.DUMMYFUNCTION("""COMPUTED_VALUE"""),3641)</f>
        <v>3641</v>
      </c>
      <c r="H319" s="12">
        <f ca="1">IFERROR(__xludf.DUMMYFUNCTION("""COMPUTED_VALUE"""),5559)</f>
        <v>5559</v>
      </c>
      <c r="I319" s="12">
        <f ca="1">IFERROR(__xludf.DUMMYFUNCTION("""COMPUTED_VALUE"""),5914)</f>
        <v>5914</v>
      </c>
      <c r="J319" s="12">
        <f ca="1">IFERROR(__xludf.DUMMYFUNCTION("""COMPUTED_VALUE"""),4032)</f>
        <v>4032</v>
      </c>
      <c r="K319" s="12">
        <f ca="1">IFERROR(__xludf.DUMMYFUNCTION("""COMPUTED_VALUE"""),2989)</f>
        <v>2989</v>
      </c>
      <c r="L319" s="12">
        <f ca="1">IFERROR(__xludf.DUMMYFUNCTION("""COMPUTED_VALUE"""),4016)</f>
        <v>4016</v>
      </c>
      <c r="M319" s="12">
        <f ca="1">IFERROR(__xludf.DUMMYFUNCTION("""COMPUTED_VALUE"""),6315)</f>
        <v>6315</v>
      </c>
      <c r="N319" s="12">
        <f ca="1">IFERROR(__xludf.DUMMYFUNCTION("""COMPUTED_VALUE"""),5072)</f>
        <v>5072</v>
      </c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spans="1:38" ht="13.2" x14ac:dyDescent="0.25">
      <c r="A320" s="12" t="str">
        <f ca="1">IFERROR(__xludf.DUMMYFUNCTION("""COMPUTED_VALUE"""),"            right Midbrain, behavioral state related")</f>
        <v xml:space="preserve">            right Midbrain, behavioral state related</v>
      </c>
      <c r="B320" s="12">
        <f ca="1">IFERROR(__xludf.DUMMYFUNCTION("""COMPUTED_VALUE"""),2300)</f>
        <v>2300</v>
      </c>
      <c r="C320" s="12">
        <f ca="1">IFERROR(__xludf.DUMMYFUNCTION("""COMPUTED_VALUE"""),3748)</f>
        <v>3748</v>
      </c>
      <c r="D320" s="12">
        <f ca="1">IFERROR(__xludf.DUMMYFUNCTION("""COMPUTED_VALUE"""),3110)</f>
        <v>3110</v>
      </c>
      <c r="E320" s="12">
        <f ca="1">IFERROR(__xludf.DUMMYFUNCTION("""COMPUTED_VALUE"""),3549)</f>
        <v>3549</v>
      </c>
      <c r="F320" s="12">
        <f ca="1">IFERROR(__xludf.DUMMYFUNCTION("""COMPUTED_VALUE"""),1744)</f>
        <v>1744</v>
      </c>
      <c r="G320" s="12">
        <f ca="1">IFERROR(__xludf.DUMMYFUNCTION("""COMPUTED_VALUE"""),1305)</f>
        <v>1305</v>
      </c>
      <c r="H320" s="12">
        <f ca="1">IFERROR(__xludf.DUMMYFUNCTION("""COMPUTED_VALUE"""),4202)</f>
        <v>4202</v>
      </c>
      <c r="I320" s="12">
        <f ca="1">IFERROR(__xludf.DUMMYFUNCTION("""COMPUTED_VALUE"""),5731)</f>
        <v>5731</v>
      </c>
      <c r="J320" s="12">
        <f ca="1">IFERROR(__xludf.DUMMYFUNCTION("""COMPUTED_VALUE"""),2301)</f>
        <v>2301</v>
      </c>
      <c r="K320" s="12">
        <f ca="1">IFERROR(__xludf.DUMMYFUNCTION("""COMPUTED_VALUE"""),1847)</f>
        <v>1847</v>
      </c>
      <c r="L320" s="12">
        <f ca="1">IFERROR(__xludf.DUMMYFUNCTION("""COMPUTED_VALUE"""),1101)</f>
        <v>1101</v>
      </c>
      <c r="M320" s="12">
        <f ca="1">IFERROR(__xludf.DUMMYFUNCTION("""COMPUTED_VALUE"""),2724)</f>
        <v>2724</v>
      </c>
      <c r="N320" s="12">
        <f ca="1">IFERROR(__xludf.DUMMYFUNCTION("""COMPUTED_VALUE"""),3004)</f>
        <v>3004</v>
      </c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spans="1:38" ht="13.2" x14ac:dyDescent="0.25">
      <c r="A321" s="12" t="str">
        <f ca="1">IFERROR(__xludf.DUMMYFUNCTION("""COMPUTED_VALUE"""),"         right Hindbrain")</f>
        <v xml:space="preserve">         right Hindbrain</v>
      </c>
      <c r="B321" s="12">
        <f ca="1">IFERROR(__xludf.DUMMYFUNCTION("""COMPUTED_VALUE"""),987)</f>
        <v>987</v>
      </c>
      <c r="C321" s="12">
        <f ca="1">IFERROR(__xludf.DUMMYFUNCTION("""COMPUTED_VALUE"""),1254)</f>
        <v>1254</v>
      </c>
      <c r="D321" s="12">
        <f ca="1">IFERROR(__xludf.DUMMYFUNCTION("""COMPUTED_VALUE"""),1268)</f>
        <v>1268</v>
      </c>
      <c r="E321" s="12">
        <f ca="1">IFERROR(__xludf.DUMMYFUNCTION("""COMPUTED_VALUE"""),1678)</f>
        <v>1678</v>
      </c>
      <c r="F321" s="12">
        <f ca="1">IFERROR(__xludf.DUMMYFUNCTION("""COMPUTED_VALUE"""),636)</f>
        <v>636</v>
      </c>
      <c r="G321" s="12">
        <f ca="1">IFERROR(__xludf.DUMMYFUNCTION("""COMPUTED_VALUE"""),703)</f>
        <v>703</v>
      </c>
      <c r="H321" s="12">
        <f ca="1">IFERROR(__xludf.DUMMYFUNCTION("""COMPUTED_VALUE"""),1312)</f>
        <v>1312</v>
      </c>
      <c r="I321" s="12">
        <f ca="1">IFERROR(__xludf.DUMMYFUNCTION("""COMPUTED_VALUE"""),2203)</f>
        <v>2203</v>
      </c>
      <c r="J321" s="12">
        <f ca="1">IFERROR(__xludf.DUMMYFUNCTION("""COMPUTED_VALUE"""),1663)</f>
        <v>1663</v>
      </c>
      <c r="K321" s="12">
        <f ca="1">IFERROR(__xludf.DUMMYFUNCTION("""COMPUTED_VALUE"""),853)</f>
        <v>853</v>
      </c>
      <c r="L321" s="12">
        <f ca="1">IFERROR(__xludf.DUMMYFUNCTION("""COMPUTED_VALUE"""),470)</f>
        <v>470</v>
      </c>
      <c r="M321" s="12">
        <f ca="1">IFERROR(__xludf.DUMMYFUNCTION("""COMPUTED_VALUE"""),1406)</f>
        <v>1406</v>
      </c>
      <c r="N321" s="12">
        <f ca="1">IFERROR(__xludf.DUMMYFUNCTION("""COMPUTED_VALUE"""),1230)</f>
        <v>1230</v>
      </c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spans="1:38" ht="13.2" x14ac:dyDescent="0.25">
      <c r="A322" s="12" t="str">
        <f ca="1">IFERROR(__xludf.DUMMYFUNCTION("""COMPUTED_VALUE"""),"            right Pons")</f>
        <v xml:space="preserve">            right Pons</v>
      </c>
      <c r="B322" s="12">
        <f ca="1">IFERROR(__xludf.DUMMYFUNCTION("""COMPUTED_VALUE"""),1341)</f>
        <v>1341</v>
      </c>
      <c r="C322" s="12">
        <f ca="1">IFERROR(__xludf.DUMMYFUNCTION("""COMPUTED_VALUE"""),1904)</f>
        <v>1904</v>
      </c>
      <c r="D322" s="12">
        <f ca="1">IFERROR(__xludf.DUMMYFUNCTION("""COMPUTED_VALUE"""),1709)</f>
        <v>1709</v>
      </c>
      <c r="E322" s="12">
        <f ca="1">IFERROR(__xludf.DUMMYFUNCTION("""COMPUTED_VALUE"""),2766)</f>
        <v>2766</v>
      </c>
      <c r="F322" s="12">
        <f ca="1">IFERROR(__xludf.DUMMYFUNCTION("""COMPUTED_VALUE"""),1033)</f>
        <v>1033</v>
      </c>
      <c r="G322" s="12">
        <f ca="1">IFERROR(__xludf.DUMMYFUNCTION("""COMPUTED_VALUE"""),1111)</f>
        <v>1111</v>
      </c>
      <c r="H322" s="12">
        <f ca="1">IFERROR(__xludf.DUMMYFUNCTION("""COMPUTED_VALUE"""),1884)</f>
        <v>1884</v>
      </c>
      <c r="I322" s="12">
        <f ca="1">IFERROR(__xludf.DUMMYFUNCTION("""COMPUTED_VALUE"""),2659)</f>
        <v>2659</v>
      </c>
      <c r="J322" s="12">
        <f ca="1">IFERROR(__xludf.DUMMYFUNCTION("""COMPUTED_VALUE"""),2283)</f>
        <v>2283</v>
      </c>
      <c r="K322" s="12">
        <f ca="1">IFERROR(__xludf.DUMMYFUNCTION("""COMPUTED_VALUE"""),1174)</f>
        <v>1174</v>
      </c>
      <c r="L322" s="12">
        <f ca="1">IFERROR(__xludf.DUMMYFUNCTION("""COMPUTED_VALUE"""),436)</f>
        <v>436</v>
      </c>
      <c r="M322" s="12">
        <f ca="1">IFERROR(__xludf.DUMMYFUNCTION("""COMPUTED_VALUE"""),2117)</f>
        <v>2117</v>
      </c>
      <c r="N322" s="12">
        <f ca="1">IFERROR(__xludf.DUMMYFUNCTION("""COMPUTED_VALUE"""),1755)</f>
        <v>1755</v>
      </c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spans="1:38" ht="13.2" x14ac:dyDescent="0.25">
      <c r="A323" s="12" t="str">
        <f ca="1">IFERROR(__xludf.DUMMYFUNCTION("""COMPUTED_VALUE"""),"               right Pons, sensory related")</f>
        <v xml:space="preserve">               right Pons, sensory related</v>
      </c>
      <c r="B323" s="12">
        <f ca="1">IFERROR(__xludf.DUMMYFUNCTION("""COMPUTED_VALUE"""),728)</f>
        <v>728</v>
      </c>
      <c r="C323" s="12">
        <f ca="1">IFERROR(__xludf.DUMMYFUNCTION("""COMPUTED_VALUE"""),1665)</f>
        <v>1665</v>
      </c>
      <c r="D323" s="12">
        <f ca="1">IFERROR(__xludf.DUMMYFUNCTION("""COMPUTED_VALUE"""),1424)</f>
        <v>1424</v>
      </c>
      <c r="E323" s="12">
        <f ca="1">IFERROR(__xludf.DUMMYFUNCTION("""COMPUTED_VALUE"""),2155)</f>
        <v>2155</v>
      </c>
      <c r="F323" s="12">
        <f ca="1">IFERROR(__xludf.DUMMYFUNCTION("""COMPUTED_VALUE"""),1028)</f>
        <v>1028</v>
      </c>
      <c r="G323" s="12">
        <f ca="1">IFERROR(__xludf.DUMMYFUNCTION("""COMPUTED_VALUE"""),1124)</f>
        <v>1124</v>
      </c>
      <c r="H323" s="12">
        <f ca="1">IFERROR(__xludf.DUMMYFUNCTION("""COMPUTED_VALUE"""),1814)</f>
        <v>1814</v>
      </c>
      <c r="I323" s="12">
        <f ca="1">IFERROR(__xludf.DUMMYFUNCTION("""COMPUTED_VALUE"""),2350)</f>
        <v>2350</v>
      </c>
      <c r="J323" s="12">
        <f ca="1">IFERROR(__xludf.DUMMYFUNCTION("""COMPUTED_VALUE"""),2184)</f>
        <v>2184</v>
      </c>
      <c r="K323" s="12">
        <f ca="1">IFERROR(__xludf.DUMMYFUNCTION("""COMPUTED_VALUE"""),1165)</f>
        <v>1165</v>
      </c>
      <c r="L323" s="12">
        <f ca="1">IFERROR(__xludf.DUMMYFUNCTION("""COMPUTED_VALUE"""),238)</f>
        <v>238</v>
      </c>
      <c r="M323" s="12">
        <f ca="1">IFERROR(__xludf.DUMMYFUNCTION("""COMPUTED_VALUE"""),1362)</f>
        <v>1362</v>
      </c>
      <c r="N323" s="12">
        <f ca="1">IFERROR(__xludf.DUMMYFUNCTION("""COMPUTED_VALUE"""),1500)</f>
        <v>1500</v>
      </c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spans="1:38" ht="13.2" x14ac:dyDescent="0.25">
      <c r="A324" s="12" t="str">
        <f ca="1">IFERROR(__xludf.DUMMYFUNCTION("""COMPUTED_VALUE"""),"               right Pons, motor related")</f>
        <v xml:space="preserve">               right Pons, motor related</v>
      </c>
      <c r="B324" s="12">
        <f ca="1">IFERROR(__xludf.DUMMYFUNCTION("""COMPUTED_VALUE"""),1970)</f>
        <v>1970</v>
      </c>
      <c r="C324" s="12">
        <f ca="1">IFERROR(__xludf.DUMMYFUNCTION("""COMPUTED_VALUE"""),2200)</f>
        <v>2200</v>
      </c>
      <c r="D324" s="12">
        <f ca="1">IFERROR(__xludf.DUMMYFUNCTION("""COMPUTED_VALUE"""),2173)</f>
        <v>2173</v>
      </c>
      <c r="E324" s="12">
        <f ca="1">IFERROR(__xludf.DUMMYFUNCTION("""COMPUTED_VALUE"""),3571)</f>
        <v>3571</v>
      </c>
      <c r="F324" s="12">
        <f ca="1">IFERROR(__xludf.DUMMYFUNCTION("""COMPUTED_VALUE"""),1217)</f>
        <v>1217</v>
      </c>
      <c r="G324" s="12">
        <f ca="1">IFERROR(__xludf.DUMMYFUNCTION("""COMPUTED_VALUE"""),1424)</f>
        <v>1424</v>
      </c>
      <c r="H324" s="12">
        <f ca="1">IFERROR(__xludf.DUMMYFUNCTION("""COMPUTED_VALUE"""),1910)</f>
        <v>1910</v>
      </c>
      <c r="I324" s="12">
        <f ca="1">IFERROR(__xludf.DUMMYFUNCTION("""COMPUTED_VALUE"""),2739)</f>
        <v>2739</v>
      </c>
      <c r="J324" s="12">
        <f ca="1">IFERROR(__xludf.DUMMYFUNCTION("""COMPUTED_VALUE"""),2849)</f>
        <v>2849</v>
      </c>
      <c r="K324" s="12">
        <f ca="1">IFERROR(__xludf.DUMMYFUNCTION("""COMPUTED_VALUE"""),1240)</f>
        <v>1240</v>
      </c>
      <c r="L324" s="12">
        <f ca="1">IFERROR(__xludf.DUMMYFUNCTION("""COMPUTED_VALUE"""),554)</f>
        <v>554</v>
      </c>
      <c r="M324" s="12">
        <f ca="1">IFERROR(__xludf.DUMMYFUNCTION("""COMPUTED_VALUE"""),3144)</f>
        <v>3144</v>
      </c>
      <c r="N324" s="12">
        <f ca="1">IFERROR(__xludf.DUMMYFUNCTION("""COMPUTED_VALUE"""),2116)</f>
        <v>2116</v>
      </c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spans="1:38" ht="13.2" x14ac:dyDescent="0.25">
      <c r="A325" s="12" t="str">
        <f ca="1">IFERROR(__xludf.DUMMYFUNCTION("""COMPUTED_VALUE"""),"               right Pons, behavioral state related")</f>
        <v xml:space="preserve">               right Pons, behavioral state related</v>
      </c>
      <c r="B325" s="12">
        <f ca="1">IFERROR(__xludf.DUMMYFUNCTION("""COMPUTED_VALUE"""),1320)</f>
        <v>1320</v>
      </c>
      <c r="C325" s="12">
        <f ca="1">IFERROR(__xludf.DUMMYFUNCTION("""COMPUTED_VALUE"""),1940)</f>
        <v>1940</v>
      </c>
      <c r="D325" s="12">
        <f ca="1">IFERROR(__xludf.DUMMYFUNCTION("""COMPUTED_VALUE"""),1581)</f>
        <v>1581</v>
      </c>
      <c r="E325" s="12">
        <f ca="1">IFERROR(__xludf.DUMMYFUNCTION("""COMPUTED_VALUE"""),2722)</f>
        <v>2722</v>
      </c>
      <c r="F325" s="12">
        <f ca="1">IFERROR(__xludf.DUMMYFUNCTION("""COMPUTED_VALUE"""),1035)</f>
        <v>1035</v>
      </c>
      <c r="G325" s="12">
        <f ca="1">IFERROR(__xludf.DUMMYFUNCTION("""COMPUTED_VALUE"""),833)</f>
        <v>833</v>
      </c>
      <c r="H325" s="12">
        <f ca="1">IFERROR(__xludf.DUMMYFUNCTION("""COMPUTED_VALUE"""),2277)</f>
        <v>2277</v>
      </c>
      <c r="I325" s="12">
        <f ca="1">IFERROR(__xludf.DUMMYFUNCTION("""COMPUTED_VALUE"""),3372)</f>
        <v>3372</v>
      </c>
      <c r="J325" s="12">
        <f ca="1">IFERROR(__xludf.DUMMYFUNCTION("""COMPUTED_VALUE"""),1999)</f>
        <v>1999</v>
      </c>
      <c r="K325" s="12">
        <f ca="1">IFERROR(__xludf.DUMMYFUNCTION("""COMPUTED_VALUE"""),1124)</f>
        <v>1124</v>
      </c>
      <c r="L325" s="12">
        <f ca="1">IFERROR(__xludf.DUMMYFUNCTION("""COMPUTED_VALUE"""),563)</f>
        <v>563</v>
      </c>
      <c r="M325" s="12">
        <f ca="1">IFERROR(__xludf.DUMMYFUNCTION("""COMPUTED_VALUE"""),1964)</f>
        <v>1964</v>
      </c>
      <c r="N325" s="12">
        <f ca="1">IFERROR(__xludf.DUMMYFUNCTION("""COMPUTED_VALUE"""),1806)</f>
        <v>1806</v>
      </c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spans="1:38" ht="13.2" x14ac:dyDescent="0.25">
      <c r="A326" s="12" t="str">
        <f ca="1">IFERROR(__xludf.DUMMYFUNCTION("""COMPUTED_VALUE"""),"            right Medulla")</f>
        <v xml:space="preserve">            right Medulla</v>
      </c>
      <c r="B326" s="12">
        <f ca="1">IFERROR(__xludf.DUMMYFUNCTION("""COMPUTED_VALUE"""),797)</f>
        <v>797</v>
      </c>
      <c r="C326" s="12">
        <f ca="1">IFERROR(__xludf.DUMMYFUNCTION("""COMPUTED_VALUE"""),904)</f>
        <v>904</v>
      </c>
      <c r="D326" s="12">
        <f ca="1">IFERROR(__xludf.DUMMYFUNCTION("""COMPUTED_VALUE"""),1031)</f>
        <v>1031</v>
      </c>
      <c r="E326" s="12">
        <f ca="1">IFERROR(__xludf.DUMMYFUNCTION("""COMPUTED_VALUE"""),1092)</f>
        <v>1092</v>
      </c>
      <c r="F326" s="12">
        <f ca="1">IFERROR(__xludf.DUMMYFUNCTION("""COMPUTED_VALUE"""),421)</f>
        <v>421</v>
      </c>
      <c r="G326" s="12">
        <f ca="1">IFERROR(__xludf.DUMMYFUNCTION("""COMPUTED_VALUE"""),483)</f>
        <v>483</v>
      </c>
      <c r="H326" s="12">
        <f ca="1">IFERROR(__xludf.DUMMYFUNCTION("""COMPUTED_VALUE"""),1003)</f>
        <v>1003</v>
      </c>
      <c r="I326" s="12">
        <f ca="1">IFERROR(__xludf.DUMMYFUNCTION("""COMPUTED_VALUE"""),1957)</f>
        <v>1957</v>
      </c>
      <c r="J326" s="12">
        <f ca="1">IFERROR(__xludf.DUMMYFUNCTION("""COMPUTED_VALUE"""),1328)</f>
        <v>1328</v>
      </c>
      <c r="K326" s="12">
        <f ca="1">IFERROR(__xludf.DUMMYFUNCTION("""COMPUTED_VALUE"""),680)</f>
        <v>680</v>
      </c>
      <c r="L326" s="12">
        <f ca="1">IFERROR(__xludf.DUMMYFUNCTION("""COMPUTED_VALUE"""),489)</f>
        <v>489</v>
      </c>
      <c r="M326" s="12">
        <f ca="1">IFERROR(__xludf.DUMMYFUNCTION("""COMPUTED_VALUE"""),1023)</f>
        <v>1023</v>
      </c>
      <c r="N326" s="12">
        <f ca="1">IFERROR(__xludf.DUMMYFUNCTION("""COMPUTED_VALUE"""),947)</f>
        <v>947</v>
      </c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spans="1:38" ht="13.2" x14ac:dyDescent="0.25">
      <c r="A327" s="12" t="str">
        <f ca="1">IFERROR(__xludf.DUMMYFUNCTION("""COMPUTED_VALUE"""),"               right Medulla, sensory related")</f>
        <v xml:space="preserve">               right Medulla, sensory related</v>
      </c>
      <c r="B327" s="12">
        <f ca="1">IFERROR(__xludf.DUMMYFUNCTION("""COMPUTED_VALUE"""),1186)</f>
        <v>1186</v>
      </c>
      <c r="C327" s="12">
        <f ca="1">IFERROR(__xludf.DUMMYFUNCTION("""COMPUTED_VALUE"""),765)</f>
        <v>765</v>
      </c>
      <c r="D327" s="12">
        <f ca="1">IFERROR(__xludf.DUMMYFUNCTION("""COMPUTED_VALUE"""),1186)</f>
        <v>1186</v>
      </c>
      <c r="E327" s="12">
        <f ca="1">IFERROR(__xludf.DUMMYFUNCTION("""COMPUTED_VALUE"""),1200)</f>
        <v>1200</v>
      </c>
      <c r="F327" s="12">
        <f ca="1">IFERROR(__xludf.DUMMYFUNCTION("""COMPUTED_VALUE"""),520)</f>
        <v>520</v>
      </c>
      <c r="G327" s="12">
        <f ca="1">IFERROR(__xludf.DUMMYFUNCTION("""COMPUTED_VALUE"""),572)</f>
        <v>572</v>
      </c>
      <c r="H327" s="12">
        <f ca="1">IFERROR(__xludf.DUMMYFUNCTION("""COMPUTED_VALUE"""),935)</f>
        <v>935</v>
      </c>
      <c r="I327" s="12">
        <f ca="1">IFERROR(__xludf.DUMMYFUNCTION("""COMPUTED_VALUE"""),2251)</f>
        <v>2251</v>
      </c>
      <c r="J327" s="12">
        <f ca="1">IFERROR(__xludf.DUMMYFUNCTION("""COMPUTED_VALUE"""),1362)</f>
        <v>1362</v>
      </c>
      <c r="K327" s="12">
        <f ca="1">IFERROR(__xludf.DUMMYFUNCTION("""COMPUTED_VALUE"""),643)</f>
        <v>643</v>
      </c>
      <c r="L327" s="12">
        <f ca="1">IFERROR(__xludf.DUMMYFUNCTION("""COMPUTED_VALUE"""),402)</f>
        <v>402</v>
      </c>
      <c r="M327" s="12">
        <f ca="1">IFERROR(__xludf.DUMMYFUNCTION("""COMPUTED_VALUE"""),850)</f>
        <v>850</v>
      </c>
      <c r="N327" s="12">
        <f ca="1">IFERROR(__xludf.DUMMYFUNCTION("""COMPUTED_VALUE"""),1014)</f>
        <v>1014</v>
      </c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spans="1:38" ht="13.2" x14ac:dyDescent="0.25">
      <c r="A328" s="12" t="str">
        <f ca="1">IFERROR(__xludf.DUMMYFUNCTION("""COMPUTED_VALUE"""),"               right Medulla, motor related")</f>
        <v xml:space="preserve">               right Medulla, motor related</v>
      </c>
      <c r="B328" s="12">
        <f ca="1">IFERROR(__xludf.DUMMYFUNCTION("""COMPUTED_VALUE"""),699)</f>
        <v>699</v>
      </c>
      <c r="C328" s="12">
        <f ca="1">IFERROR(__xludf.DUMMYFUNCTION("""COMPUTED_VALUE"""),1040)</f>
        <v>1040</v>
      </c>
      <c r="D328" s="12">
        <f ca="1">IFERROR(__xludf.DUMMYFUNCTION("""COMPUTED_VALUE"""),1106)</f>
        <v>1106</v>
      </c>
      <c r="E328" s="12">
        <f ca="1">IFERROR(__xludf.DUMMYFUNCTION("""COMPUTED_VALUE"""),1192)</f>
        <v>1192</v>
      </c>
      <c r="F328" s="12">
        <f ca="1">IFERROR(__xludf.DUMMYFUNCTION("""COMPUTED_VALUE"""),443)</f>
        <v>443</v>
      </c>
      <c r="G328" s="12">
        <f ca="1">IFERROR(__xludf.DUMMYFUNCTION("""COMPUTED_VALUE"""),478)</f>
        <v>478</v>
      </c>
      <c r="H328" s="12">
        <f ca="1">IFERROR(__xludf.DUMMYFUNCTION("""COMPUTED_VALUE"""),1110)</f>
        <v>1110</v>
      </c>
      <c r="I328" s="12">
        <f ca="1">IFERROR(__xludf.DUMMYFUNCTION("""COMPUTED_VALUE"""),1972)</f>
        <v>1972</v>
      </c>
      <c r="J328" s="12">
        <f ca="1">IFERROR(__xludf.DUMMYFUNCTION("""COMPUTED_VALUE"""),1514)</f>
        <v>1514</v>
      </c>
      <c r="K328" s="12">
        <f ca="1">IFERROR(__xludf.DUMMYFUNCTION("""COMPUTED_VALUE"""),784)</f>
        <v>784</v>
      </c>
      <c r="L328" s="12">
        <f ca="1">IFERROR(__xludf.DUMMYFUNCTION("""COMPUTED_VALUE"""),585)</f>
        <v>585</v>
      </c>
      <c r="M328" s="12">
        <f ca="1">IFERROR(__xludf.DUMMYFUNCTION("""COMPUTED_VALUE"""),1191)</f>
        <v>1191</v>
      </c>
      <c r="N328" s="12">
        <f ca="1">IFERROR(__xludf.DUMMYFUNCTION("""COMPUTED_VALUE"""),1016)</f>
        <v>1016</v>
      </c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spans="1:38" ht="13.2" x14ac:dyDescent="0.25">
      <c r="A329" s="12" t="str">
        <f ca="1">IFERROR(__xludf.DUMMYFUNCTION("""COMPUTED_VALUE"""),"      right Cerebellum")</f>
        <v xml:space="preserve">      right Cerebellum</v>
      </c>
      <c r="B329" s="12">
        <f ca="1">IFERROR(__xludf.DUMMYFUNCTION("""COMPUTED_VALUE"""),601)</f>
        <v>601</v>
      </c>
      <c r="C329" s="12">
        <f ca="1">IFERROR(__xludf.DUMMYFUNCTION("""COMPUTED_VALUE"""),545)</f>
        <v>545</v>
      </c>
      <c r="D329" s="12">
        <f ca="1">IFERROR(__xludf.DUMMYFUNCTION("""COMPUTED_VALUE"""),314)</f>
        <v>314</v>
      </c>
      <c r="E329" s="12">
        <f ca="1">IFERROR(__xludf.DUMMYFUNCTION("""COMPUTED_VALUE"""),294)</f>
        <v>294</v>
      </c>
      <c r="F329" s="12">
        <f ca="1">IFERROR(__xludf.DUMMYFUNCTION("""COMPUTED_VALUE"""),138)</f>
        <v>138</v>
      </c>
      <c r="G329" s="12">
        <f ca="1">IFERROR(__xludf.DUMMYFUNCTION("""COMPUTED_VALUE"""),245)</f>
        <v>245</v>
      </c>
      <c r="H329" s="12">
        <f ca="1">IFERROR(__xludf.DUMMYFUNCTION("""COMPUTED_VALUE"""),682)</f>
        <v>682</v>
      </c>
      <c r="I329" s="12">
        <f ca="1">IFERROR(__xludf.DUMMYFUNCTION("""COMPUTED_VALUE"""),1007)</f>
        <v>1007</v>
      </c>
      <c r="J329" s="12">
        <f ca="1">IFERROR(__xludf.DUMMYFUNCTION("""COMPUTED_VALUE"""),553)</f>
        <v>553</v>
      </c>
      <c r="K329" s="12">
        <f ca="1">IFERROR(__xludf.DUMMYFUNCTION("""COMPUTED_VALUE"""),291)</f>
        <v>291</v>
      </c>
      <c r="L329" s="12">
        <f ca="1">IFERROR(__xludf.DUMMYFUNCTION("""COMPUTED_VALUE"""),353)</f>
        <v>353</v>
      </c>
      <c r="M329" s="12">
        <f ca="1">IFERROR(__xludf.DUMMYFUNCTION("""COMPUTED_VALUE"""),272)</f>
        <v>272</v>
      </c>
      <c r="N329" s="12">
        <f ca="1">IFERROR(__xludf.DUMMYFUNCTION("""COMPUTED_VALUE"""),455)</f>
        <v>455</v>
      </c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spans="1:38" ht="13.2" x14ac:dyDescent="0.25">
      <c r="A330" s="12" t="str">
        <f ca="1">IFERROR(__xludf.DUMMYFUNCTION("""COMPUTED_VALUE"""),"         right Cerebellar cortex")</f>
        <v xml:space="preserve">         right Cerebellar cortex</v>
      </c>
      <c r="B330" s="12">
        <f ca="1">IFERROR(__xludf.DUMMYFUNCTION("""COMPUTED_VALUE"""),598)</f>
        <v>598</v>
      </c>
      <c r="C330" s="12">
        <f ca="1">IFERROR(__xludf.DUMMYFUNCTION("""COMPUTED_VALUE"""),537)</f>
        <v>537</v>
      </c>
      <c r="D330" s="12">
        <f ca="1">IFERROR(__xludf.DUMMYFUNCTION("""COMPUTED_VALUE"""),320)</f>
        <v>320</v>
      </c>
      <c r="E330" s="12">
        <f ca="1">IFERROR(__xludf.DUMMYFUNCTION("""COMPUTED_VALUE"""),298)</f>
        <v>298</v>
      </c>
      <c r="F330" s="12">
        <f ca="1">IFERROR(__xludf.DUMMYFUNCTION("""COMPUTED_VALUE"""),134)</f>
        <v>134</v>
      </c>
      <c r="G330" s="12">
        <f ca="1">IFERROR(__xludf.DUMMYFUNCTION("""COMPUTED_VALUE"""),248)</f>
        <v>248</v>
      </c>
      <c r="H330" s="12">
        <f ca="1">IFERROR(__xludf.DUMMYFUNCTION("""COMPUTED_VALUE"""),697)</f>
        <v>697</v>
      </c>
      <c r="I330" s="12">
        <f ca="1">IFERROR(__xludf.DUMMYFUNCTION("""COMPUTED_VALUE"""),1014)</f>
        <v>1014</v>
      </c>
      <c r="J330" s="12">
        <f ca="1">IFERROR(__xludf.DUMMYFUNCTION("""COMPUTED_VALUE"""),567)</f>
        <v>567</v>
      </c>
      <c r="K330" s="12">
        <f ca="1">IFERROR(__xludf.DUMMYFUNCTION("""COMPUTED_VALUE"""),296)</f>
        <v>296</v>
      </c>
      <c r="L330" s="12">
        <f ca="1">IFERROR(__xludf.DUMMYFUNCTION("""COMPUTED_VALUE"""),362)</f>
        <v>362</v>
      </c>
      <c r="M330" s="12">
        <f ca="1">IFERROR(__xludf.DUMMYFUNCTION("""COMPUTED_VALUE"""),274)</f>
        <v>274</v>
      </c>
      <c r="N330" s="12">
        <f ca="1">IFERROR(__xludf.DUMMYFUNCTION("""COMPUTED_VALUE"""),458)</f>
        <v>458</v>
      </c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spans="1:38" ht="13.2" x14ac:dyDescent="0.25">
      <c r="A331" s="12" t="str">
        <f ca="1">IFERROR(__xludf.DUMMYFUNCTION("""COMPUTED_VALUE"""),"            right Vermal regions")</f>
        <v xml:space="preserve">            right Vermal regions</v>
      </c>
      <c r="B331" s="12">
        <f ca="1">IFERROR(__xludf.DUMMYFUNCTION("""COMPUTED_VALUE"""),951)</f>
        <v>951</v>
      </c>
      <c r="C331" s="12">
        <f ca="1">IFERROR(__xludf.DUMMYFUNCTION("""COMPUTED_VALUE"""),575)</f>
        <v>575</v>
      </c>
      <c r="D331" s="12">
        <f ca="1">IFERROR(__xludf.DUMMYFUNCTION("""COMPUTED_VALUE"""),338)</f>
        <v>338</v>
      </c>
      <c r="E331" s="12">
        <f ca="1">IFERROR(__xludf.DUMMYFUNCTION("""COMPUTED_VALUE"""),308)</f>
        <v>308</v>
      </c>
      <c r="F331" s="12">
        <f ca="1">IFERROR(__xludf.DUMMYFUNCTION("""COMPUTED_VALUE"""),225)</f>
        <v>225</v>
      </c>
      <c r="G331" s="12">
        <f ca="1">IFERROR(__xludf.DUMMYFUNCTION("""COMPUTED_VALUE"""),229)</f>
        <v>229</v>
      </c>
      <c r="H331" s="12">
        <f ca="1">IFERROR(__xludf.DUMMYFUNCTION("""COMPUTED_VALUE"""),740)</f>
        <v>740</v>
      </c>
      <c r="I331" s="12">
        <f ca="1">IFERROR(__xludf.DUMMYFUNCTION("""COMPUTED_VALUE"""),1281)</f>
        <v>1281</v>
      </c>
      <c r="J331" s="12">
        <f ca="1">IFERROR(__xludf.DUMMYFUNCTION("""COMPUTED_VALUE"""),728)</f>
        <v>728</v>
      </c>
      <c r="K331" s="12">
        <f ca="1">IFERROR(__xludf.DUMMYFUNCTION("""COMPUTED_VALUE"""),330)</f>
        <v>330</v>
      </c>
      <c r="L331" s="12">
        <f ca="1">IFERROR(__xludf.DUMMYFUNCTION("""COMPUTED_VALUE"""),614)</f>
        <v>614</v>
      </c>
      <c r="M331" s="12">
        <f ca="1">IFERROR(__xludf.DUMMYFUNCTION("""COMPUTED_VALUE"""),210)</f>
        <v>210</v>
      </c>
      <c r="N331" s="12">
        <f ca="1">IFERROR(__xludf.DUMMYFUNCTION("""COMPUTED_VALUE"""),549)</f>
        <v>549</v>
      </c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spans="1:38" ht="13.2" x14ac:dyDescent="0.25">
      <c r="A332" s="12" t="str">
        <f ca="1">IFERROR(__xludf.DUMMYFUNCTION("""COMPUTED_VALUE"""),"            right Hemispheric regions")</f>
        <v xml:space="preserve">            right Hemispheric regions</v>
      </c>
      <c r="B332" s="12">
        <f ca="1">IFERROR(__xludf.DUMMYFUNCTION("""COMPUTED_VALUE"""),365)</f>
        <v>365</v>
      </c>
      <c r="C332" s="12">
        <f ca="1">IFERROR(__xludf.DUMMYFUNCTION("""COMPUTED_VALUE"""),512)</f>
        <v>512</v>
      </c>
      <c r="D332" s="12">
        <f ca="1">IFERROR(__xludf.DUMMYFUNCTION("""COMPUTED_VALUE"""),309)</f>
        <v>309</v>
      </c>
      <c r="E332" s="12">
        <f ca="1">IFERROR(__xludf.DUMMYFUNCTION("""COMPUTED_VALUE"""),291)</f>
        <v>291</v>
      </c>
      <c r="F332" s="12">
        <f ca="1">IFERROR(__xludf.DUMMYFUNCTION("""COMPUTED_VALUE"""),75)</f>
        <v>75</v>
      </c>
      <c r="G332" s="12">
        <f ca="1">IFERROR(__xludf.DUMMYFUNCTION("""COMPUTED_VALUE"""),261)</f>
        <v>261</v>
      </c>
      <c r="H332" s="12">
        <f ca="1">IFERROR(__xludf.DUMMYFUNCTION("""COMPUTED_VALUE"""),669)</f>
        <v>669</v>
      </c>
      <c r="I332" s="12">
        <f ca="1">IFERROR(__xludf.DUMMYFUNCTION("""COMPUTED_VALUE"""),839)</f>
        <v>839</v>
      </c>
      <c r="J332" s="12">
        <f ca="1">IFERROR(__xludf.DUMMYFUNCTION("""COMPUTED_VALUE"""),461)</f>
        <v>461</v>
      </c>
      <c r="K332" s="12">
        <f ca="1">IFERROR(__xludf.DUMMYFUNCTION("""COMPUTED_VALUE"""),273)</f>
        <v>273</v>
      </c>
      <c r="L332" s="12">
        <f ca="1">IFERROR(__xludf.DUMMYFUNCTION("""COMPUTED_VALUE"""),197)</f>
        <v>197</v>
      </c>
      <c r="M332" s="12">
        <f ca="1">IFERROR(__xludf.DUMMYFUNCTION("""COMPUTED_VALUE"""),317)</f>
        <v>317</v>
      </c>
      <c r="N332" s="12">
        <f ca="1">IFERROR(__xludf.DUMMYFUNCTION("""COMPUTED_VALUE"""),398)</f>
        <v>398</v>
      </c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spans="1:38" ht="13.2" x14ac:dyDescent="0.25">
      <c r="A333" s="12" t="str">
        <f ca="1">IFERROR(__xludf.DUMMYFUNCTION("""COMPUTED_VALUE"""),"         right Cerebellar nuclei")</f>
        <v xml:space="preserve">         right Cerebellar nuclei</v>
      </c>
      <c r="B333" s="12">
        <f ca="1">IFERROR(__xludf.DUMMYFUNCTION("""COMPUTED_VALUE"""),484)</f>
        <v>484</v>
      </c>
      <c r="C333" s="12">
        <f ca="1">IFERROR(__xludf.DUMMYFUNCTION("""COMPUTED_VALUE"""),537)</f>
        <v>537</v>
      </c>
      <c r="D333" s="12">
        <f ca="1">IFERROR(__xludf.DUMMYFUNCTION("""COMPUTED_VALUE"""),174)</f>
        <v>174</v>
      </c>
      <c r="E333" s="12">
        <f ca="1">IFERROR(__xludf.DUMMYFUNCTION("""COMPUTED_VALUE"""),104)</f>
        <v>104</v>
      </c>
      <c r="F333" s="12">
        <f ca="1">IFERROR(__xludf.DUMMYFUNCTION("""COMPUTED_VALUE"""),93)</f>
        <v>93</v>
      </c>
      <c r="G333" s="12">
        <f ca="1">IFERROR(__xludf.DUMMYFUNCTION("""COMPUTED_VALUE"""),60)</f>
        <v>60</v>
      </c>
      <c r="H333" s="12">
        <f ca="1">IFERROR(__xludf.DUMMYFUNCTION("""COMPUTED_VALUE"""),240)</f>
        <v>240</v>
      </c>
      <c r="I333" s="12">
        <f ca="1">IFERROR(__xludf.DUMMYFUNCTION("""COMPUTED_VALUE"""),722)</f>
        <v>722</v>
      </c>
      <c r="J333" s="12">
        <f ca="1">IFERROR(__xludf.DUMMYFUNCTION("""COMPUTED_VALUE"""),150)</f>
        <v>150</v>
      </c>
      <c r="K333" s="12">
        <f ca="1">IFERROR(__xludf.DUMMYFUNCTION("""COMPUTED_VALUE"""),67)</f>
        <v>67</v>
      </c>
      <c r="L333" s="12">
        <f ca="1">IFERROR(__xludf.DUMMYFUNCTION("""COMPUTED_VALUE"""),55)</f>
        <v>55</v>
      </c>
      <c r="M333" s="12">
        <f ca="1">IFERROR(__xludf.DUMMYFUNCTION("""COMPUTED_VALUE"""),141)</f>
        <v>141</v>
      </c>
      <c r="N333" s="12">
        <f ca="1">IFERROR(__xludf.DUMMYFUNCTION("""COMPUTED_VALUE"""),263)</f>
        <v>263</v>
      </c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spans="1:38" ht="13.2" x14ac:dyDescent="0.25">
      <c r="A334" s="12" t="str">
        <f ca="1">IFERROR(__xludf.DUMMYFUNCTION("""COMPUTED_VALUE"""),"         right hypothalamus related")</f>
        <v xml:space="preserve">         right hypothalamus related</v>
      </c>
      <c r="B334" s="12">
        <f ca="1">IFERROR(__xludf.DUMMYFUNCTION("""COMPUTED_VALUE"""),3954)</f>
        <v>3954</v>
      </c>
      <c r="C334" s="12">
        <f ca="1">IFERROR(__xludf.DUMMYFUNCTION("""COMPUTED_VALUE"""),5034)</f>
        <v>5034</v>
      </c>
      <c r="D334" s="12">
        <f ca="1">IFERROR(__xludf.DUMMYFUNCTION("""COMPUTED_VALUE"""),3621)</f>
        <v>3621</v>
      </c>
      <c r="E334" s="12">
        <f ca="1">IFERROR(__xludf.DUMMYFUNCTION("""COMPUTED_VALUE"""),3159)</f>
        <v>3159</v>
      </c>
      <c r="F334" s="12">
        <f ca="1">IFERROR(__xludf.DUMMYFUNCTION("""COMPUTED_VALUE"""),2391)</f>
        <v>2391</v>
      </c>
      <c r="G334" s="12">
        <f ca="1">IFERROR(__xludf.DUMMYFUNCTION("""COMPUTED_VALUE"""),1740)</f>
        <v>1740</v>
      </c>
      <c r="H334" s="12">
        <f ca="1">IFERROR(__xludf.DUMMYFUNCTION("""COMPUTED_VALUE"""),4618)</f>
        <v>4618</v>
      </c>
      <c r="I334" s="12">
        <f ca="1">IFERROR(__xludf.DUMMYFUNCTION("""COMPUTED_VALUE"""),5096)</f>
        <v>5096</v>
      </c>
      <c r="J334" s="12">
        <f ca="1">IFERROR(__xludf.DUMMYFUNCTION("""COMPUTED_VALUE"""),3659)</f>
        <v>3659</v>
      </c>
      <c r="K334" s="12">
        <f ca="1">IFERROR(__xludf.DUMMYFUNCTION("""COMPUTED_VALUE"""),2088)</f>
        <v>2088</v>
      </c>
      <c r="L334" s="12">
        <f ca="1">IFERROR(__xludf.DUMMYFUNCTION("""COMPUTED_VALUE"""),1985)</f>
        <v>1985</v>
      </c>
      <c r="M334" s="12">
        <f ca="1">IFERROR(__xludf.DUMMYFUNCTION("""COMPUTED_VALUE"""),3436)</f>
        <v>3436</v>
      </c>
      <c r="N334" s="12">
        <f ca="1">IFERROR(__xludf.DUMMYFUNCTION("""COMPUTED_VALUE"""),3547)</f>
        <v>3547</v>
      </c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spans="1:38" ht="13.2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spans="1:38" ht="13.2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spans="1:38" ht="13.2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spans="1:38" ht="13.2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spans="1:38" ht="13.2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spans="1:38" ht="13.2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spans="1:38" ht="13.2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spans="1:38" ht="13.2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spans="1:38" ht="13.2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spans="1:38" ht="13.2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spans="1:38" ht="13.2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spans="1:38" ht="13.2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spans="1:38" ht="13.2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spans="1:38" ht="13.2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spans="1:38" ht="13.2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spans="1:38" ht="13.2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spans="1:38" ht="13.2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spans="1:38" ht="13.2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spans="1:38" ht="13.2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spans="1:38" ht="13.2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spans="1:38" ht="13.2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spans="1:38" ht="13.2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spans="1:38" ht="13.2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spans="1:38" ht="13.2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spans="1:38" ht="13.2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spans="1:38" ht="13.2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spans="1:38" ht="13.2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spans="1:38" ht="13.2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spans="1:38" ht="13.2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spans="1:38" ht="13.2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spans="1:38" ht="13.2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spans="1:38" ht="13.2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spans="1:38" ht="13.2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spans="1:38" ht="13.2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spans="1:38" ht="13.2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spans="1:38" ht="13.2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spans="1:38" ht="13.2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spans="1:38" ht="13.2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spans="1:38" ht="13.2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spans="1:38" ht="13.2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spans="1:38" ht="13.2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spans="1:38" ht="13.2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spans="1:38" ht="13.2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spans="1:38" ht="13.2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spans="1:38" ht="13.2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spans="1:38" ht="13.2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spans="1:38" ht="13.2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spans="1:38" ht="13.2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spans="1:38" ht="13.2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spans="1:38" ht="13.2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spans="1:38" ht="13.2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spans="1:38" ht="13.2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spans="1:38" ht="13.2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spans="1:38" ht="13.2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spans="1:38" ht="13.2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spans="1:38" ht="13.2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spans="1:38" ht="13.2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spans="1:38" ht="13.2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spans="1:38" ht="13.2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spans="1:38" ht="13.2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spans="1:38" ht="13.2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spans="1:38" ht="13.2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spans="1:38" ht="13.2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spans="1:38" ht="13.2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spans="1:38" ht="13.2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spans="1:38" ht="13.2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spans="1:38" ht="13.2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spans="1:38" ht="13.2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spans="1:38" ht="13.2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spans="1:38" ht="13.2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spans="1:38" ht="13.2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spans="1:38" ht="13.2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spans="1:38" ht="13.2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spans="1:38" ht="13.2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spans="1:38" ht="13.2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spans="1:38" ht="13.2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spans="1:38" ht="13.2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spans="1:38" ht="13.2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spans="1:38" ht="13.2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spans="1:38" ht="13.2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spans="1:38" ht="13.2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spans="1:38" ht="13.2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spans="1:38" ht="13.2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spans="1:38" ht="13.2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spans="1:38" ht="13.2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spans="1:38" ht="13.2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spans="1:38" ht="13.2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spans="1:38" ht="13.2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spans="1:38" ht="13.2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spans="1:38" ht="13.2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spans="1:38" ht="13.2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spans="1:38" ht="13.2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spans="1:38" ht="13.2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spans="1:38" ht="13.2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spans="1:38" ht="13.2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spans="1:38" ht="13.2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spans="1:38" ht="13.2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spans="1:38" ht="13.2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spans="1:38" ht="13.2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spans="1:38" ht="13.2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spans="1:38" ht="13.2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spans="1:38" ht="13.2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spans="1:38" ht="13.2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spans="1:38" ht="13.2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spans="1:38" ht="13.2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spans="1:38" ht="13.2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spans="1:38" ht="13.2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spans="1:38" ht="13.2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spans="1:38" ht="13.2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spans="1:38" ht="13.2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spans="1:38" ht="13.2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spans="1:38" ht="13.2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spans="1:38" ht="13.2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spans="1:38" ht="13.2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spans="1:38" ht="13.2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spans="1:38" ht="13.2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spans="1:38" ht="13.2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spans="1:38" ht="13.2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spans="1:38" ht="13.2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spans="1:38" ht="13.2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spans="1:38" ht="13.2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spans="1:38" ht="13.2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spans="1:38" ht="13.2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spans="1:38" ht="13.2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spans="1:38" ht="13.2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spans="1:38" ht="13.2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spans="1:38" ht="13.2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spans="1:38" ht="13.2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spans="1:38" ht="13.2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spans="1:38" ht="13.2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spans="1:38" ht="13.2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spans="1:38" ht="13.2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spans="1:38" ht="13.2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spans="1:38" ht="13.2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spans="1:38" ht="13.2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spans="1:38" ht="13.2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spans="1:38" ht="13.2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spans="1:38" ht="13.2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spans="1:38" ht="13.2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spans="1:38" ht="13.2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spans="1:38" ht="13.2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spans="1:38" ht="13.2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spans="1:38" ht="13.2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spans="1:38" ht="13.2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spans="1:38" ht="13.2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spans="1:38" ht="13.2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spans="1:38" ht="13.2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spans="1:38" ht="13.2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spans="1:38" ht="13.2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spans="1:38" ht="13.2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spans="1:38" ht="13.2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spans="1:38" ht="13.2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spans="1:38" ht="13.2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spans="1:38" ht="13.2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spans="1:38" ht="13.2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spans="1:38" ht="13.2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spans="1:38" ht="13.2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spans="1:38" ht="13.2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spans="1:38" ht="13.2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spans="1:38" ht="13.2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spans="1:38" ht="13.2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spans="1:38" ht="13.2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spans="1:38" ht="13.2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spans="1:38" ht="13.2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spans="1:38" ht="13.2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spans="1:38" ht="13.2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spans="1:38" ht="13.2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spans="1:38" ht="13.2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spans="1:38" ht="13.2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spans="1:38" ht="13.2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spans="1:38" ht="13.2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spans="1:38" ht="13.2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spans="1:38" ht="13.2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spans="1:38" ht="13.2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spans="1:38" ht="13.2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spans="1:38" ht="13.2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spans="1:38" ht="13.2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spans="1:38" ht="13.2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spans="1:38" ht="13.2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spans="1:38" ht="13.2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spans="1:38" ht="13.2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spans="1:38" ht="13.2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spans="1:38" ht="13.2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spans="1:38" ht="13.2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spans="1:38" ht="13.2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spans="1:38" ht="13.2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spans="1:38" ht="13.2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spans="1:38" ht="13.2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spans="1:38" ht="13.2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spans="1:38" ht="13.2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spans="1:38" ht="13.2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spans="1:38" ht="13.2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spans="1:38" ht="13.2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spans="1:38" ht="13.2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spans="1:38" ht="13.2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spans="1:38" ht="13.2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spans="1:38" ht="13.2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spans="1:38" ht="13.2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spans="1:38" ht="13.2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spans="1:38" ht="13.2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spans="1:38" ht="13.2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spans="1:38" ht="13.2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spans="1:38" ht="13.2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spans="1:38" ht="13.2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spans="1:38" ht="13.2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spans="1:38" ht="13.2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spans="1:38" ht="13.2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spans="1:38" ht="13.2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spans="1:38" ht="13.2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spans="1:38" ht="13.2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spans="1:38" ht="13.2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spans="1:38" ht="13.2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spans="1:38" ht="13.2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spans="1:38" ht="13.2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spans="1:38" ht="13.2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spans="1:38" ht="13.2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spans="1:38" ht="13.2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spans="1:38" ht="13.2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spans="1:38" ht="13.2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spans="1:38" ht="13.2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spans="1:38" ht="13.2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spans="1:38" ht="13.2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spans="1:38" ht="13.2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spans="1:38" ht="13.2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spans="1:38" ht="13.2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spans="1:38" ht="13.2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spans="1:38" ht="13.2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spans="1:38" ht="13.2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spans="1:38" ht="13.2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spans="1:38" ht="13.2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spans="1:38" ht="13.2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spans="1:38" ht="13.2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spans="1:38" ht="13.2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spans="1:38" ht="13.2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spans="1:38" ht="13.2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spans="1:38" ht="13.2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spans="1:38" ht="13.2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spans="1:38" ht="13.2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spans="1:38" ht="13.2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spans="1:38" ht="13.2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spans="1:38" ht="13.2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spans="1:38" ht="13.2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spans="1:38" ht="13.2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spans="1:38" ht="13.2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spans="1:38" ht="13.2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spans="1:38" ht="13.2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spans="1:38" ht="13.2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spans="1:38" ht="13.2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spans="1:38" ht="13.2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spans="1:38" ht="13.2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spans="1:38" ht="13.2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spans="1:38" ht="13.2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spans="1:38" ht="13.2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spans="1:38" ht="13.2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spans="1:38" ht="13.2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spans="1:38" ht="13.2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spans="1:38" ht="13.2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spans="1:38" ht="13.2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spans="1:38" ht="13.2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spans="1:38" ht="13.2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spans="1:38" ht="13.2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spans="1:38" ht="13.2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spans="1:38" ht="13.2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spans="1:38" ht="13.2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spans="1:38" ht="13.2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spans="1:38" ht="13.2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spans="1:38" ht="13.2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spans="1:38" ht="13.2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spans="1:38" ht="13.2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spans="1:38" ht="13.2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spans="1:38" ht="13.2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spans="1:38" ht="13.2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spans="1:38" ht="13.2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spans="1:38" ht="13.2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spans="1:38" ht="13.2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spans="1:38" ht="13.2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spans="1:38" ht="13.2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spans="1:38" ht="13.2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spans="1:38" ht="13.2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spans="1:38" ht="13.2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spans="1:38" ht="13.2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spans="1:38" ht="13.2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spans="1:38" ht="13.2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spans="1:38" ht="13.2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spans="1:38" ht="13.2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spans="1:38" ht="13.2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spans="1:38" ht="13.2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spans="1:38" ht="13.2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spans="1:38" ht="13.2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spans="1:38" ht="13.2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spans="1:38" ht="13.2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spans="1:38" ht="13.2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spans="1:38" ht="13.2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spans="1:38" ht="13.2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spans="1:38" ht="13.2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spans="1:38" ht="13.2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spans="1:38" ht="13.2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spans="1:38" ht="13.2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spans="1:38" ht="13.2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spans="1:38" ht="13.2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spans="1:38" ht="13.2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spans="1:38" ht="13.2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spans="1:38" ht="13.2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spans="1:38" ht="13.2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spans="1:38" ht="13.2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spans="1:38" ht="13.2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spans="1:38" ht="13.2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spans="1:38" ht="13.2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spans="1:38" ht="13.2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spans="1:38" ht="13.2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spans="1:38" ht="13.2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spans="1:38" ht="13.2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spans="1:38" ht="13.2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spans="1:38" ht="13.2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spans="1:38" ht="13.2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spans="1:38" ht="13.2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spans="1:38" ht="13.2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spans="1:38" ht="13.2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spans="1:38" ht="13.2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spans="1:38" ht="13.2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spans="1:38" ht="13.2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spans="1:38" ht="13.2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spans="1:38" ht="13.2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spans="1:38" ht="13.2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spans="1:38" ht="13.2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spans="1:38" ht="13.2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spans="1:38" ht="13.2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spans="1:38" ht="13.2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spans="1:38" ht="13.2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spans="1:38" ht="13.2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spans="1:38" ht="13.2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spans="1:38" ht="13.2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spans="1:38" ht="13.2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spans="1:38" ht="13.2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spans="1:38" ht="13.2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spans="1:38" ht="13.2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spans="1:38" ht="13.2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spans="1:38" ht="13.2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spans="1:38" ht="13.2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spans="1:38" ht="13.2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spans="1:38" ht="13.2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spans="1:38" ht="13.2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spans="1:38" ht="13.2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spans="1:38" ht="13.2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spans="1:38" ht="13.2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spans="1:38" ht="13.2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spans="1:38" ht="13.2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spans="1:38" ht="13.2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spans="1:38" ht="13.2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spans="1:38" ht="13.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spans="1:38" ht="13.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spans="1:38" ht="13.2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spans="1:38" ht="13.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spans="1:38" ht="13.2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spans="1:38" ht="13.2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spans="1:38" ht="13.2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spans="1:38" ht="13.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spans="1:38" ht="13.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spans="1:38" ht="13.2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spans="1:38" ht="13.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spans="1:38" ht="13.2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spans="1:38" ht="13.2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spans="1:38" ht="13.2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spans="1:38" ht="13.2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spans="1:38" ht="13.2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spans="1:38" ht="13.2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spans="1:38" ht="13.2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spans="1:38" ht="13.2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spans="1:38" ht="13.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spans="1:38" ht="13.2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spans="1:38" ht="13.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spans="1:38" ht="13.2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spans="1:38" ht="13.2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spans="1:38" ht="13.2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spans="1:38" ht="13.2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spans="1:38" ht="13.2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spans="1:38" ht="13.2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spans="1:38" ht="13.2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spans="1:38" ht="13.2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spans="1:38" ht="13.2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spans="1:38" ht="13.2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spans="1:38" ht="13.2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spans="1:38" ht="13.2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spans="1:38" ht="13.2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spans="1:38" ht="13.2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spans="1:38" ht="13.2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spans="1:38" ht="13.2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spans="1:38" ht="13.2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spans="1:38" ht="13.2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spans="1:38" ht="13.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spans="1:38" ht="13.2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spans="1:38" ht="13.2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spans="1:38" ht="13.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spans="1:38" ht="13.2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spans="1:38" ht="13.2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spans="1:38" ht="13.2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spans="1:38" ht="13.2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38" ht="13.2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spans="1:38" ht="13.2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spans="1:38" ht="13.2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spans="1:38" ht="13.2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38" ht="13.2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spans="1:38" ht="13.2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spans="1:38" ht="13.2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spans="1:38" ht="13.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spans="1:38" ht="13.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spans="1:38" ht="13.2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38" ht="13.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spans="1:38" ht="13.2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spans="1:38" ht="13.2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spans="1:38" ht="13.2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38" ht="13.2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spans="1:38" ht="13.2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38" ht="13.2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spans="1:38" ht="13.2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38" ht="13.2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spans="1:38" ht="13.2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38" ht="13.2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spans="1:38" ht="13.2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3.2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spans="1:38" ht="13.2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3.2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spans="1:38" ht="13.2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3.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spans="1:38" ht="13.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3.2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spans="1:38" ht="13.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3.2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spans="1:38" ht="13.2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3.2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spans="1:38" ht="13.2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3.2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spans="1:38" ht="13.2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3.2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spans="1:38" ht="13.2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3.2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spans="1:38" ht="13.2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3.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spans="1:38" ht="13.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3.2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spans="1:38" ht="13.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3.2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spans="1:38" ht="13.2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3.2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spans="1:38" ht="13.2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3.2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spans="1:38" ht="13.2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3.2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spans="1:38" ht="13.2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3.2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spans="1:38" ht="13.2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3.2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spans="1:38" ht="13.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spans="1:38" ht="13.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spans="1:38" ht="13.2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3.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spans="1:38" ht="13.2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3.2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spans="1:38" ht="13.2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3.2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spans="1:38" ht="13.2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3.2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spans="1:38" ht="13.2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spans="1:38" ht="13.2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spans="1:38" ht="13.2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3.2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spans="1:38" ht="13.2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3.2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spans="1:38" ht="13.2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3.2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spans="1:38" ht="13.2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3.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spans="1:38" ht="13.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3.2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spans="1:38" ht="13.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3.2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spans="1:38" ht="13.2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3.2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spans="1:38" ht="13.2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3.2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spans="1:38" ht="13.2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3.2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spans="1:38" ht="13.2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38" ht="13.2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spans="1:38" ht="13.2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38" ht="13.2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spans="1:38" ht="13.2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38" ht="13.2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spans="1:38" ht="13.2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38" ht="13.2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spans="1:38" ht="13.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38" ht="13.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spans="1:38" ht="13.2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spans="1:38" ht="13.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spans="1:38" ht="13.2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38" ht="13.2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spans="1:38" ht="13.2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38" ht="13.2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spans="1:38" ht="13.2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spans="1:38" ht="13.2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spans="1:38" ht="13.2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spans="1:38" ht="13.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spans="1:38" ht="13.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38" ht="13.2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spans="1:38" ht="13.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spans="1:38" ht="13.2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spans="1:38" ht="13.2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38" ht="13.2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spans="1:38" ht="13.2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38" ht="13.2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spans="1:38" ht="13.2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spans="1:38" ht="13.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spans="1:38" ht="13.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38" ht="13.2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spans="1:38" ht="13.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3.2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spans="1:38" ht="13.2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spans="1:38" ht="13.2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spans="1:38" ht="13.2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3.2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spans="1:38" ht="13.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3.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spans="1:38" ht="13.2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spans="1:38" ht="13.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spans="1:38" ht="13.2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3.2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spans="1:38" ht="13.2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3.2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spans="1:38" ht="13.2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spans="1:38" ht="13.2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spans="1:38" ht="13.2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3.2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spans="1:38" ht="13.2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3.2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spans="1:38" ht="13.2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spans="1:38" ht="13.2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spans="1:38" ht="13.2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3.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spans="1:38" ht="13.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3.2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spans="1:38" ht="13.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3.2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spans="1:38" ht="13.2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3.2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spans="1:38" ht="13.2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3.2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spans="1:38" ht="13.2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3.2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spans="1:38" ht="13.2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3.2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spans="1:38" ht="13.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3.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spans="1:38" ht="13.2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3.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spans="1:38" ht="13.2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3.2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spans="1:38" ht="13.2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3.2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spans="1:38" ht="13.2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spans="1:38" ht="13.2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spans="1:38" ht="13.2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3.2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spans="1:38" ht="13.2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spans="1:38" ht="13.2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spans="1:38" ht="13.2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spans="1:38" ht="13.2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spans="1:38" ht="13.2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3.2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spans="1:38" ht="13.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3.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spans="1:38" ht="13.2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spans="1:38" ht="13.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spans="1:38" ht="13.2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3.2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spans="1:38" ht="13.2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3.2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spans="1:38" ht="13.2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spans="1:38" ht="13.2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spans="1:38" ht="13.2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3.2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spans="1:38" ht="13.2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3.2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spans="1:38" ht="13.2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spans="1:38" ht="13.2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spans="1:38" ht="13.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3.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spans="1:38" ht="13.2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3.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spans="1:38" ht="13.2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spans="1:38" ht="13.2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spans="1:38" ht="13.2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3.2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spans="1:38" ht="13.2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spans="1:38" ht="13.2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spans="1:38" ht="13.2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spans="1:38" ht="13.2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spans="1:38" ht="13.2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3.2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spans="1:38" ht="13.2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3.2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spans="1:38" ht="13.2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spans="1:38" ht="13.2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spans="1:38" ht="13.2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3.2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spans="1:38" ht="13.2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spans="1:38" ht="13.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spans="1:38" ht="13.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spans="1:38" ht="13.2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spans="1:38" ht="13.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3.2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spans="1:38" ht="13.2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spans="1:38" ht="13.2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spans="1:38" ht="13.2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spans="1:38" ht="13.2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spans="1:38" ht="13.2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3.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spans="1:38" ht="13.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3.2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spans="1:38" ht="13.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spans="1:38" ht="13.2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spans="1:38" ht="13.2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3.2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spans="1:38" ht="13.2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3.2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spans="1:38" ht="13.2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spans="1:38" ht="13.2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spans="1:38" ht="13.2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3.2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spans="1:38" ht="13.2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3.2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spans="1:38" ht="13.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spans="1:38" ht="13.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spans="1:38" ht="13.2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3.2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spans="1:38" ht="13.2" x14ac:dyDescent="0.2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3.2" x14ac:dyDescent="0.2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spans="1:38" ht="13.2" x14ac:dyDescent="0.2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spans="1:38" ht="13.2" x14ac:dyDescent="0.2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spans="1:38" ht="13.2" x14ac:dyDescent="0.2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3.2" x14ac:dyDescent="0.2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spans="1:38" ht="13.2" x14ac:dyDescent="0.2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3.2" x14ac:dyDescent="0.2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spans="1:38" ht="13.2" x14ac:dyDescent="0.2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spans="1:38" ht="13.2" x14ac:dyDescent="0.2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spans="1:38" ht="13.2" x14ac:dyDescent="0.2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3.2" x14ac:dyDescent="0.2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spans="1:38" ht="13.2" x14ac:dyDescent="0.2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3.2" x14ac:dyDescent="0.2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spans="1:38" ht="13.2" x14ac:dyDescent="0.2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spans="1:38" ht="13.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spans="1:38" ht="13.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3.2" x14ac:dyDescent="0.2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spans="1:38" ht="13.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3.2" x14ac:dyDescent="0.2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spans="1:38" ht="13.2" x14ac:dyDescent="0.2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spans="1:38" ht="13.2" x14ac:dyDescent="0.2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spans="1:38" ht="13.2" x14ac:dyDescent="0.2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3.2" x14ac:dyDescent="0.2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spans="1:38" ht="13.2" x14ac:dyDescent="0.2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3.2" x14ac:dyDescent="0.2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spans="1:38" ht="13.2" x14ac:dyDescent="0.2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spans="1:38" ht="13.2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spans="1:38" ht="13.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3.2" x14ac:dyDescent="0.2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 spans="1:38" ht="13.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spans="1:38" ht="13.2" x14ac:dyDescent="0.2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 spans="1:38" ht="13.2" x14ac:dyDescent="0.25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 spans="1:38" ht="13.2" x14ac:dyDescent="0.25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 spans="1:38" ht="13.2" x14ac:dyDescent="0.25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spans="1:38" ht="13.2" x14ac:dyDescent="0.25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 spans="1:38" ht="13.2" x14ac:dyDescent="0.2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spans="1:38" ht="13.2" x14ac:dyDescent="0.25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 spans="1:38" ht="13.2" x14ac:dyDescent="0.25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 spans="1:38" ht="13.2" x14ac:dyDescent="0.25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 spans="1:38" ht="13.2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 spans="1:38" ht="13.2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  <row r="1011" spans="1:38" ht="13.2" x14ac:dyDescent="0.25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 spans="1:38" ht="13.2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</row>
    <row r="1013" spans="1:38" ht="13.2" x14ac:dyDescent="0.25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</row>
    <row r="1014" spans="1:38" ht="13.2" x14ac:dyDescent="0.25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</row>
    <row r="1015" spans="1:38" ht="13.2" x14ac:dyDescent="0.2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 spans="1:38" ht="13.2" x14ac:dyDescent="0.25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</row>
    <row r="1017" spans="1:38" ht="13.2" x14ac:dyDescent="0.25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 spans="1:38" ht="13.2" x14ac:dyDescent="0.25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</row>
    <row r="1019" spans="1:38" ht="13.2" x14ac:dyDescent="0.25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</row>
    <row r="1020" spans="1:38" ht="13.2" x14ac:dyDescent="0.25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</row>
    <row r="1021" spans="1:38" ht="13.2" x14ac:dyDescent="0.25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 spans="1:38" ht="13.2" x14ac:dyDescent="0.25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</row>
    <row r="1023" spans="1:38" ht="13.2" x14ac:dyDescent="0.25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 spans="1:38" ht="13.2" x14ac:dyDescent="0.25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</row>
    <row r="1025" spans="1:38" ht="13.2" x14ac:dyDescent="0.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</row>
    <row r="1026" spans="1:38" ht="13.2" x14ac:dyDescent="0.25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</row>
    <row r="1027" spans="1:38" ht="13.2" x14ac:dyDescent="0.25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 spans="1:38" ht="13.2" x14ac:dyDescent="0.25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</row>
    <row r="1029" spans="1:38" ht="13.2" x14ac:dyDescent="0.25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</row>
    <row r="1030" spans="1:38" ht="13.2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</row>
    <row r="1031" spans="1:38" ht="13.2" x14ac:dyDescent="0.25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</row>
    <row r="1032" spans="1:38" ht="13.2" x14ac:dyDescent="0.25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</row>
    <row r="1033" spans="1:38" ht="13.2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</row>
    <row r="1034" spans="1:38" ht="13.2" x14ac:dyDescent="0.25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</row>
    <row r="1035" spans="1:38" ht="13.2" x14ac:dyDescent="0.2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 spans="1:38" ht="13.2" x14ac:dyDescent="0.25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</row>
    <row r="1037" spans="1:38" ht="13.2" x14ac:dyDescent="0.25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</row>
    <row r="1038" spans="1:38" ht="13.2" x14ac:dyDescent="0.25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</row>
    <row r="1039" spans="1:38" ht="13.2" x14ac:dyDescent="0.25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 spans="1:38" ht="13.2" x14ac:dyDescent="0.25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</row>
    <row r="1041" spans="1:38" ht="13.2" x14ac:dyDescent="0.25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</row>
    <row r="1042" spans="1:38" ht="13.2" x14ac:dyDescent="0.25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</row>
    <row r="1043" spans="1:38" ht="13.2" x14ac:dyDescent="0.25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</row>
    <row r="1044" spans="1:38" ht="13.2" x14ac:dyDescent="0.25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</row>
    <row r="1045" spans="1:38" ht="13.2" x14ac:dyDescent="0.2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</row>
    <row r="1046" spans="1:38" ht="13.2" x14ac:dyDescent="0.25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</row>
    <row r="1047" spans="1:38" ht="13.2" x14ac:dyDescent="0.25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</row>
    <row r="1048" spans="1:38" ht="13.2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</row>
    <row r="1049" spans="1:38" ht="13.2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</row>
    <row r="1050" spans="1:38" ht="13.2" x14ac:dyDescent="0.25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</row>
    <row r="1051" spans="1:38" ht="13.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 spans="1:38" ht="13.2" x14ac:dyDescent="0.25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</row>
    <row r="1053" spans="1:38" ht="13.2" x14ac:dyDescent="0.25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</row>
    <row r="1054" spans="1:38" ht="13.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</row>
    <row r="1055" spans="1:38" ht="13.2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</row>
    <row r="1056" spans="1:38" ht="13.2" x14ac:dyDescent="0.25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</row>
    <row r="1057" spans="1:38" ht="13.2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</row>
    <row r="1058" spans="1:38" ht="13.2" x14ac:dyDescent="0.25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</row>
    <row r="1059" spans="1:38" ht="13.2" x14ac:dyDescent="0.25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 spans="1:38" ht="13.2" x14ac:dyDescent="0.25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</row>
    <row r="1061" spans="1:38" ht="13.2" x14ac:dyDescent="0.25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</row>
    <row r="1062" spans="1:38" ht="13.2" x14ac:dyDescent="0.25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</row>
    <row r="1063" spans="1:38" ht="13.2" x14ac:dyDescent="0.25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 spans="1:38" ht="13.2" x14ac:dyDescent="0.25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</row>
    <row r="1065" spans="1:38" ht="13.2" x14ac:dyDescent="0.2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</row>
    <row r="1066" spans="1:38" ht="13.2" x14ac:dyDescent="0.25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</row>
    <row r="1067" spans="1:38" ht="13.2" x14ac:dyDescent="0.25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</row>
    <row r="1068" spans="1:38" ht="13.2" x14ac:dyDescent="0.25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</row>
    <row r="1069" spans="1:38" ht="13.2" x14ac:dyDescent="0.25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</row>
    <row r="1070" spans="1:38" ht="13.2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</row>
    <row r="1071" spans="1:38" ht="13.2" x14ac:dyDescent="0.25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 spans="1:38" ht="13.2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</row>
    <row r="1073" spans="1:38" ht="13.2" x14ac:dyDescent="0.25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</row>
    <row r="1074" spans="1:38" ht="13.2" x14ac:dyDescent="0.25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</row>
    <row r="1075" spans="1:38" ht="13.2" x14ac:dyDescent="0.2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</row>
    <row r="1076" spans="1:38" ht="13.2" x14ac:dyDescent="0.25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</row>
    <row r="1077" spans="1:38" ht="13.2" x14ac:dyDescent="0.25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</row>
    <row r="1078" spans="1:38" ht="13.2" x14ac:dyDescent="0.25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</row>
    <row r="1079" spans="1:38" ht="13.2" x14ac:dyDescent="0.25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</row>
    <row r="1080" spans="1:38" ht="13.2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</row>
    <row r="1081" spans="1:38" ht="13.2" x14ac:dyDescent="0.2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</row>
    <row r="1082" spans="1:38" ht="13.2" x14ac:dyDescent="0.25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</row>
    <row r="1083" spans="1:38" ht="13.2" x14ac:dyDescent="0.2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</row>
    <row r="1084" spans="1:38" ht="13.2" x14ac:dyDescent="0.25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</row>
    <row r="1085" spans="1:38" ht="13.2" x14ac:dyDescent="0.2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</row>
    <row r="1086" spans="1:38" ht="13.2" x14ac:dyDescent="0.25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</row>
    <row r="1087" spans="1:38" ht="13.2" x14ac:dyDescent="0.25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</row>
    <row r="1088" spans="1:38" ht="13.2" x14ac:dyDescent="0.25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</row>
    <row r="1089" spans="1:38" ht="13.2" x14ac:dyDescent="0.25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</row>
    <row r="1090" spans="1:38" ht="13.2" x14ac:dyDescent="0.25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</row>
    <row r="1091" spans="1:38" ht="13.2" x14ac:dyDescent="0.25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</row>
    <row r="1092" spans="1:38" ht="13.2" x14ac:dyDescent="0.25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</row>
    <row r="1093" spans="1:38" ht="13.2" x14ac:dyDescent="0.25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</row>
    <row r="1094" spans="1:38" ht="13.2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</row>
    <row r="1095" spans="1:38" ht="13.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</row>
    <row r="1096" spans="1:38" ht="13.2" x14ac:dyDescent="0.25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</row>
    <row r="1097" spans="1:38" ht="13.2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</row>
    <row r="1098" spans="1:38" ht="13.2" x14ac:dyDescent="0.25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</row>
    <row r="1099" spans="1:38" ht="13.2" x14ac:dyDescent="0.25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</row>
    <row r="1100" spans="1:38" ht="13.2" x14ac:dyDescent="0.25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</row>
    <row r="1101" spans="1:38" ht="13.2" x14ac:dyDescent="0.25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</row>
    <row r="1102" spans="1:38" ht="13.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</row>
    <row r="1103" spans="1:38" ht="13.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</row>
    <row r="1104" spans="1:38" ht="13.2" x14ac:dyDescent="0.25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</row>
    <row r="1105" spans="1:38" ht="13.2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</row>
    <row r="1106" spans="1:38" ht="13.2" x14ac:dyDescent="0.25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</row>
    <row r="1107" spans="1:38" ht="13.2" x14ac:dyDescent="0.25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</row>
    <row r="1108" spans="1:38" ht="13.2" x14ac:dyDescent="0.25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</row>
    <row r="1109" spans="1:38" ht="13.2" x14ac:dyDescent="0.25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</row>
    <row r="1110" spans="1:38" ht="13.2" x14ac:dyDescent="0.25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</row>
    <row r="1111" spans="1:38" ht="13.2" x14ac:dyDescent="0.25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</row>
    <row r="1112" spans="1:38" ht="13.2" x14ac:dyDescent="0.25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</row>
    <row r="1113" spans="1:38" ht="13.2" x14ac:dyDescent="0.25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</row>
    <row r="1114" spans="1:38" ht="13.2" x14ac:dyDescent="0.25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</row>
    <row r="1115" spans="1:38" ht="13.2" x14ac:dyDescent="0.2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</row>
    <row r="1116" spans="1:38" ht="13.2" x14ac:dyDescent="0.25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</row>
    <row r="1117" spans="1:38" ht="13.2" x14ac:dyDescent="0.25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</row>
    <row r="1118" spans="1:38" ht="13.2" x14ac:dyDescent="0.25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</row>
    <row r="1119" spans="1:38" ht="13.2" x14ac:dyDescent="0.25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</row>
    <row r="1120" spans="1:38" ht="13.2" x14ac:dyDescent="0.25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</row>
    <row r="1121" spans="1:38" ht="13.2" x14ac:dyDescent="0.25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</row>
    <row r="1122" spans="1:38" ht="13.2" x14ac:dyDescent="0.25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</row>
    <row r="1123" spans="1:38" ht="13.2" x14ac:dyDescent="0.25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</row>
    <row r="1124" spans="1:38" ht="13.2" x14ac:dyDescent="0.25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</row>
    <row r="1125" spans="1:38" ht="13.2" x14ac:dyDescent="0.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</row>
    <row r="1126" spans="1:38" ht="13.2" x14ac:dyDescent="0.25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</row>
    <row r="1127" spans="1:38" ht="13.2" x14ac:dyDescent="0.25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</row>
    <row r="1128" spans="1:38" ht="13.2" x14ac:dyDescent="0.2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</row>
    <row r="1129" spans="1:38" ht="13.2" x14ac:dyDescent="0.2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</row>
    <row r="1130" spans="1:38" ht="13.2" x14ac:dyDescent="0.25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</row>
    <row r="1131" spans="1:38" ht="13.2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</row>
    <row r="1132" spans="1:38" ht="13.2" x14ac:dyDescent="0.25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</row>
    <row r="1133" spans="1:38" ht="13.2" x14ac:dyDescent="0.25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</row>
    <row r="1134" spans="1:38" ht="13.2" x14ac:dyDescent="0.25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</row>
    <row r="1135" spans="1:38" ht="13.2" x14ac:dyDescent="0.2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</row>
    <row r="1136" spans="1:38" ht="13.2" x14ac:dyDescent="0.25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</row>
    <row r="1137" spans="1:38" ht="13.2" x14ac:dyDescent="0.25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</row>
    <row r="1138" spans="1:38" ht="13.2" x14ac:dyDescent="0.25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</row>
    <row r="1139" spans="1:38" ht="13.2" x14ac:dyDescent="0.25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</row>
    <row r="1140" spans="1:38" ht="13.2" x14ac:dyDescent="0.25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</row>
    <row r="1141" spans="1:38" ht="13.2" x14ac:dyDescent="0.25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</row>
    <row r="1142" spans="1:38" ht="13.2" x14ac:dyDescent="0.25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</row>
    <row r="1143" spans="1:38" ht="13.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</row>
    <row r="1144" spans="1:38" ht="13.2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</row>
    <row r="1145" spans="1:38" ht="13.2" x14ac:dyDescent="0.2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</row>
    <row r="1146" spans="1:38" ht="13.2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</row>
    <row r="1147" spans="1:38" ht="13.2" x14ac:dyDescent="0.25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</row>
    <row r="1148" spans="1:38" ht="13.2" x14ac:dyDescent="0.25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</row>
    <row r="1149" spans="1:38" ht="13.2" x14ac:dyDescent="0.25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</row>
    <row r="1150" spans="1:38" ht="13.2" x14ac:dyDescent="0.25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</row>
    <row r="1151" spans="1:38" ht="13.2" x14ac:dyDescent="0.25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</row>
    <row r="1152" spans="1:38" ht="13.2" x14ac:dyDescent="0.25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</row>
    <row r="1153" spans="1:38" ht="13.2" x14ac:dyDescent="0.25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</row>
    <row r="1154" spans="1:38" ht="13.2" x14ac:dyDescent="0.25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</row>
    <row r="1155" spans="1:38" ht="13.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</row>
    <row r="1156" spans="1:38" ht="13.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</row>
    <row r="1157" spans="1:38" ht="13.2" x14ac:dyDescent="0.25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</row>
    <row r="1158" spans="1:38" ht="13.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</row>
    <row r="1159" spans="1:38" ht="13.2" x14ac:dyDescent="0.25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</row>
    <row r="1160" spans="1:38" ht="13.2" x14ac:dyDescent="0.25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</row>
    <row r="1161" spans="1:38" ht="13.2" x14ac:dyDescent="0.25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</row>
    <row r="1162" spans="1:38" ht="13.2" x14ac:dyDescent="0.25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</row>
    <row r="1163" spans="1:38" ht="13.2" x14ac:dyDescent="0.25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</row>
    <row r="1164" spans="1:38" ht="13.2" x14ac:dyDescent="0.25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</row>
    <row r="1165" spans="1:38" ht="13.2" x14ac:dyDescent="0.2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</row>
    <row r="1166" spans="1:38" ht="13.2" x14ac:dyDescent="0.2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</row>
    <row r="1167" spans="1:38" ht="13.2" x14ac:dyDescent="0.25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</row>
    <row r="1168" spans="1:38" ht="13.2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</row>
    <row r="1169" spans="1:38" ht="13.2" x14ac:dyDescent="0.25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</row>
    <row r="1170" spans="1:38" ht="13.2" x14ac:dyDescent="0.25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</row>
    <row r="1171" spans="1:38" ht="13.2" x14ac:dyDescent="0.25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</row>
    <row r="1172" spans="1:38" ht="13.2" x14ac:dyDescent="0.25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</row>
    <row r="1173" spans="1:38" ht="13.2" x14ac:dyDescent="0.25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</row>
    <row r="1174" spans="1:38" ht="13.2" x14ac:dyDescent="0.25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</row>
    <row r="1175" spans="1:38" ht="13.2" x14ac:dyDescent="0.2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</row>
    <row r="1176" spans="1:38" ht="13.2" x14ac:dyDescent="0.25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</row>
    <row r="1177" spans="1:38" ht="13.2" x14ac:dyDescent="0.25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</row>
    <row r="1178" spans="1:38" ht="13.2" x14ac:dyDescent="0.25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</row>
    <row r="1179" spans="1:38" ht="13.2" x14ac:dyDescent="0.25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</row>
    <row r="1180" spans="1:38" ht="13.2" x14ac:dyDescent="0.25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</row>
    <row r="1181" spans="1:38" ht="13.2" x14ac:dyDescent="0.25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</row>
    <row r="1182" spans="1:38" ht="13.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</row>
    <row r="1183" spans="1:38" ht="13.2" x14ac:dyDescent="0.25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</row>
    <row r="1184" spans="1:38" ht="13.2" x14ac:dyDescent="0.25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</row>
    <row r="1185" spans="1:38" ht="13.2" x14ac:dyDescent="0.2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</row>
    <row r="1186" spans="1:38" ht="13.2" x14ac:dyDescent="0.25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</row>
    <row r="1187" spans="1:38" ht="13.2" x14ac:dyDescent="0.25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</row>
    <row r="1188" spans="1:38" ht="13.2" x14ac:dyDescent="0.25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</row>
    <row r="1189" spans="1:38" ht="13.2" x14ac:dyDescent="0.25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</row>
    <row r="1190" spans="1:38" ht="13.2" x14ac:dyDescent="0.25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</row>
    <row r="1191" spans="1:38" ht="13.2" x14ac:dyDescent="0.25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</row>
    <row r="1192" spans="1:38" ht="13.2" x14ac:dyDescent="0.25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</row>
    <row r="1193" spans="1:38" ht="13.2" x14ac:dyDescent="0.25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</row>
    <row r="1194" spans="1:38" ht="13.2" x14ac:dyDescent="0.25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</row>
    <row r="1195" spans="1:38" ht="13.2" x14ac:dyDescent="0.2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</row>
    <row r="1196" spans="1:38" ht="13.2" x14ac:dyDescent="0.25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</row>
    <row r="1197" spans="1:38" ht="13.2" x14ac:dyDescent="0.25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</row>
    <row r="1198" spans="1:38" ht="13.2" x14ac:dyDescent="0.25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</row>
    <row r="1199" spans="1:38" ht="13.2" x14ac:dyDescent="0.25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</row>
    <row r="1200" spans="1:38" ht="13.2" x14ac:dyDescent="0.25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</row>
    <row r="1201" spans="1:38" ht="13.2" x14ac:dyDescent="0.25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</row>
    <row r="1202" spans="1:38" ht="13.2" x14ac:dyDescent="0.25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</row>
    <row r="1203" spans="1:38" ht="13.2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</row>
    <row r="1204" spans="1:38" ht="13.2" x14ac:dyDescent="0.2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</row>
    <row r="1205" spans="1:38" ht="13.2" x14ac:dyDescent="0.2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</row>
    <row r="1206" spans="1:38" ht="13.2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</row>
    <row r="1207" spans="1:38" ht="13.2" x14ac:dyDescent="0.25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</row>
    <row r="1208" spans="1:38" ht="13.2" x14ac:dyDescent="0.25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</row>
    <row r="1209" spans="1:38" ht="13.2" x14ac:dyDescent="0.25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</row>
    <row r="1210" spans="1:38" ht="13.2" x14ac:dyDescent="0.25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</row>
    <row r="1211" spans="1:38" ht="13.2" x14ac:dyDescent="0.25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</row>
    <row r="1212" spans="1:38" ht="13.2" x14ac:dyDescent="0.25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</row>
    <row r="1213" spans="1:38" ht="13.2" x14ac:dyDescent="0.25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</row>
    <row r="1214" spans="1:38" ht="13.2" x14ac:dyDescent="0.25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</row>
    <row r="1215" spans="1:38" ht="13.2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</row>
    <row r="1216" spans="1:38" ht="13.2" x14ac:dyDescent="0.25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</row>
    <row r="1217" spans="1:38" ht="13.2" x14ac:dyDescent="0.25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</row>
    <row r="1218" spans="1:38" ht="13.2" x14ac:dyDescent="0.25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</row>
    <row r="1219" spans="1:38" ht="13.2" x14ac:dyDescent="0.25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</row>
    <row r="1220" spans="1:38" ht="13.2" x14ac:dyDescent="0.25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</row>
    <row r="1221" spans="1:38" ht="13.2" x14ac:dyDescent="0.25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</row>
    <row r="1222" spans="1:38" ht="13.2" x14ac:dyDescent="0.25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</row>
    <row r="1223" spans="1:38" ht="13.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</row>
    <row r="1224" spans="1:38" ht="13.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</row>
    <row r="1225" spans="1:38" ht="13.2" x14ac:dyDescent="0.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</row>
    <row r="1226" spans="1:38" ht="13.2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</row>
    <row r="1227" spans="1:38" ht="13.2" x14ac:dyDescent="0.25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</row>
    <row r="1228" spans="1:38" ht="13.2" x14ac:dyDescent="0.25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</row>
    <row r="1229" spans="1:38" ht="13.2" x14ac:dyDescent="0.25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</row>
    <row r="1230" spans="1:38" ht="13.2" x14ac:dyDescent="0.25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</row>
    <row r="1231" spans="1:38" ht="13.2" x14ac:dyDescent="0.25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</row>
    <row r="1232" spans="1:38" ht="13.2" x14ac:dyDescent="0.25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</row>
    <row r="1233" spans="1:38" ht="13.2" x14ac:dyDescent="0.25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</row>
    <row r="1234" spans="1:38" ht="13.2" x14ac:dyDescent="0.2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</row>
    <row r="1235" spans="1:38" ht="13.2" x14ac:dyDescent="0.2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</row>
    <row r="1236" spans="1:38" ht="13.2" x14ac:dyDescent="0.25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</row>
    <row r="1237" spans="1:38" ht="13.2" x14ac:dyDescent="0.2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</row>
    <row r="1238" spans="1:38" ht="13.2" x14ac:dyDescent="0.25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</row>
    <row r="1239" spans="1:38" ht="13.2" x14ac:dyDescent="0.25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</row>
    <row r="1240" spans="1:38" ht="13.2" x14ac:dyDescent="0.25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</row>
    <row r="1241" spans="1:38" ht="13.2" x14ac:dyDescent="0.25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</row>
    <row r="1242" spans="1:38" ht="13.2" x14ac:dyDescent="0.25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</row>
    <row r="1243" spans="1:38" ht="13.2" x14ac:dyDescent="0.25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</row>
    <row r="1244" spans="1:38" ht="13.2" x14ac:dyDescent="0.25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</row>
    <row r="1245" spans="1:38" ht="13.2" x14ac:dyDescent="0.2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</row>
    <row r="1246" spans="1:38" ht="13.2" x14ac:dyDescent="0.25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</row>
    <row r="1247" spans="1:38" ht="13.2" x14ac:dyDescent="0.25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</row>
    <row r="1248" spans="1:38" ht="13.2" x14ac:dyDescent="0.25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</row>
    <row r="1249" spans="1:38" ht="13.2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</row>
    <row r="1250" spans="1:38" ht="13.2" x14ac:dyDescent="0.25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</row>
    <row r="1251" spans="1:38" ht="13.2" x14ac:dyDescent="0.25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</row>
    <row r="1252" spans="1:38" ht="13.2" x14ac:dyDescent="0.25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</row>
    <row r="1253" spans="1:38" ht="13.2" x14ac:dyDescent="0.25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</row>
    <row r="1254" spans="1:38" ht="13.2" x14ac:dyDescent="0.25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</row>
    <row r="1255" spans="1:38" ht="13.2" x14ac:dyDescent="0.2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</row>
    <row r="1256" spans="1:38" ht="13.2" x14ac:dyDescent="0.25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</row>
    <row r="1257" spans="1:38" ht="13.2" x14ac:dyDescent="0.25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</row>
    <row r="1258" spans="1:38" ht="13.2" x14ac:dyDescent="0.25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</row>
    <row r="1259" spans="1:38" ht="13.2" x14ac:dyDescent="0.25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</row>
    <row r="1260" spans="1:38" ht="13.2" x14ac:dyDescent="0.25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</row>
    <row r="1261" spans="1:38" ht="13.2" x14ac:dyDescent="0.2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</row>
    <row r="1262" spans="1:38" ht="13.2" x14ac:dyDescent="0.2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</row>
    <row r="1263" spans="1:38" ht="13.2" x14ac:dyDescent="0.25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</row>
    <row r="1264" spans="1:38" ht="13.2" x14ac:dyDescent="0.25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</row>
    <row r="1265" spans="1:38" ht="13.2" x14ac:dyDescent="0.2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</row>
    <row r="1266" spans="1:38" ht="13.2" x14ac:dyDescent="0.25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</row>
    <row r="1267" spans="1:38" ht="13.2" x14ac:dyDescent="0.25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</row>
    <row r="1268" spans="1:38" ht="13.2" x14ac:dyDescent="0.25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</row>
    <row r="1269" spans="1:38" ht="13.2" x14ac:dyDescent="0.25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</row>
    <row r="1270" spans="1:38" ht="13.2" x14ac:dyDescent="0.25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</row>
    <row r="1271" spans="1:38" ht="13.2" x14ac:dyDescent="0.25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</row>
    <row r="1272" spans="1:38" ht="13.2" x14ac:dyDescent="0.25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</row>
    <row r="1273" spans="1:38" ht="13.2" x14ac:dyDescent="0.25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</row>
    <row r="1274" spans="1:38" ht="13.2" x14ac:dyDescent="0.25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</row>
    <row r="1275" spans="1:38" ht="13.2" x14ac:dyDescent="0.2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</row>
    <row r="1276" spans="1:38" ht="13.2" x14ac:dyDescent="0.25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</row>
    <row r="1277" spans="1:38" ht="13.2" x14ac:dyDescent="0.25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</row>
    <row r="1278" spans="1:38" ht="13.2" x14ac:dyDescent="0.25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</row>
    <row r="1279" spans="1:38" ht="13.2" x14ac:dyDescent="0.25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</row>
    <row r="1280" spans="1:38" ht="13.2" x14ac:dyDescent="0.25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</row>
    <row r="1281" spans="1:38" ht="13.2" x14ac:dyDescent="0.25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</row>
    <row r="1282" spans="1:38" ht="13.2" x14ac:dyDescent="0.2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</row>
    <row r="1283" spans="1:38" ht="13.2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</row>
    <row r="1284" spans="1:38" ht="13.2" x14ac:dyDescent="0.25">
      <c r="A1284" s="12"/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</row>
    <row r="1285" spans="1:38" ht="13.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</row>
    <row r="1286" spans="1:38" ht="13.2" x14ac:dyDescent="0.25">
      <c r="A1286" s="12"/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</row>
    <row r="1287" spans="1:38" ht="13.2" x14ac:dyDescent="0.25">
      <c r="A1287" s="12"/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</row>
    <row r="1288" spans="1:38" ht="13.2" x14ac:dyDescent="0.25">
      <c r="A1288" s="12"/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</row>
    <row r="1289" spans="1:38" ht="13.2" x14ac:dyDescent="0.25">
      <c r="A1289" s="12"/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</row>
    <row r="1290" spans="1:38" ht="13.2" x14ac:dyDescent="0.25">
      <c r="A1290" s="12"/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</row>
    <row r="1291" spans="1:38" ht="13.2" x14ac:dyDescent="0.25">
      <c r="A1291" s="12"/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</row>
    <row r="1292" spans="1:38" ht="13.2" x14ac:dyDescent="0.25">
      <c r="A1292" s="12"/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</row>
    <row r="1293" spans="1:38" ht="13.2" x14ac:dyDescent="0.25">
      <c r="A1293" s="12"/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</row>
    <row r="1294" spans="1:38" ht="13.2" x14ac:dyDescent="0.25">
      <c r="A1294" s="12"/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</row>
    <row r="1295" spans="1:38" ht="13.2" x14ac:dyDescent="0.25">
      <c r="A1295" s="12"/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</row>
    <row r="1296" spans="1:38" ht="13.2" x14ac:dyDescent="0.25">
      <c r="A1296" s="12"/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</row>
    <row r="1297" spans="1:38" ht="13.2" x14ac:dyDescent="0.25">
      <c r="A1297" s="12"/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</row>
    <row r="1298" spans="1:38" ht="13.2" x14ac:dyDescent="0.25">
      <c r="A1298" s="12"/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</row>
    <row r="1299" spans="1:38" ht="13.2" x14ac:dyDescent="0.25">
      <c r="A1299" s="12"/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</row>
    <row r="1300" spans="1:38" ht="13.2" x14ac:dyDescent="0.25">
      <c r="A1300" s="12"/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</row>
    <row r="1301" spans="1:38" ht="13.2" x14ac:dyDescent="0.25">
      <c r="A1301" s="12"/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</row>
    <row r="1302" spans="1:38" ht="13.2" x14ac:dyDescent="0.25">
      <c r="A1302" s="12"/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</row>
    <row r="1303" spans="1:38" ht="13.2" x14ac:dyDescent="0.25">
      <c r="A1303" s="12"/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</row>
    <row r="1304" spans="1:38" ht="13.2" x14ac:dyDescent="0.25">
      <c r="A1304" s="12"/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</row>
    <row r="1305" spans="1:38" ht="13.2" x14ac:dyDescent="0.25">
      <c r="A1305" s="12"/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</row>
    <row r="1306" spans="1:38" ht="13.2" x14ac:dyDescent="0.25">
      <c r="A1306" s="12"/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</row>
    <row r="1307" spans="1:38" ht="13.2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</row>
    <row r="1308" spans="1:38" ht="13.2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</row>
    <row r="1309" spans="1:38" ht="13.2" x14ac:dyDescent="0.25">
      <c r="A1309" s="12"/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</row>
    <row r="1310" spans="1:38" ht="13.2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</row>
    <row r="1311" spans="1:38" ht="13.2" x14ac:dyDescent="0.25">
      <c r="A1311" s="12"/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</row>
    <row r="1312" spans="1:38" ht="13.2" x14ac:dyDescent="0.25">
      <c r="A1312" s="12"/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</row>
    <row r="1313" spans="1:38" ht="13.2" x14ac:dyDescent="0.25">
      <c r="A1313" s="12"/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</row>
    <row r="1314" spans="1:38" ht="13.2" x14ac:dyDescent="0.25">
      <c r="A1314" s="12"/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</row>
    <row r="1315" spans="1:38" ht="13.2" x14ac:dyDescent="0.25">
      <c r="A1315" s="12"/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</row>
    <row r="1316" spans="1:38" ht="13.2" x14ac:dyDescent="0.25">
      <c r="A1316" s="12"/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</row>
    <row r="1317" spans="1:38" ht="13.2" x14ac:dyDescent="0.25">
      <c r="A1317" s="12"/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</row>
    <row r="1318" spans="1:38" ht="13.2" x14ac:dyDescent="0.25">
      <c r="A1318" s="12"/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</row>
    <row r="1319" spans="1:38" ht="13.2" x14ac:dyDescent="0.25">
      <c r="A1319" s="12"/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</row>
    <row r="1320" spans="1:38" ht="13.2" x14ac:dyDescent="0.25">
      <c r="A1320" s="12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</row>
    <row r="1321" spans="1:38" ht="13.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</row>
    <row r="1322" spans="1:38" ht="13.2" x14ac:dyDescent="0.25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</row>
    <row r="1323" spans="1:38" ht="13.2" x14ac:dyDescent="0.25">
      <c r="A1323" s="12"/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</row>
    <row r="1324" spans="1:38" ht="13.2" x14ac:dyDescent="0.25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</row>
    <row r="1325" spans="1:38" ht="13.2" x14ac:dyDescent="0.25">
      <c r="A1325" s="12"/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</row>
    <row r="1326" spans="1:38" ht="13.2" x14ac:dyDescent="0.25">
      <c r="A1326" s="12"/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</row>
    <row r="1327" spans="1:38" ht="13.2" x14ac:dyDescent="0.25">
      <c r="A1327" s="12"/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</row>
    <row r="1328" spans="1:38" ht="13.2" x14ac:dyDescent="0.25">
      <c r="A1328" s="12"/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</row>
    <row r="1329" spans="1:38" ht="13.2" x14ac:dyDescent="0.25">
      <c r="A1329" s="12"/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</row>
    <row r="1330" spans="1:38" ht="13.2" x14ac:dyDescent="0.25">
      <c r="A1330" s="12"/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</row>
    <row r="1331" spans="1:38" ht="13.2" x14ac:dyDescent="0.25">
      <c r="A1331" s="12"/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</row>
    <row r="1332" spans="1:38" ht="13.2" x14ac:dyDescent="0.2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</row>
    <row r="1333" spans="1:38" ht="13.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</row>
    <row r="1334" spans="1:38" ht="13.2" x14ac:dyDescent="0.25">
      <c r="A1334" s="12"/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</row>
    <row r="1335" spans="1:38" ht="13.2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</row>
    <row r="1336" spans="1:38" ht="13.2" x14ac:dyDescent="0.25">
      <c r="A1336" s="12"/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</row>
    <row r="1337" spans="1:38" ht="13.2" x14ac:dyDescent="0.25">
      <c r="A1337" s="12"/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</row>
    <row r="1338" spans="1:38" ht="13.2" x14ac:dyDescent="0.25">
      <c r="A1338" s="12"/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</row>
    <row r="1339" spans="1:38" ht="13.2" x14ac:dyDescent="0.25">
      <c r="A1339" s="12"/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</row>
    <row r="1340" spans="1:38" ht="13.2" x14ac:dyDescent="0.25">
      <c r="A1340" s="12"/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</row>
    <row r="1341" spans="1:38" ht="13.2" x14ac:dyDescent="0.25">
      <c r="A1341" s="12"/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</row>
    <row r="1342" spans="1:38" ht="13.2" x14ac:dyDescent="0.25">
      <c r="A1342" s="12"/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</row>
    <row r="1343" spans="1:38" ht="13.2" x14ac:dyDescent="0.25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</row>
    <row r="1344" spans="1:38" ht="13.2" x14ac:dyDescent="0.25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</row>
    <row r="1345" spans="1:38" ht="13.2" x14ac:dyDescent="0.25">
      <c r="A1345" s="12"/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</row>
    <row r="1346" spans="1:38" ht="13.2" x14ac:dyDescent="0.25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</row>
    <row r="1347" spans="1:38" ht="13.2" x14ac:dyDescent="0.25">
      <c r="A1347" s="12"/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</row>
    <row r="1348" spans="1:38" ht="13.2" x14ac:dyDescent="0.25">
      <c r="A1348" s="12"/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</row>
    <row r="1349" spans="1:38" ht="13.2" x14ac:dyDescent="0.25">
      <c r="A1349" s="12"/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</row>
    <row r="1350" spans="1:38" ht="13.2" x14ac:dyDescent="0.25">
      <c r="A1350" s="12"/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</row>
    <row r="1351" spans="1:38" ht="13.2" x14ac:dyDescent="0.25">
      <c r="A1351" s="12"/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</row>
    <row r="1352" spans="1:38" ht="13.2" x14ac:dyDescent="0.25">
      <c r="A1352" s="12"/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</row>
    <row r="1353" spans="1:38" ht="13.2" x14ac:dyDescent="0.25">
      <c r="A1353" s="12"/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</row>
    <row r="1354" spans="1:38" ht="13.2" x14ac:dyDescent="0.25">
      <c r="A1354" s="12"/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</row>
    <row r="1355" spans="1:38" ht="13.2" x14ac:dyDescent="0.25">
      <c r="A1355" s="12"/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</row>
    <row r="1356" spans="1:38" ht="13.2" x14ac:dyDescent="0.25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</row>
    <row r="1357" spans="1:38" ht="13.2" x14ac:dyDescent="0.25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</row>
    <row r="1358" spans="1:38" ht="13.2" x14ac:dyDescent="0.25">
      <c r="A1358" s="12"/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</row>
    <row r="1359" spans="1:38" ht="13.2" x14ac:dyDescent="0.25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</row>
    <row r="1360" spans="1:38" ht="13.2" x14ac:dyDescent="0.25">
      <c r="A1360" s="12"/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</row>
    <row r="1361" spans="1:38" ht="13.2" x14ac:dyDescent="0.25">
      <c r="A1361" s="12"/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</row>
    <row r="1362" spans="1:38" ht="13.2" x14ac:dyDescent="0.25">
      <c r="A1362" s="12"/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</row>
    <row r="1363" spans="1:38" ht="13.2" x14ac:dyDescent="0.25">
      <c r="A1363" s="12"/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</row>
    <row r="1364" spans="1:38" ht="13.2" x14ac:dyDescent="0.25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</row>
    <row r="1365" spans="1:38" ht="13.2" x14ac:dyDescent="0.25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</row>
    <row r="1366" spans="1:38" ht="13.2" x14ac:dyDescent="0.25">
      <c r="A1366" s="12"/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</row>
    <row r="1367" spans="1:38" ht="13.2" x14ac:dyDescent="0.25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</row>
    <row r="1368" spans="1:38" ht="13.2" x14ac:dyDescent="0.25">
      <c r="A1368" s="12"/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</row>
    <row r="1369" spans="1:38" ht="13.2" x14ac:dyDescent="0.25">
      <c r="A1369" s="12"/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</row>
    <row r="1370" spans="1:38" ht="13.2" x14ac:dyDescent="0.25">
      <c r="A1370" s="12"/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</row>
    <row r="1371" spans="1:38" ht="13.2" x14ac:dyDescent="0.25">
      <c r="A1371" s="12"/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</row>
    <row r="1372" spans="1:38" ht="13.2" x14ac:dyDescent="0.25">
      <c r="A1372" s="12"/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</row>
    <row r="1373" spans="1:38" ht="13.2" x14ac:dyDescent="0.25">
      <c r="A1373" s="12"/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</row>
    <row r="1374" spans="1:38" ht="13.2" x14ac:dyDescent="0.25">
      <c r="A1374" s="12"/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</row>
    <row r="1375" spans="1:38" ht="13.2" x14ac:dyDescent="0.25">
      <c r="A1375" s="12"/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</row>
    <row r="1376" spans="1:38" ht="13.2" x14ac:dyDescent="0.25">
      <c r="A1376" s="12"/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</row>
    <row r="1377" spans="1:38" ht="13.2" x14ac:dyDescent="0.25">
      <c r="A1377" s="12"/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</row>
    <row r="1378" spans="1:38" ht="13.2" x14ac:dyDescent="0.25">
      <c r="A1378" s="12"/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</row>
    <row r="1379" spans="1:38" ht="13.2" x14ac:dyDescent="0.25">
      <c r="A1379" s="12"/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</row>
    <row r="1380" spans="1:38" ht="13.2" x14ac:dyDescent="0.25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</row>
    <row r="1381" spans="1:38" ht="13.2" x14ac:dyDescent="0.25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</row>
    <row r="1382" spans="1:38" ht="13.2" x14ac:dyDescent="0.25">
      <c r="A1382" s="12"/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</row>
    <row r="1383" spans="1:38" ht="13.2" x14ac:dyDescent="0.25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</row>
    <row r="1384" spans="1:38" ht="13.2" x14ac:dyDescent="0.25">
      <c r="A1384" s="12"/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</row>
    <row r="1385" spans="1:38" ht="13.2" x14ac:dyDescent="0.25">
      <c r="A1385" s="12"/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</row>
    <row r="1386" spans="1:38" ht="13.2" x14ac:dyDescent="0.25">
      <c r="A1386" s="12"/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</row>
    <row r="1387" spans="1:38" ht="13.2" x14ac:dyDescent="0.25">
      <c r="A1387" s="12"/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</row>
    <row r="1388" spans="1:38" ht="13.2" x14ac:dyDescent="0.25">
      <c r="A1388" s="12"/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</row>
    <row r="1389" spans="1:38" ht="13.2" x14ac:dyDescent="0.25">
      <c r="A1389" s="12"/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</row>
    <row r="1390" spans="1:38" ht="13.2" x14ac:dyDescent="0.25">
      <c r="A1390" s="12"/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</row>
    <row r="1391" spans="1:38" ht="13.2" x14ac:dyDescent="0.25">
      <c r="A1391" s="12"/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</row>
    <row r="1392" spans="1:38" ht="13.2" x14ac:dyDescent="0.25">
      <c r="A1392" s="12"/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</row>
    <row r="1393" spans="1:38" ht="13.2" x14ac:dyDescent="0.25">
      <c r="A1393" s="12"/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</row>
    <row r="1394" spans="1:38" ht="13.2" x14ac:dyDescent="0.25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</row>
    <row r="1395" spans="1:38" ht="13.2" x14ac:dyDescent="0.25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</row>
    <row r="1396" spans="1:38" ht="13.2" x14ac:dyDescent="0.25">
      <c r="A1396" s="12"/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</row>
    <row r="1397" spans="1:38" ht="13.2" x14ac:dyDescent="0.25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</row>
    <row r="1398" spans="1:38" ht="13.2" x14ac:dyDescent="0.25">
      <c r="A1398" s="12"/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</row>
    <row r="1399" spans="1:38" ht="13.2" x14ac:dyDescent="0.25">
      <c r="A1399" s="12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</row>
    <row r="1400" spans="1:38" ht="13.2" x14ac:dyDescent="0.25">
      <c r="A1400" s="12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</row>
    <row r="1401" spans="1:38" ht="13.2" x14ac:dyDescent="0.25">
      <c r="A1401" s="12"/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</row>
    <row r="1402" spans="1:38" ht="13.2" x14ac:dyDescent="0.25">
      <c r="A1402" s="12"/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</row>
    <row r="1403" spans="1:38" ht="13.2" x14ac:dyDescent="0.25">
      <c r="A1403" s="12"/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</row>
    <row r="1404" spans="1:38" ht="13.2" x14ac:dyDescent="0.25">
      <c r="A1404" s="12"/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</row>
    <row r="1405" spans="1:38" ht="13.2" x14ac:dyDescent="0.25">
      <c r="A1405" s="12"/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</row>
    <row r="1406" spans="1:38" ht="13.2" x14ac:dyDescent="0.25">
      <c r="A1406" s="12"/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</row>
    <row r="1407" spans="1:38" ht="13.2" x14ac:dyDescent="0.25">
      <c r="A1407" s="12"/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</row>
    <row r="1408" spans="1:38" ht="13.2" x14ac:dyDescent="0.25">
      <c r="A1408" s="12"/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</row>
    <row r="1409" spans="1:38" ht="13.2" x14ac:dyDescent="0.25">
      <c r="A1409" s="12"/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</row>
    <row r="1410" spans="1:38" ht="13.2" x14ac:dyDescent="0.25">
      <c r="A1410" s="12"/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</row>
    <row r="1411" spans="1:38" ht="13.2" x14ac:dyDescent="0.2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</row>
    <row r="1412" spans="1:38" ht="13.2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</row>
    <row r="1413" spans="1:38" ht="13.2" x14ac:dyDescent="0.25">
      <c r="A1413" s="12"/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</row>
    <row r="1414" spans="1:38" ht="13.2" x14ac:dyDescent="0.2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</row>
    <row r="1415" spans="1:38" ht="13.2" x14ac:dyDescent="0.25">
      <c r="A1415" s="12"/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</row>
    <row r="1416" spans="1:38" ht="13.2" x14ac:dyDescent="0.25">
      <c r="A1416" s="12"/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</row>
    <row r="1417" spans="1:38" ht="13.2" x14ac:dyDescent="0.25">
      <c r="A1417" s="12"/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</row>
    <row r="1418" spans="1:38" ht="13.2" x14ac:dyDescent="0.25">
      <c r="A1418" s="12"/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</row>
    <row r="1419" spans="1:38" ht="13.2" x14ac:dyDescent="0.25">
      <c r="A1419" s="12"/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</row>
    <row r="1420" spans="1:38" ht="13.2" x14ac:dyDescent="0.25">
      <c r="A1420" s="12"/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</row>
    <row r="1421" spans="1:38" ht="13.2" x14ac:dyDescent="0.25">
      <c r="A1421" s="12"/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</row>
    <row r="1422" spans="1:38" ht="13.2" x14ac:dyDescent="0.25">
      <c r="A1422" s="12"/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</row>
    <row r="1423" spans="1:38" ht="13.2" x14ac:dyDescent="0.25">
      <c r="A1423" s="12"/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</row>
    <row r="1424" spans="1:38" ht="13.2" x14ac:dyDescent="0.25">
      <c r="A1424" s="12"/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</row>
    <row r="1425" spans="1:38" ht="13.2" x14ac:dyDescent="0.25">
      <c r="A1425" s="12"/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</row>
    <row r="1426" spans="1:38" ht="13.2" x14ac:dyDescent="0.25">
      <c r="A1426" s="12"/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</row>
    <row r="1427" spans="1:38" ht="13.2" x14ac:dyDescent="0.25">
      <c r="A1427" s="12"/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</row>
    <row r="1428" spans="1:38" ht="13.2" x14ac:dyDescent="0.25">
      <c r="A1428" s="12"/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</row>
    <row r="1429" spans="1:38" ht="13.2" x14ac:dyDescent="0.25">
      <c r="A1429" s="12"/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</row>
    <row r="1430" spans="1:38" ht="13.2" x14ac:dyDescent="0.25">
      <c r="A1430" s="12"/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</row>
    <row r="1431" spans="1:38" ht="13.2" x14ac:dyDescent="0.25">
      <c r="A1431" s="12"/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</row>
    <row r="1432" spans="1:38" ht="13.2" x14ac:dyDescent="0.25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</row>
    <row r="1433" spans="1:38" ht="13.2" x14ac:dyDescent="0.25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</row>
    <row r="1434" spans="1:38" ht="13.2" x14ac:dyDescent="0.25">
      <c r="A1434" s="12"/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</row>
    <row r="1435" spans="1:38" ht="13.2" x14ac:dyDescent="0.25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</row>
    <row r="1436" spans="1:38" ht="13.2" x14ac:dyDescent="0.25">
      <c r="A1436" s="12"/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</row>
    <row r="1437" spans="1:38" ht="13.2" x14ac:dyDescent="0.25">
      <c r="A1437" s="12"/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</row>
    <row r="1438" spans="1:38" ht="13.2" x14ac:dyDescent="0.25">
      <c r="A1438" s="12"/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</row>
    <row r="1439" spans="1:38" ht="13.2" x14ac:dyDescent="0.25">
      <c r="A1439" s="12"/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</row>
    <row r="1440" spans="1:38" ht="13.2" x14ac:dyDescent="0.25">
      <c r="A1440" s="12"/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</row>
    <row r="1441" spans="1:38" ht="13.2" x14ac:dyDescent="0.25">
      <c r="A1441" s="12"/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</row>
    <row r="1442" spans="1:38" ht="13.2" x14ac:dyDescent="0.25">
      <c r="A1442" s="12"/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</row>
    <row r="1443" spans="1:38" ht="13.2" x14ac:dyDescent="0.25">
      <c r="A1443" s="12"/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</row>
    <row r="1444" spans="1:38" ht="13.2" x14ac:dyDescent="0.25">
      <c r="A1444" s="1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</row>
    <row r="1445" spans="1:38" ht="13.2" x14ac:dyDescent="0.25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</row>
    <row r="1446" spans="1:38" ht="13.2" x14ac:dyDescent="0.25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</row>
    <row r="1447" spans="1:38" ht="13.2" x14ac:dyDescent="0.25">
      <c r="A1447" s="1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</row>
    <row r="1448" spans="1:38" ht="13.2" x14ac:dyDescent="0.25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</row>
    <row r="1449" spans="1:38" ht="13.2" x14ac:dyDescent="0.25">
      <c r="A1449" s="1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</row>
    <row r="1450" spans="1:38" ht="13.2" x14ac:dyDescent="0.25">
      <c r="A1450" s="12"/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</row>
    <row r="1451" spans="1:38" ht="13.2" x14ac:dyDescent="0.25">
      <c r="A1451" s="1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</row>
    <row r="1452" spans="1:38" ht="13.2" x14ac:dyDescent="0.25">
      <c r="A1452" s="1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</row>
    <row r="1453" spans="1:38" ht="13.2" x14ac:dyDescent="0.25">
      <c r="A1453" s="1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</row>
    <row r="1454" spans="1:38" ht="13.2" x14ac:dyDescent="0.25">
      <c r="A1454" s="1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</row>
    <row r="1455" spans="1:38" ht="13.2" x14ac:dyDescent="0.25">
      <c r="A1455" s="12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</row>
    <row r="1456" spans="1:38" ht="13.2" x14ac:dyDescent="0.25">
      <c r="A1456" s="1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</row>
    <row r="1457" spans="1:38" ht="13.2" x14ac:dyDescent="0.25">
      <c r="A1457" s="12"/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</row>
    <row r="1458" spans="1:38" ht="13.2" x14ac:dyDescent="0.25">
      <c r="A1458" s="12"/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</row>
    <row r="1459" spans="1:38" ht="13.2" x14ac:dyDescent="0.25">
      <c r="A1459" s="12"/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</row>
    <row r="1460" spans="1:38" ht="13.2" x14ac:dyDescent="0.25">
      <c r="A1460" s="12"/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</row>
    <row r="1461" spans="1:38" ht="13.2" x14ac:dyDescent="0.25">
      <c r="A1461" s="12"/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</row>
    <row r="1462" spans="1:38" ht="13.2" x14ac:dyDescent="0.25">
      <c r="A1462" s="12"/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</row>
    <row r="1463" spans="1:38" ht="13.2" x14ac:dyDescent="0.25">
      <c r="A1463" s="12"/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</row>
    <row r="1464" spans="1:38" ht="13.2" x14ac:dyDescent="0.25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</row>
    <row r="1465" spans="1:38" ht="13.2" x14ac:dyDescent="0.25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</row>
    <row r="1466" spans="1:38" ht="13.2" x14ac:dyDescent="0.25">
      <c r="A1466" s="12"/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</row>
    <row r="1467" spans="1:38" ht="13.2" x14ac:dyDescent="0.25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</row>
    <row r="1468" spans="1:38" ht="13.2" x14ac:dyDescent="0.25">
      <c r="A1468" s="12"/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</row>
    <row r="1469" spans="1:38" ht="13.2" x14ac:dyDescent="0.25">
      <c r="A1469" s="12"/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</row>
    <row r="1470" spans="1:38" ht="13.2" x14ac:dyDescent="0.25">
      <c r="A1470" s="12"/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</row>
    <row r="1471" spans="1:38" ht="13.2" x14ac:dyDescent="0.25">
      <c r="A1471" s="12"/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</row>
    <row r="1472" spans="1:38" ht="13.2" x14ac:dyDescent="0.25">
      <c r="A1472" s="12"/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</row>
    <row r="1473" spans="1:38" ht="13.2" x14ac:dyDescent="0.25">
      <c r="A1473" s="12"/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</row>
    <row r="1474" spans="1:38" ht="13.2" x14ac:dyDescent="0.25">
      <c r="A1474" s="12"/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</row>
    <row r="1475" spans="1:38" ht="13.2" x14ac:dyDescent="0.25">
      <c r="A1475" s="12"/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</row>
    <row r="1476" spans="1:38" ht="13.2" x14ac:dyDescent="0.25">
      <c r="A1476" s="12"/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</row>
    <row r="1477" spans="1:38" ht="13.2" x14ac:dyDescent="0.25">
      <c r="A1477" s="12"/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</row>
    <row r="1478" spans="1:38" ht="13.2" x14ac:dyDescent="0.25">
      <c r="A1478" s="1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</row>
    <row r="1479" spans="1:38" ht="13.2" x14ac:dyDescent="0.25">
      <c r="A1479" s="1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</row>
    <row r="1480" spans="1:38" ht="13.2" x14ac:dyDescent="0.25">
      <c r="A1480" s="1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</row>
    <row r="1481" spans="1:38" ht="13.2" x14ac:dyDescent="0.25">
      <c r="A1481" s="1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</row>
    <row r="1482" spans="1:38" ht="13.2" x14ac:dyDescent="0.25">
      <c r="A1482" s="1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</row>
    <row r="1483" spans="1:38" ht="13.2" x14ac:dyDescent="0.25">
      <c r="A1483" s="12"/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</row>
    <row r="1484" spans="1:38" ht="13.2" x14ac:dyDescent="0.25">
      <c r="A1484" s="1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</row>
    <row r="1485" spans="1:38" ht="13.2" x14ac:dyDescent="0.25">
      <c r="A1485" s="1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</row>
    <row r="1486" spans="1:38" ht="13.2" x14ac:dyDescent="0.25">
      <c r="A1486" s="1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</row>
    <row r="1487" spans="1:38" ht="13.2" x14ac:dyDescent="0.25">
      <c r="A1487" s="12"/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</row>
    <row r="1488" spans="1:38" ht="13.2" x14ac:dyDescent="0.25">
      <c r="A1488" s="12"/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</row>
    <row r="1489" spans="1:38" ht="13.2" x14ac:dyDescent="0.25">
      <c r="A1489" s="12"/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</row>
    <row r="1490" spans="1:38" ht="13.2" x14ac:dyDescent="0.25">
      <c r="A1490" s="12"/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</row>
    <row r="1491" spans="1:38" ht="13.2" x14ac:dyDescent="0.25">
      <c r="A1491" s="12"/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</row>
    <row r="1492" spans="1:38" ht="13.2" x14ac:dyDescent="0.25">
      <c r="A1492" s="12"/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</row>
    <row r="1493" spans="1:38" ht="13.2" x14ac:dyDescent="0.25">
      <c r="A1493" s="12"/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</row>
    <row r="1494" spans="1:38" ht="13.2" x14ac:dyDescent="0.25">
      <c r="A1494" s="12"/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</row>
    <row r="1495" spans="1:38" ht="13.2" x14ac:dyDescent="0.25">
      <c r="A1495" s="12"/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</row>
    <row r="1496" spans="1:38" ht="13.2" x14ac:dyDescent="0.25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</row>
    <row r="1497" spans="1:38" ht="13.2" x14ac:dyDescent="0.25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</row>
    <row r="1498" spans="1:38" ht="13.2" x14ac:dyDescent="0.25">
      <c r="A1498" s="12"/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</row>
    <row r="1499" spans="1:38" ht="13.2" x14ac:dyDescent="0.25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</row>
    <row r="1500" spans="1:38" ht="13.2" x14ac:dyDescent="0.25">
      <c r="A1500" s="12"/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</row>
    <row r="1501" spans="1:38" ht="13.2" x14ac:dyDescent="0.25">
      <c r="A1501" s="12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</row>
    <row r="1502" spans="1:38" ht="13.2" x14ac:dyDescent="0.25">
      <c r="A1502" s="12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</row>
    <row r="1503" spans="1:38" ht="13.2" x14ac:dyDescent="0.25">
      <c r="A1503" s="12"/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</row>
    <row r="1504" spans="1:38" ht="13.2" x14ac:dyDescent="0.25">
      <c r="A1504" s="12"/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</row>
    <row r="1505" spans="1:38" ht="13.2" x14ac:dyDescent="0.25">
      <c r="A1505" s="12"/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</row>
    <row r="1506" spans="1:38" ht="13.2" x14ac:dyDescent="0.25">
      <c r="A1506" s="12"/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</row>
    <row r="1507" spans="1:38" ht="13.2" x14ac:dyDescent="0.25">
      <c r="A1507" s="12"/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</row>
    <row r="1508" spans="1:38" ht="13.2" x14ac:dyDescent="0.25">
      <c r="A1508" s="1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</row>
    <row r="1509" spans="1:38" ht="13.2" x14ac:dyDescent="0.25">
      <c r="A1509" s="1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</row>
    <row r="1510" spans="1:38" ht="13.2" x14ac:dyDescent="0.25">
      <c r="A1510" s="1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</row>
    <row r="1511" spans="1:38" ht="13.2" x14ac:dyDescent="0.25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</row>
    <row r="1512" spans="1:38" ht="13.2" x14ac:dyDescent="0.25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</row>
    <row r="1513" spans="1:38" ht="13.2" x14ac:dyDescent="0.25">
      <c r="A1513" s="1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</row>
    <row r="1514" spans="1:38" ht="13.2" x14ac:dyDescent="0.25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</row>
    <row r="1515" spans="1:38" ht="13.2" x14ac:dyDescent="0.25">
      <c r="A1515" s="1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</row>
    <row r="1516" spans="1:38" ht="13.2" x14ac:dyDescent="0.25">
      <c r="A1516" s="1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</row>
    <row r="1517" spans="1:38" ht="13.2" x14ac:dyDescent="0.25">
      <c r="A1517" s="12"/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</row>
    <row r="1518" spans="1:38" ht="13.2" x14ac:dyDescent="0.25">
      <c r="A1518" s="12"/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</row>
    <row r="1519" spans="1:38" ht="13.2" x14ac:dyDescent="0.25">
      <c r="A1519" s="12"/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</row>
    <row r="1520" spans="1:38" ht="13.2" x14ac:dyDescent="0.25">
      <c r="A1520" s="12"/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</row>
    <row r="1521" spans="1:38" ht="13.2" x14ac:dyDescent="0.25">
      <c r="A1521" s="12"/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</row>
    <row r="1522" spans="1:38" ht="13.2" x14ac:dyDescent="0.25">
      <c r="A1522" s="12"/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</row>
    <row r="1523" spans="1:38" ht="13.2" x14ac:dyDescent="0.25">
      <c r="A1523" s="12"/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</row>
    <row r="1524" spans="1:38" ht="13.2" x14ac:dyDescent="0.25">
      <c r="A1524" s="12"/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</row>
    <row r="1525" spans="1:38" ht="13.2" x14ac:dyDescent="0.25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</row>
    <row r="1526" spans="1:38" ht="13.2" x14ac:dyDescent="0.25">
      <c r="A1526" s="12"/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</row>
    <row r="1527" spans="1:38" ht="13.2" x14ac:dyDescent="0.25">
      <c r="A1527" s="12"/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</row>
    <row r="1528" spans="1:38" ht="13.2" x14ac:dyDescent="0.25">
      <c r="A1528" s="12"/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</row>
    <row r="1529" spans="1:38" ht="13.2" x14ac:dyDescent="0.25">
      <c r="A1529" s="12"/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</row>
    <row r="1530" spans="1:38" ht="13.2" x14ac:dyDescent="0.25">
      <c r="A1530" s="12"/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</row>
    <row r="1531" spans="1:38" ht="13.2" x14ac:dyDescent="0.25">
      <c r="A1531" s="12"/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</row>
    <row r="1532" spans="1:38" ht="13.2" x14ac:dyDescent="0.25">
      <c r="A1532" s="12"/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</row>
    <row r="1533" spans="1:38" ht="13.2" x14ac:dyDescent="0.25">
      <c r="A1533" s="12"/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</row>
    <row r="1534" spans="1:38" ht="13.2" x14ac:dyDescent="0.25">
      <c r="A1534" s="12"/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</row>
    <row r="1535" spans="1:38" ht="13.2" x14ac:dyDescent="0.25">
      <c r="A1535" s="12"/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</row>
    <row r="1536" spans="1:38" ht="13.2" x14ac:dyDescent="0.25">
      <c r="A1536" s="12"/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</row>
    <row r="1537" spans="1:38" ht="13.2" x14ac:dyDescent="0.25">
      <c r="A1537" s="12"/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</row>
    <row r="1538" spans="1:38" ht="13.2" x14ac:dyDescent="0.25">
      <c r="A1538" s="1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</row>
    <row r="1539" spans="1:38" ht="13.2" x14ac:dyDescent="0.25">
      <c r="A1539" s="1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</row>
    <row r="1540" spans="1:38" ht="13.2" x14ac:dyDescent="0.25">
      <c r="A1540" s="1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</row>
    <row r="1541" spans="1:38" ht="13.2" x14ac:dyDescent="0.25">
      <c r="A1541" s="1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</row>
    <row r="1542" spans="1:38" ht="13.2" x14ac:dyDescent="0.25">
      <c r="A1542" s="1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</row>
    <row r="1543" spans="1:38" ht="13.2" x14ac:dyDescent="0.25">
      <c r="A1543" s="12"/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</row>
    <row r="1544" spans="1:38" ht="13.2" x14ac:dyDescent="0.25">
      <c r="A1544" s="1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</row>
    <row r="1545" spans="1:38" ht="13.2" x14ac:dyDescent="0.25">
      <c r="A1545" s="1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</row>
    <row r="1546" spans="1:38" ht="13.2" x14ac:dyDescent="0.25">
      <c r="A1546" s="1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</row>
    <row r="1547" spans="1:38" ht="13.2" x14ac:dyDescent="0.25">
      <c r="A1547" s="12"/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</row>
    <row r="1548" spans="1:38" ht="13.2" x14ac:dyDescent="0.25">
      <c r="A1548" s="12"/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</row>
    <row r="1549" spans="1:38" ht="13.2" x14ac:dyDescent="0.25">
      <c r="A1549" s="12"/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</row>
    <row r="1550" spans="1:38" ht="13.2" x14ac:dyDescent="0.25">
      <c r="A1550" s="12"/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</row>
    <row r="1551" spans="1:38" ht="13.2" x14ac:dyDescent="0.25">
      <c r="A1551" s="12"/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</row>
    <row r="1552" spans="1:38" ht="13.2" x14ac:dyDescent="0.25">
      <c r="A1552" s="12"/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</row>
    <row r="1553" spans="1:38" ht="13.2" x14ac:dyDescent="0.25">
      <c r="A1553" s="12"/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</row>
    <row r="1554" spans="1:38" ht="13.2" x14ac:dyDescent="0.25">
      <c r="A1554" s="12"/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</row>
    <row r="1555" spans="1:38" ht="13.2" x14ac:dyDescent="0.25">
      <c r="A1555" s="12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</row>
    <row r="1556" spans="1:38" ht="13.2" x14ac:dyDescent="0.25">
      <c r="A1556" s="12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</row>
    <row r="1557" spans="1:38" ht="13.2" x14ac:dyDescent="0.25">
      <c r="A1557" s="12"/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</row>
    <row r="1558" spans="1:38" ht="13.2" x14ac:dyDescent="0.25">
      <c r="A1558" s="12"/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</row>
    <row r="1559" spans="1:38" ht="13.2" x14ac:dyDescent="0.25">
      <c r="A1559" s="12"/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</row>
    <row r="1560" spans="1:38" ht="13.2" x14ac:dyDescent="0.25">
      <c r="A1560" s="12"/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</row>
    <row r="1561" spans="1:38" ht="13.2" x14ac:dyDescent="0.25">
      <c r="A1561" s="12"/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</row>
    <row r="1562" spans="1:38" ht="13.2" x14ac:dyDescent="0.25">
      <c r="A1562" s="12"/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</row>
    <row r="1563" spans="1:38" ht="13.2" x14ac:dyDescent="0.25">
      <c r="A1563" s="12"/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</row>
    <row r="1564" spans="1:38" ht="13.2" x14ac:dyDescent="0.25">
      <c r="A1564" s="12"/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</row>
    <row r="1565" spans="1:38" ht="13.2" x14ac:dyDescent="0.25">
      <c r="A1565" s="12"/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</row>
    <row r="1566" spans="1:38" ht="13.2" x14ac:dyDescent="0.25">
      <c r="A1566" s="12"/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</row>
    <row r="1567" spans="1:38" ht="13.2" x14ac:dyDescent="0.25">
      <c r="A1567" s="12"/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</row>
    <row r="1568" spans="1:38" ht="13.2" x14ac:dyDescent="0.25">
      <c r="A1568" s="1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</row>
    <row r="1569" spans="1:38" ht="13.2" x14ac:dyDescent="0.25">
      <c r="A1569" s="1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</row>
    <row r="1570" spans="1:38" ht="13.2" x14ac:dyDescent="0.25">
      <c r="A1570" s="1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</row>
    <row r="1571" spans="1:38" ht="13.2" x14ac:dyDescent="0.25">
      <c r="A1571" s="1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</row>
    <row r="1572" spans="1:38" ht="13.2" x14ac:dyDescent="0.25">
      <c r="A1572" s="1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</row>
    <row r="1573" spans="1:38" ht="13.2" x14ac:dyDescent="0.25">
      <c r="A1573" s="1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</row>
    <row r="1574" spans="1:38" ht="13.2" x14ac:dyDescent="0.25">
      <c r="A1574" s="1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</row>
    <row r="1575" spans="1:38" ht="13.2" x14ac:dyDescent="0.25">
      <c r="A1575" s="1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</row>
    <row r="1576" spans="1:38" ht="13.2" x14ac:dyDescent="0.25">
      <c r="A1576" s="1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</row>
    <row r="1577" spans="1:38" ht="13.2" x14ac:dyDescent="0.25">
      <c r="A1577" s="12"/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</row>
    <row r="1578" spans="1:38" ht="13.2" x14ac:dyDescent="0.25">
      <c r="A1578" s="12"/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</row>
    <row r="1579" spans="1:38" ht="13.2" x14ac:dyDescent="0.25">
      <c r="A1579" s="12"/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</row>
    <row r="1580" spans="1:38" ht="13.2" x14ac:dyDescent="0.25">
      <c r="A1580" s="12"/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</row>
    <row r="1581" spans="1:38" ht="13.2" x14ac:dyDescent="0.25">
      <c r="A1581" s="12"/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</row>
    <row r="1582" spans="1:38" ht="13.2" x14ac:dyDescent="0.25">
      <c r="A1582" s="12"/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</row>
    <row r="1583" spans="1:38" ht="13.2" x14ac:dyDescent="0.25">
      <c r="A1583" s="12"/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</row>
    <row r="1584" spans="1:38" ht="13.2" x14ac:dyDescent="0.25">
      <c r="A1584" s="12"/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</row>
    <row r="1585" spans="1:38" ht="13.2" x14ac:dyDescent="0.25">
      <c r="A1585" s="12"/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</row>
    <row r="1586" spans="1:38" ht="13.2" x14ac:dyDescent="0.25">
      <c r="A1586" s="12"/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</row>
    <row r="1587" spans="1:38" ht="13.2" x14ac:dyDescent="0.25">
      <c r="A1587" s="12"/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</row>
    <row r="1588" spans="1:38" ht="13.2" x14ac:dyDescent="0.25">
      <c r="A1588" s="12"/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</row>
    <row r="1589" spans="1:38" ht="13.2" x14ac:dyDescent="0.25">
      <c r="A1589" s="12"/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</row>
    <row r="1590" spans="1:38" ht="13.2" x14ac:dyDescent="0.25">
      <c r="A1590" s="12"/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</row>
    <row r="1591" spans="1:38" ht="13.2" x14ac:dyDescent="0.25">
      <c r="A1591" s="12"/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</row>
    <row r="1592" spans="1:38" ht="13.2" x14ac:dyDescent="0.25">
      <c r="A1592" s="12"/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</row>
    <row r="1593" spans="1:38" ht="13.2" x14ac:dyDescent="0.25">
      <c r="A1593" s="12"/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</row>
    <row r="1594" spans="1:38" ht="13.2" x14ac:dyDescent="0.25">
      <c r="A1594" s="12"/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</row>
    <row r="1595" spans="1:38" ht="13.2" x14ac:dyDescent="0.25">
      <c r="A1595" s="12"/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</row>
    <row r="1596" spans="1:38" ht="13.2" x14ac:dyDescent="0.25">
      <c r="A1596" s="12"/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</row>
    <row r="1597" spans="1:38" ht="13.2" x14ac:dyDescent="0.25">
      <c r="A1597" s="12"/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</row>
    <row r="1598" spans="1:38" ht="13.2" x14ac:dyDescent="0.25">
      <c r="A1598" s="12"/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</row>
    <row r="1599" spans="1:38" ht="13.2" x14ac:dyDescent="0.25">
      <c r="A1599" s="12"/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</row>
    <row r="1600" spans="1:38" ht="13.2" x14ac:dyDescent="0.25">
      <c r="A1600" s="12"/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</row>
    <row r="1601" spans="1:38" ht="13.2" x14ac:dyDescent="0.25">
      <c r="A1601" s="12"/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</row>
    <row r="1602" spans="1:38" ht="13.2" x14ac:dyDescent="0.25">
      <c r="A1602" s="12"/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</row>
    <row r="1603" spans="1:38" ht="13.2" x14ac:dyDescent="0.25">
      <c r="A1603" s="12"/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</row>
    <row r="1604" spans="1:38" ht="13.2" x14ac:dyDescent="0.25">
      <c r="A1604" s="12"/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</row>
    <row r="1605" spans="1:38" ht="13.2" x14ac:dyDescent="0.25">
      <c r="A1605" s="12"/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</row>
    <row r="1606" spans="1:38" ht="13.2" x14ac:dyDescent="0.25">
      <c r="A1606" s="12"/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</row>
    <row r="1607" spans="1:38" ht="13.2" x14ac:dyDescent="0.25">
      <c r="A1607" s="12"/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</row>
    <row r="1608" spans="1:38" ht="13.2" x14ac:dyDescent="0.25">
      <c r="A1608" s="12"/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</row>
    <row r="1609" spans="1:38" ht="13.2" x14ac:dyDescent="0.25">
      <c r="A1609" s="12"/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</row>
    <row r="1610" spans="1:38" ht="13.2" x14ac:dyDescent="0.25">
      <c r="A1610" s="12"/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</row>
    <row r="1611" spans="1:38" ht="13.2" x14ac:dyDescent="0.25">
      <c r="A1611" s="12"/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</row>
    <row r="1612" spans="1:38" ht="13.2" x14ac:dyDescent="0.25">
      <c r="A1612" s="12"/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</row>
    <row r="1613" spans="1:38" ht="13.2" x14ac:dyDescent="0.25">
      <c r="A1613" s="12"/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</row>
    <row r="1614" spans="1:38" ht="13.2" x14ac:dyDescent="0.25">
      <c r="A1614" s="12"/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</row>
    <row r="1615" spans="1:38" ht="13.2" x14ac:dyDescent="0.25">
      <c r="A1615" s="12"/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</row>
    <row r="1616" spans="1:38" ht="13.2" x14ac:dyDescent="0.25">
      <c r="A1616" s="12"/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</row>
    <row r="1617" spans="1:38" ht="13.2" x14ac:dyDescent="0.25">
      <c r="A1617" s="12"/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</row>
    <row r="1618" spans="1:38" ht="13.2" x14ac:dyDescent="0.25">
      <c r="A1618" s="12"/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</row>
    <row r="1619" spans="1:38" ht="13.2" x14ac:dyDescent="0.25">
      <c r="A1619" s="12"/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</row>
    <row r="1620" spans="1:38" ht="13.2" x14ac:dyDescent="0.25">
      <c r="A1620" s="12"/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</row>
    <row r="1621" spans="1:38" ht="13.2" x14ac:dyDescent="0.25">
      <c r="A1621" s="12"/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</row>
    <row r="1622" spans="1:38" ht="13.2" x14ac:dyDescent="0.25">
      <c r="A1622" s="12"/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</row>
    <row r="1623" spans="1:38" ht="13.2" x14ac:dyDescent="0.25">
      <c r="A1623" s="12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</row>
    <row r="1624" spans="1:38" ht="13.2" x14ac:dyDescent="0.25">
      <c r="A1624" s="12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</row>
    <row r="1625" spans="1:38" ht="13.2" x14ac:dyDescent="0.25">
      <c r="A1625" s="12"/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</row>
    <row r="1626" spans="1:38" ht="13.2" x14ac:dyDescent="0.25">
      <c r="A1626" s="12"/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</row>
    <row r="1627" spans="1:38" ht="13.2" x14ac:dyDescent="0.25">
      <c r="A1627" s="12"/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</row>
    <row r="1628" spans="1:38" ht="13.2" x14ac:dyDescent="0.25">
      <c r="A1628" s="12"/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</row>
    <row r="1629" spans="1:38" ht="13.2" x14ac:dyDescent="0.25">
      <c r="A1629" s="12"/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</row>
    <row r="1630" spans="1:38" ht="13.2" x14ac:dyDescent="0.25">
      <c r="A1630" s="12"/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</row>
    <row r="1631" spans="1:38" ht="13.2" x14ac:dyDescent="0.25">
      <c r="A1631" s="12"/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</row>
    <row r="1632" spans="1:38" ht="13.2" x14ac:dyDescent="0.25">
      <c r="A1632" s="12"/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</row>
    <row r="1633" spans="1:38" ht="13.2" x14ac:dyDescent="0.25">
      <c r="A1633" s="12"/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</row>
    <row r="1634" spans="1:38" ht="13.2" x14ac:dyDescent="0.25">
      <c r="A1634" s="12"/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</row>
    <row r="1635" spans="1:38" ht="13.2" x14ac:dyDescent="0.25">
      <c r="A1635" s="12"/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</row>
    <row r="1636" spans="1:38" ht="13.2" x14ac:dyDescent="0.25">
      <c r="A1636" s="12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</row>
    <row r="1637" spans="1:38" ht="13.2" x14ac:dyDescent="0.25">
      <c r="A1637" s="12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</row>
    <row r="1638" spans="1:38" ht="13.2" x14ac:dyDescent="0.25">
      <c r="A1638" s="12"/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</row>
    <row r="1639" spans="1:38" ht="13.2" x14ac:dyDescent="0.25">
      <c r="A1639" s="12"/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</row>
    <row r="1640" spans="1:38" ht="13.2" x14ac:dyDescent="0.25">
      <c r="A1640" s="12"/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</row>
    <row r="1641" spans="1:38" ht="13.2" x14ac:dyDescent="0.25">
      <c r="A1641" s="12"/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</row>
    <row r="1642" spans="1:38" ht="13.2" x14ac:dyDescent="0.25">
      <c r="A1642" s="12"/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</row>
    <row r="1643" spans="1:38" ht="13.2" x14ac:dyDescent="0.25">
      <c r="A1643" s="12"/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</row>
    <row r="1644" spans="1:38" ht="13.2" x14ac:dyDescent="0.25">
      <c r="A1644" s="12"/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</row>
    <row r="1645" spans="1:38" ht="13.2" x14ac:dyDescent="0.25">
      <c r="A1645" s="12"/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</row>
    <row r="1646" spans="1:38" ht="13.2" x14ac:dyDescent="0.25">
      <c r="A1646" s="12"/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</row>
    <row r="1647" spans="1:38" ht="13.2" x14ac:dyDescent="0.25">
      <c r="A1647" s="12"/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</row>
    <row r="1648" spans="1:38" ht="13.2" x14ac:dyDescent="0.25">
      <c r="A1648" s="12"/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</row>
    <row r="1649" spans="1:38" ht="13.2" x14ac:dyDescent="0.25">
      <c r="A1649" s="12"/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</row>
    <row r="1650" spans="1:38" ht="13.2" x14ac:dyDescent="0.25">
      <c r="A1650" s="12"/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</row>
    <row r="1651" spans="1:38" ht="13.2" x14ac:dyDescent="0.25">
      <c r="A1651" s="12"/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</row>
    <row r="1652" spans="1:38" ht="13.2" x14ac:dyDescent="0.25">
      <c r="A1652" s="12"/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</row>
    <row r="1653" spans="1:38" ht="13.2" x14ac:dyDescent="0.25">
      <c r="A1653" s="12"/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</row>
    <row r="1654" spans="1:38" ht="13.2" x14ac:dyDescent="0.25">
      <c r="A1654" s="12"/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</row>
    <row r="1655" spans="1:38" ht="13.2" x14ac:dyDescent="0.25">
      <c r="A1655" s="12"/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</row>
    <row r="1656" spans="1:38" ht="13.2" x14ac:dyDescent="0.25">
      <c r="A1656" s="12"/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</row>
    <row r="1657" spans="1:38" ht="13.2" x14ac:dyDescent="0.25">
      <c r="A1657" s="12"/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</row>
    <row r="1658" spans="1:38" ht="13.2" x14ac:dyDescent="0.25">
      <c r="A1658" s="12"/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</row>
    <row r="1659" spans="1:38" ht="13.2" x14ac:dyDescent="0.25">
      <c r="A1659" s="12"/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</row>
    <row r="1660" spans="1:38" ht="13.2" x14ac:dyDescent="0.25">
      <c r="A1660" s="12"/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</row>
    <row r="1661" spans="1:38" ht="13.2" x14ac:dyDescent="0.25">
      <c r="A1661" s="12"/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</row>
    <row r="1662" spans="1:38" ht="13.2" x14ac:dyDescent="0.25">
      <c r="A1662" s="12"/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</row>
    <row r="1663" spans="1:38" ht="13.2" x14ac:dyDescent="0.25">
      <c r="A1663" s="12"/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</row>
    <row r="1664" spans="1:38" ht="13.2" x14ac:dyDescent="0.25">
      <c r="A1664" s="12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</row>
    <row r="1665" spans="1:38" ht="13.2" x14ac:dyDescent="0.25">
      <c r="A1665" s="12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</row>
    <row r="1666" spans="1:38" ht="13.2" x14ac:dyDescent="0.25">
      <c r="A1666" s="12"/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</row>
    <row r="1667" spans="1:38" ht="13.2" x14ac:dyDescent="0.25">
      <c r="A1667" s="12"/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</row>
    <row r="1668" spans="1:38" ht="13.2" x14ac:dyDescent="0.25">
      <c r="A1668" s="12"/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</row>
    <row r="1669" spans="1:38" ht="13.2" x14ac:dyDescent="0.25">
      <c r="A1669" s="12"/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</row>
    <row r="1670" spans="1:38" ht="13.2" x14ac:dyDescent="0.25">
      <c r="A1670" s="12"/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</row>
    <row r="1671" spans="1:38" ht="13.2" x14ac:dyDescent="0.25">
      <c r="A1671" s="12"/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</row>
    <row r="1672" spans="1:38" ht="13.2" x14ac:dyDescent="0.25">
      <c r="A1672" s="12"/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</row>
    <row r="1673" spans="1:38" ht="13.2" x14ac:dyDescent="0.25">
      <c r="A1673" s="12"/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</row>
    <row r="1674" spans="1:38" ht="13.2" x14ac:dyDescent="0.25">
      <c r="A1674" s="12"/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</row>
    <row r="1675" spans="1:38" ht="13.2" x14ac:dyDescent="0.25">
      <c r="A1675" s="12"/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</row>
    <row r="1676" spans="1:38" ht="13.2" x14ac:dyDescent="0.25">
      <c r="A1676" s="12"/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</row>
    <row r="1677" spans="1:38" ht="13.2" x14ac:dyDescent="0.25">
      <c r="A1677" s="12"/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</row>
    <row r="1678" spans="1:38" ht="13.2" x14ac:dyDescent="0.25">
      <c r="A1678" s="12"/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</row>
    <row r="1679" spans="1:38" ht="13.2" x14ac:dyDescent="0.25">
      <c r="A1679" s="12"/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</row>
    <row r="1680" spans="1:38" ht="13.2" x14ac:dyDescent="0.25">
      <c r="A1680" s="12"/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</row>
    <row r="1681" spans="1:38" ht="13.2" x14ac:dyDescent="0.25">
      <c r="A1681" s="12"/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</row>
    <row r="1682" spans="1:38" ht="13.2" x14ac:dyDescent="0.25">
      <c r="A1682" s="12"/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</row>
    <row r="1683" spans="1:38" ht="13.2" x14ac:dyDescent="0.25">
      <c r="A1683" s="12"/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</row>
    <row r="1684" spans="1:38" ht="13.2" x14ac:dyDescent="0.25">
      <c r="A1684" s="12"/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</row>
    <row r="1685" spans="1:38" ht="13.2" x14ac:dyDescent="0.25">
      <c r="A1685" s="12"/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</row>
    <row r="1686" spans="1:38" ht="13.2" x14ac:dyDescent="0.25">
      <c r="A1686" s="12"/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</row>
    <row r="1687" spans="1:38" ht="13.2" x14ac:dyDescent="0.25">
      <c r="A1687" s="12"/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</row>
    <row r="1688" spans="1:38" ht="13.2" x14ac:dyDescent="0.25">
      <c r="A1688" s="12"/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</row>
    <row r="1689" spans="1:38" ht="13.2" x14ac:dyDescent="0.25">
      <c r="A1689" s="12"/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</row>
    <row r="1690" spans="1:38" ht="13.2" x14ac:dyDescent="0.25">
      <c r="A1690" s="12"/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</row>
    <row r="1691" spans="1:38" ht="13.2" x14ac:dyDescent="0.25">
      <c r="A1691" s="12"/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</row>
    <row r="1692" spans="1:38" ht="13.2" x14ac:dyDescent="0.25">
      <c r="A1692" s="12"/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</row>
    <row r="1693" spans="1:38" ht="13.2" x14ac:dyDescent="0.25">
      <c r="A1693" s="12"/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</row>
    <row r="1694" spans="1:38" ht="13.2" x14ac:dyDescent="0.25">
      <c r="A1694" s="12"/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</row>
    <row r="1695" spans="1:38" ht="13.2" x14ac:dyDescent="0.25">
      <c r="A1695" s="12"/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</row>
    <row r="1696" spans="1:38" ht="13.2" x14ac:dyDescent="0.25">
      <c r="A1696" s="12"/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</row>
    <row r="1697" spans="1:38" ht="13.2" x14ac:dyDescent="0.25">
      <c r="A1697" s="12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</row>
    <row r="1698" spans="1:38" ht="13.2" x14ac:dyDescent="0.25">
      <c r="A1698" s="12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</row>
    <row r="1699" spans="1:38" ht="13.2" x14ac:dyDescent="0.25">
      <c r="A1699" s="12"/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</row>
    <row r="1700" spans="1:38" ht="13.2" x14ac:dyDescent="0.25">
      <c r="A1700" s="12"/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</row>
    <row r="1701" spans="1:38" ht="13.2" x14ac:dyDescent="0.25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</row>
    <row r="1702" spans="1:38" ht="13.2" x14ac:dyDescent="0.25">
      <c r="A1702" s="12"/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</row>
    <row r="1703" spans="1:38" ht="13.2" x14ac:dyDescent="0.25">
      <c r="A1703" s="12"/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</row>
    <row r="1704" spans="1:38" ht="13.2" x14ac:dyDescent="0.25">
      <c r="A1704" s="12"/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</row>
    <row r="1705" spans="1:38" ht="13.2" x14ac:dyDescent="0.25">
      <c r="A1705" s="12"/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</row>
    <row r="1706" spans="1:38" ht="13.2" x14ac:dyDescent="0.25">
      <c r="A1706" s="12"/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</row>
    <row r="1707" spans="1:38" ht="13.2" x14ac:dyDescent="0.25">
      <c r="A1707" s="12"/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</row>
    <row r="1708" spans="1:38" ht="13.2" x14ac:dyDescent="0.25">
      <c r="A1708" s="12"/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</row>
    <row r="1709" spans="1:38" ht="13.2" x14ac:dyDescent="0.25">
      <c r="A1709" s="12"/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</row>
    <row r="1710" spans="1:38" ht="13.2" x14ac:dyDescent="0.25">
      <c r="A1710" s="12"/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</row>
    <row r="1711" spans="1:38" ht="13.2" x14ac:dyDescent="0.25">
      <c r="A1711" s="12"/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</row>
    <row r="1712" spans="1:38" ht="13.2" x14ac:dyDescent="0.25">
      <c r="A1712" s="12"/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</row>
    <row r="1713" spans="1:38" ht="13.2" x14ac:dyDescent="0.25">
      <c r="A1713" s="12"/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</row>
    <row r="1714" spans="1:38" ht="13.2" x14ac:dyDescent="0.25">
      <c r="A1714" s="12"/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</row>
    <row r="1715" spans="1:38" ht="13.2" x14ac:dyDescent="0.25">
      <c r="A1715" s="12"/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</row>
    <row r="1716" spans="1:38" ht="13.2" x14ac:dyDescent="0.25">
      <c r="A1716" s="12"/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</row>
    <row r="1717" spans="1:38" ht="13.2" x14ac:dyDescent="0.25">
      <c r="A1717" s="12"/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</row>
    <row r="1718" spans="1:38" ht="13.2" x14ac:dyDescent="0.25">
      <c r="A1718" s="12"/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</row>
    <row r="1719" spans="1:38" ht="13.2" x14ac:dyDescent="0.25">
      <c r="A1719" s="12"/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</row>
    <row r="1720" spans="1:38" ht="13.2" x14ac:dyDescent="0.25">
      <c r="A1720" s="12"/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</row>
    <row r="1721" spans="1:38" ht="13.2" x14ac:dyDescent="0.25">
      <c r="A1721" s="12"/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</row>
    <row r="1722" spans="1:38" ht="13.2" x14ac:dyDescent="0.25">
      <c r="A1722" s="12"/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</row>
    <row r="1723" spans="1:38" ht="13.2" x14ac:dyDescent="0.25">
      <c r="A1723" s="12"/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</row>
    <row r="1724" spans="1:38" ht="13.2" x14ac:dyDescent="0.25">
      <c r="A1724" s="12"/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</row>
    <row r="1725" spans="1:38" ht="13.2" x14ac:dyDescent="0.25">
      <c r="A1725" s="12"/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</row>
    <row r="1726" spans="1:38" ht="13.2" x14ac:dyDescent="0.25">
      <c r="A1726" s="12"/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</row>
    <row r="1727" spans="1:38" ht="13.2" x14ac:dyDescent="0.25">
      <c r="A1727" s="12"/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</row>
    <row r="1728" spans="1:38" ht="13.2" x14ac:dyDescent="0.25">
      <c r="A1728" s="12"/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</row>
    <row r="1729" spans="1:38" ht="13.2" x14ac:dyDescent="0.25">
      <c r="A1729" s="12"/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</row>
    <row r="1730" spans="1:38" ht="13.2" x14ac:dyDescent="0.25">
      <c r="A1730" s="12"/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</row>
    <row r="1731" spans="1:38" ht="13.2" x14ac:dyDescent="0.25">
      <c r="A1731" s="12"/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</row>
    <row r="1732" spans="1:38" ht="13.2" x14ac:dyDescent="0.25">
      <c r="A1732" s="12"/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</row>
    <row r="1733" spans="1:38" ht="13.2" x14ac:dyDescent="0.25">
      <c r="A1733" s="12"/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</row>
    <row r="1734" spans="1:38" ht="13.2" x14ac:dyDescent="0.25">
      <c r="A1734" s="12"/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</row>
    <row r="1735" spans="1:38" ht="13.2" x14ac:dyDescent="0.25">
      <c r="A1735" s="12"/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</row>
    <row r="1736" spans="1:38" ht="13.2" x14ac:dyDescent="0.25">
      <c r="A1736" s="12"/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</row>
    <row r="1737" spans="1:38" ht="13.2" x14ac:dyDescent="0.25">
      <c r="A1737" s="12"/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</row>
    <row r="1738" spans="1:38" ht="13.2" x14ac:dyDescent="0.25">
      <c r="A1738" s="12"/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</row>
    <row r="1739" spans="1:38" ht="13.2" x14ac:dyDescent="0.25">
      <c r="A1739" s="12"/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</row>
    <row r="1740" spans="1:38" ht="13.2" x14ac:dyDescent="0.25">
      <c r="A1740" s="12"/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</row>
    <row r="1741" spans="1:38" ht="13.2" x14ac:dyDescent="0.25">
      <c r="A1741" s="12"/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</row>
    <row r="1742" spans="1:38" ht="13.2" x14ac:dyDescent="0.25">
      <c r="A1742" s="12"/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</row>
    <row r="1743" spans="1:38" ht="13.2" x14ac:dyDescent="0.25">
      <c r="A1743" s="12"/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</row>
    <row r="1744" spans="1:38" ht="13.2" x14ac:dyDescent="0.25">
      <c r="A1744" s="12"/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</row>
    <row r="1745" spans="1:38" ht="13.2" x14ac:dyDescent="0.25">
      <c r="A1745" s="12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</row>
    <row r="1746" spans="1:38" ht="13.2" x14ac:dyDescent="0.25">
      <c r="A1746" s="12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</row>
    <row r="1747" spans="1:38" ht="13.2" x14ac:dyDescent="0.25">
      <c r="A1747" s="12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</row>
    <row r="1748" spans="1:38" ht="13.2" x14ac:dyDescent="0.25">
      <c r="A1748" s="12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</row>
    <row r="1749" spans="1:38" ht="13.2" x14ac:dyDescent="0.25">
      <c r="A1749" s="12"/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</row>
    <row r="1750" spans="1:38" ht="13.2" x14ac:dyDescent="0.25">
      <c r="A1750" s="12"/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</row>
    <row r="1751" spans="1:38" ht="13.2" x14ac:dyDescent="0.25">
      <c r="A1751" s="12"/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</row>
    <row r="1752" spans="1:38" ht="13.2" x14ac:dyDescent="0.25">
      <c r="A1752" s="12"/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</row>
    <row r="1753" spans="1:38" ht="13.2" x14ac:dyDescent="0.25">
      <c r="A1753" s="12"/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</row>
    <row r="1754" spans="1:38" ht="13.2" x14ac:dyDescent="0.25">
      <c r="A1754" s="12"/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</row>
    <row r="1755" spans="1:38" ht="13.2" x14ac:dyDescent="0.25">
      <c r="A1755" s="12"/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</row>
    <row r="1756" spans="1:38" ht="13.2" x14ac:dyDescent="0.25">
      <c r="A1756" s="12"/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</row>
    <row r="1757" spans="1:38" ht="13.2" x14ac:dyDescent="0.25">
      <c r="A1757" s="12"/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</row>
    <row r="1758" spans="1:38" ht="13.2" x14ac:dyDescent="0.25">
      <c r="A1758" s="12"/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</row>
    <row r="1759" spans="1:38" ht="13.2" x14ac:dyDescent="0.25">
      <c r="A1759" s="12"/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</row>
    <row r="1760" spans="1:38" ht="13.2" x14ac:dyDescent="0.25">
      <c r="A1760" s="12"/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</row>
    <row r="1761" spans="1:38" ht="13.2" x14ac:dyDescent="0.25">
      <c r="A1761" s="12"/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</row>
    <row r="1762" spans="1:38" ht="13.2" x14ac:dyDescent="0.25">
      <c r="A1762" s="12"/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</row>
    <row r="1763" spans="1:38" ht="13.2" x14ac:dyDescent="0.25">
      <c r="A1763" s="12"/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</row>
    <row r="1764" spans="1:38" ht="13.2" x14ac:dyDescent="0.25">
      <c r="A1764" s="12"/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</row>
    <row r="1765" spans="1:38" ht="13.2" x14ac:dyDescent="0.25">
      <c r="A1765" s="12"/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</row>
    <row r="1766" spans="1:38" ht="13.2" x14ac:dyDescent="0.25">
      <c r="A1766" s="12"/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</row>
    <row r="1767" spans="1:38" ht="13.2" x14ac:dyDescent="0.25">
      <c r="A1767" s="12"/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</row>
    <row r="1768" spans="1:38" ht="13.2" x14ac:dyDescent="0.25">
      <c r="A1768" s="12"/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</row>
    <row r="1769" spans="1:38" ht="13.2" x14ac:dyDescent="0.25">
      <c r="A1769" s="12"/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</row>
    <row r="1770" spans="1:38" ht="13.2" x14ac:dyDescent="0.25">
      <c r="A1770" s="12"/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</row>
    <row r="1771" spans="1:38" ht="13.2" x14ac:dyDescent="0.25">
      <c r="A1771" s="12"/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</row>
    <row r="1772" spans="1:38" ht="13.2" x14ac:dyDescent="0.25">
      <c r="A1772" s="12"/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</row>
    <row r="1773" spans="1:38" ht="13.2" x14ac:dyDescent="0.25">
      <c r="A1773" s="12"/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</row>
    <row r="1774" spans="1:38" ht="13.2" x14ac:dyDescent="0.25">
      <c r="A1774" s="12"/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</row>
    <row r="1775" spans="1:38" ht="13.2" x14ac:dyDescent="0.25">
      <c r="A1775" s="12"/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</row>
    <row r="1776" spans="1:38" ht="13.2" x14ac:dyDescent="0.25">
      <c r="A1776" s="12"/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</row>
    <row r="1777" spans="1:38" ht="13.2" x14ac:dyDescent="0.25">
      <c r="A1777" s="12"/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</row>
    <row r="1778" spans="1:38" ht="13.2" x14ac:dyDescent="0.25">
      <c r="A1778" s="12"/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</row>
    <row r="1779" spans="1:38" ht="13.2" x14ac:dyDescent="0.25">
      <c r="A1779" s="12"/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</row>
    <row r="1780" spans="1:38" ht="13.2" x14ac:dyDescent="0.25">
      <c r="A1780" s="12"/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</row>
    <row r="1781" spans="1:38" ht="13.2" x14ac:dyDescent="0.25">
      <c r="A1781" s="12"/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</row>
    <row r="1782" spans="1:38" ht="13.2" x14ac:dyDescent="0.25">
      <c r="A1782" s="12"/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</row>
    <row r="1783" spans="1:38" ht="13.2" x14ac:dyDescent="0.25">
      <c r="A1783" s="12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</row>
    <row r="1784" spans="1:38" ht="13.2" x14ac:dyDescent="0.25">
      <c r="A1784" s="12"/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</row>
    <row r="1785" spans="1:38" ht="13.2" x14ac:dyDescent="0.25">
      <c r="A1785" s="12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</row>
    <row r="1786" spans="1:38" ht="13.2" x14ac:dyDescent="0.25">
      <c r="A1786" s="12"/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</row>
    <row r="1787" spans="1:38" ht="13.2" x14ac:dyDescent="0.25">
      <c r="A1787" s="12"/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</row>
    <row r="1788" spans="1:38" ht="13.2" x14ac:dyDescent="0.25">
      <c r="A1788" s="12"/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</row>
    <row r="1789" spans="1:38" ht="13.2" x14ac:dyDescent="0.25">
      <c r="A1789" s="12"/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</row>
    <row r="1790" spans="1:38" ht="13.2" x14ac:dyDescent="0.25">
      <c r="A1790" s="12"/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</row>
    <row r="1791" spans="1:38" ht="13.2" x14ac:dyDescent="0.25">
      <c r="A1791" s="12"/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</row>
    <row r="1792" spans="1:38" ht="13.2" x14ac:dyDescent="0.25">
      <c r="A1792" s="12"/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</row>
    <row r="1793" spans="1:38" ht="13.2" x14ac:dyDescent="0.25">
      <c r="A1793" s="12"/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</row>
    <row r="1794" spans="1:38" ht="13.2" x14ac:dyDescent="0.25">
      <c r="A1794" s="12"/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</row>
    <row r="1795" spans="1:38" ht="13.2" x14ac:dyDescent="0.25">
      <c r="A1795" s="12"/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</row>
    <row r="1796" spans="1:38" ht="13.2" x14ac:dyDescent="0.25">
      <c r="A1796" s="12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</row>
    <row r="1797" spans="1:38" ht="13.2" x14ac:dyDescent="0.25">
      <c r="A1797" s="12"/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</row>
    <row r="1798" spans="1:38" ht="13.2" x14ac:dyDescent="0.25">
      <c r="A1798" s="12"/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</row>
    <row r="1799" spans="1:38" ht="13.2" x14ac:dyDescent="0.25">
      <c r="A1799" s="12"/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</row>
    <row r="1800" spans="1:38" ht="13.2" x14ac:dyDescent="0.25">
      <c r="A1800" s="12"/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</row>
    <row r="1801" spans="1:38" ht="13.2" x14ac:dyDescent="0.25">
      <c r="A1801" s="12"/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</row>
    <row r="1802" spans="1:38" ht="13.2" x14ac:dyDescent="0.25">
      <c r="A1802" s="12"/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</row>
    <row r="1803" spans="1:38" ht="13.2" x14ac:dyDescent="0.25">
      <c r="A1803" s="12"/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</row>
    <row r="1804" spans="1:38" ht="13.2" x14ac:dyDescent="0.25">
      <c r="A1804" s="12"/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</row>
    <row r="1805" spans="1:38" ht="13.2" x14ac:dyDescent="0.25">
      <c r="A1805" s="12"/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</row>
    <row r="1806" spans="1:38" ht="13.2" x14ac:dyDescent="0.25">
      <c r="A1806" s="12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</row>
    <row r="1807" spans="1:38" ht="13.2" x14ac:dyDescent="0.25">
      <c r="A1807" s="12"/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</row>
    <row r="1808" spans="1:38" ht="13.2" x14ac:dyDescent="0.25">
      <c r="A1808" s="12"/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</row>
    <row r="1809" spans="1:38" ht="13.2" x14ac:dyDescent="0.25">
      <c r="A1809" s="12"/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</row>
    <row r="1810" spans="1:38" ht="13.2" x14ac:dyDescent="0.25">
      <c r="A1810" s="12"/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</row>
    <row r="1811" spans="1:38" ht="13.2" x14ac:dyDescent="0.25">
      <c r="A1811" s="12"/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</row>
    <row r="1812" spans="1:38" ht="13.2" x14ac:dyDescent="0.25">
      <c r="A1812" s="12"/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</row>
    <row r="1813" spans="1:38" ht="13.2" x14ac:dyDescent="0.25">
      <c r="A1813" s="12"/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</row>
    <row r="1814" spans="1:38" ht="13.2" x14ac:dyDescent="0.25">
      <c r="A1814" s="12"/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</row>
    <row r="1815" spans="1:38" ht="13.2" x14ac:dyDescent="0.25">
      <c r="A1815" s="12"/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</row>
    <row r="1816" spans="1:38" ht="13.2" x14ac:dyDescent="0.25">
      <c r="A1816" s="12"/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</row>
    <row r="1817" spans="1:38" ht="13.2" x14ac:dyDescent="0.25">
      <c r="A1817" s="12"/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</row>
    <row r="1818" spans="1:38" ht="13.2" x14ac:dyDescent="0.25">
      <c r="A1818" s="12"/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</row>
    <row r="1819" spans="1:38" ht="13.2" x14ac:dyDescent="0.25">
      <c r="A1819" s="12"/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</row>
    <row r="1820" spans="1:38" ht="13.2" x14ac:dyDescent="0.25">
      <c r="A1820" s="12"/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</row>
    <row r="1821" spans="1:38" ht="13.2" x14ac:dyDescent="0.25">
      <c r="A1821" s="12"/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</row>
    <row r="1822" spans="1:38" ht="13.2" x14ac:dyDescent="0.25">
      <c r="A1822" s="12"/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</row>
    <row r="1823" spans="1:38" ht="13.2" x14ac:dyDescent="0.25">
      <c r="A1823" s="12"/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</row>
    <row r="1824" spans="1:38" ht="13.2" x14ac:dyDescent="0.25">
      <c r="A1824" s="12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</row>
    <row r="1825" spans="1:38" ht="13.2" x14ac:dyDescent="0.25">
      <c r="A1825" s="12"/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</row>
    <row r="1826" spans="1:38" ht="13.2" x14ac:dyDescent="0.25">
      <c r="A1826" s="12"/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</row>
    <row r="1827" spans="1:38" ht="13.2" x14ac:dyDescent="0.25">
      <c r="A1827" s="12"/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</row>
    <row r="1828" spans="1:38" ht="13.2" x14ac:dyDescent="0.25">
      <c r="A1828" s="12"/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</row>
    <row r="1829" spans="1:38" ht="13.2" x14ac:dyDescent="0.25">
      <c r="A1829" s="12"/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</row>
    <row r="1830" spans="1:38" ht="13.2" x14ac:dyDescent="0.25">
      <c r="A1830" s="12"/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</row>
    <row r="1831" spans="1:38" ht="13.2" x14ac:dyDescent="0.25">
      <c r="A1831" s="12"/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</row>
    <row r="1832" spans="1:38" ht="13.2" x14ac:dyDescent="0.25">
      <c r="A1832" s="12"/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</row>
    <row r="1833" spans="1:38" ht="13.2" x14ac:dyDescent="0.25">
      <c r="A1833" s="12"/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</row>
    <row r="1834" spans="1:38" ht="13.2" x14ac:dyDescent="0.25">
      <c r="A1834" s="12"/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</row>
    <row r="1835" spans="1:38" ht="13.2" x14ac:dyDescent="0.25">
      <c r="A1835" s="12"/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</row>
    <row r="1836" spans="1:38" ht="13.2" x14ac:dyDescent="0.25">
      <c r="A1836" s="12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</row>
    <row r="1837" spans="1:38" ht="13.2" x14ac:dyDescent="0.25">
      <c r="A1837" s="12"/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</row>
    <row r="1838" spans="1:38" ht="13.2" x14ac:dyDescent="0.25">
      <c r="A1838" s="12"/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</row>
    <row r="1839" spans="1:38" ht="13.2" x14ac:dyDescent="0.25">
      <c r="A1839" s="12"/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</row>
    <row r="1840" spans="1:38" ht="13.2" x14ac:dyDescent="0.25">
      <c r="A1840" s="12"/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</row>
    <row r="1841" spans="1:38" ht="13.2" x14ac:dyDescent="0.25">
      <c r="A1841" s="12"/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</row>
    <row r="1842" spans="1:38" ht="13.2" x14ac:dyDescent="0.25">
      <c r="A1842" s="12"/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</row>
    <row r="1843" spans="1:38" ht="13.2" x14ac:dyDescent="0.25">
      <c r="A1843" s="12"/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</row>
    <row r="1844" spans="1:38" ht="13.2" x14ac:dyDescent="0.25">
      <c r="A1844" s="12"/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</row>
    <row r="1845" spans="1:38" ht="13.2" x14ac:dyDescent="0.25">
      <c r="A1845" s="12"/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</row>
    <row r="1846" spans="1:38" ht="13.2" x14ac:dyDescent="0.25">
      <c r="A1846" s="12"/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</row>
    <row r="1847" spans="1:38" ht="13.2" x14ac:dyDescent="0.25">
      <c r="A1847" s="12"/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</row>
    <row r="1848" spans="1:38" ht="13.2" x14ac:dyDescent="0.25">
      <c r="A1848" s="12"/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</row>
    <row r="1849" spans="1:38" ht="13.2" x14ac:dyDescent="0.25">
      <c r="A1849" s="12"/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</row>
    <row r="1850" spans="1:38" ht="13.2" x14ac:dyDescent="0.25">
      <c r="A1850" s="12"/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</row>
    <row r="1851" spans="1:38" ht="13.2" x14ac:dyDescent="0.25">
      <c r="A1851" s="12"/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</row>
    <row r="1852" spans="1:38" ht="13.2" x14ac:dyDescent="0.25">
      <c r="A1852" s="12"/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</row>
    <row r="1853" spans="1:38" ht="13.2" x14ac:dyDescent="0.25">
      <c r="A1853" s="12"/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</row>
    <row r="1854" spans="1:38" ht="13.2" x14ac:dyDescent="0.25">
      <c r="A1854" s="12"/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</row>
    <row r="1855" spans="1:38" ht="13.2" x14ac:dyDescent="0.25">
      <c r="A1855" s="12"/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</row>
    <row r="1856" spans="1:38" ht="13.2" x14ac:dyDescent="0.25">
      <c r="A1856" s="12"/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</row>
    <row r="1857" spans="1:38" ht="13.2" x14ac:dyDescent="0.25">
      <c r="A1857" s="12"/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</row>
    <row r="1858" spans="1:38" ht="13.2" x14ac:dyDescent="0.25">
      <c r="A1858" s="12"/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</row>
    <row r="1859" spans="1:38" ht="13.2" x14ac:dyDescent="0.25">
      <c r="A1859" s="12"/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</row>
    <row r="1860" spans="1:38" ht="13.2" x14ac:dyDescent="0.25">
      <c r="A1860" s="12"/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</row>
    <row r="1861" spans="1:38" ht="13.2" x14ac:dyDescent="0.25">
      <c r="A1861" s="12"/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</row>
    <row r="1862" spans="1:38" ht="13.2" x14ac:dyDescent="0.25">
      <c r="A1862" s="12"/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</row>
    <row r="1863" spans="1:38" ht="13.2" x14ac:dyDescent="0.25">
      <c r="A1863" s="12"/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</row>
    <row r="1864" spans="1:38" ht="13.2" x14ac:dyDescent="0.25">
      <c r="A1864" s="12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</row>
    <row r="1865" spans="1:38" ht="13.2" x14ac:dyDescent="0.25">
      <c r="A1865" s="12"/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</row>
    <row r="1866" spans="1:38" ht="13.2" x14ac:dyDescent="0.25">
      <c r="A1866" s="12"/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</row>
    <row r="1867" spans="1:38" ht="13.2" x14ac:dyDescent="0.25">
      <c r="A1867" s="12"/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</row>
    <row r="1868" spans="1:38" ht="13.2" x14ac:dyDescent="0.25">
      <c r="A1868" s="12"/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</row>
    <row r="1869" spans="1:38" ht="13.2" x14ac:dyDescent="0.25">
      <c r="A1869" s="12"/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</row>
    <row r="1870" spans="1:38" ht="13.2" x14ac:dyDescent="0.25">
      <c r="A1870" s="12"/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</row>
    <row r="1871" spans="1:38" ht="13.2" x14ac:dyDescent="0.25">
      <c r="A1871" s="12"/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</row>
    <row r="1872" spans="1:38" ht="13.2" x14ac:dyDescent="0.25">
      <c r="A1872" s="12"/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</row>
    <row r="1873" spans="1:38" ht="13.2" x14ac:dyDescent="0.25">
      <c r="A1873" s="12"/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</row>
    <row r="1874" spans="1:38" ht="13.2" x14ac:dyDescent="0.25">
      <c r="A1874" s="12"/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</row>
    <row r="1875" spans="1:38" ht="13.2" x14ac:dyDescent="0.25">
      <c r="A1875" s="12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</row>
    <row r="1876" spans="1:38" ht="13.2" x14ac:dyDescent="0.25">
      <c r="A1876" s="12"/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</row>
    <row r="1877" spans="1:38" ht="13.2" x14ac:dyDescent="0.25">
      <c r="A1877" s="12"/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</row>
    <row r="1878" spans="1:38" ht="13.2" x14ac:dyDescent="0.25">
      <c r="A1878" s="12"/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</row>
    <row r="1879" spans="1:38" ht="13.2" x14ac:dyDescent="0.25">
      <c r="A1879" s="12"/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</row>
    <row r="1880" spans="1:38" ht="13.2" x14ac:dyDescent="0.25">
      <c r="A1880" s="12"/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</row>
    <row r="1881" spans="1:38" ht="13.2" x14ac:dyDescent="0.25">
      <c r="A1881" s="12"/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</row>
    <row r="1882" spans="1:38" ht="13.2" x14ac:dyDescent="0.25">
      <c r="A1882" s="12"/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</row>
    <row r="1883" spans="1:38" ht="13.2" x14ac:dyDescent="0.25">
      <c r="A1883" s="12"/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</row>
    <row r="1884" spans="1:38" ht="13.2" x14ac:dyDescent="0.25">
      <c r="A1884" s="12"/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</row>
    <row r="1885" spans="1:38" ht="13.2" x14ac:dyDescent="0.25">
      <c r="A1885" s="12"/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</row>
    <row r="1886" spans="1:38" ht="13.2" x14ac:dyDescent="0.25">
      <c r="A1886" s="12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</row>
    <row r="1887" spans="1:38" ht="13.2" x14ac:dyDescent="0.25">
      <c r="A1887" s="12"/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</row>
    <row r="1888" spans="1:38" ht="13.2" x14ac:dyDescent="0.25">
      <c r="A1888" s="12"/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</row>
    <row r="1889" spans="1:38" ht="13.2" x14ac:dyDescent="0.25">
      <c r="A1889" s="12"/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</row>
    <row r="1890" spans="1:38" ht="13.2" x14ac:dyDescent="0.25">
      <c r="A1890" s="12"/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</row>
    <row r="1891" spans="1:38" ht="13.2" x14ac:dyDescent="0.25">
      <c r="A1891" s="12"/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</row>
    <row r="1892" spans="1:38" ht="13.2" x14ac:dyDescent="0.25">
      <c r="A1892" s="12"/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</row>
    <row r="1893" spans="1:38" ht="13.2" x14ac:dyDescent="0.25">
      <c r="A1893" s="12"/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</row>
    <row r="1894" spans="1:38" ht="13.2" x14ac:dyDescent="0.25">
      <c r="A1894" s="12"/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</row>
    <row r="1895" spans="1:38" ht="13.2" x14ac:dyDescent="0.25">
      <c r="A1895" s="12"/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</row>
    <row r="1896" spans="1:38" ht="13.2" x14ac:dyDescent="0.25">
      <c r="A1896" s="12"/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</row>
    <row r="1897" spans="1:38" ht="13.2" x14ac:dyDescent="0.25">
      <c r="A1897" s="12"/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</row>
    <row r="1898" spans="1:38" ht="13.2" x14ac:dyDescent="0.25">
      <c r="A1898" s="12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</row>
    <row r="1899" spans="1:38" ht="13.2" x14ac:dyDescent="0.25">
      <c r="A1899" s="12"/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</row>
    <row r="1900" spans="1:38" ht="13.2" x14ac:dyDescent="0.25">
      <c r="A1900" s="12"/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</row>
    <row r="1901" spans="1:38" ht="13.2" x14ac:dyDescent="0.25">
      <c r="A1901" s="12"/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</row>
    <row r="1902" spans="1:38" ht="13.2" x14ac:dyDescent="0.25">
      <c r="A1902" s="12"/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</row>
    <row r="1903" spans="1:38" ht="13.2" x14ac:dyDescent="0.25">
      <c r="A1903" s="12"/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</row>
    <row r="1904" spans="1:38" ht="13.2" x14ac:dyDescent="0.25">
      <c r="A1904" s="12"/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</row>
    <row r="1905" spans="1:38" ht="13.2" x14ac:dyDescent="0.25">
      <c r="A1905" s="12"/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</row>
    <row r="1906" spans="1:38" ht="13.2" x14ac:dyDescent="0.25">
      <c r="A1906" s="12"/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</row>
    <row r="1907" spans="1:38" ht="13.2" x14ac:dyDescent="0.25">
      <c r="A1907" s="12"/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</row>
    <row r="1908" spans="1:38" ht="13.2" x14ac:dyDescent="0.25">
      <c r="A1908" s="12"/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</row>
    <row r="1909" spans="1:38" ht="13.2" x14ac:dyDescent="0.25">
      <c r="A1909" s="12"/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</row>
    <row r="1910" spans="1:38" ht="13.2" x14ac:dyDescent="0.25">
      <c r="A1910" s="12"/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</row>
    <row r="1911" spans="1:38" ht="13.2" x14ac:dyDescent="0.25">
      <c r="A1911" s="12"/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</row>
    <row r="1912" spans="1:38" ht="13.2" x14ac:dyDescent="0.25">
      <c r="A1912" s="12"/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</row>
    <row r="1913" spans="1:38" ht="13.2" x14ac:dyDescent="0.25">
      <c r="A1913" s="12"/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</row>
    <row r="1914" spans="1:38" ht="13.2" x14ac:dyDescent="0.25">
      <c r="A1914" s="12"/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</row>
    <row r="1915" spans="1:38" ht="13.2" x14ac:dyDescent="0.25">
      <c r="A1915" s="12"/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</row>
    <row r="1916" spans="1:38" ht="13.2" x14ac:dyDescent="0.25">
      <c r="A1916" s="12"/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</row>
    <row r="1917" spans="1:38" ht="13.2" x14ac:dyDescent="0.25">
      <c r="A1917" s="12"/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</row>
    <row r="1918" spans="1:38" ht="13.2" x14ac:dyDescent="0.25">
      <c r="A1918" s="12"/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</row>
    <row r="1919" spans="1:38" ht="13.2" x14ac:dyDescent="0.25">
      <c r="A1919" s="12"/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</row>
    <row r="1920" spans="1:38" ht="13.2" x14ac:dyDescent="0.25">
      <c r="A1920" s="12"/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</row>
    <row r="1921" spans="1:38" ht="13.2" x14ac:dyDescent="0.25">
      <c r="A1921" s="12"/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</row>
    <row r="1922" spans="1:38" ht="13.2" x14ac:dyDescent="0.25">
      <c r="A1922" s="12"/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</row>
    <row r="1923" spans="1:38" ht="13.2" x14ac:dyDescent="0.25">
      <c r="A1923" s="12"/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</row>
    <row r="1924" spans="1:38" ht="13.2" x14ac:dyDescent="0.25">
      <c r="A1924" s="12"/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</row>
    <row r="1925" spans="1:38" ht="13.2" x14ac:dyDescent="0.25">
      <c r="A1925" s="12"/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</row>
    <row r="1926" spans="1:38" ht="13.2" x14ac:dyDescent="0.25">
      <c r="A1926" s="12"/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</row>
    <row r="1927" spans="1:38" ht="13.2" x14ac:dyDescent="0.25">
      <c r="A1927" s="12"/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</row>
    <row r="1928" spans="1:38" ht="13.2" x14ac:dyDescent="0.25">
      <c r="A1928" s="12"/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</row>
    <row r="1929" spans="1:38" ht="13.2" x14ac:dyDescent="0.25">
      <c r="A1929" s="12"/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</row>
    <row r="1930" spans="1:38" ht="13.2" x14ac:dyDescent="0.25">
      <c r="A1930" s="12"/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</row>
    <row r="1931" spans="1:38" ht="13.2" x14ac:dyDescent="0.25">
      <c r="A1931" s="12"/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</row>
    <row r="1932" spans="1:38" ht="13.2" x14ac:dyDescent="0.25">
      <c r="A1932" s="12"/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</row>
    <row r="1933" spans="1:38" ht="13.2" x14ac:dyDescent="0.25">
      <c r="A1933" s="12"/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</row>
    <row r="1934" spans="1:38" ht="13.2" x14ac:dyDescent="0.25">
      <c r="A1934" s="12"/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</row>
    <row r="1935" spans="1:38" ht="13.2" x14ac:dyDescent="0.25">
      <c r="A1935" s="12"/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</row>
    <row r="1936" spans="1:38" ht="13.2" x14ac:dyDescent="0.25">
      <c r="A1936" s="12"/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</row>
    <row r="1937" spans="1:38" ht="13.2" x14ac:dyDescent="0.25">
      <c r="A1937" s="12"/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</row>
    <row r="1938" spans="1:38" ht="13.2" x14ac:dyDescent="0.25">
      <c r="A1938" s="12"/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</row>
    <row r="1939" spans="1:38" ht="13.2" x14ac:dyDescent="0.25">
      <c r="A1939" s="12"/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</row>
    <row r="1940" spans="1:38" ht="13.2" x14ac:dyDescent="0.25">
      <c r="A1940" s="12"/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</row>
    <row r="1941" spans="1:38" ht="13.2" x14ac:dyDescent="0.25">
      <c r="A1941" s="12"/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</row>
    <row r="1942" spans="1:38" ht="13.2" x14ac:dyDescent="0.25">
      <c r="A1942" s="12"/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</row>
    <row r="1943" spans="1:38" ht="13.2" x14ac:dyDescent="0.25">
      <c r="A1943" s="12"/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</row>
    <row r="1944" spans="1:38" ht="13.2" x14ac:dyDescent="0.25">
      <c r="A1944" s="12"/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</row>
    <row r="1945" spans="1:38" ht="13.2" x14ac:dyDescent="0.25">
      <c r="A1945" s="12"/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</row>
    <row r="1946" spans="1:38" ht="13.2" x14ac:dyDescent="0.25">
      <c r="A1946" s="12"/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</row>
    <row r="1947" spans="1:38" ht="13.2" x14ac:dyDescent="0.25">
      <c r="A1947" s="12"/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</row>
    <row r="1948" spans="1:38" ht="13.2" x14ac:dyDescent="0.25">
      <c r="A1948" s="12"/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</row>
    <row r="1949" spans="1:38" ht="13.2" x14ac:dyDescent="0.25">
      <c r="A1949" s="12"/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</row>
    <row r="1950" spans="1:38" ht="13.2" x14ac:dyDescent="0.25">
      <c r="A1950" s="12"/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</row>
    <row r="1951" spans="1:38" ht="13.2" x14ac:dyDescent="0.25">
      <c r="A1951" s="12"/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</row>
    <row r="1952" spans="1:38" ht="13.2" x14ac:dyDescent="0.25">
      <c r="A1952" s="12"/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</row>
    <row r="1953" spans="1:38" ht="13.2" x14ac:dyDescent="0.25">
      <c r="A1953" s="12"/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</row>
    <row r="1954" spans="1:38" ht="13.2" x14ac:dyDescent="0.25">
      <c r="A1954" s="12"/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</row>
    <row r="1955" spans="1:38" ht="13.2" x14ac:dyDescent="0.25">
      <c r="A1955" s="12"/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</row>
    <row r="1956" spans="1:38" ht="13.2" x14ac:dyDescent="0.25">
      <c r="A1956" s="12"/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</row>
    <row r="1957" spans="1:38" ht="13.2" x14ac:dyDescent="0.25">
      <c r="A1957" s="12"/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</row>
    <row r="1958" spans="1:38" ht="13.2" x14ac:dyDescent="0.25">
      <c r="A1958" s="12"/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</row>
    <row r="1959" spans="1:38" ht="13.2" x14ac:dyDescent="0.25">
      <c r="A1959" s="12"/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</row>
    <row r="1960" spans="1:38" ht="13.2" x14ac:dyDescent="0.25">
      <c r="A1960" s="12"/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</row>
    <row r="1961" spans="1:38" ht="13.2" x14ac:dyDescent="0.25">
      <c r="A1961" s="12"/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</row>
    <row r="1962" spans="1:38" ht="13.2" x14ac:dyDescent="0.25">
      <c r="A1962" s="12"/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</row>
    <row r="1963" spans="1:38" ht="13.2" x14ac:dyDescent="0.25">
      <c r="A1963" s="12"/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</row>
    <row r="1964" spans="1:38" ht="13.2" x14ac:dyDescent="0.25">
      <c r="A1964" s="12"/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</row>
    <row r="1965" spans="1:38" ht="13.2" x14ac:dyDescent="0.25">
      <c r="A1965" s="12"/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</row>
    <row r="1966" spans="1:38" ht="13.2" x14ac:dyDescent="0.25">
      <c r="A1966" s="12"/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</row>
    <row r="1967" spans="1:38" ht="13.2" x14ac:dyDescent="0.25">
      <c r="A1967" s="12"/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</row>
    <row r="1968" spans="1:38" ht="13.2" x14ac:dyDescent="0.25">
      <c r="A1968" s="12"/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</row>
    <row r="1969" spans="1:38" ht="13.2" x14ac:dyDescent="0.25">
      <c r="A1969" s="12"/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</row>
    <row r="1970" spans="1:38" ht="13.2" x14ac:dyDescent="0.25">
      <c r="A1970" s="12"/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</row>
    <row r="1971" spans="1:38" ht="13.2" x14ac:dyDescent="0.25">
      <c r="A1971" s="12"/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</row>
    <row r="1972" spans="1:38" ht="13.2" x14ac:dyDescent="0.25">
      <c r="A1972" s="12"/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</row>
    <row r="1973" spans="1:38" ht="13.2" x14ac:dyDescent="0.25">
      <c r="A1973" s="12"/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</row>
    <row r="1974" spans="1:38" ht="13.2" x14ac:dyDescent="0.25">
      <c r="A1974" s="12"/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</row>
    <row r="1975" spans="1:38" ht="13.2" x14ac:dyDescent="0.25">
      <c r="A1975" s="12"/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</row>
    <row r="1976" spans="1:38" ht="13.2" x14ac:dyDescent="0.25">
      <c r="A1976" s="12"/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</row>
    <row r="1977" spans="1:38" ht="13.2" x14ac:dyDescent="0.25">
      <c r="A1977" s="12"/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</row>
    <row r="1978" spans="1:38" ht="13.2" x14ac:dyDescent="0.25">
      <c r="A1978" s="12"/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</row>
    <row r="1979" spans="1:38" ht="13.2" x14ac:dyDescent="0.25">
      <c r="A1979" s="12"/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</row>
    <row r="1980" spans="1:38" ht="13.2" x14ac:dyDescent="0.25">
      <c r="A1980" s="12"/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</row>
    <row r="1981" spans="1:38" ht="13.2" x14ac:dyDescent="0.25">
      <c r="A1981" s="12"/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</row>
    <row r="1982" spans="1:38" ht="13.2" x14ac:dyDescent="0.25">
      <c r="A1982" s="12"/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</row>
    <row r="1983" spans="1:38" ht="13.2" x14ac:dyDescent="0.25">
      <c r="A1983" s="12"/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</row>
    <row r="1984" spans="1:38" ht="13.2" x14ac:dyDescent="0.25">
      <c r="A1984" s="12"/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</row>
    <row r="1985" spans="1:38" ht="13.2" x14ac:dyDescent="0.25">
      <c r="A1985" s="12"/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</row>
    <row r="1986" spans="1:38" ht="13.2" x14ac:dyDescent="0.25">
      <c r="A1986" s="12"/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</row>
    <row r="1987" spans="1:38" ht="13.2" x14ac:dyDescent="0.25">
      <c r="A1987" s="12"/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</row>
    <row r="1988" spans="1:38" ht="13.2" x14ac:dyDescent="0.25">
      <c r="A1988" s="12"/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</row>
    <row r="1989" spans="1:38" ht="13.2" x14ac:dyDescent="0.25">
      <c r="A1989" s="12"/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</row>
    <row r="1990" spans="1:38" ht="13.2" x14ac:dyDescent="0.25">
      <c r="A1990" s="12"/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</row>
    <row r="1991" spans="1:38" ht="13.2" x14ac:dyDescent="0.25">
      <c r="A1991" s="12"/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</row>
    <row r="1992" spans="1:38" ht="13.2" x14ac:dyDescent="0.25">
      <c r="A1992" s="12"/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</row>
    <row r="1993" spans="1:38" ht="13.2" x14ac:dyDescent="0.25">
      <c r="A1993" s="12"/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</row>
    <row r="1994" spans="1:38" ht="13.2" x14ac:dyDescent="0.25">
      <c r="A1994" s="12"/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</row>
    <row r="1995" spans="1:38" ht="13.2" x14ac:dyDescent="0.25">
      <c r="A1995" s="12"/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</row>
    <row r="1996" spans="1:38" ht="13.2" x14ac:dyDescent="0.25">
      <c r="A1996" s="12"/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</row>
    <row r="1997" spans="1:38" ht="13.2" x14ac:dyDescent="0.25">
      <c r="A1997" s="12"/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</row>
    <row r="1998" spans="1:38" ht="13.2" x14ac:dyDescent="0.25">
      <c r="A1998" s="12"/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</row>
    <row r="1999" spans="1:38" ht="13.2" x14ac:dyDescent="0.25">
      <c r="A1999" s="12"/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</row>
    <row r="2000" spans="1:38" ht="13.2" x14ac:dyDescent="0.25">
      <c r="A2000" s="12"/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</row>
    <row r="2001" spans="1:38" ht="13.2" x14ac:dyDescent="0.25">
      <c r="A2001" s="12"/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</row>
    <row r="2002" spans="1:38" ht="13.2" x14ac:dyDescent="0.25">
      <c r="A2002" s="12"/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</row>
    <row r="2003" spans="1:38" ht="13.2" x14ac:dyDescent="0.25">
      <c r="A2003" s="12"/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</row>
    <row r="2004" spans="1:38" ht="13.2" x14ac:dyDescent="0.25">
      <c r="A2004" s="12"/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</row>
    <row r="2005" spans="1:38" ht="13.2" x14ac:dyDescent="0.25">
      <c r="A2005" s="12"/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</row>
    <row r="2006" spans="1:38" ht="13.2" x14ac:dyDescent="0.25">
      <c r="A2006" s="12"/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</row>
    <row r="2007" spans="1:38" ht="13.2" x14ac:dyDescent="0.25">
      <c r="A2007" s="12"/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</row>
    <row r="2008" spans="1:38" ht="13.2" x14ac:dyDescent="0.25">
      <c r="A2008" s="12"/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</row>
    <row r="2009" spans="1:38" ht="13.2" x14ac:dyDescent="0.25">
      <c r="A2009" s="12"/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</row>
    <row r="2010" spans="1:38" ht="13.2" x14ac:dyDescent="0.25">
      <c r="A2010" s="12"/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</row>
    <row r="2011" spans="1:38" ht="13.2" x14ac:dyDescent="0.25">
      <c r="A2011" s="12"/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</row>
    <row r="2012" spans="1:38" ht="13.2" x14ac:dyDescent="0.25">
      <c r="A2012" s="12"/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</row>
    <row r="2013" spans="1:38" ht="13.2" x14ac:dyDescent="0.25">
      <c r="A2013" s="12"/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</row>
    <row r="2014" spans="1:38" ht="13.2" x14ac:dyDescent="0.25">
      <c r="A2014" s="12"/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</row>
    <row r="2015" spans="1:38" ht="13.2" x14ac:dyDescent="0.25">
      <c r="A2015" s="12"/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</row>
    <row r="2016" spans="1:38" ht="13.2" x14ac:dyDescent="0.25">
      <c r="A2016" s="12"/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</row>
    <row r="2017" spans="1:38" ht="13.2" x14ac:dyDescent="0.25">
      <c r="A2017" s="12"/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</row>
    <row r="2018" spans="1:38" ht="13.2" x14ac:dyDescent="0.25">
      <c r="A2018" s="12"/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</row>
    <row r="2019" spans="1:38" ht="13.2" x14ac:dyDescent="0.25">
      <c r="A2019" s="12"/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</row>
    <row r="2020" spans="1:38" ht="13.2" x14ac:dyDescent="0.25">
      <c r="A2020" s="12"/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</row>
    <row r="2021" spans="1:38" ht="13.2" x14ac:dyDescent="0.25">
      <c r="A2021" s="12"/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</row>
    <row r="2022" spans="1:38" ht="13.2" x14ac:dyDescent="0.25">
      <c r="A2022" s="12"/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</row>
    <row r="2023" spans="1:38" ht="13.2" x14ac:dyDescent="0.25">
      <c r="A2023" s="12"/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</row>
    <row r="2024" spans="1:38" ht="13.2" x14ac:dyDescent="0.25">
      <c r="A2024" s="12"/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</row>
    <row r="2025" spans="1:38" ht="13.2" x14ac:dyDescent="0.25">
      <c r="A2025" s="12"/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</row>
    <row r="2026" spans="1:38" ht="13.2" x14ac:dyDescent="0.25">
      <c r="A2026" s="12"/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</row>
    <row r="2027" spans="1:38" ht="13.2" x14ac:dyDescent="0.25">
      <c r="A2027" s="12"/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</row>
    <row r="2028" spans="1:38" ht="13.2" x14ac:dyDescent="0.25">
      <c r="A2028" s="12"/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</row>
    <row r="2029" spans="1:38" ht="13.2" x14ac:dyDescent="0.25">
      <c r="A2029" s="12"/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</row>
    <row r="2030" spans="1:38" ht="13.2" x14ac:dyDescent="0.25">
      <c r="A2030" s="12"/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</row>
    <row r="2031" spans="1:38" ht="13.2" x14ac:dyDescent="0.25">
      <c r="A2031" s="12"/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</row>
    <row r="2032" spans="1:38" ht="13.2" x14ac:dyDescent="0.25">
      <c r="A2032" s="12"/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</row>
    <row r="2033" spans="1:38" ht="13.2" x14ac:dyDescent="0.25">
      <c r="A2033" s="12"/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</row>
    <row r="2034" spans="1:38" ht="13.2" x14ac:dyDescent="0.25">
      <c r="A2034" s="12"/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</row>
    <row r="2035" spans="1:38" ht="13.2" x14ac:dyDescent="0.25">
      <c r="A2035" s="12"/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</row>
    <row r="2036" spans="1:38" ht="13.2" x14ac:dyDescent="0.25">
      <c r="A2036" s="12"/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</row>
    <row r="2037" spans="1:38" ht="13.2" x14ac:dyDescent="0.25">
      <c r="A2037" s="12"/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</row>
    <row r="2038" spans="1:38" ht="13.2" x14ac:dyDescent="0.25">
      <c r="A2038" s="12"/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</row>
    <row r="2039" spans="1:38" ht="13.2" x14ac:dyDescent="0.25">
      <c r="A2039" s="12"/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</row>
    <row r="2040" spans="1:38" ht="13.2" x14ac:dyDescent="0.25">
      <c r="A2040" s="12"/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</row>
    <row r="2041" spans="1:38" ht="13.2" x14ac:dyDescent="0.25">
      <c r="A2041" s="12"/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</row>
    <row r="2042" spans="1:38" ht="13.2" x14ac:dyDescent="0.25">
      <c r="A2042" s="12"/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</row>
    <row r="2043" spans="1:38" ht="13.2" x14ac:dyDescent="0.25">
      <c r="A2043" s="12"/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</row>
    <row r="2044" spans="1:38" ht="13.2" x14ac:dyDescent="0.25">
      <c r="A2044" s="12"/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</row>
    <row r="2045" spans="1:38" ht="13.2" x14ac:dyDescent="0.25">
      <c r="A2045" s="12"/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</row>
    <row r="2046" spans="1:38" ht="13.2" x14ac:dyDescent="0.25">
      <c r="A2046" s="12"/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</row>
    <row r="2047" spans="1:38" ht="13.2" x14ac:dyDescent="0.25">
      <c r="A2047" s="12"/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</row>
    <row r="2048" spans="1:38" ht="13.2" x14ac:dyDescent="0.25">
      <c r="A2048" s="12"/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</row>
    <row r="2049" spans="1:38" ht="13.2" x14ac:dyDescent="0.25">
      <c r="A2049" s="12"/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</row>
    <row r="2050" spans="1:38" ht="13.2" x14ac:dyDescent="0.25">
      <c r="A2050" s="12"/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</row>
    <row r="2051" spans="1:38" ht="13.2" x14ac:dyDescent="0.25">
      <c r="A2051" s="12"/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</row>
    <row r="2052" spans="1:38" ht="13.2" x14ac:dyDescent="0.25">
      <c r="A2052" s="12"/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</row>
    <row r="2053" spans="1:38" ht="13.2" x14ac:dyDescent="0.25">
      <c r="A2053" s="12"/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</row>
    <row r="2054" spans="1:38" ht="13.2" x14ac:dyDescent="0.25">
      <c r="A2054" s="12"/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</row>
    <row r="2055" spans="1:38" ht="13.2" x14ac:dyDescent="0.25">
      <c r="A2055" s="12"/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</row>
    <row r="2056" spans="1:38" ht="13.2" x14ac:dyDescent="0.25">
      <c r="A2056" s="12"/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</row>
    <row r="2057" spans="1:38" ht="13.2" x14ac:dyDescent="0.25">
      <c r="A2057" s="12"/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</row>
    <row r="2058" spans="1:38" ht="13.2" x14ac:dyDescent="0.25">
      <c r="A2058" s="12"/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</row>
    <row r="2059" spans="1:38" ht="13.2" x14ac:dyDescent="0.25">
      <c r="A2059" s="12"/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</row>
    <row r="2060" spans="1:38" ht="13.2" x14ac:dyDescent="0.25">
      <c r="A2060" s="12"/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</row>
    <row r="2061" spans="1:38" ht="13.2" x14ac:dyDescent="0.25">
      <c r="A2061" s="12"/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</row>
    <row r="2062" spans="1:38" ht="13.2" x14ac:dyDescent="0.25">
      <c r="A2062" s="12"/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</row>
    <row r="2063" spans="1:38" ht="13.2" x14ac:dyDescent="0.25">
      <c r="A2063" s="12"/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</row>
    <row r="2064" spans="1:38" ht="13.2" x14ac:dyDescent="0.25">
      <c r="A2064" s="12"/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</row>
    <row r="2065" spans="1:38" ht="13.2" x14ac:dyDescent="0.25">
      <c r="A2065" s="12"/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</row>
    <row r="2066" spans="1:38" ht="13.2" x14ac:dyDescent="0.25">
      <c r="A2066" s="12"/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</row>
    <row r="2067" spans="1:38" ht="13.2" x14ac:dyDescent="0.25">
      <c r="A2067" s="12"/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</row>
    <row r="2068" spans="1:38" ht="13.2" x14ac:dyDescent="0.25">
      <c r="A2068" s="12"/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</row>
    <row r="2069" spans="1:38" ht="13.2" x14ac:dyDescent="0.25">
      <c r="A2069" s="12"/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</row>
    <row r="2070" spans="1:38" ht="13.2" x14ac:dyDescent="0.25">
      <c r="A2070" s="12"/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</row>
    <row r="2071" spans="1:38" ht="13.2" x14ac:dyDescent="0.25">
      <c r="A2071" s="12"/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</row>
    <row r="2072" spans="1:38" ht="13.2" x14ac:dyDescent="0.25">
      <c r="A2072" s="12"/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</row>
    <row r="2073" spans="1:38" ht="13.2" x14ac:dyDescent="0.25">
      <c r="A2073" s="12"/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</row>
    <row r="2074" spans="1:38" ht="13.2" x14ac:dyDescent="0.25">
      <c r="A2074" s="12"/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</row>
    <row r="2075" spans="1:38" ht="13.2" x14ac:dyDescent="0.25">
      <c r="A2075" s="12"/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</row>
    <row r="2076" spans="1:38" ht="13.2" x14ac:dyDescent="0.25">
      <c r="A2076" s="12"/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</row>
    <row r="2077" spans="1:38" ht="13.2" x14ac:dyDescent="0.25">
      <c r="A2077" s="12"/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</row>
    <row r="2078" spans="1:38" ht="13.2" x14ac:dyDescent="0.25">
      <c r="A2078" s="12"/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</row>
    <row r="2079" spans="1:38" ht="13.2" x14ac:dyDescent="0.25">
      <c r="A2079" s="12"/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</row>
    <row r="2080" spans="1:38" ht="13.2" x14ac:dyDescent="0.25">
      <c r="A2080" s="12"/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</row>
    <row r="2081" spans="1:38" ht="13.2" x14ac:dyDescent="0.25">
      <c r="A2081" s="12"/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</row>
    <row r="2082" spans="1:38" ht="13.2" x14ac:dyDescent="0.25">
      <c r="A2082" s="12"/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</row>
    <row r="2083" spans="1:38" ht="13.2" x14ac:dyDescent="0.25">
      <c r="A2083" s="12"/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</row>
    <row r="2084" spans="1:38" ht="13.2" x14ac:dyDescent="0.25">
      <c r="A2084" s="12"/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</row>
    <row r="2085" spans="1:38" ht="13.2" x14ac:dyDescent="0.25">
      <c r="A2085" s="12"/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</row>
    <row r="2086" spans="1:38" ht="13.2" x14ac:dyDescent="0.25">
      <c r="A2086" s="12"/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</row>
    <row r="2087" spans="1:38" ht="13.2" x14ac:dyDescent="0.25">
      <c r="A2087" s="12"/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</row>
    <row r="2088" spans="1:38" ht="13.2" x14ac:dyDescent="0.25">
      <c r="A2088" s="12"/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</row>
    <row r="2089" spans="1:38" ht="13.2" x14ac:dyDescent="0.25">
      <c r="A2089" s="12"/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</row>
    <row r="2090" spans="1:38" ht="13.2" x14ac:dyDescent="0.25">
      <c r="A2090" s="12"/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</row>
    <row r="2091" spans="1:38" ht="13.2" x14ac:dyDescent="0.25">
      <c r="A2091" s="12"/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</row>
    <row r="2092" spans="1:38" ht="13.2" x14ac:dyDescent="0.25">
      <c r="A2092" s="12"/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</row>
    <row r="2093" spans="1:38" ht="13.2" x14ac:dyDescent="0.25">
      <c r="A2093" s="12"/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</row>
    <row r="2094" spans="1:38" ht="13.2" x14ac:dyDescent="0.25">
      <c r="A2094" s="12"/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</row>
    <row r="2095" spans="1:38" ht="13.2" x14ac:dyDescent="0.25">
      <c r="A2095" s="12"/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</row>
    <row r="2096" spans="1:38" ht="13.2" x14ac:dyDescent="0.25">
      <c r="A2096" s="12"/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</row>
    <row r="2097" spans="1:38" ht="13.2" x14ac:dyDescent="0.25">
      <c r="A2097" s="12"/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</row>
    <row r="2098" spans="1:38" ht="13.2" x14ac:dyDescent="0.25">
      <c r="A2098" s="12"/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</row>
    <row r="2099" spans="1:38" ht="13.2" x14ac:dyDescent="0.25">
      <c r="A2099" s="12"/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</row>
    <row r="2100" spans="1:38" ht="13.2" x14ac:dyDescent="0.25">
      <c r="A2100" s="12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</row>
    <row r="2101" spans="1:38" ht="13.2" x14ac:dyDescent="0.25">
      <c r="A2101" s="12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</row>
    <row r="2102" spans="1:38" ht="13.2" x14ac:dyDescent="0.25">
      <c r="A2102" s="12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</row>
    <row r="2103" spans="1:38" ht="13.2" x14ac:dyDescent="0.25">
      <c r="A2103" s="12"/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</row>
    <row r="2104" spans="1:38" ht="13.2" x14ac:dyDescent="0.25">
      <c r="A2104" s="12"/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</row>
    <row r="2105" spans="1:38" ht="13.2" x14ac:dyDescent="0.25">
      <c r="A2105" s="12"/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</row>
    <row r="2106" spans="1:38" ht="13.2" x14ac:dyDescent="0.25">
      <c r="A2106" s="12"/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</row>
    <row r="2107" spans="1:38" ht="13.2" x14ac:dyDescent="0.25">
      <c r="A2107" s="12"/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</row>
    <row r="2108" spans="1:38" ht="13.2" x14ac:dyDescent="0.25">
      <c r="A2108" s="12"/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</row>
    <row r="2109" spans="1:38" ht="13.2" x14ac:dyDescent="0.25">
      <c r="A2109" s="12"/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</row>
    <row r="2110" spans="1:38" ht="13.2" x14ac:dyDescent="0.25">
      <c r="A2110" s="12"/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</row>
    <row r="2111" spans="1:38" ht="13.2" x14ac:dyDescent="0.25">
      <c r="A2111" s="12"/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</row>
    <row r="2112" spans="1:38" ht="13.2" x14ac:dyDescent="0.25">
      <c r="A2112" s="12"/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</row>
    <row r="2113" spans="1:38" ht="13.2" x14ac:dyDescent="0.25">
      <c r="A2113" s="12"/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</row>
    <row r="2114" spans="1:38" ht="13.2" x14ac:dyDescent="0.25">
      <c r="A2114" s="12"/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</row>
    <row r="2115" spans="1:38" ht="13.2" x14ac:dyDescent="0.25">
      <c r="A2115" s="12"/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</row>
    <row r="2116" spans="1:38" ht="13.2" x14ac:dyDescent="0.25">
      <c r="A2116" s="12"/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</row>
    <row r="2117" spans="1:38" ht="13.2" x14ac:dyDescent="0.25">
      <c r="A2117" s="12"/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</row>
    <row r="2118" spans="1:38" ht="13.2" x14ac:dyDescent="0.25">
      <c r="A2118" s="12"/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  <c r="O2118" s="12"/>
      <c r="P2118" s="12"/>
      <c r="Q2118" s="12"/>
      <c r="R2118" s="12"/>
      <c r="S2118" s="12"/>
      <c r="T2118" s="12"/>
      <c r="U2118" s="12"/>
      <c r="V2118" s="12"/>
      <c r="W2118" s="12"/>
      <c r="X2118" s="12"/>
      <c r="Y2118" s="12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</row>
    <row r="2119" spans="1:38" ht="13.2" x14ac:dyDescent="0.25">
      <c r="A2119" s="12"/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  <c r="O2119" s="12"/>
      <c r="P2119" s="12"/>
      <c r="Q2119" s="12"/>
      <c r="R2119" s="12"/>
      <c r="S2119" s="12"/>
      <c r="T2119" s="12"/>
      <c r="U2119" s="12"/>
      <c r="V2119" s="12"/>
      <c r="W2119" s="12"/>
      <c r="X2119" s="12"/>
      <c r="Y2119" s="12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</row>
    <row r="2120" spans="1:38" ht="13.2" x14ac:dyDescent="0.25">
      <c r="A2120" s="12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  <c r="T2120" s="12"/>
      <c r="U2120" s="12"/>
      <c r="V2120" s="12"/>
      <c r="W2120" s="12"/>
      <c r="X2120" s="12"/>
      <c r="Y2120" s="12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</row>
    <row r="2121" spans="1:38" ht="13.2" x14ac:dyDescent="0.25">
      <c r="A2121" s="12"/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  <c r="O2121" s="12"/>
      <c r="P2121" s="12"/>
      <c r="Q2121" s="12"/>
      <c r="R2121" s="12"/>
      <c r="S2121" s="12"/>
      <c r="T2121" s="12"/>
      <c r="U2121" s="12"/>
      <c r="V2121" s="12"/>
      <c r="W2121" s="12"/>
      <c r="X2121" s="12"/>
      <c r="Y2121" s="12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</row>
    <row r="2122" spans="1:38" ht="13.2" x14ac:dyDescent="0.25">
      <c r="A2122" s="12"/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  <c r="O2122" s="12"/>
      <c r="P2122" s="12"/>
      <c r="Q2122" s="12"/>
      <c r="R2122" s="12"/>
      <c r="S2122" s="12"/>
      <c r="T2122" s="12"/>
      <c r="U2122" s="12"/>
      <c r="V2122" s="12"/>
      <c r="W2122" s="12"/>
      <c r="X2122" s="12"/>
      <c r="Y2122" s="12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</row>
    <row r="2123" spans="1:38" ht="13.2" x14ac:dyDescent="0.25">
      <c r="A2123" s="12"/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  <c r="O2123" s="12"/>
      <c r="P2123" s="12"/>
      <c r="Q2123" s="12"/>
      <c r="R2123" s="12"/>
      <c r="S2123" s="12"/>
      <c r="T2123" s="12"/>
      <c r="U2123" s="12"/>
      <c r="V2123" s="12"/>
      <c r="W2123" s="12"/>
      <c r="X2123" s="12"/>
      <c r="Y2123" s="12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</row>
    <row r="2124" spans="1:38" ht="13.2" x14ac:dyDescent="0.25">
      <c r="A2124" s="12"/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  <c r="O2124" s="12"/>
      <c r="P2124" s="12"/>
      <c r="Q2124" s="12"/>
      <c r="R2124" s="12"/>
      <c r="S2124" s="12"/>
      <c r="T2124" s="12"/>
      <c r="U2124" s="12"/>
      <c r="V2124" s="12"/>
      <c r="W2124" s="12"/>
      <c r="X2124" s="12"/>
      <c r="Y2124" s="12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</row>
    <row r="2125" spans="1:38" ht="13.2" x14ac:dyDescent="0.25">
      <c r="A2125" s="12"/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  <c r="O2125" s="12"/>
      <c r="P2125" s="12"/>
      <c r="Q2125" s="12"/>
      <c r="R2125" s="12"/>
      <c r="S2125" s="12"/>
      <c r="T2125" s="12"/>
      <c r="U2125" s="12"/>
      <c r="V2125" s="12"/>
      <c r="W2125" s="12"/>
      <c r="X2125" s="12"/>
      <c r="Y2125" s="12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</row>
    <row r="2126" spans="1:38" ht="13.2" x14ac:dyDescent="0.25">
      <c r="A2126" s="12"/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  <c r="O2126" s="12"/>
      <c r="P2126" s="12"/>
      <c r="Q2126" s="12"/>
      <c r="R2126" s="12"/>
      <c r="S2126" s="12"/>
      <c r="T2126" s="12"/>
      <c r="U2126" s="12"/>
      <c r="V2126" s="12"/>
      <c r="W2126" s="12"/>
      <c r="X2126" s="12"/>
      <c r="Y2126" s="12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</row>
    <row r="2127" spans="1:38" ht="13.2" x14ac:dyDescent="0.25">
      <c r="A2127" s="12"/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  <c r="O2127" s="12"/>
      <c r="P2127" s="12"/>
      <c r="Q2127" s="12"/>
      <c r="R2127" s="12"/>
      <c r="S2127" s="12"/>
      <c r="T2127" s="12"/>
      <c r="U2127" s="12"/>
      <c r="V2127" s="12"/>
      <c r="W2127" s="12"/>
      <c r="X2127" s="12"/>
      <c r="Y2127" s="12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</row>
    <row r="2128" spans="1:38" ht="13.2" x14ac:dyDescent="0.25">
      <c r="A2128" s="12"/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  <c r="O2128" s="12"/>
      <c r="P2128" s="12"/>
      <c r="Q2128" s="12"/>
      <c r="R2128" s="12"/>
      <c r="S2128" s="12"/>
      <c r="T2128" s="12"/>
      <c r="U2128" s="12"/>
      <c r="V2128" s="12"/>
      <c r="W2128" s="12"/>
      <c r="X2128" s="12"/>
      <c r="Y2128" s="12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</row>
    <row r="2129" spans="1:38" ht="13.2" x14ac:dyDescent="0.25">
      <c r="A2129" s="12"/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  <c r="O2129" s="12"/>
      <c r="P2129" s="12"/>
      <c r="Q2129" s="12"/>
      <c r="R2129" s="12"/>
      <c r="S2129" s="12"/>
      <c r="T2129" s="12"/>
      <c r="U2129" s="12"/>
      <c r="V2129" s="12"/>
      <c r="W2129" s="12"/>
      <c r="X2129" s="12"/>
      <c r="Y2129" s="12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</row>
    <row r="2130" spans="1:38" ht="13.2" x14ac:dyDescent="0.25">
      <c r="A2130" s="12"/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  <c r="O2130" s="12"/>
      <c r="P2130" s="12"/>
      <c r="Q2130" s="12"/>
      <c r="R2130" s="12"/>
      <c r="S2130" s="12"/>
      <c r="T2130" s="12"/>
      <c r="U2130" s="12"/>
      <c r="V2130" s="12"/>
      <c r="W2130" s="12"/>
      <c r="X2130" s="12"/>
      <c r="Y2130" s="12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</row>
    <row r="2131" spans="1:38" ht="13.2" x14ac:dyDescent="0.25">
      <c r="A2131" s="12"/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  <c r="O2131" s="12"/>
      <c r="P2131" s="12"/>
      <c r="Q2131" s="12"/>
      <c r="R2131" s="12"/>
      <c r="S2131" s="12"/>
      <c r="T2131" s="12"/>
      <c r="U2131" s="12"/>
      <c r="V2131" s="12"/>
      <c r="W2131" s="12"/>
      <c r="X2131" s="12"/>
      <c r="Y2131" s="12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</row>
    <row r="2132" spans="1:38" ht="13.2" x14ac:dyDescent="0.25">
      <c r="A2132" s="12"/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  <c r="O2132" s="12"/>
      <c r="P2132" s="12"/>
      <c r="Q2132" s="12"/>
      <c r="R2132" s="12"/>
      <c r="S2132" s="12"/>
      <c r="T2132" s="12"/>
      <c r="U2132" s="12"/>
      <c r="V2132" s="12"/>
      <c r="W2132" s="12"/>
      <c r="X2132" s="12"/>
      <c r="Y2132" s="12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</row>
    <row r="2133" spans="1:38" ht="13.2" x14ac:dyDescent="0.25">
      <c r="A2133" s="12"/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  <c r="O2133" s="12"/>
      <c r="P2133" s="12"/>
      <c r="Q2133" s="12"/>
      <c r="R2133" s="12"/>
      <c r="S2133" s="12"/>
      <c r="T2133" s="12"/>
      <c r="U2133" s="12"/>
      <c r="V2133" s="12"/>
      <c r="W2133" s="12"/>
      <c r="X2133" s="12"/>
      <c r="Y2133" s="12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</row>
    <row r="2134" spans="1:38" ht="13.2" x14ac:dyDescent="0.25">
      <c r="A2134" s="12"/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  <c r="O2134" s="12"/>
      <c r="P2134" s="12"/>
      <c r="Q2134" s="12"/>
      <c r="R2134" s="12"/>
      <c r="S2134" s="12"/>
      <c r="T2134" s="12"/>
      <c r="U2134" s="12"/>
      <c r="V2134" s="12"/>
      <c r="W2134" s="12"/>
      <c r="X2134" s="12"/>
      <c r="Y2134" s="12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</row>
    <row r="2135" spans="1:38" ht="13.2" x14ac:dyDescent="0.25">
      <c r="A2135" s="12"/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  <c r="O2135" s="12"/>
      <c r="P2135" s="12"/>
      <c r="Q2135" s="12"/>
      <c r="R2135" s="12"/>
      <c r="S2135" s="12"/>
      <c r="T2135" s="12"/>
      <c r="U2135" s="12"/>
      <c r="V2135" s="12"/>
      <c r="W2135" s="12"/>
      <c r="X2135" s="12"/>
      <c r="Y2135" s="12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</row>
    <row r="2136" spans="1:38" ht="13.2" x14ac:dyDescent="0.25">
      <c r="A2136" s="12"/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  <c r="O2136" s="12"/>
      <c r="P2136" s="12"/>
      <c r="Q2136" s="12"/>
      <c r="R2136" s="12"/>
      <c r="S2136" s="12"/>
      <c r="T2136" s="12"/>
      <c r="U2136" s="12"/>
      <c r="V2136" s="12"/>
      <c r="W2136" s="12"/>
      <c r="X2136" s="12"/>
      <c r="Y2136" s="12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</row>
    <row r="2137" spans="1:38" ht="13.2" x14ac:dyDescent="0.25">
      <c r="A2137" s="12"/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  <c r="O2137" s="12"/>
      <c r="P2137" s="12"/>
      <c r="Q2137" s="12"/>
      <c r="R2137" s="12"/>
      <c r="S2137" s="12"/>
      <c r="T2137" s="12"/>
      <c r="U2137" s="12"/>
      <c r="V2137" s="12"/>
      <c r="W2137" s="12"/>
      <c r="X2137" s="12"/>
      <c r="Y2137" s="12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</row>
    <row r="2138" spans="1:38" ht="13.2" x14ac:dyDescent="0.25">
      <c r="A2138" s="12"/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  <c r="O2138" s="12"/>
      <c r="P2138" s="12"/>
      <c r="Q2138" s="12"/>
      <c r="R2138" s="12"/>
      <c r="S2138" s="12"/>
      <c r="T2138" s="12"/>
      <c r="U2138" s="12"/>
      <c r="V2138" s="12"/>
      <c r="W2138" s="12"/>
      <c r="X2138" s="12"/>
      <c r="Y2138" s="12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</row>
    <row r="2139" spans="1:38" ht="13.2" x14ac:dyDescent="0.25">
      <c r="A2139" s="12"/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  <c r="O2139" s="12"/>
      <c r="P2139" s="12"/>
      <c r="Q2139" s="12"/>
      <c r="R2139" s="12"/>
      <c r="S2139" s="12"/>
      <c r="T2139" s="12"/>
      <c r="U2139" s="12"/>
      <c r="V2139" s="12"/>
      <c r="W2139" s="12"/>
      <c r="X2139" s="12"/>
      <c r="Y2139" s="12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</row>
    <row r="2140" spans="1:38" ht="13.2" x14ac:dyDescent="0.25">
      <c r="A2140" s="12"/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  <c r="O2140" s="12"/>
      <c r="P2140" s="12"/>
      <c r="Q2140" s="12"/>
      <c r="R2140" s="12"/>
      <c r="S2140" s="12"/>
      <c r="T2140" s="12"/>
      <c r="U2140" s="12"/>
      <c r="V2140" s="12"/>
      <c r="W2140" s="12"/>
      <c r="X2140" s="12"/>
      <c r="Y2140" s="12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</row>
    <row r="2141" spans="1:38" ht="13.2" x14ac:dyDescent="0.25">
      <c r="A2141" s="12"/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  <c r="O2141" s="12"/>
      <c r="P2141" s="12"/>
      <c r="Q2141" s="12"/>
      <c r="R2141" s="12"/>
      <c r="S2141" s="12"/>
      <c r="T2141" s="12"/>
      <c r="U2141" s="12"/>
      <c r="V2141" s="12"/>
      <c r="W2141" s="12"/>
      <c r="X2141" s="12"/>
      <c r="Y2141" s="12"/>
      <c r="Z2141" s="8"/>
      <c r="AA2141" s="8"/>
      <c r="AB2141" s="8"/>
      <c r="AC2141" s="8"/>
      <c r="AD2141" s="8"/>
      <c r="AE2141" s="8"/>
      <c r="AF2141" s="8"/>
      <c r="AG2141" s="8"/>
      <c r="AH2141" s="8"/>
      <c r="AI2141" s="8"/>
      <c r="AJ2141" s="8"/>
      <c r="AK2141" s="8"/>
      <c r="AL2141" s="8"/>
    </row>
    <row r="2142" spans="1:38" ht="13.2" x14ac:dyDescent="0.25">
      <c r="A2142" s="12"/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  <c r="O2142" s="12"/>
      <c r="P2142" s="12"/>
      <c r="Q2142" s="12"/>
      <c r="R2142" s="12"/>
      <c r="S2142" s="12"/>
      <c r="T2142" s="12"/>
      <c r="U2142" s="12"/>
      <c r="V2142" s="12"/>
      <c r="W2142" s="12"/>
      <c r="X2142" s="12"/>
      <c r="Y2142" s="12"/>
      <c r="Z2142" s="8"/>
      <c r="AA2142" s="8"/>
      <c r="AB2142" s="8"/>
      <c r="AC2142" s="8"/>
      <c r="AD2142" s="8"/>
      <c r="AE2142" s="8"/>
      <c r="AF2142" s="8"/>
      <c r="AG2142" s="8"/>
      <c r="AH2142" s="8"/>
      <c r="AI2142" s="8"/>
      <c r="AJ2142" s="8"/>
      <c r="AK2142" s="8"/>
      <c r="AL2142" s="8"/>
    </row>
    <row r="2143" spans="1:38" ht="13.2" x14ac:dyDescent="0.25">
      <c r="A2143" s="12"/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  <c r="O2143" s="12"/>
      <c r="P2143" s="12"/>
      <c r="Q2143" s="12"/>
      <c r="R2143" s="12"/>
      <c r="S2143" s="12"/>
      <c r="T2143" s="12"/>
      <c r="U2143" s="12"/>
      <c r="V2143" s="12"/>
      <c r="W2143" s="12"/>
      <c r="X2143" s="12"/>
      <c r="Y2143" s="12"/>
      <c r="Z2143" s="8"/>
      <c r="AA2143" s="8"/>
      <c r="AB2143" s="8"/>
      <c r="AC2143" s="8"/>
      <c r="AD2143" s="8"/>
      <c r="AE2143" s="8"/>
      <c r="AF2143" s="8"/>
      <c r="AG2143" s="8"/>
      <c r="AH2143" s="8"/>
      <c r="AI2143" s="8"/>
      <c r="AJ2143" s="8"/>
      <c r="AK2143" s="8"/>
      <c r="AL2143" s="8"/>
    </row>
    <row r="2144" spans="1:38" ht="13.2" x14ac:dyDescent="0.25">
      <c r="A2144" s="12"/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  <c r="O2144" s="12"/>
      <c r="P2144" s="12"/>
      <c r="Q2144" s="12"/>
      <c r="R2144" s="12"/>
      <c r="S2144" s="12"/>
      <c r="T2144" s="12"/>
      <c r="U2144" s="12"/>
      <c r="V2144" s="12"/>
      <c r="W2144" s="12"/>
      <c r="X2144" s="12"/>
      <c r="Y2144" s="12"/>
      <c r="Z2144" s="8"/>
      <c r="AA2144" s="8"/>
      <c r="AB2144" s="8"/>
      <c r="AC2144" s="8"/>
      <c r="AD2144" s="8"/>
      <c r="AE2144" s="8"/>
      <c r="AF2144" s="8"/>
      <c r="AG2144" s="8"/>
      <c r="AH2144" s="8"/>
      <c r="AI2144" s="8"/>
      <c r="AJ2144" s="8"/>
      <c r="AK2144" s="8"/>
      <c r="AL2144" s="8"/>
    </row>
    <row r="2145" spans="1:38" ht="13.2" x14ac:dyDescent="0.25">
      <c r="A2145" s="12"/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  <c r="O2145" s="12"/>
      <c r="P2145" s="12"/>
      <c r="Q2145" s="12"/>
      <c r="R2145" s="12"/>
      <c r="S2145" s="12"/>
      <c r="T2145" s="12"/>
      <c r="U2145" s="12"/>
      <c r="V2145" s="12"/>
      <c r="W2145" s="12"/>
      <c r="X2145" s="12"/>
      <c r="Y2145" s="12"/>
      <c r="Z2145" s="8"/>
      <c r="AA2145" s="8"/>
      <c r="AB2145" s="8"/>
      <c r="AC2145" s="8"/>
      <c r="AD2145" s="8"/>
      <c r="AE2145" s="8"/>
      <c r="AF2145" s="8"/>
      <c r="AG2145" s="8"/>
      <c r="AH2145" s="8"/>
      <c r="AI2145" s="8"/>
      <c r="AJ2145" s="8"/>
      <c r="AK2145" s="8"/>
      <c r="AL2145" s="8"/>
    </row>
    <row r="2146" spans="1:38" ht="13.2" x14ac:dyDescent="0.25">
      <c r="A2146" s="12"/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  <c r="O2146" s="12"/>
      <c r="P2146" s="12"/>
      <c r="Q2146" s="12"/>
      <c r="R2146" s="12"/>
      <c r="S2146" s="12"/>
      <c r="T2146" s="12"/>
      <c r="U2146" s="12"/>
      <c r="V2146" s="12"/>
      <c r="W2146" s="12"/>
      <c r="X2146" s="12"/>
      <c r="Y2146" s="12"/>
      <c r="Z2146" s="8"/>
      <c r="AA2146" s="8"/>
      <c r="AB2146" s="8"/>
      <c r="AC2146" s="8"/>
      <c r="AD2146" s="8"/>
      <c r="AE2146" s="8"/>
      <c r="AF2146" s="8"/>
      <c r="AG2146" s="8"/>
      <c r="AH2146" s="8"/>
      <c r="AI2146" s="8"/>
      <c r="AJ2146" s="8"/>
      <c r="AK2146" s="8"/>
      <c r="AL2146" s="8"/>
    </row>
    <row r="2147" spans="1:38" ht="13.2" x14ac:dyDescent="0.25">
      <c r="A2147" s="12"/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  <c r="O2147" s="12"/>
      <c r="P2147" s="12"/>
      <c r="Q2147" s="12"/>
      <c r="R2147" s="12"/>
      <c r="S2147" s="12"/>
      <c r="T2147" s="12"/>
      <c r="U2147" s="12"/>
      <c r="V2147" s="12"/>
      <c r="W2147" s="12"/>
      <c r="X2147" s="12"/>
      <c r="Y2147" s="12"/>
      <c r="Z2147" s="8"/>
      <c r="AA2147" s="8"/>
      <c r="AB2147" s="8"/>
      <c r="AC2147" s="8"/>
      <c r="AD2147" s="8"/>
      <c r="AE2147" s="8"/>
      <c r="AF2147" s="8"/>
      <c r="AG2147" s="8"/>
      <c r="AH2147" s="8"/>
      <c r="AI2147" s="8"/>
      <c r="AJ2147" s="8"/>
      <c r="AK2147" s="8"/>
      <c r="AL2147" s="8"/>
    </row>
    <row r="2148" spans="1:38" ht="13.2" x14ac:dyDescent="0.25">
      <c r="A2148" s="12"/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  <c r="O2148" s="12"/>
      <c r="P2148" s="12"/>
      <c r="Q2148" s="12"/>
      <c r="R2148" s="12"/>
      <c r="S2148" s="12"/>
      <c r="T2148" s="12"/>
      <c r="U2148" s="12"/>
      <c r="V2148" s="12"/>
      <c r="W2148" s="12"/>
      <c r="X2148" s="12"/>
      <c r="Y2148" s="12"/>
      <c r="Z2148" s="8"/>
      <c r="AA2148" s="8"/>
      <c r="AB2148" s="8"/>
      <c r="AC2148" s="8"/>
      <c r="AD2148" s="8"/>
      <c r="AE2148" s="8"/>
      <c r="AF2148" s="8"/>
      <c r="AG2148" s="8"/>
      <c r="AH2148" s="8"/>
      <c r="AI2148" s="8"/>
      <c r="AJ2148" s="8"/>
      <c r="AK2148" s="8"/>
      <c r="AL2148" s="8"/>
    </row>
    <row r="2149" spans="1:38" ht="13.2" x14ac:dyDescent="0.25">
      <c r="A2149" s="12"/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  <c r="O2149" s="12"/>
      <c r="P2149" s="12"/>
      <c r="Q2149" s="12"/>
      <c r="R2149" s="12"/>
      <c r="S2149" s="12"/>
      <c r="T2149" s="12"/>
      <c r="U2149" s="12"/>
      <c r="V2149" s="12"/>
      <c r="W2149" s="12"/>
      <c r="X2149" s="12"/>
      <c r="Y2149" s="12"/>
      <c r="Z2149" s="8"/>
      <c r="AA2149" s="8"/>
      <c r="AB2149" s="8"/>
      <c r="AC2149" s="8"/>
      <c r="AD2149" s="8"/>
      <c r="AE2149" s="8"/>
      <c r="AF2149" s="8"/>
      <c r="AG2149" s="8"/>
      <c r="AH2149" s="8"/>
      <c r="AI2149" s="8"/>
      <c r="AJ2149" s="8"/>
      <c r="AK2149" s="8"/>
      <c r="AL2149" s="8"/>
    </row>
    <row r="2150" spans="1:38" ht="13.2" x14ac:dyDescent="0.25">
      <c r="A2150" s="12"/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  <c r="O2150" s="12"/>
      <c r="P2150" s="12"/>
      <c r="Q2150" s="12"/>
      <c r="R2150" s="12"/>
      <c r="S2150" s="12"/>
      <c r="T2150" s="12"/>
      <c r="U2150" s="12"/>
      <c r="V2150" s="12"/>
      <c r="W2150" s="12"/>
      <c r="X2150" s="12"/>
      <c r="Y2150" s="12"/>
      <c r="Z2150" s="8"/>
      <c r="AA2150" s="8"/>
      <c r="AB2150" s="8"/>
      <c r="AC2150" s="8"/>
      <c r="AD2150" s="8"/>
      <c r="AE2150" s="8"/>
      <c r="AF2150" s="8"/>
      <c r="AG2150" s="8"/>
      <c r="AH2150" s="8"/>
      <c r="AI2150" s="8"/>
      <c r="AJ2150" s="8"/>
      <c r="AK2150" s="8"/>
      <c r="AL2150" s="8"/>
    </row>
    <row r="2151" spans="1:38" ht="13.2" x14ac:dyDescent="0.25">
      <c r="A2151" s="12"/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  <c r="O2151" s="12"/>
      <c r="P2151" s="12"/>
      <c r="Q2151" s="12"/>
      <c r="R2151" s="12"/>
      <c r="S2151" s="12"/>
      <c r="T2151" s="12"/>
      <c r="U2151" s="12"/>
      <c r="V2151" s="12"/>
      <c r="W2151" s="12"/>
      <c r="X2151" s="12"/>
      <c r="Y2151" s="12"/>
      <c r="Z2151" s="8"/>
      <c r="AA2151" s="8"/>
      <c r="AB2151" s="8"/>
      <c r="AC2151" s="8"/>
      <c r="AD2151" s="8"/>
      <c r="AE2151" s="8"/>
      <c r="AF2151" s="8"/>
      <c r="AG2151" s="8"/>
      <c r="AH2151" s="8"/>
      <c r="AI2151" s="8"/>
      <c r="AJ2151" s="8"/>
      <c r="AK2151" s="8"/>
      <c r="AL2151" s="8"/>
    </row>
    <row r="2152" spans="1:38" ht="13.2" x14ac:dyDescent="0.25">
      <c r="A2152" s="12"/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  <c r="T2152" s="12"/>
      <c r="U2152" s="12"/>
      <c r="V2152" s="12"/>
      <c r="W2152" s="12"/>
      <c r="X2152" s="12"/>
      <c r="Y2152" s="12"/>
      <c r="Z2152" s="8"/>
      <c r="AA2152" s="8"/>
      <c r="AB2152" s="8"/>
      <c r="AC2152" s="8"/>
      <c r="AD2152" s="8"/>
      <c r="AE2152" s="8"/>
      <c r="AF2152" s="8"/>
      <c r="AG2152" s="8"/>
      <c r="AH2152" s="8"/>
      <c r="AI2152" s="8"/>
      <c r="AJ2152" s="8"/>
      <c r="AK2152" s="8"/>
      <c r="AL2152" s="8"/>
    </row>
    <row r="2153" spans="1:38" ht="13.2" x14ac:dyDescent="0.25">
      <c r="A2153" s="12"/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  <c r="T2153" s="12"/>
      <c r="U2153" s="12"/>
      <c r="V2153" s="12"/>
      <c r="W2153" s="12"/>
      <c r="X2153" s="12"/>
      <c r="Y2153" s="12"/>
      <c r="Z2153" s="8"/>
      <c r="AA2153" s="8"/>
      <c r="AB2153" s="8"/>
      <c r="AC2153" s="8"/>
      <c r="AD2153" s="8"/>
      <c r="AE2153" s="8"/>
      <c r="AF2153" s="8"/>
      <c r="AG2153" s="8"/>
      <c r="AH2153" s="8"/>
      <c r="AI2153" s="8"/>
      <c r="AJ2153" s="8"/>
      <c r="AK2153" s="8"/>
      <c r="AL2153" s="8"/>
    </row>
    <row r="2154" spans="1:38" ht="13.2" x14ac:dyDescent="0.25">
      <c r="A2154" s="12"/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  <c r="O2154" s="12"/>
      <c r="P2154" s="12"/>
      <c r="Q2154" s="12"/>
      <c r="R2154" s="12"/>
      <c r="S2154" s="12"/>
      <c r="T2154" s="12"/>
      <c r="U2154" s="12"/>
      <c r="V2154" s="12"/>
      <c r="W2154" s="12"/>
      <c r="X2154" s="12"/>
      <c r="Y2154" s="12"/>
      <c r="Z2154" s="8"/>
      <c r="AA2154" s="8"/>
      <c r="AB2154" s="8"/>
      <c r="AC2154" s="8"/>
      <c r="AD2154" s="8"/>
      <c r="AE2154" s="8"/>
      <c r="AF2154" s="8"/>
      <c r="AG2154" s="8"/>
      <c r="AH2154" s="8"/>
      <c r="AI2154" s="8"/>
      <c r="AJ2154" s="8"/>
      <c r="AK2154" s="8"/>
      <c r="AL2154" s="8"/>
    </row>
    <row r="2155" spans="1:38" ht="13.2" x14ac:dyDescent="0.25">
      <c r="A2155" s="12"/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  <c r="O2155" s="12"/>
      <c r="P2155" s="12"/>
      <c r="Q2155" s="12"/>
      <c r="R2155" s="12"/>
      <c r="S2155" s="12"/>
      <c r="T2155" s="12"/>
      <c r="U2155" s="12"/>
      <c r="V2155" s="12"/>
      <c r="W2155" s="12"/>
      <c r="X2155" s="12"/>
      <c r="Y2155" s="12"/>
      <c r="Z2155" s="8"/>
      <c r="AA2155" s="8"/>
      <c r="AB2155" s="8"/>
      <c r="AC2155" s="8"/>
      <c r="AD2155" s="8"/>
      <c r="AE2155" s="8"/>
      <c r="AF2155" s="8"/>
      <c r="AG2155" s="8"/>
      <c r="AH2155" s="8"/>
      <c r="AI2155" s="8"/>
      <c r="AJ2155" s="8"/>
      <c r="AK2155" s="8"/>
      <c r="AL2155" s="8"/>
    </row>
    <row r="2156" spans="1:38" ht="13.2" x14ac:dyDescent="0.25">
      <c r="A2156" s="12"/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  <c r="O2156" s="12"/>
      <c r="P2156" s="12"/>
      <c r="Q2156" s="12"/>
      <c r="R2156" s="12"/>
      <c r="S2156" s="12"/>
      <c r="T2156" s="12"/>
      <c r="U2156" s="12"/>
      <c r="V2156" s="12"/>
      <c r="W2156" s="12"/>
      <c r="X2156" s="12"/>
      <c r="Y2156" s="12"/>
      <c r="Z2156" s="8"/>
      <c r="AA2156" s="8"/>
      <c r="AB2156" s="8"/>
      <c r="AC2156" s="8"/>
      <c r="AD2156" s="8"/>
      <c r="AE2156" s="8"/>
      <c r="AF2156" s="8"/>
      <c r="AG2156" s="8"/>
      <c r="AH2156" s="8"/>
      <c r="AI2156" s="8"/>
      <c r="AJ2156" s="8"/>
      <c r="AK2156" s="8"/>
      <c r="AL2156" s="8"/>
    </row>
    <row r="2157" spans="1:38" ht="13.2" x14ac:dyDescent="0.25">
      <c r="A2157" s="12"/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  <c r="O2157" s="12"/>
      <c r="P2157" s="12"/>
      <c r="Q2157" s="12"/>
      <c r="R2157" s="12"/>
      <c r="S2157" s="12"/>
      <c r="T2157" s="12"/>
      <c r="U2157" s="12"/>
      <c r="V2157" s="12"/>
      <c r="W2157" s="12"/>
      <c r="X2157" s="12"/>
      <c r="Y2157" s="12"/>
      <c r="Z2157" s="8"/>
      <c r="AA2157" s="8"/>
      <c r="AB2157" s="8"/>
      <c r="AC2157" s="8"/>
      <c r="AD2157" s="8"/>
      <c r="AE2157" s="8"/>
      <c r="AF2157" s="8"/>
      <c r="AG2157" s="8"/>
      <c r="AH2157" s="8"/>
      <c r="AI2157" s="8"/>
      <c r="AJ2157" s="8"/>
      <c r="AK2157" s="8"/>
      <c r="AL2157" s="8"/>
    </row>
    <row r="2158" spans="1:38" ht="13.2" x14ac:dyDescent="0.25">
      <c r="A2158" s="12"/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  <c r="O2158" s="12"/>
      <c r="P2158" s="12"/>
      <c r="Q2158" s="12"/>
      <c r="R2158" s="12"/>
      <c r="S2158" s="12"/>
      <c r="T2158" s="12"/>
      <c r="U2158" s="12"/>
      <c r="V2158" s="12"/>
      <c r="W2158" s="12"/>
      <c r="X2158" s="12"/>
      <c r="Y2158" s="12"/>
      <c r="Z2158" s="8"/>
      <c r="AA2158" s="8"/>
      <c r="AB2158" s="8"/>
      <c r="AC2158" s="8"/>
      <c r="AD2158" s="8"/>
      <c r="AE2158" s="8"/>
      <c r="AF2158" s="8"/>
      <c r="AG2158" s="8"/>
      <c r="AH2158" s="8"/>
      <c r="AI2158" s="8"/>
      <c r="AJ2158" s="8"/>
      <c r="AK2158" s="8"/>
      <c r="AL2158" s="8"/>
    </row>
    <row r="2159" spans="1:38" ht="13.2" x14ac:dyDescent="0.25">
      <c r="A2159" s="12"/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  <c r="O2159" s="12"/>
      <c r="P2159" s="12"/>
      <c r="Q2159" s="12"/>
      <c r="R2159" s="12"/>
      <c r="S2159" s="12"/>
      <c r="T2159" s="12"/>
      <c r="U2159" s="12"/>
      <c r="V2159" s="12"/>
      <c r="W2159" s="12"/>
      <c r="X2159" s="12"/>
      <c r="Y2159" s="12"/>
      <c r="Z2159" s="8"/>
      <c r="AA2159" s="8"/>
      <c r="AB2159" s="8"/>
      <c r="AC2159" s="8"/>
      <c r="AD2159" s="8"/>
      <c r="AE2159" s="8"/>
      <c r="AF2159" s="8"/>
      <c r="AG2159" s="8"/>
      <c r="AH2159" s="8"/>
      <c r="AI2159" s="8"/>
      <c r="AJ2159" s="8"/>
      <c r="AK2159" s="8"/>
      <c r="AL2159" s="8"/>
    </row>
    <row r="2160" spans="1:38" ht="13.2" x14ac:dyDescent="0.25">
      <c r="A2160" s="12"/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  <c r="O2160" s="12"/>
      <c r="P2160" s="12"/>
      <c r="Q2160" s="12"/>
      <c r="R2160" s="12"/>
      <c r="S2160" s="12"/>
      <c r="T2160" s="12"/>
      <c r="U2160" s="12"/>
      <c r="V2160" s="12"/>
      <c r="W2160" s="12"/>
      <c r="X2160" s="12"/>
      <c r="Y2160" s="12"/>
      <c r="Z2160" s="8"/>
      <c r="AA2160" s="8"/>
      <c r="AB2160" s="8"/>
      <c r="AC2160" s="8"/>
      <c r="AD2160" s="8"/>
      <c r="AE2160" s="8"/>
      <c r="AF2160" s="8"/>
      <c r="AG2160" s="8"/>
      <c r="AH2160" s="8"/>
      <c r="AI2160" s="8"/>
      <c r="AJ2160" s="8"/>
      <c r="AK2160" s="8"/>
      <c r="AL2160" s="8"/>
    </row>
    <row r="2161" spans="1:38" ht="13.2" x14ac:dyDescent="0.25">
      <c r="A2161" s="12"/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  <c r="O2161" s="12"/>
      <c r="P2161" s="12"/>
      <c r="Q2161" s="12"/>
      <c r="R2161" s="12"/>
      <c r="S2161" s="12"/>
      <c r="T2161" s="12"/>
      <c r="U2161" s="12"/>
      <c r="V2161" s="12"/>
      <c r="W2161" s="12"/>
      <c r="X2161" s="12"/>
      <c r="Y2161" s="12"/>
      <c r="Z2161" s="8"/>
      <c r="AA2161" s="8"/>
      <c r="AB2161" s="8"/>
      <c r="AC2161" s="8"/>
      <c r="AD2161" s="8"/>
      <c r="AE2161" s="8"/>
      <c r="AF2161" s="8"/>
      <c r="AG2161" s="8"/>
      <c r="AH2161" s="8"/>
      <c r="AI2161" s="8"/>
      <c r="AJ2161" s="8"/>
      <c r="AK2161" s="8"/>
      <c r="AL2161" s="8"/>
    </row>
    <row r="2162" spans="1:38" ht="13.2" x14ac:dyDescent="0.25">
      <c r="A2162" s="12"/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  <c r="O2162" s="12"/>
      <c r="P2162" s="12"/>
      <c r="Q2162" s="12"/>
      <c r="R2162" s="12"/>
      <c r="S2162" s="12"/>
      <c r="T2162" s="12"/>
      <c r="U2162" s="12"/>
      <c r="V2162" s="12"/>
      <c r="W2162" s="12"/>
      <c r="X2162" s="12"/>
      <c r="Y2162" s="12"/>
      <c r="Z2162" s="8"/>
      <c r="AA2162" s="8"/>
      <c r="AB2162" s="8"/>
      <c r="AC2162" s="8"/>
      <c r="AD2162" s="8"/>
      <c r="AE2162" s="8"/>
      <c r="AF2162" s="8"/>
      <c r="AG2162" s="8"/>
      <c r="AH2162" s="8"/>
      <c r="AI2162" s="8"/>
      <c r="AJ2162" s="8"/>
      <c r="AK2162" s="8"/>
      <c r="AL2162" s="8"/>
    </row>
    <row r="2163" spans="1:38" ht="13.2" x14ac:dyDescent="0.25">
      <c r="A2163" s="12"/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  <c r="O2163" s="12"/>
      <c r="P2163" s="12"/>
      <c r="Q2163" s="12"/>
      <c r="R2163" s="12"/>
      <c r="S2163" s="12"/>
      <c r="T2163" s="12"/>
      <c r="U2163" s="12"/>
      <c r="V2163" s="12"/>
      <c r="W2163" s="12"/>
      <c r="X2163" s="12"/>
      <c r="Y2163" s="12"/>
      <c r="Z2163" s="8"/>
      <c r="AA2163" s="8"/>
      <c r="AB2163" s="8"/>
      <c r="AC2163" s="8"/>
      <c r="AD2163" s="8"/>
      <c r="AE2163" s="8"/>
      <c r="AF2163" s="8"/>
      <c r="AG2163" s="8"/>
      <c r="AH2163" s="8"/>
      <c r="AI2163" s="8"/>
      <c r="AJ2163" s="8"/>
      <c r="AK2163" s="8"/>
      <c r="AL2163" s="8"/>
    </row>
    <row r="2164" spans="1:38" ht="13.2" x14ac:dyDescent="0.25">
      <c r="A2164" s="12"/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  <c r="O2164" s="12"/>
      <c r="P2164" s="12"/>
      <c r="Q2164" s="12"/>
      <c r="R2164" s="12"/>
      <c r="S2164" s="12"/>
      <c r="T2164" s="12"/>
      <c r="U2164" s="12"/>
      <c r="V2164" s="12"/>
      <c r="W2164" s="12"/>
      <c r="X2164" s="12"/>
      <c r="Y2164" s="12"/>
      <c r="Z2164" s="8"/>
      <c r="AA2164" s="8"/>
      <c r="AB2164" s="8"/>
      <c r="AC2164" s="8"/>
      <c r="AD2164" s="8"/>
      <c r="AE2164" s="8"/>
      <c r="AF2164" s="8"/>
      <c r="AG2164" s="8"/>
      <c r="AH2164" s="8"/>
      <c r="AI2164" s="8"/>
      <c r="AJ2164" s="8"/>
      <c r="AK2164" s="8"/>
      <c r="AL2164" s="8"/>
    </row>
    <row r="2165" spans="1:38" ht="13.2" x14ac:dyDescent="0.25">
      <c r="A2165" s="12"/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  <c r="O2165" s="12"/>
      <c r="P2165" s="12"/>
      <c r="Q2165" s="12"/>
      <c r="R2165" s="12"/>
      <c r="S2165" s="12"/>
      <c r="T2165" s="12"/>
      <c r="U2165" s="12"/>
      <c r="V2165" s="12"/>
      <c r="W2165" s="12"/>
      <c r="X2165" s="12"/>
      <c r="Y2165" s="12"/>
      <c r="Z2165" s="8"/>
      <c r="AA2165" s="8"/>
      <c r="AB2165" s="8"/>
      <c r="AC2165" s="8"/>
      <c r="AD2165" s="8"/>
      <c r="AE2165" s="8"/>
      <c r="AF2165" s="8"/>
      <c r="AG2165" s="8"/>
      <c r="AH2165" s="8"/>
      <c r="AI2165" s="8"/>
      <c r="AJ2165" s="8"/>
      <c r="AK2165" s="8"/>
      <c r="AL2165" s="8"/>
    </row>
    <row r="2166" spans="1:38" ht="13.2" x14ac:dyDescent="0.25">
      <c r="A2166" s="12"/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  <c r="O2166" s="12"/>
      <c r="P2166" s="12"/>
      <c r="Q2166" s="12"/>
      <c r="R2166" s="12"/>
      <c r="S2166" s="12"/>
      <c r="T2166" s="12"/>
      <c r="U2166" s="12"/>
      <c r="V2166" s="12"/>
      <c r="W2166" s="12"/>
      <c r="X2166" s="12"/>
      <c r="Y2166" s="12"/>
      <c r="Z2166" s="8"/>
      <c r="AA2166" s="8"/>
      <c r="AB2166" s="8"/>
      <c r="AC2166" s="8"/>
      <c r="AD2166" s="8"/>
      <c r="AE2166" s="8"/>
      <c r="AF2166" s="8"/>
      <c r="AG2166" s="8"/>
      <c r="AH2166" s="8"/>
      <c r="AI2166" s="8"/>
      <c r="AJ2166" s="8"/>
      <c r="AK2166" s="8"/>
      <c r="AL2166" s="8"/>
    </row>
    <row r="2167" spans="1:38" ht="13.2" x14ac:dyDescent="0.25">
      <c r="A2167" s="12"/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  <c r="O2167" s="12"/>
      <c r="P2167" s="12"/>
      <c r="Q2167" s="12"/>
      <c r="R2167" s="12"/>
      <c r="S2167" s="12"/>
      <c r="T2167" s="12"/>
      <c r="U2167" s="12"/>
      <c r="V2167" s="12"/>
      <c r="W2167" s="12"/>
      <c r="X2167" s="12"/>
      <c r="Y2167" s="12"/>
      <c r="Z2167" s="8"/>
      <c r="AA2167" s="8"/>
      <c r="AB2167" s="8"/>
      <c r="AC2167" s="8"/>
      <c r="AD2167" s="8"/>
      <c r="AE2167" s="8"/>
      <c r="AF2167" s="8"/>
      <c r="AG2167" s="8"/>
      <c r="AH2167" s="8"/>
      <c r="AI2167" s="8"/>
      <c r="AJ2167" s="8"/>
      <c r="AK2167" s="8"/>
      <c r="AL2167" s="8"/>
    </row>
    <row r="2168" spans="1:38" ht="13.2" x14ac:dyDescent="0.25">
      <c r="A2168" s="12"/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  <c r="O2168" s="12"/>
      <c r="P2168" s="12"/>
      <c r="Q2168" s="12"/>
      <c r="R2168" s="12"/>
      <c r="S2168" s="12"/>
      <c r="T2168" s="12"/>
      <c r="U2168" s="12"/>
      <c r="V2168" s="12"/>
      <c r="W2168" s="12"/>
      <c r="X2168" s="12"/>
      <c r="Y2168" s="12"/>
      <c r="Z2168" s="8"/>
      <c r="AA2168" s="8"/>
      <c r="AB2168" s="8"/>
      <c r="AC2168" s="8"/>
      <c r="AD2168" s="8"/>
      <c r="AE2168" s="8"/>
      <c r="AF2168" s="8"/>
      <c r="AG2168" s="8"/>
      <c r="AH2168" s="8"/>
      <c r="AI2168" s="8"/>
      <c r="AJ2168" s="8"/>
      <c r="AK2168" s="8"/>
      <c r="AL2168" s="8"/>
    </row>
    <row r="2169" spans="1:38" ht="13.2" x14ac:dyDescent="0.25">
      <c r="A2169" s="12"/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  <c r="O2169" s="12"/>
      <c r="P2169" s="12"/>
      <c r="Q2169" s="12"/>
      <c r="R2169" s="12"/>
      <c r="S2169" s="12"/>
      <c r="T2169" s="12"/>
      <c r="U2169" s="12"/>
      <c r="V2169" s="12"/>
      <c r="W2169" s="12"/>
      <c r="X2169" s="12"/>
      <c r="Y2169" s="12"/>
      <c r="Z2169" s="8"/>
      <c r="AA2169" s="8"/>
      <c r="AB2169" s="8"/>
      <c r="AC2169" s="8"/>
      <c r="AD2169" s="8"/>
      <c r="AE2169" s="8"/>
      <c r="AF2169" s="8"/>
      <c r="AG2169" s="8"/>
      <c r="AH2169" s="8"/>
      <c r="AI2169" s="8"/>
      <c r="AJ2169" s="8"/>
      <c r="AK2169" s="8"/>
      <c r="AL2169" s="8"/>
    </row>
    <row r="2170" spans="1:38" ht="13.2" x14ac:dyDescent="0.25">
      <c r="A2170" s="12"/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  <c r="O2170" s="12"/>
      <c r="P2170" s="12"/>
      <c r="Q2170" s="12"/>
      <c r="R2170" s="12"/>
      <c r="S2170" s="12"/>
      <c r="T2170" s="12"/>
      <c r="U2170" s="12"/>
      <c r="V2170" s="12"/>
      <c r="W2170" s="12"/>
      <c r="X2170" s="12"/>
      <c r="Y2170" s="12"/>
      <c r="Z2170" s="8"/>
      <c r="AA2170" s="8"/>
      <c r="AB2170" s="8"/>
      <c r="AC2170" s="8"/>
      <c r="AD2170" s="8"/>
      <c r="AE2170" s="8"/>
      <c r="AF2170" s="8"/>
      <c r="AG2170" s="8"/>
      <c r="AH2170" s="8"/>
      <c r="AI2170" s="8"/>
      <c r="AJ2170" s="8"/>
      <c r="AK2170" s="8"/>
      <c r="AL2170" s="8"/>
    </row>
    <row r="2171" spans="1:38" ht="13.2" x14ac:dyDescent="0.25">
      <c r="A2171" s="12"/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  <c r="O2171" s="12"/>
      <c r="P2171" s="12"/>
      <c r="Q2171" s="12"/>
      <c r="R2171" s="12"/>
      <c r="S2171" s="12"/>
      <c r="T2171" s="12"/>
      <c r="U2171" s="12"/>
      <c r="V2171" s="12"/>
      <c r="W2171" s="12"/>
      <c r="X2171" s="12"/>
      <c r="Y2171" s="12"/>
      <c r="Z2171" s="8"/>
      <c r="AA2171" s="8"/>
      <c r="AB2171" s="8"/>
      <c r="AC2171" s="8"/>
      <c r="AD2171" s="8"/>
      <c r="AE2171" s="8"/>
      <c r="AF2171" s="8"/>
      <c r="AG2171" s="8"/>
      <c r="AH2171" s="8"/>
      <c r="AI2171" s="8"/>
      <c r="AJ2171" s="8"/>
      <c r="AK2171" s="8"/>
      <c r="AL2171" s="8"/>
    </row>
    <row r="2172" spans="1:38" ht="13.2" x14ac:dyDescent="0.25">
      <c r="A2172" s="12"/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  <c r="O2172" s="12"/>
      <c r="P2172" s="12"/>
      <c r="Q2172" s="12"/>
      <c r="R2172" s="12"/>
      <c r="S2172" s="12"/>
      <c r="T2172" s="12"/>
      <c r="U2172" s="12"/>
      <c r="V2172" s="12"/>
      <c r="W2172" s="12"/>
      <c r="X2172" s="12"/>
      <c r="Y2172" s="12"/>
      <c r="Z2172" s="8"/>
      <c r="AA2172" s="8"/>
      <c r="AB2172" s="8"/>
      <c r="AC2172" s="8"/>
      <c r="AD2172" s="8"/>
      <c r="AE2172" s="8"/>
      <c r="AF2172" s="8"/>
      <c r="AG2172" s="8"/>
      <c r="AH2172" s="8"/>
      <c r="AI2172" s="8"/>
      <c r="AJ2172" s="8"/>
      <c r="AK2172" s="8"/>
      <c r="AL2172" s="8"/>
    </row>
    <row r="2173" spans="1:38" ht="13.2" x14ac:dyDescent="0.25">
      <c r="A2173" s="12"/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  <c r="O2173" s="12"/>
      <c r="P2173" s="12"/>
      <c r="Q2173" s="12"/>
      <c r="R2173" s="12"/>
      <c r="S2173" s="12"/>
      <c r="T2173" s="12"/>
      <c r="U2173" s="12"/>
      <c r="V2173" s="12"/>
      <c r="W2173" s="12"/>
      <c r="X2173" s="12"/>
      <c r="Y2173" s="12"/>
      <c r="Z2173" s="8"/>
      <c r="AA2173" s="8"/>
      <c r="AB2173" s="8"/>
      <c r="AC2173" s="8"/>
      <c r="AD2173" s="8"/>
      <c r="AE2173" s="8"/>
      <c r="AF2173" s="8"/>
      <c r="AG2173" s="8"/>
      <c r="AH2173" s="8"/>
      <c r="AI2173" s="8"/>
      <c r="AJ2173" s="8"/>
      <c r="AK2173" s="8"/>
      <c r="AL2173" s="8"/>
    </row>
    <row r="2174" spans="1:38" ht="13.2" x14ac:dyDescent="0.25">
      <c r="A2174" s="12"/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  <c r="O2174" s="12"/>
      <c r="P2174" s="12"/>
      <c r="Q2174" s="12"/>
      <c r="R2174" s="12"/>
      <c r="S2174" s="12"/>
      <c r="T2174" s="12"/>
      <c r="U2174" s="12"/>
      <c r="V2174" s="12"/>
      <c r="W2174" s="12"/>
      <c r="X2174" s="12"/>
      <c r="Y2174" s="12"/>
      <c r="Z2174" s="8"/>
      <c r="AA2174" s="8"/>
      <c r="AB2174" s="8"/>
      <c r="AC2174" s="8"/>
      <c r="AD2174" s="8"/>
      <c r="AE2174" s="8"/>
      <c r="AF2174" s="8"/>
      <c r="AG2174" s="8"/>
      <c r="AH2174" s="8"/>
      <c r="AI2174" s="8"/>
      <c r="AJ2174" s="8"/>
      <c r="AK2174" s="8"/>
      <c r="AL2174" s="8"/>
    </row>
    <row r="2175" spans="1:38" ht="13.2" x14ac:dyDescent="0.25">
      <c r="A2175" s="12"/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  <c r="O2175" s="12"/>
      <c r="P2175" s="12"/>
      <c r="Q2175" s="12"/>
      <c r="R2175" s="12"/>
      <c r="S2175" s="12"/>
      <c r="T2175" s="12"/>
      <c r="U2175" s="12"/>
      <c r="V2175" s="12"/>
      <c r="W2175" s="12"/>
      <c r="X2175" s="12"/>
      <c r="Y2175" s="12"/>
      <c r="Z2175" s="8"/>
      <c r="AA2175" s="8"/>
      <c r="AB2175" s="8"/>
      <c r="AC2175" s="8"/>
      <c r="AD2175" s="8"/>
      <c r="AE2175" s="8"/>
      <c r="AF2175" s="8"/>
      <c r="AG2175" s="8"/>
      <c r="AH2175" s="8"/>
      <c r="AI2175" s="8"/>
      <c r="AJ2175" s="8"/>
      <c r="AK2175" s="8"/>
      <c r="AL2175" s="8"/>
    </row>
    <row r="2176" spans="1:38" ht="13.2" x14ac:dyDescent="0.25">
      <c r="A2176" s="12"/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  <c r="O2176" s="12"/>
      <c r="P2176" s="12"/>
      <c r="Q2176" s="12"/>
      <c r="R2176" s="12"/>
      <c r="S2176" s="12"/>
      <c r="T2176" s="12"/>
      <c r="U2176" s="12"/>
      <c r="V2176" s="12"/>
      <c r="W2176" s="12"/>
      <c r="X2176" s="12"/>
      <c r="Y2176" s="12"/>
      <c r="Z2176" s="8"/>
      <c r="AA2176" s="8"/>
      <c r="AB2176" s="8"/>
      <c r="AC2176" s="8"/>
      <c r="AD2176" s="8"/>
      <c r="AE2176" s="8"/>
      <c r="AF2176" s="8"/>
      <c r="AG2176" s="8"/>
      <c r="AH2176" s="8"/>
      <c r="AI2176" s="8"/>
      <c r="AJ2176" s="8"/>
      <c r="AK2176" s="8"/>
      <c r="AL2176" s="8"/>
    </row>
    <row r="2177" spans="1:38" ht="13.2" x14ac:dyDescent="0.25">
      <c r="A2177" s="12"/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  <c r="T2177" s="12"/>
      <c r="U2177" s="12"/>
      <c r="V2177" s="12"/>
      <c r="W2177" s="12"/>
      <c r="X2177" s="12"/>
      <c r="Y2177" s="12"/>
      <c r="Z2177" s="8"/>
      <c r="AA2177" s="8"/>
      <c r="AB2177" s="8"/>
      <c r="AC2177" s="8"/>
      <c r="AD2177" s="8"/>
      <c r="AE2177" s="8"/>
      <c r="AF2177" s="8"/>
      <c r="AG2177" s="8"/>
      <c r="AH2177" s="8"/>
      <c r="AI2177" s="8"/>
      <c r="AJ2177" s="8"/>
      <c r="AK2177" s="8"/>
      <c r="AL2177" s="8"/>
    </row>
  </sheetData>
  <dataValidations count="2">
    <dataValidation type="list" allowBlank="1" sqref="D1" xr:uid="{00000000-0002-0000-0100-000000000000}">
      <formula1>"1,2,3,4,5,6,7,8,9"</formula1>
    </dataValidation>
    <dataValidation type="list" allowBlank="1" sqref="F1" xr:uid="{00000000-0002-0000-0100-000001000000}">
      <formula1>"Sample,Group"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W251"/>
  <sheetViews>
    <sheetView tabSelected="1" workbookViewId="0">
      <selection activeCell="E2" sqref="E2"/>
    </sheetView>
  </sheetViews>
  <sheetFormatPr defaultColWidth="12.6640625" defaultRowHeight="15.75" customHeight="1" x14ac:dyDescent="0.25"/>
  <cols>
    <col min="1" max="1" width="55.44140625" customWidth="1"/>
    <col min="3" max="3" width="15" customWidth="1"/>
    <col min="5" max="5" width="16.6640625" customWidth="1"/>
    <col min="6" max="6" width="17.109375" customWidth="1"/>
    <col min="7" max="7" width="10.109375" customWidth="1"/>
    <col min="8" max="8" width="11.88671875" customWidth="1"/>
    <col min="17" max="17" width="16.77734375" customWidth="1"/>
    <col min="18" max="19" width="17.109375" customWidth="1"/>
    <col min="20" max="21" width="18" customWidth="1"/>
    <col min="22" max="22" width="20.88671875" customWidth="1"/>
    <col min="23" max="23" width="9.88671875" customWidth="1"/>
    <col min="24" max="24" width="11.44140625" customWidth="1"/>
    <col min="25" max="25" width="10.109375" customWidth="1"/>
    <col min="26" max="26" width="11.88671875" customWidth="1"/>
    <col min="27" max="27" width="11.109375" customWidth="1"/>
    <col min="28" max="28" width="12.109375" customWidth="1"/>
    <col min="29" max="29" width="15.88671875" customWidth="1"/>
    <col min="30" max="30" width="16.33203125" customWidth="1"/>
    <col min="44" max="44" width="32.44140625" customWidth="1"/>
  </cols>
  <sheetData>
    <row r="1" spans="1:101" ht="35.25" customHeight="1" x14ac:dyDescent="0.25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6" t="s">
        <v>12</v>
      </c>
      <c r="H1" s="15" t="s">
        <v>13</v>
      </c>
      <c r="I1" s="15" t="s">
        <v>14</v>
      </c>
      <c r="J1" s="17" t="s">
        <v>15</v>
      </c>
      <c r="K1" s="17" t="s">
        <v>16</v>
      </c>
      <c r="L1" s="17" t="s">
        <v>17</v>
      </c>
      <c r="M1" s="17" t="s">
        <v>18</v>
      </c>
      <c r="N1" s="17" t="s">
        <v>19</v>
      </c>
      <c r="O1" s="17" t="s">
        <v>20</v>
      </c>
      <c r="P1" s="17" t="s">
        <v>21</v>
      </c>
      <c r="Q1" s="14" t="s">
        <v>22</v>
      </c>
      <c r="R1" s="14" t="s">
        <v>23</v>
      </c>
      <c r="S1" s="14" t="s">
        <v>24</v>
      </c>
      <c r="T1" s="14" t="s">
        <v>25</v>
      </c>
      <c r="U1" s="14" t="s">
        <v>26</v>
      </c>
      <c r="V1" s="14" t="s">
        <v>27</v>
      </c>
      <c r="W1" s="15" t="s">
        <v>28</v>
      </c>
      <c r="X1" s="15" t="s">
        <v>29</v>
      </c>
      <c r="Y1" s="16" t="s">
        <v>30</v>
      </c>
      <c r="Z1" s="15" t="s">
        <v>31</v>
      </c>
      <c r="AA1" s="15" t="s">
        <v>32</v>
      </c>
      <c r="AB1" s="15" t="s">
        <v>33</v>
      </c>
      <c r="AC1" s="15" t="s">
        <v>34</v>
      </c>
      <c r="AD1" s="15" t="s">
        <v>35</v>
      </c>
      <c r="AE1" s="15" t="s">
        <v>36</v>
      </c>
      <c r="AF1" s="15" t="s">
        <v>37</v>
      </c>
      <c r="AG1" s="15" t="s">
        <v>38</v>
      </c>
      <c r="AH1" s="15" t="s">
        <v>39</v>
      </c>
      <c r="AI1" s="15" t="s">
        <v>40</v>
      </c>
      <c r="AJ1" s="17" t="s">
        <v>41</v>
      </c>
      <c r="AK1" s="17" t="s">
        <v>42</v>
      </c>
      <c r="AL1" s="17" t="s">
        <v>43</v>
      </c>
      <c r="AM1" s="17" t="s">
        <v>44</v>
      </c>
      <c r="AN1" s="17" t="s">
        <v>45</v>
      </c>
      <c r="AO1" s="17" t="s">
        <v>46</v>
      </c>
      <c r="AP1" s="17" t="s">
        <v>47</v>
      </c>
      <c r="AQ1" s="17" t="s">
        <v>48</v>
      </c>
      <c r="AR1" s="18" t="s">
        <v>49</v>
      </c>
      <c r="AS1" s="19" t="s">
        <v>50</v>
      </c>
      <c r="AT1" s="19" t="s">
        <v>51</v>
      </c>
      <c r="AU1" s="15" t="s">
        <v>52</v>
      </c>
      <c r="AV1" s="15" t="s">
        <v>53</v>
      </c>
      <c r="AW1" s="15" t="s">
        <v>54</v>
      </c>
      <c r="AX1" s="15" t="s">
        <v>55</v>
      </c>
      <c r="AY1" s="17" t="s">
        <v>56</v>
      </c>
      <c r="AZ1" s="17" t="s">
        <v>57</v>
      </c>
      <c r="BA1" s="17" t="s">
        <v>58</v>
      </c>
      <c r="BB1" s="17" t="s">
        <v>59</v>
      </c>
      <c r="BC1" s="17" t="s">
        <v>60</v>
      </c>
      <c r="BD1" s="17" t="s">
        <v>61</v>
      </c>
      <c r="BE1" s="17" t="s">
        <v>62</v>
      </c>
      <c r="BF1" s="17" t="s">
        <v>63</v>
      </c>
      <c r="BG1" s="18" t="s">
        <v>64</v>
      </c>
      <c r="BH1" s="19" t="s">
        <v>65</v>
      </c>
      <c r="BI1" s="19" t="s">
        <v>66</v>
      </c>
      <c r="BJ1" s="18" t="s">
        <v>67</v>
      </c>
      <c r="BK1" s="19" t="s">
        <v>68</v>
      </c>
      <c r="BL1" s="19" t="s">
        <v>69</v>
      </c>
      <c r="BM1" s="19" t="s">
        <v>70</v>
      </c>
      <c r="BN1" s="19" t="s">
        <v>71</v>
      </c>
      <c r="BO1" s="19" t="s">
        <v>72</v>
      </c>
      <c r="BP1" s="19" t="s">
        <v>73</v>
      </c>
      <c r="BQ1" s="19" t="s">
        <v>74</v>
      </c>
      <c r="BR1" s="19" t="s">
        <v>75</v>
      </c>
      <c r="BS1" s="19" t="s">
        <v>76</v>
      </c>
      <c r="BT1" s="19" t="s">
        <v>77</v>
      </c>
      <c r="BU1" s="19" t="s">
        <v>78</v>
      </c>
      <c r="BV1" s="19" t="s">
        <v>79</v>
      </c>
      <c r="BW1" s="19" t="s">
        <v>80</v>
      </c>
      <c r="BX1" s="19" t="s">
        <v>81</v>
      </c>
      <c r="BY1" s="19" t="s">
        <v>82</v>
      </c>
      <c r="BZ1" s="19" t="s">
        <v>83</v>
      </c>
      <c r="CA1" s="19"/>
      <c r="CB1" s="19"/>
      <c r="CC1" s="19"/>
      <c r="CD1" s="19"/>
      <c r="CE1" s="18"/>
      <c r="CF1" s="19"/>
      <c r="CG1" s="19"/>
      <c r="CH1" s="19"/>
      <c r="CI1" s="19"/>
      <c r="CJ1" s="19"/>
      <c r="CK1" s="18"/>
      <c r="CL1" s="19"/>
      <c r="CM1" s="19"/>
      <c r="CN1" s="19"/>
      <c r="CO1" s="19"/>
      <c r="CP1" s="19"/>
      <c r="CQ1" s="18"/>
      <c r="CR1" s="19"/>
      <c r="CS1" s="19"/>
      <c r="CT1" s="19"/>
      <c r="CU1" s="19"/>
      <c r="CV1" s="19"/>
      <c r="CW1" s="19"/>
    </row>
    <row r="2" spans="1:101" s="31" customFormat="1" ht="14.4" x14ac:dyDescent="0.3">
      <c r="A2" s="26" t="s">
        <v>84</v>
      </c>
      <c r="B2" s="26"/>
      <c r="C2" s="27">
        <v>868</v>
      </c>
      <c r="D2" s="27">
        <v>6</v>
      </c>
      <c r="E2" s="28">
        <v>230</v>
      </c>
      <c r="F2" s="28">
        <v>571</v>
      </c>
      <c r="G2" s="28">
        <v>228</v>
      </c>
      <c r="H2" s="29">
        <v>242</v>
      </c>
      <c r="I2" s="29">
        <v>319</v>
      </c>
      <c r="J2" s="30">
        <v>397</v>
      </c>
      <c r="K2" s="30">
        <v>69</v>
      </c>
      <c r="L2" s="30">
        <v>40</v>
      </c>
      <c r="M2" s="30">
        <v>290</v>
      </c>
      <c r="N2" s="30">
        <v>180</v>
      </c>
      <c r="O2" s="30">
        <v>234</v>
      </c>
      <c r="P2" s="30">
        <v>421</v>
      </c>
      <c r="Q2" s="28">
        <v>264</v>
      </c>
      <c r="R2" s="28">
        <v>194</v>
      </c>
      <c r="S2" s="28">
        <v>367</v>
      </c>
      <c r="T2" s="28">
        <v>460</v>
      </c>
      <c r="U2" s="28">
        <v>305</v>
      </c>
      <c r="V2" s="28">
        <v>236</v>
      </c>
      <c r="W2" s="28">
        <v>148</v>
      </c>
      <c r="X2" s="29">
        <v>358</v>
      </c>
      <c r="Y2" s="28">
        <v>290</v>
      </c>
      <c r="Z2" s="29">
        <v>2750</v>
      </c>
      <c r="AA2" s="29">
        <v>6246</v>
      </c>
      <c r="AB2" s="29">
        <v>6965</v>
      </c>
      <c r="AC2" s="29">
        <v>6564</v>
      </c>
      <c r="AD2" s="29">
        <v>8222</v>
      </c>
      <c r="AE2" s="29">
        <v>3178</v>
      </c>
      <c r="AF2" s="29">
        <v>3289</v>
      </c>
      <c r="AG2" s="29">
        <v>3123</v>
      </c>
      <c r="AH2" s="29">
        <v>3316</v>
      </c>
      <c r="AI2" s="29">
        <v>6923</v>
      </c>
      <c r="AJ2" s="30">
        <v>6177</v>
      </c>
      <c r="AK2" s="30">
        <v>7891</v>
      </c>
      <c r="AL2" s="30">
        <v>7904</v>
      </c>
      <c r="AM2" s="30">
        <v>7518</v>
      </c>
      <c r="AN2" s="30">
        <v>3952</v>
      </c>
      <c r="AO2" s="30">
        <v>4228</v>
      </c>
      <c r="AP2" s="30">
        <v>1672</v>
      </c>
      <c r="AQ2" s="30">
        <v>3012</v>
      </c>
      <c r="AR2" s="30">
        <v>3150</v>
      </c>
      <c r="AS2" s="30">
        <v>3344</v>
      </c>
      <c r="AT2" s="30">
        <v>2114</v>
      </c>
      <c r="AU2" s="29">
        <v>1589</v>
      </c>
      <c r="AV2" s="29">
        <v>6868</v>
      </c>
      <c r="AW2" s="29">
        <v>6066</v>
      </c>
      <c r="AX2" s="29">
        <v>1782</v>
      </c>
      <c r="AY2" s="30">
        <v>3385</v>
      </c>
      <c r="AZ2" s="30">
        <v>1575</v>
      </c>
      <c r="BA2" s="30">
        <v>4408</v>
      </c>
      <c r="BB2" s="30">
        <v>304</v>
      </c>
      <c r="BC2" s="30">
        <v>5486</v>
      </c>
      <c r="BD2" s="30">
        <v>8098</v>
      </c>
      <c r="BE2" s="30">
        <v>511</v>
      </c>
      <c r="BF2" s="30">
        <v>6288</v>
      </c>
      <c r="BG2" s="30">
        <v>3413</v>
      </c>
      <c r="BH2" s="30">
        <v>2971</v>
      </c>
      <c r="BI2" s="30">
        <v>953</v>
      </c>
      <c r="BJ2" s="30">
        <v>552</v>
      </c>
      <c r="BK2" s="30">
        <v>2363</v>
      </c>
      <c r="BL2" s="30">
        <v>2653</v>
      </c>
      <c r="BM2" s="30">
        <v>13</v>
      </c>
      <c r="BN2" s="30">
        <v>4012</v>
      </c>
      <c r="BO2" s="30">
        <v>2493</v>
      </c>
      <c r="BP2" s="30">
        <v>3233</v>
      </c>
      <c r="BQ2" s="30">
        <v>5825</v>
      </c>
      <c r="BR2" s="30">
        <v>3648</v>
      </c>
      <c r="BS2" s="30">
        <v>2687</v>
      </c>
      <c r="BT2" s="30">
        <v>5078</v>
      </c>
      <c r="BU2" s="30">
        <v>6367</v>
      </c>
      <c r="BV2" s="30">
        <v>4221</v>
      </c>
      <c r="BW2" s="30">
        <v>3261</v>
      </c>
      <c r="BX2" s="30">
        <v>2052</v>
      </c>
      <c r="BY2" s="30">
        <v>4947</v>
      </c>
      <c r="BZ2" s="30">
        <v>4020</v>
      </c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</row>
    <row r="3" spans="1:101" s="31" customFormat="1" ht="14.4" x14ac:dyDescent="0.3">
      <c r="A3" s="26" t="s">
        <v>85</v>
      </c>
      <c r="B3" s="26">
        <f>B2</f>
        <v>0</v>
      </c>
      <c r="C3" s="27">
        <v>10868</v>
      </c>
      <c r="D3" s="27">
        <v>6</v>
      </c>
      <c r="E3" s="28">
        <v>255</v>
      </c>
      <c r="F3" s="28">
        <v>671</v>
      </c>
      <c r="G3" s="28">
        <v>163</v>
      </c>
      <c r="H3" s="29">
        <v>257</v>
      </c>
      <c r="I3" s="29">
        <v>373</v>
      </c>
      <c r="J3" s="30">
        <v>588</v>
      </c>
      <c r="K3" s="30">
        <v>93</v>
      </c>
      <c r="L3" s="30">
        <v>33</v>
      </c>
      <c r="M3" s="30">
        <v>326</v>
      </c>
      <c r="N3" s="30">
        <v>176</v>
      </c>
      <c r="O3" s="30">
        <v>278</v>
      </c>
      <c r="P3" s="30">
        <v>483</v>
      </c>
      <c r="Q3" s="28">
        <v>250</v>
      </c>
      <c r="R3" s="28">
        <v>189</v>
      </c>
      <c r="S3" s="28">
        <v>375</v>
      </c>
      <c r="T3" s="28">
        <v>576</v>
      </c>
      <c r="U3" s="28">
        <v>352</v>
      </c>
      <c r="V3" s="28">
        <v>256</v>
      </c>
      <c r="W3" s="28">
        <v>128</v>
      </c>
      <c r="X3" s="29">
        <v>480</v>
      </c>
      <c r="Y3" s="28">
        <v>322</v>
      </c>
      <c r="Z3" s="29">
        <v>2593</v>
      </c>
      <c r="AA3" s="29">
        <v>5161</v>
      </c>
      <c r="AB3" s="29">
        <v>7878</v>
      </c>
      <c r="AC3" s="29">
        <v>8384</v>
      </c>
      <c r="AD3" s="29">
        <v>7680</v>
      </c>
      <c r="AE3" s="29">
        <v>3148</v>
      </c>
      <c r="AF3" s="29">
        <v>2741</v>
      </c>
      <c r="AG3" s="29">
        <v>1988</v>
      </c>
      <c r="AH3" s="29">
        <v>1988</v>
      </c>
      <c r="AI3" s="29">
        <v>6062</v>
      </c>
      <c r="AJ3" s="30">
        <v>4791</v>
      </c>
      <c r="AK3" s="30">
        <v>8285</v>
      </c>
      <c r="AL3" s="30">
        <v>7754</v>
      </c>
      <c r="AM3" s="30">
        <v>7347</v>
      </c>
      <c r="AN3" s="30">
        <v>3272</v>
      </c>
      <c r="AO3" s="30">
        <v>4371</v>
      </c>
      <c r="AP3" s="30">
        <v>1901</v>
      </c>
      <c r="AQ3" s="30">
        <v>2889</v>
      </c>
      <c r="AR3" s="30">
        <v>2012</v>
      </c>
      <c r="AS3" s="30">
        <v>3173</v>
      </c>
      <c r="AT3" s="30">
        <v>3395</v>
      </c>
      <c r="AU3" s="29">
        <v>765</v>
      </c>
      <c r="AV3" s="29">
        <v>8470</v>
      </c>
      <c r="AW3" s="29">
        <v>7655</v>
      </c>
      <c r="AX3" s="29">
        <v>2469</v>
      </c>
      <c r="AY3" s="30">
        <v>3877</v>
      </c>
      <c r="AZ3" s="30">
        <v>1802</v>
      </c>
      <c r="BA3" s="30">
        <v>4605</v>
      </c>
      <c r="BB3" s="30">
        <v>518</v>
      </c>
      <c r="BC3" s="30">
        <v>7260</v>
      </c>
      <c r="BD3" s="30">
        <v>8063</v>
      </c>
      <c r="BE3" s="30">
        <v>407</v>
      </c>
      <c r="BF3" s="30">
        <v>3617</v>
      </c>
      <c r="BG3" s="30">
        <v>4420</v>
      </c>
      <c r="BH3" s="30">
        <v>2975</v>
      </c>
      <c r="BI3" s="30">
        <v>1148</v>
      </c>
      <c r="BJ3" s="30">
        <v>407</v>
      </c>
      <c r="BK3" s="30">
        <v>2222</v>
      </c>
      <c r="BL3" s="30">
        <v>1827</v>
      </c>
      <c r="BM3" s="30">
        <v>12</v>
      </c>
      <c r="BN3" s="30">
        <v>4029</v>
      </c>
      <c r="BO3" s="30">
        <v>2175</v>
      </c>
      <c r="BP3" s="30">
        <v>3435</v>
      </c>
      <c r="BQ3" s="30">
        <v>5967</v>
      </c>
      <c r="BR3" s="30">
        <v>3093</v>
      </c>
      <c r="BS3" s="30">
        <v>2343</v>
      </c>
      <c r="BT3" s="30">
        <v>4633</v>
      </c>
      <c r="BU3" s="30">
        <v>7112</v>
      </c>
      <c r="BV3" s="30">
        <v>4346</v>
      </c>
      <c r="BW3" s="30">
        <v>3161</v>
      </c>
      <c r="BX3" s="30">
        <v>1580</v>
      </c>
      <c r="BY3" s="30">
        <v>5933</v>
      </c>
      <c r="BZ3" s="30">
        <v>3983</v>
      </c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</row>
    <row r="4" spans="1:101" ht="14.4" x14ac:dyDescent="0.3">
      <c r="A4" s="20"/>
      <c r="B4" s="20"/>
      <c r="C4" s="21"/>
      <c r="D4" s="21"/>
      <c r="E4" s="22"/>
      <c r="F4" s="22"/>
      <c r="G4" s="22"/>
      <c r="H4" s="23"/>
      <c r="I4" s="23"/>
      <c r="J4" s="24"/>
      <c r="K4" s="24"/>
      <c r="L4" s="24"/>
      <c r="M4" s="24"/>
      <c r="N4" s="24"/>
      <c r="O4" s="24"/>
      <c r="P4" s="24"/>
      <c r="Q4" s="22"/>
      <c r="R4" s="22"/>
      <c r="S4" s="22"/>
      <c r="T4" s="22"/>
      <c r="U4" s="22"/>
      <c r="V4" s="22"/>
      <c r="W4" s="22"/>
      <c r="X4" s="23"/>
      <c r="Y4" s="22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3"/>
      <c r="AV4" s="23"/>
      <c r="AW4" s="23"/>
      <c r="AX4" s="23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</row>
    <row r="5" spans="1:101" ht="14.4" x14ac:dyDescent="0.3">
      <c r="A5" s="20"/>
      <c r="B5" s="20"/>
      <c r="C5" s="21"/>
      <c r="D5" s="21"/>
      <c r="E5" s="22"/>
      <c r="F5" s="22"/>
      <c r="G5" s="22"/>
      <c r="H5" s="23"/>
      <c r="I5" s="23"/>
      <c r="J5" s="24"/>
      <c r="K5" s="24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3"/>
      <c r="Y5" s="22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3"/>
      <c r="AV5" s="23"/>
      <c r="AW5" s="23"/>
      <c r="AX5" s="23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</row>
    <row r="6" spans="1:101" ht="14.4" x14ac:dyDescent="0.3">
      <c r="A6" s="20"/>
      <c r="B6" s="20"/>
      <c r="C6" s="21"/>
      <c r="D6" s="21"/>
      <c r="E6" s="22"/>
      <c r="F6" s="22"/>
      <c r="G6" s="22"/>
      <c r="H6" s="23"/>
      <c r="I6" s="23"/>
      <c r="J6" s="24"/>
      <c r="K6" s="24"/>
      <c r="L6" s="24"/>
      <c r="M6" s="24"/>
      <c r="N6" s="24"/>
      <c r="O6" s="24"/>
      <c r="P6" s="24"/>
      <c r="Q6" s="22"/>
      <c r="R6" s="22"/>
      <c r="S6" s="22"/>
      <c r="T6" s="22"/>
      <c r="U6" s="22"/>
      <c r="V6" s="22"/>
      <c r="W6" s="22"/>
      <c r="X6" s="23"/>
      <c r="Y6" s="22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3"/>
      <c r="AV6" s="23"/>
      <c r="AW6" s="23"/>
      <c r="AX6" s="23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</row>
    <row r="7" spans="1:101" ht="14.4" x14ac:dyDescent="0.3">
      <c r="A7" s="20"/>
      <c r="B7" s="20"/>
      <c r="C7" s="21"/>
      <c r="D7" s="21"/>
      <c r="E7" s="22"/>
      <c r="F7" s="22"/>
      <c r="G7" s="22"/>
      <c r="H7" s="23"/>
      <c r="I7" s="23"/>
      <c r="J7" s="24"/>
      <c r="K7" s="24"/>
      <c r="L7" s="24"/>
      <c r="M7" s="24"/>
      <c r="N7" s="24"/>
      <c r="O7" s="24"/>
      <c r="P7" s="24"/>
      <c r="Q7" s="22"/>
      <c r="R7" s="22"/>
      <c r="S7" s="22"/>
      <c r="T7" s="22"/>
      <c r="U7" s="22"/>
      <c r="V7" s="22"/>
      <c r="W7" s="22"/>
      <c r="X7" s="23"/>
      <c r="Y7" s="22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3"/>
      <c r="AV7" s="23"/>
      <c r="AW7" s="23"/>
      <c r="AX7" s="23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</row>
    <row r="8" spans="1:101" ht="14.4" x14ac:dyDescent="0.3">
      <c r="A8" s="20"/>
      <c r="B8" s="20"/>
      <c r="C8" s="21"/>
      <c r="D8" s="21"/>
      <c r="E8" s="22"/>
      <c r="F8" s="22"/>
      <c r="G8" s="22"/>
      <c r="H8" s="23"/>
      <c r="I8" s="23"/>
      <c r="J8" s="24"/>
      <c r="K8" s="24"/>
      <c r="L8" s="24"/>
      <c r="M8" s="24"/>
      <c r="N8" s="24"/>
      <c r="O8" s="24"/>
      <c r="P8" s="24"/>
      <c r="Q8" s="22"/>
      <c r="R8" s="22"/>
      <c r="S8" s="22"/>
      <c r="T8" s="22"/>
      <c r="U8" s="22"/>
      <c r="V8" s="22"/>
      <c r="W8" s="22"/>
      <c r="X8" s="23"/>
      <c r="Y8" s="22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3"/>
      <c r="AV8" s="23"/>
      <c r="AW8" s="23"/>
      <c r="AX8" s="23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</row>
    <row r="9" spans="1:101" ht="14.4" x14ac:dyDescent="0.3">
      <c r="A9" s="20"/>
      <c r="B9" s="20"/>
      <c r="C9" s="21"/>
      <c r="D9" s="21"/>
      <c r="E9" s="22"/>
      <c r="F9" s="22"/>
      <c r="G9" s="22"/>
      <c r="H9" s="23"/>
      <c r="I9" s="23"/>
      <c r="J9" s="24"/>
      <c r="K9" s="24"/>
      <c r="L9" s="24"/>
      <c r="M9" s="24"/>
      <c r="N9" s="24"/>
      <c r="O9" s="24"/>
      <c r="P9" s="24"/>
      <c r="Q9" s="22"/>
      <c r="R9" s="22"/>
      <c r="S9" s="22"/>
      <c r="T9" s="22"/>
      <c r="U9" s="22"/>
      <c r="V9" s="22"/>
      <c r="W9" s="22"/>
      <c r="X9" s="23"/>
      <c r="Y9" s="22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3"/>
      <c r="AV9" s="23"/>
      <c r="AW9" s="23"/>
      <c r="AX9" s="23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</row>
    <row r="10" spans="1:101" ht="14.4" x14ac:dyDescent="0.3">
      <c r="A10" s="20"/>
      <c r="B10" s="20"/>
      <c r="C10" s="21"/>
      <c r="D10" s="21"/>
      <c r="E10" s="22"/>
      <c r="F10" s="22"/>
      <c r="G10" s="22"/>
      <c r="H10" s="23"/>
      <c r="I10" s="23"/>
      <c r="J10" s="24"/>
      <c r="K10" s="24"/>
      <c r="L10" s="24"/>
      <c r="M10" s="24"/>
      <c r="N10" s="24"/>
      <c r="O10" s="24"/>
      <c r="P10" s="24"/>
      <c r="Q10" s="22"/>
      <c r="R10" s="22"/>
      <c r="S10" s="22"/>
      <c r="T10" s="22"/>
      <c r="U10" s="22"/>
      <c r="V10" s="22"/>
      <c r="W10" s="22"/>
      <c r="X10" s="23"/>
      <c r="Y10" s="22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3"/>
      <c r="AV10" s="23"/>
      <c r="AW10" s="23"/>
      <c r="AX10" s="23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</row>
    <row r="11" spans="1:101" ht="14.4" x14ac:dyDescent="0.3">
      <c r="A11" s="20"/>
      <c r="B11" s="20"/>
      <c r="C11" s="21"/>
      <c r="D11" s="21"/>
      <c r="E11" s="22"/>
      <c r="F11" s="22"/>
      <c r="G11" s="22"/>
      <c r="H11" s="23"/>
      <c r="I11" s="23"/>
      <c r="J11" s="24"/>
      <c r="K11" s="24"/>
      <c r="L11" s="24"/>
      <c r="M11" s="24"/>
      <c r="N11" s="24"/>
      <c r="O11" s="24"/>
      <c r="P11" s="24"/>
      <c r="Q11" s="22"/>
      <c r="R11" s="22"/>
      <c r="S11" s="22"/>
      <c r="T11" s="22"/>
      <c r="U11" s="22"/>
      <c r="V11" s="22"/>
      <c r="W11" s="22"/>
      <c r="X11" s="23"/>
      <c r="Y11" s="22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3"/>
      <c r="AV11" s="23"/>
      <c r="AW11" s="23"/>
      <c r="AX11" s="23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</row>
    <row r="12" spans="1:101" ht="14.4" x14ac:dyDescent="0.3">
      <c r="A12" s="20"/>
      <c r="B12" s="20"/>
      <c r="C12" s="21"/>
      <c r="D12" s="21"/>
      <c r="E12" s="22"/>
      <c r="F12" s="22"/>
      <c r="G12" s="22"/>
      <c r="H12" s="23"/>
      <c r="I12" s="23"/>
      <c r="J12" s="24"/>
      <c r="K12" s="24"/>
      <c r="L12" s="24"/>
      <c r="M12" s="24"/>
      <c r="N12" s="24"/>
      <c r="O12" s="24"/>
      <c r="P12" s="24"/>
      <c r="Q12" s="22"/>
      <c r="R12" s="22"/>
      <c r="S12" s="22"/>
      <c r="T12" s="22"/>
      <c r="U12" s="22"/>
      <c r="V12" s="22"/>
      <c r="W12" s="22"/>
      <c r="X12" s="23"/>
      <c r="Y12" s="22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3"/>
      <c r="AV12" s="23"/>
      <c r="AW12" s="23"/>
      <c r="AX12" s="23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</row>
    <row r="13" spans="1:101" ht="14.4" x14ac:dyDescent="0.3">
      <c r="A13" s="20"/>
      <c r="B13" s="20"/>
      <c r="C13" s="21"/>
      <c r="D13" s="21"/>
      <c r="E13" s="22"/>
      <c r="F13" s="22"/>
      <c r="G13" s="22"/>
      <c r="H13" s="23"/>
      <c r="I13" s="23"/>
      <c r="J13" s="24"/>
      <c r="K13" s="24"/>
      <c r="L13" s="24"/>
      <c r="M13" s="24"/>
      <c r="N13" s="24"/>
      <c r="O13" s="24"/>
      <c r="P13" s="24"/>
      <c r="Q13" s="22"/>
      <c r="R13" s="22"/>
      <c r="S13" s="22"/>
      <c r="T13" s="22"/>
      <c r="U13" s="22"/>
      <c r="V13" s="22"/>
      <c r="W13" s="22"/>
      <c r="X13" s="23"/>
      <c r="Y13" s="22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3"/>
      <c r="AV13" s="23"/>
      <c r="AW13" s="23"/>
      <c r="AX13" s="23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</row>
    <row r="14" spans="1:101" ht="14.4" x14ac:dyDescent="0.3">
      <c r="A14" s="20"/>
      <c r="B14" s="20"/>
      <c r="C14" s="21"/>
      <c r="D14" s="21"/>
      <c r="E14" s="22"/>
      <c r="F14" s="22"/>
      <c r="G14" s="22"/>
      <c r="H14" s="23"/>
      <c r="I14" s="23"/>
      <c r="J14" s="24"/>
      <c r="K14" s="24"/>
      <c r="L14" s="24"/>
      <c r="M14" s="24"/>
      <c r="N14" s="24"/>
      <c r="O14" s="24"/>
      <c r="P14" s="24"/>
      <c r="Q14" s="22"/>
      <c r="R14" s="22"/>
      <c r="S14" s="22"/>
      <c r="T14" s="22"/>
      <c r="U14" s="22"/>
      <c r="V14" s="22"/>
      <c r="W14" s="22"/>
      <c r="X14" s="23"/>
      <c r="Y14" s="22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3"/>
      <c r="AV14" s="23"/>
      <c r="AW14" s="23"/>
      <c r="AX14" s="23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</row>
    <row r="15" spans="1:101" ht="14.4" x14ac:dyDescent="0.3">
      <c r="A15" s="20"/>
      <c r="B15" s="20"/>
      <c r="C15" s="21"/>
      <c r="D15" s="21"/>
      <c r="E15" s="22"/>
      <c r="F15" s="22"/>
      <c r="G15" s="22"/>
      <c r="H15" s="23"/>
      <c r="I15" s="23"/>
      <c r="J15" s="24"/>
      <c r="K15" s="24"/>
      <c r="L15" s="24"/>
      <c r="M15" s="24"/>
      <c r="N15" s="24"/>
      <c r="O15" s="24"/>
      <c r="P15" s="24"/>
      <c r="Q15" s="22"/>
      <c r="R15" s="22"/>
      <c r="S15" s="22"/>
      <c r="T15" s="22"/>
      <c r="U15" s="22"/>
      <c r="V15" s="22"/>
      <c r="W15" s="22"/>
      <c r="X15" s="23"/>
      <c r="Y15" s="22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3"/>
      <c r="AV15" s="23"/>
      <c r="AW15" s="23"/>
      <c r="AX15" s="23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</row>
    <row r="16" spans="1:101" ht="14.4" x14ac:dyDescent="0.3">
      <c r="A16" s="20"/>
      <c r="B16" s="20"/>
      <c r="C16" s="21"/>
      <c r="D16" s="21"/>
      <c r="E16" s="22"/>
      <c r="F16" s="22"/>
      <c r="G16" s="22"/>
      <c r="H16" s="23"/>
      <c r="I16" s="23"/>
      <c r="J16" s="24"/>
      <c r="K16" s="24"/>
      <c r="L16" s="24"/>
      <c r="M16" s="24"/>
      <c r="N16" s="24"/>
      <c r="O16" s="24"/>
      <c r="P16" s="24"/>
      <c r="Q16" s="22"/>
      <c r="R16" s="22"/>
      <c r="S16" s="22"/>
      <c r="T16" s="22"/>
      <c r="U16" s="22"/>
      <c r="V16" s="22"/>
      <c r="W16" s="22"/>
      <c r="X16" s="23"/>
      <c r="Y16" s="22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3"/>
      <c r="AV16" s="23"/>
      <c r="AW16" s="23"/>
      <c r="AX16" s="23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</row>
    <row r="17" spans="1:101" ht="14.4" x14ac:dyDescent="0.3">
      <c r="A17" s="20"/>
      <c r="B17" s="20"/>
      <c r="C17" s="21"/>
      <c r="D17" s="21"/>
      <c r="E17" s="22"/>
      <c r="F17" s="22"/>
      <c r="G17" s="22"/>
      <c r="H17" s="23"/>
      <c r="I17" s="23"/>
      <c r="J17" s="24"/>
      <c r="K17" s="24"/>
      <c r="L17" s="24"/>
      <c r="M17" s="24"/>
      <c r="N17" s="24"/>
      <c r="O17" s="24"/>
      <c r="P17" s="24"/>
      <c r="Q17" s="22"/>
      <c r="R17" s="22"/>
      <c r="S17" s="22"/>
      <c r="T17" s="22"/>
      <c r="U17" s="22"/>
      <c r="V17" s="22"/>
      <c r="W17" s="22"/>
      <c r="X17" s="23"/>
      <c r="Y17" s="22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3"/>
      <c r="AV17" s="23"/>
      <c r="AW17" s="23"/>
      <c r="AX17" s="23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</row>
    <row r="18" spans="1:101" ht="14.4" x14ac:dyDescent="0.3">
      <c r="A18" s="20"/>
      <c r="B18" s="20"/>
      <c r="C18" s="21"/>
      <c r="D18" s="21"/>
      <c r="E18" s="22"/>
      <c r="F18" s="22"/>
      <c r="G18" s="22"/>
      <c r="H18" s="23"/>
      <c r="I18" s="23"/>
      <c r="J18" s="24"/>
      <c r="K18" s="24"/>
      <c r="L18" s="24"/>
      <c r="M18" s="24"/>
      <c r="N18" s="24"/>
      <c r="O18" s="24"/>
      <c r="P18" s="24"/>
      <c r="Q18" s="22"/>
      <c r="R18" s="22"/>
      <c r="S18" s="22"/>
      <c r="T18" s="22"/>
      <c r="U18" s="22"/>
      <c r="V18" s="22"/>
      <c r="W18" s="22"/>
      <c r="X18" s="23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3"/>
      <c r="AV18" s="23"/>
      <c r="AW18" s="23"/>
      <c r="AX18" s="23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</row>
    <row r="19" spans="1:101" ht="14.4" x14ac:dyDescent="0.3">
      <c r="A19" s="20"/>
      <c r="B19" s="20"/>
      <c r="C19" s="21"/>
      <c r="D19" s="21"/>
      <c r="E19" s="22"/>
      <c r="F19" s="22"/>
      <c r="G19" s="22"/>
      <c r="H19" s="23"/>
      <c r="I19" s="23"/>
      <c r="J19" s="24"/>
      <c r="K19" s="24"/>
      <c r="L19" s="24"/>
      <c r="M19" s="24"/>
      <c r="N19" s="24"/>
      <c r="O19" s="24"/>
      <c r="P19" s="24"/>
      <c r="Q19" s="22"/>
      <c r="R19" s="22"/>
      <c r="S19" s="22"/>
      <c r="T19" s="22"/>
      <c r="U19" s="22"/>
      <c r="V19" s="22"/>
      <c r="W19" s="22"/>
      <c r="X19" s="23"/>
      <c r="Y19" s="22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3"/>
      <c r="AV19" s="23"/>
      <c r="AW19" s="23"/>
      <c r="AX19" s="23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</row>
    <row r="20" spans="1:101" ht="14.4" x14ac:dyDescent="0.3">
      <c r="A20" s="20"/>
      <c r="B20" s="20"/>
      <c r="C20" s="21"/>
      <c r="D20" s="21"/>
      <c r="E20" s="22"/>
      <c r="F20" s="22"/>
      <c r="G20" s="22"/>
      <c r="H20" s="23"/>
      <c r="I20" s="23"/>
      <c r="J20" s="24"/>
      <c r="K20" s="24"/>
      <c r="L20" s="24"/>
      <c r="M20" s="24"/>
      <c r="N20" s="24"/>
      <c r="O20" s="24"/>
      <c r="P20" s="24"/>
      <c r="Q20" s="22"/>
      <c r="R20" s="22"/>
      <c r="S20" s="22"/>
      <c r="T20" s="22"/>
      <c r="U20" s="22"/>
      <c r="V20" s="22"/>
      <c r="W20" s="22"/>
      <c r="X20" s="23"/>
      <c r="Y20" s="22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3"/>
      <c r="AV20" s="23"/>
      <c r="AW20" s="23"/>
      <c r="AX20" s="23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</row>
    <row r="21" spans="1:101" ht="14.4" x14ac:dyDescent="0.3">
      <c r="A21" s="20"/>
      <c r="B21" s="20"/>
      <c r="C21" s="21"/>
      <c r="D21" s="21"/>
      <c r="E21" s="22"/>
      <c r="F21" s="22"/>
      <c r="G21" s="22"/>
      <c r="H21" s="23"/>
      <c r="I21" s="23"/>
      <c r="J21" s="24"/>
      <c r="K21" s="24"/>
      <c r="L21" s="24"/>
      <c r="M21" s="24"/>
      <c r="N21" s="24"/>
      <c r="O21" s="24"/>
      <c r="P21" s="24"/>
      <c r="Q21" s="22"/>
      <c r="R21" s="22"/>
      <c r="S21" s="22"/>
      <c r="T21" s="22"/>
      <c r="U21" s="22"/>
      <c r="V21" s="22"/>
      <c r="W21" s="22"/>
      <c r="X21" s="23"/>
      <c r="Y21" s="22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3"/>
      <c r="AV21" s="23"/>
      <c r="AW21" s="23"/>
      <c r="AX21" s="23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</row>
    <row r="22" spans="1:101" ht="14.4" x14ac:dyDescent="0.3">
      <c r="A22" s="20"/>
      <c r="B22" s="20"/>
      <c r="C22" s="21"/>
      <c r="D22" s="21"/>
      <c r="E22" s="22"/>
      <c r="F22" s="22"/>
      <c r="G22" s="22"/>
      <c r="H22" s="23"/>
      <c r="I22" s="23"/>
      <c r="J22" s="24"/>
      <c r="K22" s="24"/>
      <c r="L22" s="24"/>
      <c r="M22" s="24"/>
      <c r="N22" s="24"/>
      <c r="O22" s="24"/>
      <c r="P22" s="24"/>
      <c r="Q22" s="22"/>
      <c r="R22" s="22"/>
      <c r="S22" s="22"/>
      <c r="T22" s="22"/>
      <c r="U22" s="22"/>
      <c r="V22" s="22"/>
      <c r="W22" s="22"/>
      <c r="X22" s="23"/>
      <c r="Y22" s="22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3"/>
      <c r="AV22" s="23"/>
      <c r="AW22" s="23"/>
      <c r="AX22" s="23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</row>
    <row r="23" spans="1:101" ht="14.4" x14ac:dyDescent="0.3">
      <c r="A23" s="20"/>
      <c r="B23" s="20"/>
      <c r="C23" s="21"/>
      <c r="D23" s="21"/>
      <c r="E23" s="22"/>
      <c r="F23" s="22"/>
      <c r="G23" s="22"/>
      <c r="H23" s="23"/>
      <c r="I23" s="23"/>
      <c r="J23" s="24"/>
      <c r="K23" s="24"/>
      <c r="L23" s="24"/>
      <c r="M23" s="24"/>
      <c r="N23" s="24"/>
      <c r="O23" s="24"/>
      <c r="P23" s="24"/>
      <c r="Q23" s="22"/>
      <c r="R23" s="22"/>
      <c r="S23" s="22"/>
      <c r="T23" s="22"/>
      <c r="U23" s="22"/>
      <c r="V23" s="22"/>
      <c r="W23" s="22"/>
      <c r="X23" s="23"/>
      <c r="Y23" s="22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3"/>
      <c r="AV23" s="23"/>
      <c r="AW23" s="23"/>
      <c r="AX23" s="23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</row>
    <row r="24" spans="1:101" ht="14.4" x14ac:dyDescent="0.3">
      <c r="A24" s="20"/>
      <c r="B24" s="20"/>
      <c r="C24" s="21"/>
      <c r="D24" s="21"/>
      <c r="E24" s="22"/>
      <c r="F24" s="22"/>
      <c r="G24" s="22"/>
      <c r="H24" s="23"/>
      <c r="I24" s="23"/>
      <c r="J24" s="24"/>
      <c r="K24" s="24"/>
      <c r="L24" s="24"/>
      <c r="M24" s="24"/>
      <c r="N24" s="24"/>
      <c r="O24" s="24"/>
      <c r="P24" s="24"/>
      <c r="Q24" s="22"/>
      <c r="R24" s="22"/>
      <c r="S24" s="22"/>
      <c r="T24" s="22"/>
      <c r="U24" s="22"/>
      <c r="V24" s="22"/>
      <c r="W24" s="22"/>
      <c r="X24" s="23"/>
      <c r="Y24" s="22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3"/>
      <c r="AV24" s="23"/>
      <c r="AW24" s="23"/>
      <c r="AX24" s="23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</row>
    <row r="25" spans="1:101" ht="14.4" x14ac:dyDescent="0.3">
      <c r="A25" s="20"/>
      <c r="B25" s="20"/>
      <c r="C25" s="21"/>
      <c r="D25" s="21"/>
      <c r="E25" s="22"/>
      <c r="F25" s="22"/>
      <c r="G25" s="22"/>
      <c r="H25" s="23"/>
      <c r="I25" s="23"/>
      <c r="J25" s="24"/>
      <c r="K25" s="24"/>
      <c r="L25" s="24"/>
      <c r="M25" s="24"/>
      <c r="N25" s="24"/>
      <c r="O25" s="24"/>
      <c r="P25" s="24"/>
      <c r="Q25" s="22"/>
      <c r="R25" s="22"/>
      <c r="S25" s="22"/>
      <c r="T25" s="22"/>
      <c r="U25" s="22"/>
      <c r="V25" s="22"/>
      <c r="W25" s="22"/>
      <c r="X25" s="23"/>
      <c r="Y25" s="22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3"/>
      <c r="AV25" s="23"/>
      <c r="AW25" s="23"/>
      <c r="AX25" s="23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</row>
    <row r="26" spans="1:101" ht="14.4" x14ac:dyDescent="0.3">
      <c r="A26" s="20"/>
      <c r="B26" s="20"/>
      <c r="C26" s="21"/>
      <c r="D26" s="21"/>
      <c r="E26" s="22"/>
      <c r="F26" s="22"/>
      <c r="G26" s="22"/>
      <c r="H26" s="23"/>
      <c r="I26" s="23"/>
      <c r="J26" s="24"/>
      <c r="K26" s="24"/>
      <c r="L26" s="24"/>
      <c r="M26" s="24"/>
      <c r="N26" s="24"/>
      <c r="O26" s="24"/>
      <c r="P26" s="24"/>
      <c r="Q26" s="22"/>
      <c r="R26" s="22"/>
      <c r="S26" s="22"/>
      <c r="T26" s="22"/>
      <c r="U26" s="22"/>
      <c r="V26" s="22"/>
      <c r="W26" s="22"/>
      <c r="X26" s="23"/>
      <c r="Y26" s="22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3"/>
      <c r="AV26" s="23"/>
      <c r="AW26" s="23"/>
      <c r="AX26" s="23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</row>
    <row r="27" spans="1:101" ht="14.4" x14ac:dyDescent="0.3">
      <c r="A27" s="20"/>
      <c r="B27" s="20"/>
      <c r="C27" s="21"/>
      <c r="D27" s="21"/>
      <c r="E27" s="22"/>
      <c r="F27" s="22"/>
      <c r="G27" s="22"/>
      <c r="H27" s="23"/>
      <c r="I27" s="23"/>
      <c r="J27" s="24"/>
      <c r="K27" s="24"/>
      <c r="L27" s="24"/>
      <c r="M27" s="24"/>
      <c r="N27" s="24"/>
      <c r="O27" s="24"/>
      <c r="P27" s="24"/>
      <c r="Q27" s="22"/>
      <c r="R27" s="22"/>
      <c r="S27" s="22"/>
      <c r="T27" s="22"/>
      <c r="U27" s="22"/>
      <c r="V27" s="22"/>
      <c r="W27" s="22"/>
      <c r="X27" s="23"/>
      <c r="Y27" s="22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3"/>
      <c r="AV27" s="23"/>
      <c r="AW27" s="23"/>
      <c r="AX27" s="23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</row>
    <row r="28" spans="1:101" ht="14.4" x14ac:dyDescent="0.3">
      <c r="A28" s="20"/>
      <c r="B28" s="20"/>
      <c r="C28" s="21"/>
      <c r="D28" s="21"/>
      <c r="E28" s="22"/>
      <c r="F28" s="22"/>
      <c r="G28" s="22"/>
      <c r="H28" s="23"/>
      <c r="I28" s="23"/>
      <c r="J28" s="24"/>
      <c r="K28" s="24"/>
      <c r="L28" s="24"/>
      <c r="M28" s="24"/>
      <c r="N28" s="24"/>
      <c r="O28" s="24"/>
      <c r="P28" s="24"/>
      <c r="Q28" s="22"/>
      <c r="R28" s="22"/>
      <c r="S28" s="22"/>
      <c r="T28" s="22"/>
      <c r="U28" s="22"/>
      <c r="V28" s="22"/>
      <c r="W28" s="22"/>
      <c r="X28" s="23"/>
      <c r="Y28" s="22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3"/>
      <c r="AV28" s="23"/>
      <c r="AW28" s="23"/>
      <c r="AX28" s="23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</row>
    <row r="29" spans="1:101" ht="14.4" x14ac:dyDescent="0.3">
      <c r="A29" s="20"/>
      <c r="B29" s="20"/>
      <c r="C29" s="21"/>
      <c r="D29" s="21"/>
      <c r="E29" s="22"/>
      <c r="F29" s="22"/>
      <c r="G29" s="22"/>
      <c r="H29" s="23"/>
      <c r="I29" s="23"/>
      <c r="J29" s="24"/>
      <c r="K29" s="24"/>
      <c r="L29" s="24"/>
      <c r="M29" s="24"/>
      <c r="N29" s="24"/>
      <c r="O29" s="24"/>
      <c r="P29" s="24"/>
      <c r="Q29" s="22"/>
      <c r="R29" s="22"/>
      <c r="S29" s="22"/>
      <c r="T29" s="22"/>
      <c r="U29" s="22"/>
      <c r="V29" s="22"/>
      <c r="W29" s="22"/>
      <c r="X29" s="23"/>
      <c r="Y29" s="22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3"/>
      <c r="AV29" s="23"/>
      <c r="AW29" s="23"/>
      <c r="AX29" s="23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</row>
    <row r="30" spans="1:101" ht="14.4" x14ac:dyDescent="0.3">
      <c r="A30" s="20"/>
      <c r="B30" s="20"/>
      <c r="C30" s="21"/>
      <c r="D30" s="21"/>
      <c r="E30" s="22"/>
      <c r="F30" s="22"/>
      <c r="G30" s="22"/>
      <c r="H30" s="23"/>
      <c r="I30" s="23"/>
      <c r="J30" s="24"/>
      <c r="K30" s="24"/>
      <c r="L30" s="24"/>
      <c r="M30" s="24"/>
      <c r="N30" s="24"/>
      <c r="O30" s="24"/>
      <c r="P30" s="24"/>
      <c r="Q30" s="22"/>
      <c r="R30" s="22"/>
      <c r="S30" s="22"/>
      <c r="T30" s="22"/>
      <c r="U30" s="22"/>
      <c r="V30" s="22"/>
      <c r="W30" s="22"/>
      <c r="X30" s="23"/>
      <c r="Y30" s="22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3"/>
      <c r="AV30" s="23"/>
      <c r="AW30" s="23"/>
      <c r="AX30" s="23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</row>
    <row r="31" spans="1:101" ht="14.4" x14ac:dyDescent="0.3">
      <c r="A31" s="20"/>
      <c r="B31" s="20"/>
      <c r="C31" s="21"/>
      <c r="D31" s="21"/>
      <c r="E31" s="22"/>
      <c r="F31" s="22"/>
      <c r="G31" s="22"/>
      <c r="H31" s="23"/>
      <c r="I31" s="23"/>
      <c r="J31" s="24"/>
      <c r="K31" s="24"/>
      <c r="L31" s="24"/>
      <c r="M31" s="24"/>
      <c r="N31" s="24"/>
      <c r="O31" s="24"/>
      <c r="P31" s="24"/>
      <c r="Q31" s="22"/>
      <c r="R31" s="22"/>
      <c r="S31" s="22"/>
      <c r="T31" s="22"/>
      <c r="U31" s="22"/>
      <c r="V31" s="22"/>
      <c r="W31" s="22"/>
      <c r="X31" s="23"/>
      <c r="Y31" s="22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3"/>
      <c r="AV31" s="23"/>
      <c r="AW31" s="23"/>
      <c r="AX31" s="23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</row>
    <row r="32" spans="1:101" ht="14.4" x14ac:dyDescent="0.3">
      <c r="A32" s="20"/>
      <c r="B32" s="20"/>
      <c r="C32" s="21"/>
      <c r="D32" s="21"/>
      <c r="E32" s="22"/>
      <c r="F32" s="22"/>
      <c r="G32" s="22"/>
      <c r="H32" s="23"/>
      <c r="I32" s="23"/>
      <c r="J32" s="24"/>
      <c r="K32" s="24"/>
      <c r="L32" s="24"/>
      <c r="M32" s="24"/>
      <c r="N32" s="24"/>
      <c r="O32" s="24"/>
      <c r="P32" s="24"/>
      <c r="Q32" s="22"/>
      <c r="R32" s="22"/>
      <c r="S32" s="22"/>
      <c r="T32" s="22"/>
      <c r="U32" s="22"/>
      <c r="V32" s="22"/>
      <c r="W32" s="22"/>
      <c r="X32" s="23"/>
      <c r="Y32" s="22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3"/>
      <c r="AV32" s="23"/>
      <c r="AW32" s="23"/>
      <c r="AX32" s="23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</row>
    <row r="33" spans="1:101" ht="14.4" x14ac:dyDescent="0.3">
      <c r="A33" s="20"/>
      <c r="B33" s="20"/>
      <c r="C33" s="21"/>
      <c r="D33" s="21"/>
      <c r="E33" s="22"/>
      <c r="F33" s="22"/>
      <c r="G33" s="22"/>
      <c r="H33" s="23"/>
      <c r="I33" s="23"/>
      <c r="J33" s="24"/>
      <c r="K33" s="24"/>
      <c r="L33" s="24"/>
      <c r="M33" s="24"/>
      <c r="N33" s="24"/>
      <c r="O33" s="24"/>
      <c r="P33" s="24"/>
      <c r="Q33" s="22"/>
      <c r="R33" s="22"/>
      <c r="S33" s="22"/>
      <c r="T33" s="22"/>
      <c r="U33" s="22"/>
      <c r="V33" s="22"/>
      <c r="W33" s="22"/>
      <c r="X33" s="23"/>
      <c r="Y33" s="22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3"/>
      <c r="AV33" s="23"/>
      <c r="AW33" s="23"/>
      <c r="AX33" s="23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</row>
    <row r="34" spans="1:101" ht="14.4" x14ac:dyDescent="0.3">
      <c r="A34" s="20"/>
      <c r="B34" s="20"/>
      <c r="C34" s="21"/>
      <c r="D34" s="21"/>
      <c r="E34" s="22"/>
      <c r="F34" s="22"/>
      <c r="G34" s="22"/>
      <c r="H34" s="23"/>
      <c r="I34" s="23"/>
      <c r="J34" s="24"/>
      <c r="K34" s="24"/>
      <c r="L34" s="24"/>
      <c r="M34" s="24"/>
      <c r="N34" s="24"/>
      <c r="O34" s="24"/>
      <c r="P34" s="24"/>
      <c r="Q34" s="22"/>
      <c r="R34" s="22"/>
      <c r="S34" s="22"/>
      <c r="T34" s="22"/>
      <c r="U34" s="22"/>
      <c r="V34" s="22"/>
      <c r="W34" s="22"/>
      <c r="X34" s="23"/>
      <c r="Y34" s="22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3"/>
      <c r="AV34" s="23"/>
      <c r="AW34" s="23"/>
      <c r="AX34" s="23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</row>
    <row r="35" spans="1:101" ht="14.4" x14ac:dyDescent="0.3">
      <c r="A35" s="20"/>
      <c r="B35" s="20"/>
      <c r="C35" s="21"/>
      <c r="D35" s="21"/>
      <c r="E35" s="22"/>
      <c r="F35" s="22"/>
      <c r="G35" s="22"/>
      <c r="H35" s="23"/>
      <c r="I35" s="23"/>
      <c r="J35" s="24"/>
      <c r="K35" s="24"/>
      <c r="L35" s="24"/>
      <c r="M35" s="24"/>
      <c r="N35" s="24"/>
      <c r="O35" s="24"/>
      <c r="P35" s="24"/>
      <c r="Q35" s="22"/>
      <c r="R35" s="22"/>
      <c r="S35" s="22"/>
      <c r="T35" s="22"/>
      <c r="U35" s="22"/>
      <c r="V35" s="22"/>
      <c r="W35" s="22"/>
      <c r="X35" s="23"/>
      <c r="Y35" s="22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3"/>
      <c r="AV35" s="23"/>
      <c r="AW35" s="23"/>
      <c r="AX35" s="23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</row>
    <row r="36" spans="1:101" ht="14.4" x14ac:dyDescent="0.3">
      <c r="A36" s="20"/>
      <c r="B36" s="20"/>
      <c r="C36" s="21"/>
      <c r="D36" s="21"/>
      <c r="E36" s="22"/>
      <c r="F36" s="22"/>
      <c r="G36" s="22"/>
      <c r="H36" s="23"/>
      <c r="I36" s="23"/>
      <c r="J36" s="24"/>
      <c r="K36" s="24"/>
      <c r="L36" s="24"/>
      <c r="M36" s="24"/>
      <c r="N36" s="24"/>
      <c r="O36" s="24"/>
      <c r="P36" s="24"/>
      <c r="Q36" s="22"/>
      <c r="R36" s="22"/>
      <c r="S36" s="22"/>
      <c r="T36" s="22"/>
      <c r="U36" s="22"/>
      <c r="V36" s="22"/>
      <c r="W36" s="22"/>
      <c r="X36" s="23"/>
      <c r="Y36" s="22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3"/>
      <c r="AV36" s="23"/>
      <c r="AW36" s="23"/>
      <c r="AX36" s="23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</row>
    <row r="37" spans="1:101" ht="14.4" x14ac:dyDescent="0.3">
      <c r="A37" s="20"/>
      <c r="B37" s="20"/>
      <c r="C37" s="21"/>
      <c r="D37" s="21"/>
      <c r="E37" s="22"/>
      <c r="F37" s="22"/>
      <c r="G37" s="22"/>
      <c r="H37" s="23"/>
      <c r="I37" s="23"/>
      <c r="J37" s="24"/>
      <c r="K37" s="24"/>
      <c r="L37" s="24"/>
      <c r="M37" s="24"/>
      <c r="N37" s="24"/>
      <c r="O37" s="24"/>
      <c r="P37" s="24"/>
      <c r="Q37" s="22"/>
      <c r="R37" s="22"/>
      <c r="S37" s="22"/>
      <c r="T37" s="22"/>
      <c r="U37" s="22"/>
      <c r="V37" s="22"/>
      <c r="W37" s="22"/>
      <c r="X37" s="23"/>
      <c r="Y37" s="22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3"/>
      <c r="AV37" s="23"/>
      <c r="AW37" s="23"/>
      <c r="AX37" s="23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</row>
    <row r="38" spans="1:101" ht="14.4" x14ac:dyDescent="0.3">
      <c r="A38" s="20"/>
      <c r="B38" s="20"/>
      <c r="C38" s="21"/>
      <c r="D38" s="21"/>
      <c r="E38" s="22"/>
      <c r="F38" s="22"/>
      <c r="G38" s="22"/>
      <c r="H38" s="23"/>
      <c r="I38" s="23"/>
      <c r="J38" s="24"/>
      <c r="K38" s="24"/>
      <c r="L38" s="24"/>
      <c r="M38" s="24"/>
      <c r="N38" s="24"/>
      <c r="O38" s="24"/>
      <c r="P38" s="24"/>
      <c r="Q38" s="22"/>
      <c r="R38" s="22"/>
      <c r="S38" s="22"/>
      <c r="T38" s="22"/>
      <c r="U38" s="22"/>
      <c r="V38" s="22"/>
      <c r="W38" s="22"/>
      <c r="X38" s="23"/>
      <c r="Y38" s="22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3"/>
      <c r="AV38" s="23"/>
      <c r="AW38" s="23"/>
      <c r="AX38" s="23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</row>
    <row r="39" spans="1:101" ht="14.4" x14ac:dyDescent="0.3">
      <c r="A39" s="20"/>
      <c r="B39" s="20"/>
      <c r="C39" s="21"/>
      <c r="D39" s="21"/>
      <c r="E39" s="22"/>
      <c r="F39" s="22"/>
      <c r="G39" s="22"/>
      <c r="H39" s="23"/>
      <c r="I39" s="23"/>
      <c r="J39" s="24"/>
      <c r="K39" s="24"/>
      <c r="L39" s="24"/>
      <c r="M39" s="24"/>
      <c r="N39" s="24"/>
      <c r="O39" s="24"/>
      <c r="P39" s="24"/>
      <c r="Q39" s="22"/>
      <c r="R39" s="22"/>
      <c r="S39" s="22"/>
      <c r="T39" s="22"/>
      <c r="U39" s="22"/>
      <c r="V39" s="22"/>
      <c r="W39" s="22"/>
      <c r="X39" s="23"/>
      <c r="Y39" s="22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3"/>
      <c r="AV39" s="23"/>
      <c r="AW39" s="23"/>
      <c r="AX39" s="23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</row>
    <row r="40" spans="1:101" ht="14.4" x14ac:dyDescent="0.3">
      <c r="A40" s="20"/>
      <c r="B40" s="20"/>
      <c r="C40" s="21"/>
      <c r="D40" s="21"/>
      <c r="E40" s="22"/>
      <c r="F40" s="22"/>
      <c r="G40" s="22"/>
      <c r="H40" s="23"/>
      <c r="I40" s="23"/>
      <c r="J40" s="24"/>
      <c r="K40" s="24"/>
      <c r="L40" s="24"/>
      <c r="M40" s="24"/>
      <c r="N40" s="24"/>
      <c r="O40" s="24"/>
      <c r="P40" s="24"/>
      <c r="Q40" s="22"/>
      <c r="R40" s="22"/>
      <c r="S40" s="22"/>
      <c r="T40" s="22"/>
      <c r="U40" s="22"/>
      <c r="V40" s="22"/>
      <c r="W40" s="22"/>
      <c r="X40" s="23"/>
      <c r="Y40" s="22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3"/>
      <c r="AV40" s="23"/>
      <c r="AW40" s="23"/>
      <c r="AX40" s="23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</row>
    <row r="41" spans="1:101" ht="14.4" x14ac:dyDescent="0.3">
      <c r="A41" s="20"/>
      <c r="B41" s="20"/>
      <c r="C41" s="21"/>
      <c r="D41" s="21"/>
      <c r="E41" s="22"/>
      <c r="F41" s="22"/>
      <c r="G41" s="22"/>
      <c r="H41" s="23"/>
      <c r="I41" s="23"/>
      <c r="J41" s="24"/>
      <c r="K41" s="24"/>
      <c r="L41" s="24"/>
      <c r="M41" s="24"/>
      <c r="N41" s="24"/>
      <c r="O41" s="24"/>
      <c r="P41" s="24"/>
      <c r="Q41" s="22"/>
      <c r="R41" s="22"/>
      <c r="S41" s="22"/>
      <c r="T41" s="22"/>
      <c r="U41" s="22"/>
      <c r="V41" s="22"/>
      <c r="W41" s="22"/>
      <c r="X41" s="23"/>
      <c r="Y41" s="22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3"/>
      <c r="AV41" s="23"/>
      <c r="AW41" s="23"/>
      <c r="AX41" s="23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</row>
    <row r="42" spans="1:101" ht="14.4" x14ac:dyDescent="0.3">
      <c r="A42" s="20"/>
      <c r="B42" s="20"/>
      <c r="C42" s="21"/>
      <c r="D42" s="21"/>
      <c r="E42" s="22"/>
      <c r="F42" s="22"/>
      <c r="G42" s="22"/>
      <c r="H42" s="23"/>
      <c r="I42" s="23"/>
      <c r="J42" s="24"/>
      <c r="K42" s="24"/>
      <c r="L42" s="24"/>
      <c r="M42" s="24"/>
      <c r="N42" s="24"/>
      <c r="O42" s="24"/>
      <c r="P42" s="24"/>
      <c r="Q42" s="22"/>
      <c r="R42" s="22"/>
      <c r="S42" s="22"/>
      <c r="T42" s="22"/>
      <c r="U42" s="22"/>
      <c r="V42" s="22"/>
      <c r="W42" s="22"/>
      <c r="X42" s="23"/>
      <c r="Y42" s="22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3"/>
      <c r="AV42" s="23"/>
      <c r="AW42" s="23"/>
      <c r="AX42" s="23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</row>
    <row r="43" spans="1:101" ht="14.4" x14ac:dyDescent="0.3">
      <c r="A43" s="20"/>
      <c r="B43" s="20"/>
      <c r="C43" s="21"/>
      <c r="D43" s="21"/>
      <c r="E43" s="22"/>
      <c r="F43" s="22"/>
      <c r="G43" s="22"/>
      <c r="H43" s="23"/>
      <c r="I43" s="23"/>
      <c r="J43" s="24"/>
      <c r="K43" s="24"/>
      <c r="L43" s="24"/>
      <c r="M43" s="24"/>
      <c r="N43" s="24"/>
      <c r="O43" s="24"/>
      <c r="P43" s="24"/>
      <c r="Q43" s="22"/>
      <c r="R43" s="22"/>
      <c r="S43" s="22"/>
      <c r="T43" s="22"/>
      <c r="U43" s="22"/>
      <c r="V43" s="22"/>
      <c r="W43" s="22"/>
      <c r="X43" s="23"/>
      <c r="Y43" s="22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3"/>
      <c r="AV43" s="23"/>
      <c r="AW43" s="23"/>
      <c r="AX43" s="23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</row>
    <row r="44" spans="1:101" ht="14.4" x14ac:dyDescent="0.3">
      <c r="A44" s="20"/>
      <c r="B44" s="20"/>
      <c r="C44" s="21"/>
      <c r="D44" s="21"/>
      <c r="E44" s="22"/>
      <c r="F44" s="22"/>
      <c r="G44" s="22"/>
      <c r="H44" s="23"/>
      <c r="I44" s="23"/>
      <c r="J44" s="24"/>
      <c r="K44" s="24"/>
      <c r="L44" s="24"/>
      <c r="M44" s="24"/>
      <c r="N44" s="24"/>
      <c r="O44" s="24"/>
      <c r="P44" s="24"/>
      <c r="Q44" s="22"/>
      <c r="R44" s="22"/>
      <c r="S44" s="22"/>
      <c r="T44" s="22"/>
      <c r="U44" s="22"/>
      <c r="V44" s="22"/>
      <c r="W44" s="22"/>
      <c r="X44" s="23"/>
      <c r="Y44" s="22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3"/>
      <c r="AV44" s="23"/>
      <c r="AW44" s="23"/>
      <c r="AX44" s="23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</row>
    <row r="45" spans="1:101" ht="14.4" x14ac:dyDescent="0.3">
      <c r="A45" s="20"/>
      <c r="B45" s="20"/>
      <c r="C45" s="21"/>
      <c r="D45" s="21"/>
      <c r="E45" s="22"/>
      <c r="F45" s="22"/>
      <c r="G45" s="22"/>
      <c r="H45" s="23"/>
      <c r="I45" s="23"/>
      <c r="J45" s="24"/>
      <c r="K45" s="24"/>
      <c r="L45" s="24"/>
      <c r="M45" s="24"/>
      <c r="N45" s="24"/>
      <c r="O45" s="24"/>
      <c r="P45" s="24"/>
      <c r="Q45" s="22"/>
      <c r="R45" s="22"/>
      <c r="S45" s="22"/>
      <c r="T45" s="22"/>
      <c r="U45" s="22"/>
      <c r="V45" s="22"/>
      <c r="W45" s="22"/>
      <c r="X45" s="23"/>
      <c r="Y45" s="22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3"/>
      <c r="AV45" s="23"/>
      <c r="AW45" s="23"/>
      <c r="AX45" s="23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</row>
    <row r="46" spans="1:101" ht="14.4" x14ac:dyDescent="0.3">
      <c r="A46" s="20"/>
      <c r="B46" s="20"/>
      <c r="C46" s="21"/>
      <c r="D46" s="21"/>
      <c r="E46" s="22"/>
      <c r="F46" s="22"/>
      <c r="G46" s="22"/>
      <c r="H46" s="23"/>
      <c r="I46" s="23"/>
      <c r="J46" s="24"/>
      <c r="K46" s="24"/>
      <c r="L46" s="24"/>
      <c r="M46" s="24"/>
      <c r="N46" s="24"/>
      <c r="O46" s="24"/>
      <c r="P46" s="24"/>
      <c r="Q46" s="22"/>
      <c r="R46" s="22"/>
      <c r="S46" s="22"/>
      <c r="T46" s="22"/>
      <c r="U46" s="22"/>
      <c r="V46" s="22"/>
      <c r="W46" s="22"/>
      <c r="X46" s="23"/>
      <c r="Y46" s="22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3"/>
      <c r="AV46" s="23"/>
      <c r="AW46" s="23"/>
      <c r="AX46" s="23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</row>
    <row r="47" spans="1:101" ht="14.4" x14ac:dyDescent="0.3">
      <c r="A47" s="20"/>
      <c r="B47" s="20"/>
      <c r="C47" s="21"/>
      <c r="D47" s="21"/>
      <c r="E47" s="22"/>
      <c r="F47" s="22"/>
      <c r="G47" s="22"/>
      <c r="H47" s="23"/>
      <c r="I47" s="23"/>
      <c r="J47" s="24"/>
      <c r="K47" s="24"/>
      <c r="L47" s="24"/>
      <c r="M47" s="24"/>
      <c r="N47" s="24"/>
      <c r="O47" s="24"/>
      <c r="P47" s="24"/>
      <c r="Q47" s="22"/>
      <c r="R47" s="22"/>
      <c r="S47" s="22"/>
      <c r="T47" s="22"/>
      <c r="U47" s="22"/>
      <c r="V47" s="22"/>
      <c r="W47" s="22"/>
      <c r="X47" s="23"/>
      <c r="Y47" s="22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3"/>
      <c r="AV47" s="23"/>
      <c r="AW47" s="23"/>
      <c r="AX47" s="23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</row>
    <row r="48" spans="1:101" ht="14.4" x14ac:dyDescent="0.3">
      <c r="A48" s="20"/>
      <c r="B48" s="20"/>
      <c r="C48" s="21"/>
      <c r="D48" s="21"/>
      <c r="E48" s="22"/>
      <c r="F48" s="22"/>
      <c r="G48" s="22"/>
      <c r="H48" s="23"/>
      <c r="I48" s="23"/>
      <c r="J48" s="24"/>
      <c r="K48" s="24"/>
      <c r="L48" s="24"/>
      <c r="M48" s="24"/>
      <c r="N48" s="24"/>
      <c r="O48" s="24"/>
      <c r="P48" s="24"/>
      <c r="Q48" s="22"/>
      <c r="R48" s="22"/>
      <c r="S48" s="22"/>
      <c r="T48" s="22"/>
      <c r="U48" s="22"/>
      <c r="V48" s="22"/>
      <c r="W48" s="22"/>
      <c r="X48" s="23"/>
      <c r="Y48" s="22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3"/>
      <c r="AV48" s="23"/>
      <c r="AW48" s="23"/>
      <c r="AX48" s="23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</row>
    <row r="49" spans="1:101" ht="14.4" x14ac:dyDescent="0.3">
      <c r="A49" s="20"/>
      <c r="B49" s="20"/>
      <c r="C49" s="21"/>
      <c r="D49" s="21"/>
      <c r="E49" s="22"/>
      <c r="F49" s="22"/>
      <c r="G49" s="22"/>
      <c r="H49" s="23"/>
      <c r="I49" s="23"/>
      <c r="J49" s="24"/>
      <c r="K49" s="24"/>
      <c r="L49" s="24"/>
      <c r="M49" s="24"/>
      <c r="N49" s="24"/>
      <c r="O49" s="24"/>
      <c r="P49" s="24"/>
      <c r="Q49" s="22"/>
      <c r="R49" s="22"/>
      <c r="S49" s="22"/>
      <c r="T49" s="22"/>
      <c r="U49" s="22"/>
      <c r="V49" s="22"/>
      <c r="W49" s="22"/>
      <c r="X49" s="23"/>
      <c r="Y49" s="22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3"/>
      <c r="AV49" s="23"/>
      <c r="AW49" s="23"/>
      <c r="AX49" s="23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</row>
    <row r="50" spans="1:101" ht="14.4" x14ac:dyDescent="0.3">
      <c r="A50" s="20"/>
      <c r="B50" s="20"/>
      <c r="C50" s="21"/>
      <c r="D50" s="21"/>
      <c r="E50" s="22"/>
      <c r="F50" s="22"/>
      <c r="G50" s="22"/>
      <c r="H50" s="23"/>
      <c r="I50" s="23"/>
      <c r="J50" s="24"/>
      <c r="K50" s="24"/>
      <c r="L50" s="24"/>
      <c r="M50" s="24"/>
      <c r="N50" s="24"/>
      <c r="O50" s="24"/>
      <c r="P50" s="24"/>
      <c r="Q50" s="22"/>
      <c r="R50" s="22"/>
      <c r="S50" s="22"/>
      <c r="T50" s="22"/>
      <c r="U50" s="22"/>
      <c r="V50" s="22"/>
      <c r="W50" s="22"/>
      <c r="X50" s="23"/>
      <c r="Y50" s="22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3"/>
      <c r="AV50" s="23"/>
      <c r="AW50" s="23"/>
      <c r="AX50" s="23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</row>
    <row r="51" spans="1:101" ht="14.4" x14ac:dyDescent="0.3">
      <c r="A51" s="20"/>
      <c r="B51" s="20"/>
      <c r="C51" s="21"/>
      <c r="D51" s="21"/>
      <c r="E51" s="22"/>
      <c r="F51" s="22"/>
      <c r="G51" s="22"/>
      <c r="H51" s="23"/>
      <c r="I51" s="23"/>
      <c r="J51" s="24"/>
      <c r="K51" s="24"/>
      <c r="L51" s="24"/>
      <c r="M51" s="24"/>
      <c r="N51" s="24"/>
      <c r="O51" s="24"/>
      <c r="P51" s="24"/>
      <c r="Q51" s="22"/>
      <c r="R51" s="22"/>
      <c r="S51" s="22"/>
      <c r="T51" s="22"/>
      <c r="U51" s="22"/>
      <c r="V51" s="22"/>
      <c r="W51" s="22"/>
      <c r="X51" s="23"/>
      <c r="Y51" s="22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3"/>
      <c r="AV51" s="23"/>
      <c r="AW51" s="23"/>
      <c r="AX51" s="23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</row>
    <row r="52" spans="1:101" ht="14.4" x14ac:dyDescent="0.3">
      <c r="A52" s="20"/>
      <c r="B52" s="20"/>
      <c r="C52" s="21"/>
      <c r="D52" s="21"/>
      <c r="E52" s="22"/>
      <c r="F52" s="22"/>
      <c r="G52" s="22"/>
      <c r="H52" s="23"/>
      <c r="I52" s="23"/>
      <c r="J52" s="24"/>
      <c r="K52" s="24"/>
      <c r="L52" s="24"/>
      <c r="M52" s="24"/>
      <c r="N52" s="24"/>
      <c r="O52" s="24"/>
      <c r="P52" s="24"/>
      <c r="Q52" s="22"/>
      <c r="R52" s="22"/>
      <c r="S52" s="22"/>
      <c r="T52" s="22"/>
      <c r="U52" s="22"/>
      <c r="V52" s="22"/>
      <c r="W52" s="22"/>
      <c r="X52" s="23"/>
      <c r="Y52" s="22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3"/>
      <c r="AV52" s="23"/>
      <c r="AW52" s="23"/>
      <c r="AX52" s="23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</row>
    <row r="53" spans="1:101" ht="14.4" x14ac:dyDescent="0.3">
      <c r="A53" s="20"/>
      <c r="B53" s="20"/>
      <c r="C53" s="21"/>
      <c r="D53" s="21"/>
      <c r="E53" s="22"/>
      <c r="F53" s="22"/>
      <c r="G53" s="22"/>
      <c r="H53" s="23"/>
      <c r="I53" s="23"/>
      <c r="J53" s="24"/>
      <c r="K53" s="24"/>
      <c r="L53" s="24"/>
      <c r="M53" s="24"/>
      <c r="N53" s="24"/>
      <c r="O53" s="24"/>
      <c r="P53" s="24"/>
      <c r="Q53" s="22"/>
      <c r="R53" s="22"/>
      <c r="S53" s="22"/>
      <c r="T53" s="22"/>
      <c r="U53" s="22"/>
      <c r="V53" s="22"/>
      <c r="W53" s="22"/>
      <c r="X53" s="23"/>
      <c r="Y53" s="22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3"/>
      <c r="AV53" s="23"/>
      <c r="AW53" s="23"/>
      <c r="AX53" s="23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</row>
    <row r="54" spans="1:101" ht="14.4" x14ac:dyDescent="0.3">
      <c r="A54" s="20"/>
      <c r="B54" s="20"/>
      <c r="C54" s="21"/>
      <c r="D54" s="21"/>
      <c r="E54" s="22"/>
      <c r="F54" s="22"/>
      <c r="G54" s="22"/>
      <c r="H54" s="23"/>
      <c r="I54" s="23"/>
      <c r="J54" s="24"/>
      <c r="K54" s="24"/>
      <c r="L54" s="24"/>
      <c r="M54" s="24"/>
      <c r="N54" s="24"/>
      <c r="O54" s="24"/>
      <c r="P54" s="24"/>
      <c r="Q54" s="22"/>
      <c r="R54" s="22"/>
      <c r="S54" s="22"/>
      <c r="T54" s="22"/>
      <c r="U54" s="22"/>
      <c r="V54" s="22"/>
      <c r="W54" s="22"/>
      <c r="X54" s="23"/>
      <c r="Y54" s="22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3"/>
      <c r="AV54" s="23"/>
      <c r="AW54" s="23"/>
      <c r="AX54" s="23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</row>
    <row r="55" spans="1:101" ht="14.4" x14ac:dyDescent="0.3">
      <c r="A55" s="20"/>
      <c r="B55" s="20"/>
      <c r="C55" s="21"/>
      <c r="D55" s="21"/>
      <c r="E55" s="22"/>
      <c r="F55" s="22"/>
      <c r="G55" s="22"/>
      <c r="H55" s="23"/>
      <c r="I55" s="23"/>
      <c r="J55" s="24"/>
      <c r="K55" s="24"/>
      <c r="L55" s="24"/>
      <c r="M55" s="24"/>
      <c r="N55" s="24"/>
      <c r="O55" s="24"/>
      <c r="P55" s="24"/>
      <c r="Q55" s="22"/>
      <c r="R55" s="22"/>
      <c r="S55" s="22"/>
      <c r="T55" s="22"/>
      <c r="U55" s="22"/>
      <c r="V55" s="22"/>
      <c r="W55" s="22"/>
      <c r="X55" s="23"/>
      <c r="Y55" s="22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3"/>
      <c r="AV55" s="23"/>
      <c r="AW55" s="23"/>
      <c r="AX55" s="23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</row>
    <row r="56" spans="1:101" ht="14.4" x14ac:dyDescent="0.3">
      <c r="A56" s="20"/>
      <c r="B56" s="20"/>
      <c r="C56" s="21"/>
      <c r="D56" s="21"/>
      <c r="E56" s="22"/>
      <c r="F56" s="22"/>
      <c r="G56" s="22"/>
      <c r="H56" s="23"/>
      <c r="I56" s="23"/>
      <c r="J56" s="24"/>
      <c r="K56" s="24"/>
      <c r="L56" s="24"/>
      <c r="M56" s="24"/>
      <c r="N56" s="24"/>
      <c r="O56" s="24"/>
      <c r="P56" s="24"/>
      <c r="Q56" s="22"/>
      <c r="R56" s="22"/>
      <c r="S56" s="22"/>
      <c r="T56" s="22"/>
      <c r="U56" s="22"/>
      <c r="V56" s="22"/>
      <c r="W56" s="22"/>
      <c r="X56" s="23"/>
      <c r="Y56" s="22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3"/>
      <c r="AV56" s="23"/>
      <c r="AW56" s="23"/>
      <c r="AX56" s="23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</row>
    <row r="57" spans="1:101" ht="14.4" x14ac:dyDescent="0.3">
      <c r="A57" s="20"/>
      <c r="B57" s="20"/>
      <c r="C57" s="21"/>
      <c r="D57" s="21"/>
      <c r="E57" s="22"/>
      <c r="F57" s="22"/>
      <c r="G57" s="22"/>
      <c r="H57" s="23"/>
      <c r="I57" s="23"/>
      <c r="J57" s="24"/>
      <c r="K57" s="24"/>
      <c r="L57" s="24"/>
      <c r="M57" s="24"/>
      <c r="N57" s="24"/>
      <c r="O57" s="24"/>
      <c r="P57" s="24"/>
      <c r="Q57" s="22"/>
      <c r="R57" s="22"/>
      <c r="S57" s="22"/>
      <c r="T57" s="22"/>
      <c r="U57" s="22"/>
      <c r="V57" s="22"/>
      <c r="W57" s="22"/>
      <c r="X57" s="23"/>
      <c r="Y57" s="22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3"/>
      <c r="AV57" s="23"/>
      <c r="AW57" s="23"/>
      <c r="AX57" s="23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</row>
    <row r="58" spans="1:101" ht="14.4" x14ac:dyDescent="0.3">
      <c r="A58" s="20"/>
      <c r="B58" s="20"/>
      <c r="C58" s="21"/>
      <c r="D58" s="21"/>
      <c r="E58" s="22"/>
      <c r="F58" s="22"/>
      <c r="G58" s="22"/>
      <c r="H58" s="23"/>
      <c r="I58" s="23"/>
      <c r="J58" s="24"/>
      <c r="K58" s="24"/>
      <c r="L58" s="24"/>
      <c r="M58" s="24"/>
      <c r="N58" s="24"/>
      <c r="O58" s="24"/>
      <c r="P58" s="24"/>
      <c r="Q58" s="22"/>
      <c r="R58" s="22"/>
      <c r="S58" s="22"/>
      <c r="T58" s="22"/>
      <c r="U58" s="22"/>
      <c r="V58" s="22"/>
      <c r="W58" s="22"/>
      <c r="X58" s="23"/>
      <c r="Y58" s="22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3"/>
      <c r="AV58" s="23"/>
      <c r="AW58" s="23"/>
      <c r="AX58" s="23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</row>
    <row r="59" spans="1:101" ht="14.4" x14ac:dyDescent="0.3">
      <c r="A59" s="20"/>
      <c r="B59" s="20"/>
      <c r="C59" s="21"/>
      <c r="D59" s="21"/>
      <c r="E59" s="22"/>
      <c r="F59" s="22"/>
      <c r="G59" s="22"/>
      <c r="H59" s="23"/>
      <c r="I59" s="23"/>
      <c r="J59" s="24"/>
      <c r="K59" s="24"/>
      <c r="L59" s="24"/>
      <c r="M59" s="24"/>
      <c r="N59" s="24"/>
      <c r="O59" s="24"/>
      <c r="P59" s="24"/>
      <c r="Q59" s="22"/>
      <c r="R59" s="22"/>
      <c r="S59" s="22"/>
      <c r="T59" s="22"/>
      <c r="U59" s="22"/>
      <c r="V59" s="22"/>
      <c r="W59" s="22"/>
      <c r="X59" s="23"/>
      <c r="Y59" s="22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3"/>
      <c r="AV59" s="23"/>
      <c r="AW59" s="23"/>
      <c r="AX59" s="23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</row>
    <row r="60" spans="1:101" ht="14.4" x14ac:dyDescent="0.3">
      <c r="A60" s="20"/>
      <c r="B60" s="20"/>
      <c r="C60" s="21"/>
      <c r="D60" s="21"/>
      <c r="E60" s="22"/>
      <c r="F60" s="22"/>
      <c r="G60" s="22"/>
      <c r="H60" s="23"/>
      <c r="I60" s="23"/>
      <c r="J60" s="24"/>
      <c r="K60" s="24"/>
      <c r="L60" s="24"/>
      <c r="M60" s="24"/>
      <c r="N60" s="24"/>
      <c r="O60" s="24"/>
      <c r="P60" s="24"/>
      <c r="Q60" s="22"/>
      <c r="R60" s="22"/>
      <c r="S60" s="22"/>
      <c r="T60" s="22"/>
      <c r="U60" s="22"/>
      <c r="V60" s="22"/>
      <c r="W60" s="22"/>
      <c r="X60" s="23"/>
      <c r="Y60" s="22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3"/>
      <c r="AV60" s="23"/>
      <c r="AW60" s="23"/>
      <c r="AX60" s="23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</row>
    <row r="61" spans="1:101" ht="14.4" x14ac:dyDescent="0.3">
      <c r="A61" s="20"/>
      <c r="B61" s="20"/>
      <c r="C61" s="21"/>
      <c r="D61" s="21"/>
      <c r="E61" s="22"/>
      <c r="F61" s="22"/>
      <c r="G61" s="22"/>
      <c r="H61" s="23"/>
      <c r="I61" s="23"/>
      <c r="J61" s="24"/>
      <c r="K61" s="24"/>
      <c r="L61" s="24"/>
      <c r="M61" s="24"/>
      <c r="N61" s="24"/>
      <c r="O61" s="24"/>
      <c r="P61" s="24"/>
      <c r="Q61" s="22"/>
      <c r="R61" s="22"/>
      <c r="S61" s="22"/>
      <c r="T61" s="22"/>
      <c r="U61" s="22"/>
      <c r="V61" s="22"/>
      <c r="W61" s="22"/>
      <c r="X61" s="23"/>
      <c r="Y61" s="22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3"/>
      <c r="AV61" s="23"/>
      <c r="AW61" s="23"/>
      <c r="AX61" s="23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</row>
    <row r="62" spans="1:101" ht="14.4" x14ac:dyDescent="0.3">
      <c r="A62" s="20"/>
      <c r="B62" s="20"/>
      <c r="C62" s="21"/>
      <c r="D62" s="21"/>
      <c r="E62" s="22"/>
      <c r="F62" s="22"/>
      <c r="G62" s="22"/>
      <c r="H62" s="23"/>
      <c r="I62" s="23"/>
      <c r="J62" s="24"/>
      <c r="K62" s="24"/>
      <c r="L62" s="24"/>
      <c r="M62" s="24"/>
      <c r="N62" s="24"/>
      <c r="O62" s="24"/>
      <c r="P62" s="24"/>
      <c r="Q62" s="22"/>
      <c r="R62" s="22"/>
      <c r="S62" s="22"/>
      <c r="T62" s="22"/>
      <c r="U62" s="22"/>
      <c r="V62" s="22"/>
      <c r="W62" s="22"/>
      <c r="X62" s="23"/>
      <c r="Y62" s="22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3"/>
      <c r="AV62" s="23"/>
      <c r="AW62" s="23"/>
      <c r="AX62" s="23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</row>
    <row r="63" spans="1:101" ht="14.4" x14ac:dyDescent="0.3">
      <c r="A63" s="20"/>
      <c r="B63" s="20"/>
      <c r="C63" s="21"/>
      <c r="D63" s="21"/>
      <c r="E63" s="22"/>
      <c r="F63" s="22"/>
      <c r="G63" s="22"/>
      <c r="H63" s="23"/>
      <c r="I63" s="23"/>
      <c r="J63" s="24"/>
      <c r="K63" s="24"/>
      <c r="L63" s="24"/>
      <c r="M63" s="24"/>
      <c r="N63" s="24"/>
      <c r="O63" s="24"/>
      <c r="P63" s="24"/>
      <c r="Q63" s="22"/>
      <c r="R63" s="22"/>
      <c r="S63" s="22"/>
      <c r="T63" s="22"/>
      <c r="U63" s="22"/>
      <c r="V63" s="22"/>
      <c r="W63" s="22"/>
      <c r="X63" s="23"/>
      <c r="Y63" s="22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3"/>
      <c r="AV63" s="23"/>
      <c r="AW63" s="23"/>
      <c r="AX63" s="23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</row>
    <row r="64" spans="1:101" ht="14.4" x14ac:dyDescent="0.3">
      <c r="A64" s="20"/>
      <c r="B64" s="20"/>
      <c r="C64" s="21"/>
      <c r="D64" s="21"/>
      <c r="E64" s="22"/>
      <c r="F64" s="22"/>
      <c r="G64" s="22"/>
      <c r="H64" s="23"/>
      <c r="I64" s="23"/>
      <c r="J64" s="24"/>
      <c r="K64" s="24"/>
      <c r="L64" s="24"/>
      <c r="M64" s="24"/>
      <c r="N64" s="24"/>
      <c r="O64" s="24"/>
      <c r="P64" s="24"/>
      <c r="Q64" s="22"/>
      <c r="R64" s="22"/>
      <c r="S64" s="22"/>
      <c r="T64" s="22"/>
      <c r="U64" s="22"/>
      <c r="V64" s="22"/>
      <c r="W64" s="22"/>
      <c r="X64" s="23"/>
      <c r="Y64" s="22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3"/>
      <c r="AV64" s="23"/>
      <c r="AW64" s="23"/>
      <c r="AX64" s="23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</row>
    <row r="65" spans="1:101" ht="14.4" x14ac:dyDescent="0.3">
      <c r="A65" s="20"/>
      <c r="B65" s="20"/>
      <c r="C65" s="21"/>
      <c r="D65" s="21"/>
      <c r="E65" s="22"/>
      <c r="F65" s="22"/>
      <c r="G65" s="22"/>
      <c r="H65" s="23"/>
      <c r="I65" s="23"/>
      <c r="J65" s="24"/>
      <c r="K65" s="24"/>
      <c r="L65" s="24"/>
      <c r="M65" s="24"/>
      <c r="N65" s="24"/>
      <c r="O65" s="24"/>
      <c r="P65" s="24"/>
      <c r="Q65" s="22"/>
      <c r="R65" s="22"/>
      <c r="S65" s="22"/>
      <c r="T65" s="22"/>
      <c r="U65" s="22"/>
      <c r="V65" s="22"/>
      <c r="W65" s="22"/>
      <c r="X65" s="23"/>
      <c r="Y65" s="22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3"/>
      <c r="AV65" s="23"/>
      <c r="AW65" s="23"/>
      <c r="AX65" s="23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</row>
    <row r="66" spans="1:101" ht="14.4" x14ac:dyDescent="0.3">
      <c r="A66" s="20"/>
      <c r="B66" s="20"/>
      <c r="C66" s="21"/>
      <c r="D66" s="21"/>
      <c r="E66" s="22"/>
      <c r="F66" s="22"/>
      <c r="G66" s="22"/>
      <c r="H66" s="23"/>
      <c r="I66" s="23"/>
      <c r="J66" s="24"/>
      <c r="K66" s="24"/>
      <c r="L66" s="24"/>
      <c r="M66" s="24"/>
      <c r="N66" s="24"/>
      <c r="O66" s="24"/>
      <c r="P66" s="24"/>
      <c r="Q66" s="22"/>
      <c r="R66" s="22"/>
      <c r="S66" s="22"/>
      <c r="T66" s="22"/>
      <c r="U66" s="22"/>
      <c r="V66" s="22"/>
      <c r="W66" s="22"/>
      <c r="X66" s="23"/>
      <c r="Y66" s="22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3"/>
      <c r="AV66" s="23"/>
      <c r="AW66" s="23"/>
      <c r="AX66" s="23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</row>
    <row r="67" spans="1:101" ht="14.4" x14ac:dyDescent="0.3">
      <c r="A67" s="20"/>
      <c r="B67" s="20"/>
      <c r="C67" s="21"/>
      <c r="D67" s="21"/>
      <c r="E67" s="22"/>
      <c r="F67" s="22"/>
      <c r="G67" s="22"/>
      <c r="H67" s="23"/>
      <c r="I67" s="23"/>
      <c r="J67" s="24"/>
      <c r="K67" s="24"/>
      <c r="L67" s="24"/>
      <c r="M67" s="24"/>
      <c r="N67" s="24"/>
      <c r="O67" s="24"/>
      <c r="P67" s="24"/>
      <c r="Q67" s="22"/>
      <c r="R67" s="22"/>
      <c r="S67" s="22"/>
      <c r="T67" s="22"/>
      <c r="U67" s="22"/>
      <c r="V67" s="22"/>
      <c r="W67" s="22"/>
      <c r="X67" s="23"/>
      <c r="Y67" s="22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3"/>
      <c r="AV67" s="23"/>
      <c r="AW67" s="23"/>
      <c r="AX67" s="23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</row>
    <row r="68" spans="1:101" ht="14.4" x14ac:dyDescent="0.3">
      <c r="A68" s="20"/>
      <c r="B68" s="20"/>
      <c r="C68" s="21"/>
      <c r="D68" s="21"/>
      <c r="E68" s="22"/>
      <c r="F68" s="22"/>
      <c r="G68" s="22"/>
      <c r="H68" s="23"/>
      <c r="I68" s="23"/>
      <c r="J68" s="24"/>
      <c r="K68" s="24"/>
      <c r="L68" s="24"/>
      <c r="M68" s="24"/>
      <c r="N68" s="24"/>
      <c r="O68" s="24"/>
      <c r="P68" s="24"/>
      <c r="Q68" s="22"/>
      <c r="R68" s="22"/>
      <c r="S68" s="22"/>
      <c r="T68" s="22"/>
      <c r="U68" s="22"/>
      <c r="V68" s="22"/>
      <c r="W68" s="22"/>
      <c r="X68" s="23"/>
      <c r="Y68" s="22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3"/>
      <c r="AV68" s="23"/>
      <c r="AW68" s="23"/>
      <c r="AX68" s="23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</row>
    <row r="69" spans="1:101" ht="14.4" x14ac:dyDescent="0.3">
      <c r="A69" s="20"/>
      <c r="B69" s="20"/>
      <c r="C69" s="21"/>
      <c r="D69" s="21"/>
      <c r="E69" s="22"/>
      <c r="F69" s="22"/>
      <c r="G69" s="22"/>
      <c r="H69" s="23"/>
      <c r="I69" s="23"/>
      <c r="J69" s="24"/>
      <c r="K69" s="24"/>
      <c r="L69" s="24"/>
      <c r="M69" s="24"/>
      <c r="N69" s="24"/>
      <c r="O69" s="24"/>
      <c r="P69" s="24"/>
      <c r="Q69" s="22"/>
      <c r="R69" s="22"/>
      <c r="S69" s="22"/>
      <c r="T69" s="22"/>
      <c r="U69" s="22"/>
      <c r="V69" s="22"/>
      <c r="W69" s="22"/>
      <c r="X69" s="23"/>
      <c r="Y69" s="22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3"/>
      <c r="AV69" s="23"/>
      <c r="AW69" s="23"/>
      <c r="AX69" s="23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</row>
    <row r="70" spans="1:101" ht="14.4" x14ac:dyDescent="0.3">
      <c r="A70" s="20"/>
      <c r="B70" s="20"/>
      <c r="C70" s="21"/>
      <c r="D70" s="21"/>
      <c r="E70" s="22"/>
      <c r="F70" s="22"/>
      <c r="G70" s="22"/>
      <c r="H70" s="23"/>
      <c r="I70" s="23"/>
      <c r="J70" s="24"/>
      <c r="K70" s="24"/>
      <c r="L70" s="24"/>
      <c r="M70" s="24"/>
      <c r="N70" s="24"/>
      <c r="O70" s="24"/>
      <c r="P70" s="24"/>
      <c r="Q70" s="22"/>
      <c r="R70" s="22"/>
      <c r="S70" s="22"/>
      <c r="T70" s="22"/>
      <c r="U70" s="22"/>
      <c r="V70" s="22"/>
      <c r="W70" s="22"/>
      <c r="X70" s="23"/>
      <c r="Y70" s="22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3"/>
      <c r="AV70" s="23"/>
      <c r="AW70" s="23"/>
      <c r="AX70" s="23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</row>
    <row r="71" spans="1:101" ht="14.4" x14ac:dyDescent="0.3">
      <c r="A71" s="20"/>
      <c r="B71" s="20"/>
      <c r="C71" s="21"/>
      <c r="D71" s="21"/>
      <c r="E71" s="22"/>
      <c r="F71" s="22"/>
      <c r="G71" s="22"/>
      <c r="H71" s="23"/>
      <c r="I71" s="23"/>
      <c r="J71" s="24"/>
      <c r="K71" s="24"/>
      <c r="L71" s="24"/>
      <c r="M71" s="24"/>
      <c r="N71" s="24"/>
      <c r="O71" s="24"/>
      <c r="P71" s="24"/>
      <c r="Q71" s="22"/>
      <c r="R71" s="22"/>
      <c r="S71" s="22"/>
      <c r="T71" s="22"/>
      <c r="U71" s="22"/>
      <c r="V71" s="22"/>
      <c r="W71" s="22"/>
      <c r="X71" s="23"/>
      <c r="Y71" s="22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3"/>
      <c r="AV71" s="23"/>
      <c r="AW71" s="23"/>
      <c r="AX71" s="23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</row>
    <row r="72" spans="1:101" ht="14.4" x14ac:dyDescent="0.3">
      <c r="A72" s="20"/>
      <c r="B72" s="20"/>
      <c r="C72" s="21"/>
      <c r="D72" s="21"/>
      <c r="E72" s="22"/>
      <c r="F72" s="22"/>
      <c r="G72" s="22"/>
      <c r="H72" s="23"/>
      <c r="I72" s="23"/>
      <c r="J72" s="24"/>
      <c r="K72" s="24"/>
      <c r="L72" s="24"/>
      <c r="M72" s="24"/>
      <c r="N72" s="24"/>
      <c r="O72" s="24"/>
      <c r="P72" s="24"/>
      <c r="Q72" s="22"/>
      <c r="R72" s="22"/>
      <c r="S72" s="22"/>
      <c r="T72" s="22"/>
      <c r="U72" s="22"/>
      <c r="V72" s="22"/>
      <c r="W72" s="22"/>
      <c r="X72" s="23"/>
      <c r="Y72" s="22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3"/>
      <c r="AV72" s="23"/>
      <c r="AW72" s="23"/>
      <c r="AX72" s="23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</row>
    <row r="73" spans="1:101" ht="14.4" x14ac:dyDescent="0.3">
      <c r="A73" s="20"/>
      <c r="B73" s="20"/>
      <c r="C73" s="21"/>
      <c r="D73" s="21"/>
      <c r="E73" s="22"/>
      <c r="F73" s="22"/>
      <c r="G73" s="22"/>
      <c r="H73" s="23"/>
      <c r="I73" s="23"/>
      <c r="J73" s="24"/>
      <c r="K73" s="24"/>
      <c r="L73" s="24"/>
      <c r="M73" s="24"/>
      <c r="N73" s="24"/>
      <c r="O73" s="24"/>
      <c r="P73" s="24"/>
      <c r="Q73" s="22"/>
      <c r="R73" s="22"/>
      <c r="S73" s="22"/>
      <c r="T73" s="22"/>
      <c r="U73" s="22"/>
      <c r="V73" s="22"/>
      <c r="W73" s="22"/>
      <c r="X73" s="23"/>
      <c r="Y73" s="22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3"/>
      <c r="AV73" s="23"/>
      <c r="AW73" s="23"/>
      <c r="AX73" s="23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</row>
    <row r="74" spans="1:101" ht="14.4" x14ac:dyDescent="0.3">
      <c r="A74" s="20"/>
      <c r="B74" s="20"/>
      <c r="C74" s="21"/>
      <c r="D74" s="21"/>
      <c r="E74" s="22"/>
      <c r="F74" s="22"/>
      <c r="G74" s="22"/>
      <c r="H74" s="23"/>
      <c r="I74" s="23"/>
      <c r="J74" s="24"/>
      <c r="K74" s="24"/>
      <c r="L74" s="24"/>
      <c r="M74" s="24"/>
      <c r="N74" s="24"/>
      <c r="O74" s="24"/>
      <c r="P74" s="24"/>
      <c r="Q74" s="22"/>
      <c r="R74" s="22"/>
      <c r="S74" s="22"/>
      <c r="T74" s="22"/>
      <c r="U74" s="22"/>
      <c r="V74" s="22"/>
      <c r="W74" s="22"/>
      <c r="X74" s="23"/>
      <c r="Y74" s="22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3"/>
      <c r="AV74" s="23"/>
      <c r="AW74" s="23"/>
      <c r="AX74" s="23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</row>
    <row r="75" spans="1:101" ht="14.4" x14ac:dyDescent="0.3">
      <c r="A75" s="20"/>
      <c r="B75" s="20"/>
      <c r="C75" s="21"/>
      <c r="D75" s="21"/>
      <c r="E75" s="22"/>
      <c r="F75" s="22"/>
      <c r="G75" s="22"/>
      <c r="H75" s="23"/>
      <c r="I75" s="23"/>
      <c r="J75" s="24"/>
      <c r="K75" s="24"/>
      <c r="L75" s="24"/>
      <c r="M75" s="24"/>
      <c r="N75" s="24"/>
      <c r="O75" s="24"/>
      <c r="P75" s="24"/>
      <c r="Q75" s="22"/>
      <c r="R75" s="22"/>
      <c r="S75" s="22"/>
      <c r="T75" s="22"/>
      <c r="U75" s="22"/>
      <c r="V75" s="22"/>
      <c r="W75" s="22"/>
      <c r="X75" s="23"/>
      <c r="Y75" s="22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3"/>
      <c r="AV75" s="23"/>
      <c r="AW75" s="23"/>
      <c r="AX75" s="23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</row>
    <row r="76" spans="1:101" ht="14.4" x14ac:dyDescent="0.3">
      <c r="A76" s="20"/>
      <c r="B76" s="20"/>
      <c r="C76" s="21"/>
      <c r="D76" s="21"/>
      <c r="E76" s="22"/>
      <c r="F76" s="22"/>
      <c r="G76" s="22"/>
      <c r="H76" s="23"/>
      <c r="I76" s="23"/>
      <c r="J76" s="24"/>
      <c r="K76" s="24"/>
      <c r="L76" s="24"/>
      <c r="M76" s="24"/>
      <c r="N76" s="24"/>
      <c r="O76" s="24"/>
      <c r="P76" s="24"/>
      <c r="Q76" s="22"/>
      <c r="R76" s="22"/>
      <c r="S76" s="22"/>
      <c r="T76" s="22"/>
      <c r="U76" s="22"/>
      <c r="V76" s="22"/>
      <c r="W76" s="22"/>
      <c r="X76" s="23"/>
      <c r="Y76" s="22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3"/>
      <c r="AV76" s="23"/>
      <c r="AW76" s="23"/>
      <c r="AX76" s="23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</row>
    <row r="77" spans="1:101" ht="14.4" x14ac:dyDescent="0.3">
      <c r="A77" s="20"/>
      <c r="B77" s="20"/>
      <c r="C77" s="21"/>
      <c r="D77" s="21"/>
      <c r="E77" s="22"/>
      <c r="F77" s="22"/>
      <c r="G77" s="22"/>
      <c r="H77" s="23"/>
      <c r="I77" s="23"/>
      <c r="J77" s="24"/>
      <c r="K77" s="24"/>
      <c r="L77" s="24"/>
      <c r="M77" s="24"/>
      <c r="N77" s="24"/>
      <c r="O77" s="24"/>
      <c r="P77" s="24"/>
      <c r="Q77" s="22"/>
      <c r="R77" s="22"/>
      <c r="S77" s="22"/>
      <c r="T77" s="22"/>
      <c r="U77" s="22"/>
      <c r="V77" s="22"/>
      <c r="W77" s="22"/>
      <c r="X77" s="23"/>
      <c r="Y77" s="22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3"/>
      <c r="AV77" s="23"/>
      <c r="AW77" s="23"/>
      <c r="AX77" s="23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</row>
    <row r="78" spans="1:101" ht="14.4" x14ac:dyDescent="0.3">
      <c r="A78" s="20"/>
      <c r="B78" s="20"/>
      <c r="C78" s="21"/>
      <c r="D78" s="21"/>
      <c r="E78" s="22"/>
      <c r="F78" s="22"/>
      <c r="G78" s="22"/>
      <c r="H78" s="23"/>
      <c r="I78" s="23"/>
      <c r="J78" s="24"/>
      <c r="K78" s="24"/>
      <c r="L78" s="24"/>
      <c r="M78" s="24"/>
      <c r="N78" s="24"/>
      <c r="O78" s="24"/>
      <c r="P78" s="24"/>
      <c r="Q78" s="22"/>
      <c r="R78" s="22"/>
      <c r="S78" s="22"/>
      <c r="T78" s="22"/>
      <c r="U78" s="22"/>
      <c r="V78" s="22"/>
      <c r="W78" s="22"/>
      <c r="X78" s="23"/>
      <c r="Y78" s="22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3"/>
      <c r="AV78" s="23"/>
      <c r="AW78" s="23"/>
      <c r="AX78" s="23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</row>
    <row r="79" spans="1:101" ht="14.4" x14ac:dyDescent="0.3">
      <c r="A79" s="20"/>
      <c r="B79" s="20"/>
      <c r="C79" s="21"/>
      <c r="D79" s="21"/>
      <c r="E79" s="22"/>
      <c r="F79" s="22"/>
      <c r="G79" s="22"/>
      <c r="H79" s="23"/>
      <c r="I79" s="23"/>
      <c r="J79" s="24"/>
      <c r="K79" s="24"/>
      <c r="L79" s="24"/>
      <c r="M79" s="24"/>
      <c r="N79" s="24"/>
      <c r="O79" s="24"/>
      <c r="P79" s="24"/>
      <c r="Q79" s="22"/>
      <c r="R79" s="22"/>
      <c r="S79" s="22"/>
      <c r="T79" s="22"/>
      <c r="U79" s="22"/>
      <c r="V79" s="22"/>
      <c r="W79" s="22"/>
      <c r="X79" s="23"/>
      <c r="Y79" s="22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3"/>
      <c r="AV79" s="23"/>
      <c r="AW79" s="23"/>
      <c r="AX79" s="23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</row>
    <row r="80" spans="1:101" ht="14.4" x14ac:dyDescent="0.3">
      <c r="A80" s="20"/>
      <c r="B80" s="20"/>
      <c r="C80" s="21"/>
      <c r="D80" s="21"/>
      <c r="E80" s="22"/>
      <c r="F80" s="22"/>
      <c r="G80" s="22"/>
      <c r="H80" s="23"/>
      <c r="I80" s="23"/>
      <c r="J80" s="24"/>
      <c r="K80" s="24"/>
      <c r="L80" s="24"/>
      <c r="M80" s="24"/>
      <c r="N80" s="24"/>
      <c r="O80" s="24"/>
      <c r="P80" s="24"/>
      <c r="Q80" s="22"/>
      <c r="R80" s="22"/>
      <c r="S80" s="22"/>
      <c r="T80" s="22"/>
      <c r="U80" s="22"/>
      <c r="V80" s="22"/>
      <c r="W80" s="22"/>
      <c r="X80" s="23"/>
      <c r="Y80" s="22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3"/>
      <c r="AV80" s="23"/>
      <c r="AW80" s="23"/>
      <c r="AX80" s="23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</row>
    <row r="81" spans="1:101" ht="14.4" x14ac:dyDescent="0.3">
      <c r="A81" s="20"/>
      <c r="B81" s="20"/>
      <c r="C81" s="21"/>
      <c r="D81" s="21"/>
      <c r="E81" s="22"/>
      <c r="F81" s="22"/>
      <c r="G81" s="22"/>
      <c r="H81" s="23"/>
      <c r="I81" s="23"/>
      <c r="J81" s="24"/>
      <c r="K81" s="24"/>
      <c r="L81" s="24"/>
      <c r="M81" s="24"/>
      <c r="N81" s="24"/>
      <c r="O81" s="24"/>
      <c r="P81" s="24"/>
      <c r="Q81" s="22"/>
      <c r="R81" s="22"/>
      <c r="S81" s="22"/>
      <c r="T81" s="22"/>
      <c r="U81" s="22"/>
      <c r="V81" s="22"/>
      <c r="W81" s="22"/>
      <c r="X81" s="23"/>
      <c r="Y81" s="22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3"/>
      <c r="AV81" s="23"/>
      <c r="AW81" s="23"/>
      <c r="AX81" s="23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</row>
    <row r="82" spans="1:101" ht="14.4" x14ac:dyDescent="0.3">
      <c r="A82" s="20"/>
      <c r="B82" s="20"/>
      <c r="C82" s="21"/>
      <c r="D82" s="21"/>
      <c r="E82" s="22"/>
      <c r="F82" s="22"/>
      <c r="G82" s="22"/>
      <c r="H82" s="23"/>
      <c r="I82" s="23"/>
      <c r="J82" s="24"/>
      <c r="K82" s="24"/>
      <c r="L82" s="24"/>
      <c r="M82" s="24"/>
      <c r="N82" s="24"/>
      <c r="O82" s="24"/>
      <c r="P82" s="24"/>
      <c r="Q82" s="22"/>
      <c r="R82" s="22"/>
      <c r="S82" s="22"/>
      <c r="T82" s="22"/>
      <c r="U82" s="22"/>
      <c r="V82" s="22"/>
      <c r="W82" s="22"/>
      <c r="X82" s="23"/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3"/>
      <c r="AV82" s="23"/>
      <c r="AW82" s="23"/>
      <c r="AX82" s="23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</row>
    <row r="83" spans="1:101" ht="14.4" x14ac:dyDescent="0.3">
      <c r="A83" s="20"/>
      <c r="B83" s="20"/>
      <c r="C83" s="21"/>
      <c r="D83" s="21"/>
      <c r="E83" s="22"/>
      <c r="F83" s="22"/>
      <c r="G83" s="22"/>
      <c r="H83" s="23"/>
      <c r="I83" s="23"/>
      <c r="J83" s="24"/>
      <c r="K83" s="24"/>
      <c r="L83" s="24"/>
      <c r="M83" s="24"/>
      <c r="N83" s="24"/>
      <c r="O83" s="24"/>
      <c r="P83" s="24"/>
      <c r="Q83" s="22"/>
      <c r="R83" s="22"/>
      <c r="S83" s="22"/>
      <c r="T83" s="22"/>
      <c r="U83" s="22"/>
      <c r="V83" s="22"/>
      <c r="W83" s="22"/>
      <c r="X83" s="23"/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3"/>
      <c r="AV83" s="23"/>
      <c r="AW83" s="23"/>
      <c r="AX83" s="23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</row>
    <row r="84" spans="1:101" ht="14.4" x14ac:dyDescent="0.3">
      <c r="A84" s="20"/>
      <c r="B84" s="20"/>
      <c r="C84" s="21"/>
      <c r="D84" s="21"/>
      <c r="E84" s="22"/>
      <c r="F84" s="22"/>
      <c r="G84" s="22"/>
      <c r="H84" s="23"/>
      <c r="I84" s="23"/>
      <c r="J84" s="24"/>
      <c r="K84" s="24"/>
      <c r="L84" s="24"/>
      <c r="M84" s="24"/>
      <c r="N84" s="24"/>
      <c r="O84" s="24"/>
      <c r="P84" s="24"/>
      <c r="Q84" s="22"/>
      <c r="R84" s="22"/>
      <c r="S84" s="22"/>
      <c r="T84" s="22"/>
      <c r="U84" s="22"/>
      <c r="V84" s="22"/>
      <c r="W84" s="22"/>
      <c r="X84" s="23"/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3"/>
      <c r="AV84" s="23"/>
      <c r="AW84" s="23"/>
      <c r="AX84" s="23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</row>
    <row r="85" spans="1:101" ht="14.4" x14ac:dyDescent="0.3">
      <c r="A85" s="20"/>
      <c r="B85" s="20"/>
      <c r="C85" s="21"/>
      <c r="D85" s="21"/>
      <c r="E85" s="22"/>
      <c r="F85" s="22"/>
      <c r="G85" s="22"/>
      <c r="H85" s="23"/>
      <c r="I85" s="23"/>
      <c r="J85" s="24"/>
      <c r="K85" s="24"/>
      <c r="L85" s="24"/>
      <c r="M85" s="24"/>
      <c r="N85" s="24"/>
      <c r="O85" s="24"/>
      <c r="P85" s="24"/>
      <c r="Q85" s="22"/>
      <c r="R85" s="22"/>
      <c r="S85" s="22"/>
      <c r="T85" s="22"/>
      <c r="U85" s="22"/>
      <c r="V85" s="22"/>
      <c r="W85" s="22"/>
      <c r="X85" s="23"/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3"/>
      <c r="AV85" s="23"/>
      <c r="AW85" s="23"/>
      <c r="AX85" s="23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</row>
    <row r="86" spans="1:101" ht="14.4" x14ac:dyDescent="0.3">
      <c r="A86" s="20"/>
      <c r="B86" s="20"/>
      <c r="C86" s="21"/>
      <c r="D86" s="21"/>
      <c r="E86" s="22"/>
      <c r="F86" s="22"/>
      <c r="G86" s="22"/>
      <c r="H86" s="23"/>
      <c r="I86" s="23"/>
      <c r="J86" s="24"/>
      <c r="K86" s="24"/>
      <c r="L86" s="24"/>
      <c r="M86" s="24"/>
      <c r="N86" s="24"/>
      <c r="O86" s="24"/>
      <c r="P86" s="24"/>
      <c r="Q86" s="22"/>
      <c r="R86" s="22"/>
      <c r="S86" s="22"/>
      <c r="T86" s="22"/>
      <c r="U86" s="22"/>
      <c r="V86" s="22"/>
      <c r="W86" s="22"/>
      <c r="X86" s="23"/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3"/>
      <c r="AV86" s="23"/>
      <c r="AW86" s="23"/>
      <c r="AX86" s="23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</row>
    <row r="87" spans="1:101" ht="14.4" x14ac:dyDescent="0.3">
      <c r="A87" s="20"/>
      <c r="B87" s="20"/>
      <c r="C87" s="21"/>
      <c r="D87" s="21"/>
      <c r="E87" s="22"/>
      <c r="F87" s="22"/>
      <c r="G87" s="22"/>
      <c r="H87" s="23"/>
      <c r="I87" s="23"/>
      <c r="J87" s="24"/>
      <c r="K87" s="24"/>
      <c r="L87" s="24"/>
      <c r="M87" s="24"/>
      <c r="N87" s="24"/>
      <c r="O87" s="24"/>
      <c r="P87" s="24"/>
      <c r="Q87" s="22"/>
      <c r="R87" s="22"/>
      <c r="S87" s="22"/>
      <c r="T87" s="22"/>
      <c r="U87" s="22"/>
      <c r="V87" s="22"/>
      <c r="W87" s="22"/>
      <c r="X87" s="23"/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3"/>
      <c r="AV87" s="23"/>
      <c r="AW87" s="23"/>
      <c r="AX87" s="23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</row>
    <row r="88" spans="1:101" ht="14.4" x14ac:dyDescent="0.3">
      <c r="A88" s="20"/>
      <c r="B88" s="20"/>
      <c r="C88" s="21"/>
      <c r="D88" s="21"/>
      <c r="E88" s="22"/>
      <c r="F88" s="22"/>
      <c r="G88" s="22"/>
      <c r="H88" s="23"/>
      <c r="I88" s="23"/>
      <c r="J88" s="24"/>
      <c r="K88" s="24"/>
      <c r="L88" s="24"/>
      <c r="M88" s="24"/>
      <c r="N88" s="24"/>
      <c r="O88" s="24"/>
      <c r="P88" s="24"/>
      <c r="Q88" s="22"/>
      <c r="R88" s="22"/>
      <c r="S88" s="22"/>
      <c r="T88" s="22"/>
      <c r="U88" s="22"/>
      <c r="V88" s="22"/>
      <c r="W88" s="22"/>
      <c r="X88" s="23"/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3"/>
      <c r="AV88" s="23"/>
      <c r="AW88" s="23"/>
      <c r="AX88" s="23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</row>
    <row r="89" spans="1:101" ht="14.4" x14ac:dyDescent="0.3">
      <c r="A89" s="20"/>
      <c r="B89" s="20"/>
      <c r="C89" s="21"/>
      <c r="D89" s="21"/>
      <c r="E89" s="22"/>
      <c r="F89" s="22"/>
      <c r="G89" s="22"/>
      <c r="H89" s="23"/>
      <c r="I89" s="23"/>
      <c r="J89" s="24"/>
      <c r="K89" s="24"/>
      <c r="L89" s="24"/>
      <c r="M89" s="24"/>
      <c r="N89" s="24"/>
      <c r="O89" s="24"/>
      <c r="P89" s="24"/>
      <c r="Q89" s="22"/>
      <c r="R89" s="22"/>
      <c r="S89" s="22"/>
      <c r="T89" s="22"/>
      <c r="U89" s="22"/>
      <c r="V89" s="22"/>
      <c r="W89" s="22"/>
      <c r="X89" s="23"/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3"/>
      <c r="AV89" s="23"/>
      <c r="AW89" s="23"/>
      <c r="AX89" s="23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</row>
    <row r="90" spans="1:101" ht="14.4" x14ac:dyDescent="0.3">
      <c r="A90" s="20"/>
      <c r="B90" s="20"/>
      <c r="C90" s="21"/>
      <c r="D90" s="21"/>
      <c r="E90" s="22"/>
      <c r="F90" s="22"/>
      <c r="G90" s="22"/>
      <c r="H90" s="23"/>
      <c r="I90" s="23"/>
      <c r="J90" s="24"/>
      <c r="K90" s="24"/>
      <c r="L90" s="24"/>
      <c r="M90" s="24"/>
      <c r="N90" s="24"/>
      <c r="O90" s="24"/>
      <c r="P90" s="24"/>
      <c r="Q90" s="22"/>
      <c r="R90" s="22"/>
      <c r="S90" s="22"/>
      <c r="T90" s="22"/>
      <c r="U90" s="22"/>
      <c r="V90" s="22"/>
      <c r="W90" s="22"/>
      <c r="X90" s="23"/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3"/>
      <c r="AV90" s="23"/>
      <c r="AW90" s="23"/>
      <c r="AX90" s="23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</row>
    <row r="91" spans="1:101" ht="14.4" x14ac:dyDescent="0.3">
      <c r="A91" s="20"/>
      <c r="B91" s="20"/>
      <c r="C91" s="21"/>
      <c r="D91" s="21"/>
      <c r="E91" s="22"/>
      <c r="F91" s="22"/>
      <c r="G91" s="22"/>
      <c r="H91" s="23"/>
      <c r="I91" s="23"/>
      <c r="J91" s="24"/>
      <c r="K91" s="24"/>
      <c r="L91" s="24"/>
      <c r="M91" s="24"/>
      <c r="N91" s="24"/>
      <c r="O91" s="24"/>
      <c r="P91" s="24"/>
      <c r="Q91" s="22"/>
      <c r="R91" s="22"/>
      <c r="S91" s="22"/>
      <c r="T91" s="22"/>
      <c r="U91" s="22"/>
      <c r="V91" s="22"/>
      <c r="W91" s="22"/>
      <c r="X91" s="23"/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3"/>
      <c r="AV91" s="23"/>
      <c r="AW91" s="23"/>
      <c r="AX91" s="23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</row>
    <row r="92" spans="1:101" ht="14.4" x14ac:dyDescent="0.3">
      <c r="A92" s="20"/>
      <c r="B92" s="20"/>
      <c r="C92" s="21"/>
      <c r="D92" s="21"/>
      <c r="E92" s="22"/>
      <c r="F92" s="22"/>
      <c r="G92" s="22"/>
      <c r="H92" s="23"/>
      <c r="I92" s="23"/>
      <c r="J92" s="24"/>
      <c r="K92" s="24"/>
      <c r="L92" s="24"/>
      <c r="M92" s="24"/>
      <c r="N92" s="24"/>
      <c r="O92" s="24"/>
      <c r="P92" s="24"/>
      <c r="Q92" s="22"/>
      <c r="R92" s="22"/>
      <c r="S92" s="22"/>
      <c r="T92" s="22"/>
      <c r="U92" s="22"/>
      <c r="V92" s="22"/>
      <c r="W92" s="22"/>
      <c r="X92" s="23"/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3"/>
      <c r="AV92" s="23"/>
      <c r="AW92" s="23"/>
      <c r="AX92" s="23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</row>
    <row r="93" spans="1:101" ht="14.4" x14ac:dyDescent="0.3">
      <c r="A93" s="20"/>
      <c r="B93" s="20"/>
      <c r="C93" s="21"/>
      <c r="D93" s="21"/>
      <c r="E93" s="22"/>
      <c r="F93" s="22"/>
      <c r="G93" s="22"/>
      <c r="H93" s="23"/>
      <c r="I93" s="23"/>
      <c r="J93" s="24"/>
      <c r="K93" s="24"/>
      <c r="L93" s="24"/>
      <c r="M93" s="24"/>
      <c r="N93" s="24"/>
      <c r="O93" s="24"/>
      <c r="P93" s="24"/>
      <c r="Q93" s="22"/>
      <c r="R93" s="22"/>
      <c r="S93" s="22"/>
      <c r="T93" s="22"/>
      <c r="U93" s="22"/>
      <c r="V93" s="22"/>
      <c r="W93" s="22"/>
      <c r="X93" s="23"/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3"/>
      <c r="AV93" s="23"/>
      <c r="AW93" s="23"/>
      <c r="AX93" s="23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</row>
    <row r="94" spans="1:101" ht="14.4" x14ac:dyDescent="0.3">
      <c r="A94" s="20"/>
      <c r="B94" s="20"/>
      <c r="C94" s="21"/>
      <c r="D94" s="21"/>
      <c r="E94" s="22"/>
      <c r="F94" s="22"/>
      <c r="G94" s="22"/>
      <c r="H94" s="23"/>
      <c r="I94" s="23"/>
      <c r="J94" s="24"/>
      <c r="K94" s="24"/>
      <c r="L94" s="24"/>
      <c r="M94" s="24"/>
      <c r="N94" s="24"/>
      <c r="O94" s="24"/>
      <c r="P94" s="24"/>
      <c r="Q94" s="22"/>
      <c r="R94" s="22"/>
      <c r="S94" s="22"/>
      <c r="T94" s="22"/>
      <c r="U94" s="22"/>
      <c r="V94" s="22"/>
      <c r="W94" s="22"/>
      <c r="X94" s="23"/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3"/>
      <c r="AV94" s="23"/>
      <c r="AW94" s="23"/>
      <c r="AX94" s="23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</row>
    <row r="95" spans="1:101" ht="14.4" x14ac:dyDescent="0.3">
      <c r="A95" s="20"/>
      <c r="B95" s="20"/>
      <c r="C95" s="21"/>
      <c r="D95" s="21"/>
      <c r="E95" s="22"/>
      <c r="F95" s="22"/>
      <c r="G95" s="22"/>
      <c r="H95" s="23"/>
      <c r="I95" s="23"/>
      <c r="J95" s="24"/>
      <c r="K95" s="24"/>
      <c r="L95" s="24"/>
      <c r="M95" s="24"/>
      <c r="N95" s="24"/>
      <c r="O95" s="24"/>
      <c r="P95" s="24"/>
      <c r="Q95" s="22"/>
      <c r="R95" s="22"/>
      <c r="S95" s="22"/>
      <c r="T95" s="22"/>
      <c r="U95" s="22"/>
      <c r="V95" s="22"/>
      <c r="W95" s="22"/>
      <c r="X95" s="23"/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3"/>
      <c r="AV95" s="23"/>
      <c r="AW95" s="23"/>
      <c r="AX95" s="23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</row>
    <row r="96" spans="1:101" ht="14.4" x14ac:dyDescent="0.3">
      <c r="A96" s="20"/>
      <c r="B96" s="20"/>
      <c r="C96" s="21"/>
      <c r="D96" s="21"/>
      <c r="E96" s="22"/>
      <c r="F96" s="22"/>
      <c r="G96" s="22"/>
      <c r="H96" s="23"/>
      <c r="I96" s="23"/>
      <c r="J96" s="24"/>
      <c r="K96" s="24"/>
      <c r="L96" s="24"/>
      <c r="M96" s="24"/>
      <c r="N96" s="24"/>
      <c r="O96" s="24"/>
      <c r="P96" s="24"/>
      <c r="Q96" s="22"/>
      <c r="R96" s="22"/>
      <c r="S96" s="22"/>
      <c r="T96" s="22"/>
      <c r="U96" s="22"/>
      <c r="V96" s="22"/>
      <c r="W96" s="22"/>
      <c r="X96" s="23"/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3"/>
      <c r="AV96" s="23"/>
      <c r="AW96" s="23"/>
      <c r="AX96" s="23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</row>
    <row r="97" spans="1:101" ht="14.4" x14ac:dyDescent="0.3">
      <c r="A97" s="20"/>
      <c r="B97" s="20"/>
      <c r="C97" s="21"/>
      <c r="D97" s="21"/>
      <c r="E97" s="22"/>
      <c r="F97" s="22"/>
      <c r="G97" s="22"/>
      <c r="H97" s="23"/>
      <c r="I97" s="23"/>
      <c r="J97" s="24"/>
      <c r="K97" s="24"/>
      <c r="L97" s="24"/>
      <c r="M97" s="24"/>
      <c r="N97" s="24"/>
      <c r="O97" s="24"/>
      <c r="P97" s="24"/>
      <c r="Q97" s="22"/>
      <c r="R97" s="22"/>
      <c r="S97" s="22"/>
      <c r="T97" s="22"/>
      <c r="U97" s="22"/>
      <c r="V97" s="22"/>
      <c r="W97" s="22"/>
      <c r="X97" s="23"/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3"/>
      <c r="AV97" s="23"/>
      <c r="AW97" s="23"/>
      <c r="AX97" s="23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</row>
    <row r="98" spans="1:101" ht="14.4" x14ac:dyDescent="0.3">
      <c r="A98" s="20"/>
      <c r="B98" s="20"/>
      <c r="C98" s="21"/>
      <c r="D98" s="21"/>
      <c r="E98" s="22"/>
      <c r="F98" s="22"/>
      <c r="G98" s="22"/>
      <c r="H98" s="23"/>
      <c r="I98" s="23"/>
      <c r="J98" s="24"/>
      <c r="K98" s="24"/>
      <c r="L98" s="24"/>
      <c r="M98" s="24"/>
      <c r="N98" s="24"/>
      <c r="O98" s="24"/>
      <c r="P98" s="24"/>
      <c r="Q98" s="22"/>
      <c r="R98" s="22"/>
      <c r="S98" s="22"/>
      <c r="T98" s="22"/>
      <c r="U98" s="22"/>
      <c r="V98" s="22"/>
      <c r="W98" s="22"/>
      <c r="X98" s="23"/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3"/>
      <c r="AV98" s="23"/>
      <c r="AW98" s="23"/>
      <c r="AX98" s="23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</row>
    <row r="99" spans="1:101" ht="14.4" x14ac:dyDescent="0.3">
      <c r="A99" s="20"/>
      <c r="B99" s="20"/>
      <c r="C99" s="21"/>
      <c r="D99" s="21"/>
      <c r="E99" s="22"/>
      <c r="F99" s="22"/>
      <c r="G99" s="22"/>
      <c r="H99" s="23"/>
      <c r="I99" s="23"/>
      <c r="J99" s="24"/>
      <c r="K99" s="24"/>
      <c r="L99" s="24"/>
      <c r="M99" s="24"/>
      <c r="N99" s="24"/>
      <c r="O99" s="24"/>
      <c r="P99" s="24"/>
      <c r="Q99" s="22"/>
      <c r="R99" s="22"/>
      <c r="S99" s="22"/>
      <c r="T99" s="22"/>
      <c r="U99" s="22"/>
      <c r="V99" s="22"/>
      <c r="W99" s="22"/>
      <c r="X99" s="23"/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3"/>
      <c r="AV99" s="23"/>
      <c r="AW99" s="23"/>
      <c r="AX99" s="23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</row>
    <row r="100" spans="1:101" ht="14.4" x14ac:dyDescent="0.3">
      <c r="A100" s="20"/>
      <c r="B100" s="20"/>
      <c r="C100" s="21"/>
      <c r="D100" s="21"/>
      <c r="E100" s="22"/>
      <c r="F100" s="22"/>
      <c r="G100" s="22"/>
      <c r="H100" s="23"/>
      <c r="I100" s="23"/>
      <c r="J100" s="24"/>
      <c r="K100" s="24"/>
      <c r="L100" s="24"/>
      <c r="M100" s="24"/>
      <c r="N100" s="24"/>
      <c r="O100" s="24"/>
      <c r="P100" s="24"/>
      <c r="Q100" s="22"/>
      <c r="R100" s="22"/>
      <c r="S100" s="22"/>
      <c r="T100" s="22"/>
      <c r="U100" s="22"/>
      <c r="V100" s="22"/>
      <c r="W100" s="22"/>
      <c r="X100" s="23"/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3"/>
      <c r="AV100" s="23"/>
      <c r="AW100" s="23"/>
      <c r="AX100" s="23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</row>
    <row r="101" spans="1:101" ht="14.4" x14ac:dyDescent="0.3">
      <c r="A101" s="20"/>
      <c r="B101" s="20"/>
      <c r="C101" s="21"/>
      <c r="D101" s="21"/>
      <c r="E101" s="22"/>
      <c r="F101" s="22"/>
      <c r="G101" s="22"/>
      <c r="H101" s="23"/>
      <c r="I101" s="23"/>
      <c r="J101" s="24"/>
      <c r="K101" s="24"/>
      <c r="L101" s="24"/>
      <c r="M101" s="24"/>
      <c r="N101" s="24"/>
      <c r="O101" s="24"/>
      <c r="P101" s="24"/>
      <c r="Q101" s="22"/>
      <c r="R101" s="22"/>
      <c r="S101" s="22"/>
      <c r="T101" s="22"/>
      <c r="U101" s="22"/>
      <c r="V101" s="22"/>
      <c r="W101" s="22"/>
      <c r="X101" s="23"/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3"/>
      <c r="AV101" s="23"/>
      <c r="AW101" s="23"/>
      <c r="AX101" s="23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</row>
    <row r="102" spans="1:101" ht="14.4" x14ac:dyDescent="0.3">
      <c r="A102" s="20"/>
      <c r="B102" s="20"/>
      <c r="C102" s="21"/>
      <c r="D102" s="21"/>
      <c r="E102" s="22"/>
      <c r="F102" s="22"/>
      <c r="G102" s="22"/>
      <c r="H102" s="23"/>
      <c r="I102" s="23"/>
      <c r="J102" s="24"/>
      <c r="K102" s="24"/>
      <c r="L102" s="24"/>
      <c r="M102" s="24"/>
      <c r="N102" s="24"/>
      <c r="O102" s="24"/>
      <c r="P102" s="24"/>
      <c r="Q102" s="22"/>
      <c r="R102" s="22"/>
      <c r="S102" s="22"/>
      <c r="T102" s="22"/>
      <c r="U102" s="22"/>
      <c r="V102" s="22"/>
      <c r="W102" s="22"/>
      <c r="X102" s="23"/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3"/>
      <c r="AV102" s="23"/>
      <c r="AW102" s="23"/>
      <c r="AX102" s="23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</row>
    <row r="103" spans="1:101" ht="14.4" x14ac:dyDescent="0.3">
      <c r="A103" s="20"/>
      <c r="B103" s="20"/>
      <c r="C103" s="21"/>
      <c r="D103" s="21"/>
      <c r="E103" s="22"/>
      <c r="F103" s="22"/>
      <c r="G103" s="22"/>
      <c r="H103" s="23"/>
      <c r="I103" s="23"/>
      <c r="J103" s="24"/>
      <c r="K103" s="24"/>
      <c r="L103" s="24"/>
      <c r="M103" s="24"/>
      <c r="N103" s="24"/>
      <c r="O103" s="24"/>
      <c r="P103" s="24"/>
      <c r="Q103" s="22"/>
      <c r="R103" s="22"/>
      <c r="S103" s="22"/>
      <c r="T103" s="22"/>
      <c r="U103" s="22"/>
      <c r="V103" s="22"/>
      <c r="W103" s="22"/>
      <c r="X103" s="23"/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3"/>
      <c r="AV103" s="23"/>
      <c r="AW103" s="23"/>
      <c r="AX103" s="23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</row>
    <row r="104" spans="1:101" ht="14.4" x14ac:dyDescent="0.3">
      <c r="A104" s="20"/>
      <c r="B104" s="20"/>
      <c r="C104" s="21"/>
      <c r="D104" s="21"/>
      <c r="E104" s="22"/>
      <c r="F104" s="22"/>
      <c r="G104" s="22"/>
      <c r="H104" s="23"/>
      <c r="I104" s="23"/>
      <c r="J104" s="24"/>
      <c r="K104" s="24"/>
      <c r="L104" s="24"/>
      <c r="M104" s="24"/>
      <c r="N104" s="24"/>
      <c r="O104" s="24"/>
      <c r="P104" s="24"/>
      <c r="Q104" s="22"/>
      <c r="R104" s="22"/>
      <c r="S104" s="22"/>
      <c r="T104" s="22"/>
      <c r="U104" s="22"/>
      <c r="V104" s="22"/>
      <c r="W104" s="22"/>
      <c r="X104" s="23"/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3"/>
      <c r="AV104" s="23"/>
      <c r="AW104" s="23"/>
      <c r="AX104" s="23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</row>
    <row r="105" spans="1:101" ht="14.4" x14ac:dyDescent="0.3">
      <c r="A105" s="20"/>
      <c r="B105" s="20"/>
      <c r="C105" s="21"/>
      <c r="D105" s="21"/>
      <c r="E105" s="22"/>
      <c r="F105" s="22"/>
      <c r="G105" s="22"/>
      <c r="H105" s="23"/>
      <c r="I105" s="23"/>
      <c r="J105" s="24"/>
      <c r="K105" s="24"/>
      <c r="L105" s="24"/>
      <c r="M105" s="24"/>
      <c r="N105" s="24"/>
      <c r="O105" s="24"/>
      <c r="P105" s="24"/>
      <c r="Q105" s="22"/>
      <c r="R105" s="22"/>
      <c r="S105" s="22"/>
      <c r="T105" s="22"/>
      <c r="U105" s="22"/>
      <c r="V105" s="22"/>
      <c r="W105" s="22"/>
      <c r="X105" s="23"/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3"/>
      <c r="AV105" s="23"/>
      <c r="AW105" s="23"/>
      <c r="AX105" s="23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</row>
    <row r="106" spans="1:101" ht="14.4" x14ac:dyDescent="0.3">
      <c r="A106" s="20"/>
      <c r="B106" s="20"/>
      <c r="C106" s="21"/>
      <c r="D106" s="21"/>
      <c r="E106" s="22"/>
      <c r="F106" s="22"/>
      <c r="G106" s="22"/>
      <c r="H106" s="23"/>
      <c r="I106" s="23"/>
      <c r="J106" s="24"/>
      <c r="K106" s="24"/>
      <c r="L106" s="24"/>
      <c r="M106" s="24"/>
      <c r="N106" s="24"/>
      <c r="O106" s="24"/>
      <c r="P106" s="24"/>
      <c r="Q106" s="22"/>
      <c r="R106" s="22"/>
      <c r="S106" s="22"/>
      <c r="T106" s="22"/>
      <c r="U106" s="22"/>
      <c r="V106" s="22"/>
      <c r="W106" s="22"/>
      <c r="X106" s="23"/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3"/>
      <c r="AV106" s="23"/>
      <c r="AW106" s="23"/>
      <c r="AX106" s="23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</row>
    <row r="107" spans="1:101" ht="14.4" x14ac:dyDescent="0.3">
      <c r="A107" s="20"/>
      <c r="B107" s="20"/>
      <c r="C107" s="21"/>
      <c r="D107" s="21"/>
      <c r="E107" s="22"/>
      <c r="F107" s="22"/>
      <c r="G107" s="22"/>
      <c r="H107" s="23"/>
      <c r="I107" s="23"/>
      <c r="J107" s="24"/>
      <c r="K107" s="24"/>
      <c r="L107" s="24"/>
      <c r="M107" s="24"/>
      <c r="N107" s="24"/>
      <c r="O107" s="24"/>
      <c r="P107" s="24"/>
      <c r="Q107" s="22"/>
      <c r="R107" s="22"/>
      <c r="S107" s="22"/>
      <c r="T107" s="22"/>
      <c r="U107" s="22"/>
      <c r="V107" s="22"/>
      <c r="W107" s="22"/>
      <c r="X107" s="23"/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3"/>
      <c r="AV107" s="23"/>
      <c r="AW107" s="23"/>
      <c r="AX107" s="23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</row>
    <row r="108" spans="1:101" ht="14.4" x14ac:dyDescent="0.3">
      <c r="A108" s="20"/>
      <c r="B108" s="20"/>
      <c r="C108" s="21"/>
      <c r="D108" s="21"/>
      <c r="E108" s="22"/>
      <c r="F108" s="22"/>
      <c r="G108" s="22"/>
      <c r="H108" s="23"/>
      <c r="I108" s="23"/>
      <c r="J108" s="24"/>
      <c r="K108" s="24"/>
      <c r="L108" s="24"/>
      <c r="M108" s="24"/>
      <c r="N108" s="24"/>
      <c r="O108" s="24"/>
      <c r="P108" s="24"/>
      <c r="Q108" s="22"/>
      <c r="R108" s="22"/>
      <c r="S108" s="22"/>
      <c r="T108" s="22"/>
      <c r="U108" s="22"/>
      <c r="V108" s="22"/>
      <c r="W108" s="22"/>
      <c r="X108" s="23"/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3"/>
      <c r="AV108" s="23"/>
      <c r="AW108" s="23"/>
      <c r="AX108" s="23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</row>
    <row r="109" spans="1:101" ht="14.4" x14ac:dyDescent="0.3">
      <c r="A109" s="20"/>
      <c r="B109" s="20"/>
      <c r="C109" s="21"/>
      <c r="D109" s="21"/>
      <c r="E109" s="22"/>
      <c r="F109" s="22"/>
      <c r="G109" s="22"/>
      <c r="H109" s="23"/>
      <c r="I109" s="23"/>
      <c r="J109" s="24"/>
      <c r="K109" s="24"/>
      <c r="L109" s="24"/>
      <c r="M109" s="24"/>
      <c r="N109" s="24"/>
      <c r="O109" s="24"/>
      <c r="P109" s="24"/>
      <c r="Q109" s="22"/>
      <c r="R109" s="22"/>
      <c r="S109" s="22"/>
      <c r="T109" s="22"/>
      <c r="U109" s="22"/>
      <c r="V109" s="22"/>
      <c r="W109" s="22"/>
      <c r="X109" s="23"/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3"/>
      <c r="AV109" s="23"/>
      <c r="AW109" s="23"/>
      <c r="AX109" s="23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</row>
    <row r="110" spans="1:101" ht="14.4" x14ac:dyDescent="0.3">
      <c r="A110" s="20"/>
      <c r="B110" s="20"/>
      <c r="C110" s="21"/>
      <c r="D110" s="21"/>
      <c r="E110" s="22"/>
      <c r="F110" s="22"/>
      <c r="G110" s="22"/>
      <c r="H110" s="23"/>
      <c r="I110" s="23"/>
      <c r="J110" s="24"/>
      <c r="K110" s="24"/>
      <c r="L110" s="24"/>
      <c r="M110" s="24"/>
      <c r="N110" s="24"/>
      <c r="O110" s="24"/>
      <c r="P110" s="24"/>
      <c r="Q110" s="22"/>
      <c r="R110" s="22"/>
      <c r="S110" s="22"/>
      <c r="T110" s="22"/>
      <c r="U110" s="22"/>
      <c r="V110" s="22"/>
      <c r="W110" s="22"/>
      <c r="X110" s="23"/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3"/>
      <c r="AV110" s="23"/>
      <c r="AW110" s="23"/>
      <c r="AX110" s="23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</row>
    <row r="111" spans="1:101" ht="14.4" x14ac:dyDescent="0.3">
      <c r="A111" s="20"/>
      <c r="B111" s="20"/>
      <c r="C111" s="21"/>
      <c r="D111" s="21"/>
      <c r="E111" s="22"/>
      <c r="F111" s="22"/>
      <c r="G111" s="22"/>
      <c r="H111" s="23"/>
      <c r="I111" s="23"/>
      <c r="J111" s="24"/>
      <c r="K111" s="24"/>
      <c r="L111" s="24"/>
      <c r="M111" s="24"/>
      <c r="N111" s="24"/>
      <c r="O111" s="24"/>
      <c r="P111" s="24"/>
      <c r="Q111" s="22"/>
      <c r="R111" s="22"/>
      <c r="S111" s="22"/>
      <c r="T111" s="22"/>
      <c r="U111" s="22"/>
      <c r="V111" s="22"/>
      <c r="W111" s="22"/>
      <c r="X111" s="23"/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3"/>
      <c r="AV111" s="23"/>
      <c r="AW111" s="23"/>
      <c r="AX111" s="23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</row>
    <row r="112" spans="1:101" ht="14.4" x14ac:dyDescent="0.3">
      <c r="A112" s="20"/>
      <c r="B112" s="20"/>
      <c r="C112" s="21"/>
      <c r="D112" s="21"/>
      <c r="E112" s="22"/>
      <c r="F112" s="22"/>
      <c r="G112" s="22"/>
      <c r="H112" s="23"/>
      <c r="I112" s="23"/>
      <c r="J112" s="24"/>
      <c r="K112" s="24"/>
      <c r="L112" s="24"/>
      <c r="M112" s="24"/>
      <c r="N112" s="24"/>
      <c r="O112" s="24"/>
      <c r="P112" s="24"/>
      <c r="Q112" s="22"/>
      <c r="R112" s="22"/>
      <c r="S112" s="22"/>
      <c r="T112" s="22"/>
      <c r="U112" s="22"/>
      <c r="V112" s="22"/>
      <c r="W112" s="22"/>
      <c r="X112" s="23"/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3"/>
      <c r="AV112" s="23"/>
      <c r="AW112" s="23"/>
      <c r="AX112" s="23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</row>
    <row r="113" spans="1:101" ht="14.4" x14ac:dyDescent="0.3">
      <c r="A113" s="20"/>
      <c r="B113" s="20"/>
      <c r="C113" s="21"/>
      <c r="D113" s="21"/>
      <c r="E113" s="22"/>
      <c r="F113" s="22"/>
      <c r="G113" s="22"/>
      <c r="H113" s="23"/>
      <c r="I113" s="23"/>
      <c r="J113" s="24"/>
      <c r="K113" s="24"/>
      <c r="L113" s="24"/>
      <c r="M113" s="24"/>
      <c r="N113" s="24"/>
      <c r="O113" s="24"/>
      <c r="P113" s="24"/>
      <c r="Q113" s="22"/>
      <c r="R113" s="22"/>
      <c r="S113" s="22"/>
      <c r="T113" s="22"/>
      <c r="U113" s="22"/>
      <c r="V113" s="22"/>
      <c r="W113" s="22"/>
      <c r="X113" s="23"/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3"/>
      <c r="AV113" s="23"/>
      <c r="AW113" s="23"/>
      <c r="AX113" s="23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</row>
    <row r="114" spans="1:101" ht="14.4" x14ac:dyDescent="0.3">
      <c r="A114" s="20"/>
      <c r="B114" s="20"/>
      <c r="C114" s="21"/>
      <c r="D114" s="21"/>
      <c r="E114" s="22"/>
      <c r="F114" s="22"/>
      <c r="G114" s="22"/>
      <c r="H114" s="23"/>
      <c r="I114" s="23"/>
      <c r="J114" s="24"/>
      <c r="K114" s="24"/>
      <c r="L114" s="24"/>
      <c r="M114" s="24"/>
      <c r="N114" s="24"/>
      <c r="O114" s="24"/>
      <c r="P114" s="24"/>
      <c r="Q114" s="22"/>
      <c r="R114" s="22"/>
      <c r="S114" s="22"/>
      <c r="T114" s="22"/>
      <c r="U114" s="22"/>
      <c r="V114" s="22"/>
      <c r="W114" s="22"/>
      <c r="X114" s="23"/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3"/>
      <c r="AV114" s="23"/>
      <c r="AW114" s="23"/>
      <c r="AX114" s="23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</row>
    <row r="115" spans="1:101" ht="14.4" x14ac:dyDescent="0.3">
      <c r="A115" s="20"/>
      <c r="B115" s="20"/>
      <c r="C115" s="21"/>
      <c r="D115" s="21"/>
      <c r="E115" s="22"/>
      <c r="F115" s="22"/>
      <c r="G115" s="22"/>
      <c r="H115" s="23"/>
      <c r="I115" s="23"/>
      <c r="J115" s="24"/>
      <c r="K115" s="24"/>
      <c r="L115" s="24"/>
      <c r="M115" s="24"/>
      <c r="N115" s="24"/>
      <c r="O115" s="24"/>
      <c r="P115" s="24"/>
      <c r="Q115" s="22"/>
      <c r="R115" s="22"/>
      <c r="S115" s="22"/>
      <c r="T115" s="22"/>
      <c r="U115" s="22"/>
      <c r="V115" s="22"/>
      <c r="W115" s="22"/>
      <c r="X115" s="23"/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3"/>
      <c r="AV115" s="23"/>
      <c r="AW115" s="23"/>
      <c r="AX115" s="23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</row>
    <row r="116" spans="1:101" ht="14.4" x14ac:dyDescent="0.3">
      <c r="A116" s="20"/>
      <c r="B116" s="20"/>
      <c r="C116" s="21"/>
      <c r="D116" s="21"/>
      <c r="E116" s="22"/>
      <c r="F116" s="22"/>
      <c r="G116" s="22"/>
      <c r="H116" s="23"/>
      <c r="I116" s="23"/>
      <c r="J116" s="24"/>
      <c r="K116" s="24"/>
      <c r="L116" s="24"/>
      <c r="M116" s="24"/>
      <c r="N116" s="24"/>
      <c r="O116" s="24"/>
      <c r="P116" s="24"/>
      <c r="Q116" s="22"/>
      <c r="R116" s="22"/>
      <c r="S116" s="22"/>
      <c r="T116" s="22"/>
      <c r="U116" s="22"/>
      <c r="V116" s="22"/>
      <c r="W116" s="22"/>
      <c r="X116" s="23"/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3"/>
      <c r="AV116" s="23"/>
      <c r="AW116" s="23"/>
      <c r="AX116" s="23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</row>
    <row r="117" spans="1:101" ht="14.4" x14ac:dyDescent="0.3">
      <c r="A117" s="20"/>
      <c r="B117" s="20"/>
      <c r="C117" s="21"/>
      <c r="D117" s="21"/>
      <c r="E117" s="22"/>
      <c r="F117" s="22"/>
      <c r="G117" s="22"/>
      <c r="H117" s="23"/>
      <c r="I117" s="23"/>
      <c r="J117" s="24"/>
      <c r="K117" s="24"/>
      <c r="L117" s="24"/>
      <c r="M117" s="24"/>
      <c r="N117" s="24"/>
      <c r="O117" s="24"/>
      <c r="P117" s="24"/>
      <c r="Q117" s="22"/>
      <c r="R117" s="22"/>
      <c r="S117" s="22"/>
      <c r="T117" s="22"/>
      <c r="U117" s="22"/>
      <c r="V117" s="22"/>
      <c r="W117" s="22"/>
      <c r="X117" s="23"/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3"/>
      <c r="AV117" s="23"/>
      <c r="AW117" s="23"/>
      <c r="AX117" s="23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</row>
    <row r="118" spans="1:101" ht="14.4" x14ac:dyDescent="0.3">
      <c r="A118" s="20"/>
      <c r="B118" s="20"/>
      <c r="C118" s="21"/>
      <c r="D118" s="21"/>
      <c r="E118" s="22"/>
      <c r="F118" s="22"/>
      <c r="G118" s="22"/>
      <c r="H118" s="23"/>
      <c r="I118" s="23"/>
      <c r="J118" s="24"/>
      <c r="K118" s="24"/>
      <c r="L118" s="24"/>
      <c r="M118" s="24"/>
      <c r="N118" s="24"/>
      <c r="O118" s="24"/>
      <c r="P118" s="24"/>
      <c r="Q118" s="22"/>
      <c r="R118" s="22"/>
      <c r="S118" s="22"/>
      <c r="T118" s="22"/>
      <c r="U118" s="22"/>
      <c r="V118" s="22"/>
      <c r="W118" s="22"/>
      <c r="X118" s="23"/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3"/>
      <c r="AV118" s="23"/>
      <c r="AW118" s="23"/>
      <c r="AX118" s="23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</row>
    <row r="119" spans="1:101" ht="14.4" x14ac:dyDescent="0.3">
      <c r="A119" s="20"/>
      <c r="B119" s="20"/>
      <c r="C119" s="21"/>
      <c r="D119" s="21"/>
      <c r="E119" s="22"/>
      <c r="F119" s="22"/>
      <c r="G119" s="22"/>
      <c r="H119" s="23"/>
      <c r="I119" s="23"/>
      <c r="J119" s="24"/>
      <c r="K119" s="24"/>
      <c r="L119" s="24"/>
      <c r="M119" s="24"/>
      <c r="N119" s="24"/>
      <c r="O119" s="24"/>
      <c r="P119" s="24"/>
      <c r="Q119" s="22"/>
      <c r="R119" s="22"/>
      <c r="S119" s="22"/>
      <c r="T119" s="22"/>
      <c r="U119" s="22"/>
      <c r="V119" s="22"/>
      <c r="W119" s="22"/>
      <c r="X119" s="23"/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3"/>
      <c r="AV119" s="23"/>
      <c r="AW119" s="23"/>
      <c r="AX119" s="23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</row>
    <row r="120" spans="1:101" ht="14.4" x14ac:dyDescent="0.3">
      <c r="A120" s="20"/>
      <c r="B120" s="20"/>
      <c r="C120" s="21"/>
      <c r="D120" s="21"/>
      <c r="E120" s="22"/>
      <c r="F120" s="22"/>
      <c r="G120" s="22"/>
      <c r="H120" s="23"/>
      <c r="I120" s="23"/>
      <c r="J120" s="24"/>
      <c r="K120" s="24"/>
      <c r="L120" s="24"/>
      <c r="M120" s="24"/>
      <c r="N120" s="24"/>
      <c r="O120" s="24"/>
      <c r="P120" s="24"/>
      <c r="Q120" s="22"/>
      <c r="R120" s="22"/>
      <c r="S120" s="22"/>
      <c r="T120" s="22"/>
      <c r="U120" s="22"/>
      <c r="V120" s="22"/>
      <c r="W120" s="22"/>
      <c r="X120" s="23"/>
      <c r="Y120" s="22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3"/>
      <c r="AV120" s="23"/>
      <c r="AW120" s="23"/>
      <c r="AX120" s="23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</row>
    <row r="121" spans="1:101" ht="14.4" x14ac:dyDescent="0.3">
      <c r="A121" s="20"/>
      <c r="B121" s="20"/>
      <c r="C121" s="21"/>
      <c r="D121" s="21"/>
      <c r="E121" s="22"/>
      <c r="F121" s="22"/>
      <c r="G121" s="22"/>
      <c r="H121" s="23"/>
      <c r="I121" s="23"/>
      <c r="J121" s="24"/>
      <c r="K121" s="24"/>
      <c r="L121" s="24"/>
      <c r="M121" s="24"/>
      <c r="N121" s="24"/>
      <c r="O121" s="24"/>
      <c r="P121" s="24"/>
      <c r="Q121" s="22"/>
      <c r="R121" s="22"/>
      <c r="S121" s="22"/>
      <c r="T121" s="22"/>
      <c r="U121" s="22"/>
      <c r="V121" s="22"/>
      <c r="W121" s="22"/>
      <c r="X121" s="23"/>
      <c r="Y121" s="22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3"/>
      <c r="AV121" s="23"/>
      <c r="AW121" s="23"/>
      <c r="AX121" s="23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</row>
    <row r="122" spans="1:101" ht="14.4" x14ac:dyDescent="0.3">
      <c r="A122" s="20"/>
      <c r="B122" s="20"/>
      <c r="C122" s="21"/>
      <c r="D122" s="21"/>
      <c r="E122" s="22"/>
      <c r="F122" s="22"/>
      <c r="G122" s="22"/>
      <c r="H122" s="23"/>
      <c r="I122" s="23"/>
      <c r="J122" s="24"/>
      <c r="K122" s="24"/>
      <c r="L122" s="24"/>
      <c r="M122" s="24"/>
      <c r="N122" s="24"/>
      <c r="O122" s="24"/>
      <c r="P122" s="24"/>
      <c r="Q122" s="22"/>
      <c r="R122" s="22"/>
      <c r="S122" s="22"/>
      <c r="T122" s="22"/>
      <c r="U122" s="22"/>
      <c r="V122" s="22"/>
      <c r="W122" s="22"/>
      <c r="X122" s="23"/>
      <c r="Y122" s="22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3"/>
      <c r="AV122" s="23"/>
      <c r="AW122" s="23"/>
      <c r="AX122" s="23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</row>
    <row r="123" spans="1:101" ht="14.4" x14ac:dyDescent="0.3">
      <c r="A123" s="20"/>
      <c r="B123" s="20"/>
      <c r="C123" s="21"/>
      <c r="D123" s="21"/>
      <c r="E123" s="22"/>
      <c r="F123" s="22"/>
      <c r="G123" s="22"/>
      <c r="H123" s="23"/>
      <c r="I123" s="23"/>
      <c r="J123" s="24"/>
      <c r="K123" s="24"/>
      <c r="L123" s="24"/>
      <c r="M123" s="24"/>
      <c r="N123" s="24"/>
      <c r="O123" s="24"/>
      <c r="P123" s="24"/>
      <c r="Q123" s="22"/>
      <c r="R123" s="22"/>
      <c r="S123" s="22"/>
      <c r="T123" s="22"/>
      <c r="U123" s="22"/>
      <c r="V123" s="22"/>
      <c r="W123" s="22"/>
      <c r="X123" s="23"/>
      <c r="Y123" s="22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3"/>
      <c r="AV123" s="23"/>
      <c r="AW123" s="23"/>
      <c r="AX123" s="23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</row>
    <row r="124" spans="1:101" ht="14.4" x14ac:dyDescent="0.3">
      <c r="A124" s="20"/>
      <c r="B124" s="20"/>
      <c r="C124" s="21"/>
      <c r="D124" s="21"/>
      <c r="E124" s="22"/>
      <c r="F124" s="22"/>
      <c r="G124" s="22"/>
      <c r="H124" s="23"/>
      <c r="I124" s="23"/>
      <c r="J124" s="24"/>
      <c r="K124" s="24"/>
      <c r="L124" s="24"/>
      <c r="M124" s="24"/>
      <c r="N124" s="24"/>
      <c r="O124" s="24"/>
      <c r="P124" s="24"/>
      <c r="Q124" s="22"/>
      <c r="R124" s="22"/>
      <c r="S124" s="22"/>
      <c r="T124" s="22"/>
      <c r="U124" s="22"/>
      <c r="V124" s="22"/>
      <c r="W124" s="22"/>
      <c r="X124" s="23"/>
      <c r="Y124" s="22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3"/>
      <c r="AV124" s="23"/>
      <c r="AW124" s="23"/>
      <c r="AX124" s="23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</row>
    <row r="125" spans="1:101" ht="14.4" x14ac:dyDescent="0.3">
      <c r="A125" s="20"/>
      <c r="B125" s="20"/>
      <c r="C125" s="21"/>
      <c r="D125" s="21"/>
      <c r="E125" s="22"/>
      <c r="F125" s="22"/>
      <c r="G125" s="22"/>
      <c r="H125" s="23"/>
      <c r="I125" s="23"/>
      <c r="J125" s="24"/>
      <c r="K125" s="24"/>
      <c r="L125" s="24"/>
      <c r="M125" s="24"/>
      <c r="N125" s="24"/>
      <c r="O125" s="24"/>
      <c r="P125" s="24"/>
      <c r="Q125" s="22"/>
      <c r="R125" s="22"/>
      <c r="S125" s="22"/>
      <c r="T125" s="22"/>
      <c r="U125" s="22"/>
      <c r="V125" s="22"/>
      <c r="W125" s="22"/>
      <c r="X125" s="23"/>
      <c r="Y125" s="22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3"/>
      <c r="AV125" s="23"/>
      <c r="AW125" s="23"/>
      <c r="AX125" s="23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</row>
    <row r="126" spans="1:101" ht="14.4" x14ac:dyDescent="0.3">
      <c r="A126" s="20"/>
      <c r="B126" s="20"/>
      <c r="C126" s="21"/>
      <c r="D126" s="21"/>
      <c r="E126" s="22"/>
      <c r="F126" s="22"/>
      <c r="G126" s="22"/>
      <c r="H126" s="23"/>
      <c r="I126" s="23"/>
      <c r="J126" s="24"/>
      <c r="K126" s="24"/>
      <c r="L126" s="24"/>
      <c r="M126" s="24"/>
      <c r="N126" s="24"/>
      <c r="O126" s="24"/>
      <c r="P126" s="24"/>
      <c r="Q126" s="22"/>
      <c r="R126" s="22"/>
      <c r="S126" s="22"/>
      <c r="T126" s="22"/>
      <c r="U126" s="22"/>
      <c r="V126" s="22"/>
      <c r="W126" s="22"/>
      <c r="X126" s="23"/>
      <c r="Y126" s="22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3"/>
      <c r="AV126" s="23"/>
      <c r="AW126" s="23"/>
      <c r="AX126" s="23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</row>
    <row r="127" spans="1:101" ht="14.4" x14ac:dyDescent="0.3">
      <c r="A127" s="20"/>
      <c r="B127" s="20"/>
      <c r="C127" s="21"/>
      <c r="D127" s="21"/>
      <c r="E127" s="22"/>
      <c r="F127" s="22"/>
      <c r="G127" s="22"/>
      <c r="H127" s="23"/>
      <c r="I127" s="23"/>
      <c r="J127" s="24"/>
      <c r="K127" s="24"/>
      <c r="L127" s="24"/>
      <c r="M127" s="24"/>
      <c r="N127" s="24"/>
      <c r="O127" s="24"/>
      <c r="P127" s="24"/>
      <c r="Q127" s="22"/>
      <c r="R127" s="22"/>
      <c r="S127" s="22"/>
      <c r="T127" s="22"/>
      <c r="U127" s="22"/>
      <c r="V127" s="22"/>
      <c r="W127" s="22"/>
      <c r="X127" s="23"/>
      <c r="Y127" s="22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3"/>
      <c r="AV127" s="23"/>
      <c r="AW127" s="23"/>
      <c r="AX127" s="23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</row>
    <row r="128" spans="1:101" ht="14.4" x14ac:dyDescent="0.3">
      <c r="A128" s="20"/>
      <c r="B128" s="20"/>
      <c r="C128" s="21"/>
      <c r="D128" s="21"/>
      <c r="E128" s="22"/>
      <c r="F128" s="22"/>
      <c r="G128" s="22"/>
      <c r="H128" s="23"/>
      <c r="I128" s="23"/>
      <c r="J128" s="24"/>
      <c r="K128" s="24"/>
      <c r="L128" s="24"/>
      <c r="M128" s="24"/>
      <c r="N128" s="24"/>
      <c r="O128" s="24"/>
      <c r="P128" s="24"/>
      <c r="Q128" s="22"/>
      <c r="R128" s="22"/>
      <c r="S128" s="22"/>
      <c r="T128" s="22"/>
      <c r="U128" s="22"/>
      <c r="V128" s="22"/>
      <c r="W128" s="22"/>
      <c r="X128" s="23"/>
      <c r="Y128" s="22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3"/>
      <c r="AV128" s="23"/>
      <c r="AW128" s="23"/>
      <c r="AX128" s="23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</row>
    <row r="129" spans="1:101" ht="14.4" x14ac:dyDescent="0.3">
      <c r="A129" s="20"/>
      <c r="B129" s="20"/>
      <c r="C129" s="21"/>
      <c r="D129" s="21"/>
      <c r="E129" s="22"/>
      <c r="F129" s="22"/>
      <c r="G129" s="22"/>
      <c r="H129" s="23"/>
      <c r="I129" s="23"/>
      <c r="J129" s="24"/>
      <c r="K129" s="24"/>
      <c r="L129" s="24"/>
      <c r="M129" s="24"/>
      <c r="N129" s="24"/>
      <c r="O129" s="24"/>
      <c r="P129" s="24"/>
      <c r="Q129" s="22"/>
      <c r="R129" s="22"/>
      <c r="S129" s="22"/>
      <c r="T129" s="22"/>
      <c r="U129" s="22"/>
      <c r="V129" s="22"/>
      <c r="W129" s="22"/>
      <c r="X129" s="23"/>
      <c r="Y129" s="22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3"/>
      <c r="AV129" s="23"/>
      <c r="AW129" s="23"/>
      <c r="AX129" s="23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</row>
    <row r="130" spans="1:101" ht="14.4" x14ac:dyDescent="0.3">
      <c r="A130" s="20"/>
      <c r="B130" s="20"/>
      <c r="C130" s="21"/>
      <c r="D130" s="21"/>
      <c r="E130" s="22"/>
      <c r="F130" s="22"/>
      <c r="G130" s="22"/>
      <c r="H130" s="23"/>
      <c r="I130" s="23"/>
      <c r="J130" s="24"/>
      <c r="K130" s="24"/>
      <c r="L130" s="24"/>
      <c r="M130" s="24"/>
      <c r="N130" s="24"/>
      <c r="O130" s="24"/>
      <c r="P130" s="24"/>
      <c r="Q130" s="22"/>
      <c r="R130" s="22"/>
      <c r="S130" s="22"/>
      <c r="T130" s="22"/>
      <c r="U130" s="22"/>
      <c r="V130" s="22"/>
      <c r="W130" s="22"/>
      <c r="X130" s="23"/>
      <c r="Y130" s="22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3"/>
      <c r="AV130" s="23"/>
      <c r="AW130" s="23"/>
      <c r="AX130" s="23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</row>
    <row r="131" spans="1:101" ht="14.4" x14ac:dyDescent="0.3">
      <c r="A131" s="20"/>
      <c r="B131" s="20"/>
      <c r="C131" s="21"/>
      <c r="D131" s="21"/>
      <c r="E131" s="22"/>
      <c r="F131" s="22"/>
      <c r="G131" s="22"/>
      <c r="H131" s="23"/>
      <c r="I131" s="23"/>
      <c r="J131" s="24"/>
      <c r="K131" s="24"/>
      <c r="L131" s="24"/>
      <c r="M131" s="24"/>
      <c r="N131" s="24"/>
      <c r="O131" s="24"/>
      <c r="P131" s="24"/>
      <c r="Q131" s="22"/>
      <c r="R131" s="22"/>
      <c r="S131" s="22"/>
      <c r="T131" s="22"/>
      <c r="U131" s="22"/>
      <c r="V131" s="22"/>
      <c r="W131" s="22"/>
      <c r="X131" s="23"/>
      <c r="Y131" s="22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3"/>
      <c r="AV131" s="23"/>
      <c r="AW131" s="23"/>
      <c r="AX131" s="23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</row>
    <row r="132" spans="1:101" ht="14.4" x14ac:dyDescent="0.3">
      <c r="A132" s="20"/>
      <c r="B132" s="20"/>
      <c r="C132" s="21"/>
      <c r="D132" s="21"/>
      <c r="E132" s="22"/>
      <c r="F132" s="22"/>
      <c r="G132" s="22"/>
      <c r="H132" s="23"/>
      <c r="I132" s="23"/>
      <c r="J132" s="24"/>
      <c r="K132" s="24"/>
      <c r="L132" s="24"/>
      <c r="M132" s="24"/>
      <c r="N132" s="24"/>
      <c r="O132" s="24"/>
      <c r="P132" s="24"/>
      <c r="Q132" s="22"/>
      <c r="R132" s="22"/>
      <c r="S132" s="22"/>
      <c r="T132" s="22"/>
      <c r="U132" s="22"/>
      <c r="V132" s="22"/>
      <c r="W132" s="22"/>
      <c r="X132" s="23"/>
      <c r="Y132" s="22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3"/>
      <c r="AV132" s="23"/>
      <c r="AW132" s="23"/>
      <c r="AX132" s="23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</row>
    <row r="133" spans="1:101" ht="14.4" x14ac:dyDescent="0.3">
      <c r="A133" s="20"/>
      <c r="B133" s="20"/>
      <c r="C133" s="21"/>
      <c r="D133" s="21"/>
      <c r="E133" s="22"/>
      <c r="F133" s="22"/>
      <c r="G133" s="22"/>
      <c r="H133" s="23"/>
      <c r="I133" s="23"/>
      <c r="J133" s="24"/>
      <c r="K133" s="24"/>
      <c r="L133" s="24"/>
      <c r="M133" s="24"/>
      <c r="N133" s="24"/>
      <c r="O133" s="24"/>
      <c r="P133" s="24"/>
      <c r="Q133" s="22"/>
      <c r="R133" s="22"/>
      <c r="S133" s="22"/>
      <c r="T133" s="22"/>
      <c r="U133" s="22"/>
      <c r="V133" s="22"/>
      <c r="W133" s="22"/>
      <c r="X133" s="23"/>
      <c r="Y133" s="22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3"/>
      <c r="AV133" s="23"/>
      <c r="AW133" s="23"/>
      <c r="AX133" s="23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</row>
    <row r="134" spans="1:101" ht="14.4" x14ac:dyDescent="0.3">
      <c r="A134" s="20"/>
      <c r="B134" s="20"/>
      <c r="C134" s="21"/>
      <c r="D134" s="21"/>
      <c r="E134" s="22"/>
      <c r="F134" s="22"/>
      <c r="G134" s="22"/>
      <c r="H134" s="23"/>
      <c r="I134" s="23"/>
      <c r="J134" s="24"/>
      <c r="K134" s="24"/>
      <c r="L134" s="24"/>
      <c r="M134" s="24"/>
      <c r="N134" s="24"/>
      <c r="O134" s="24"/>
      <c r="P134" s="24"/>
      <c r="Q134" s="22"/>
      <c r="R134" s="22"/>
      <c r="S134" s="22"/>
      <c r="T134" s="22"/>
      <c r="U134" s="22"/>
      <c r="V134" s="22"/>
      <c r="W134" s="22"/>
      <c r="X134" s="23"/>
      <c r="Y134" s="22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3"/>
      <c r="AV134" s="23"/>
      <c r="AW134" s="23"/>
      <c r="AX134" s="23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</row>
    <row r="135" spans="1:101" ht="14.4" x14ac:dyDescent="0.3">
      <c r="A135" s="20"/>
      <c r="B135" s="20"/>
      <c r="C135" s="21"/>
      <c r="D135" s="21"/>
      <c r="E135" s="22"/>
      <c r="F135" s="22"/>
      <c r="G135" s="22"/>
      <c r="H135" s="23"/>
      <c r="I135" s="23"/>
      <c r="J135" s="24"/>
      <c r="K135" s="24"/>
      <c r="L135" s="24"/>
      <c r="M135" s="24"/>
      <c r="N135" s="24"/>
      <c r="O135" s="24"/>
      <c r="P135" s="24"/>
      <c r="Q135" s="22"/>
      <c r="R135" s="22"/>
      <c r="S135" s="22"/>
      <c r="T135" s="22"/>
      <c r="U135" s="22"/>
      <c r="V135" s="22"/>
      <c r="W135" s="22"/>
      <c r="X135" s="23"/>
      <c r="Y135" s="22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3"/>
      <c r="AV135" s="23"/>
      <c r="AW135" s="23"/>
      <c r="AX135" s="23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</row>
    <row r="136" spans="1:101" ht="14.4" x14ac:dyDescent="0.3">
      <c r="A136" s="20"/>
      <c r="B136" s="20"/>
      <c r="C136" s="21"/>
      <c r="D136" s="21"/>
      <c r="E136" s="22"/>
      <c r="F136" s="22"/>
      <c r="G136" s="22"/>
      <c r="H136" s="23"/>
      <c r="I136" s="23"/>
      <c r="J136" s="24"/>
      <c r="K136" s="24"/>
      <c r="L136" s="24"/>
      <c r="M136" s="24"/>
      <c r="N136" s="24"/>
      <c r="O136" s="24"/>
      <c r="P136" s="24"/>
      <c r="Q136" s="22"/>
      <c r="R136" s="22"/>
      <c r="S136" s="22"/>
      <c r="T136" s="22"/>
      <c r="U136" s="22"/>
      <c r="V136" s="22"/>
      <c r="W136" s="22"/>
      <c r="X136" s="23"/>
      <c r="Y136" s="22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3"/>
      <c r="AV136" s="23"/>
      <c r="AW136" s="23"/>
      <c r="AX136" s="23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</row>
    <row r="137" spans="1:101" ht="14.4" x14ac:dyDescent="0.3">
      <c r="A137" s="20"/>
      <c r="B137" s="20"/>
      <c r="C137" s="21"/>
      <c r="D137" s="21"/>
      <c r="E137" s="22"/>
      <c r="F137" s="22"/>
      <c r="G137" s="22"/>
      <c r="H137" s="23"/>
      <c r="I137" s="23"/>
      <c r="J137" s="24"/>
      <c r="K137" s="24"/>
      <c r="L137" s="24"/>
      <c r="M137" s="24"/>
      <c r="N137" s="24"/>
      <c r="O137" s="24"/>
      <c r="P137" s="24"/>
      <c r="Q137" s="22"/>
      <c r="R137" s="22"/>
      <c r="S137" s="22"/>
      <c r="T137" s="22"/>
      <c r="U137" s="22"/>
      <c r="V137" s="22"/>
      <c r="W137" s="22"/>
      <c r="X137" s="23"/>
      <c r="Y137" s="22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3"/>
      <c r="AV137" s="23"/>
      <c r="AW137" s="23"/>
      <c r="AX137" s="23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</row>
    <row r="138" spans="1:101" ht="14.4" x14ac:dyDescent="0.3">
      <c r="A138" s="20"/>
      <c r="B138" s="20"/>
      <c r="C138" s="21"/>
      <c r="D138" s="21"/>
      <c r="E138" s="22"/>
      <c r="F138" s="22"/>
      <c r="G138" s="22"/>
      <c r="H138" s="23"/>
      <c r="I138" s="23"/>
      <c r="J138" s="24"/>
      <c r="K138" s="24"/>
      <c r="L138" s="24"/>
      <c r="M138" s="24"/>
      <c r="N138" s="24"/>
      <c r="O138" s="24"/>
      <c r="P138" s="24"/>
      <c r="Q138" s="22"/>
      <c r="R138" s="22"/>
      <c r="S138" s="22"/>
      <c r="T138" s="22"/>
      <c r="U138" s="22"/>
      <c r="V138" s="22"/>
      <c r="W138" s="22"/>
      <c r="X138" s="23"/>
      <c r="Y138" s="22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3"/>
      <c r="AV138" s="23"/>
      <c r="AW138" s="23"/>
      <c r="AX138" s="23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</row>
    <row r="139" spans="1:101" ht="14.4" x14ac:dyDescent="0.3">
      <c r="A139" s="20"/>
      <c r="B139" s="20"/>
      <c r="C139" s="21"/>
      <c r="D139" s="21"/>
      <c r="E139" s="22"/>
      <c r="F139" s="22"/>
      <c r="G139" s="22"/>
      <c r="H139" s="23"/>
      <c r="I139" s="23"/>
      <c r="J139" s="24"/>
      <c r="K139" s="24"/>
      <c r="L139" s="24"/>
      <c r="M139" s="24"/>
      <c r="N139" s="24"/>
      <c r="O139" s="24"/>
      <c r="P139" s="24"/>
      <c r="Q139" s="22"/>
      <c r="R139" s="22"/>
      <c r="S139" s="22"/>
      <c r="T139" s="22"/>
      <c r="U139" s="22"/>
      <c r="V139" s="22"/>
      <c r="W139" s="22"/>
      <c r="X139" s="23"/>
      <c r="Y139" s="22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3"/>
      <c r="AV139" s="23"/>
      <c r="AW139" s="23"/>
      <c r="AX139" s="23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</row>
    <row r="140" spans="1:101" ht="14.4" x14ac:dyDescent="0.3">
      <c r="A140" s="20"/>
      <c r="B140" s="20"/>
      <c r="C140" s="21"/>
      <c r="D140" s="21"/>
      <c r="E140" s="22"/>
      <c r="F140" s="22"/>
      <c r="G140" s="22"/>
      <c r="H140" s="23"/>
      <c r="I140" s="23"/>
      <c r="J140" s="24"/>
      <c r="K140" s="24"/>
      <c r="L140" s="24"/>
      <c r="M140" s="24"/>
      <c r="N140" s="24"/>
      <c r="O140" s="24"/>
      <c r="P140" s="24"/>
      <c r="Q140" s="22"/>
      <c r="R140" s="22"/>
      <c r="S140" s="22"/>
      <c r="T140" s="22"/>
      <c r="U140" s="22"/>
      <c r="V140" s="22"/>
      <c r="W140" s="22"/>
      <c r="X140" s="23"/>
      <c r="Y140" s="22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3"/>
      <c r="AV140" s="23"/>
      <c r="AW140" s="23"/>
      <c r="AX140" s="23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</row>
    <row r="141" spans="1:101" ht="14.4" x14ac:dyDescent="0.3">
      <c r="A141" s="20"/>
      <c r="B141" s="20"/>
      <c r="C141" s="21"/>
      <c r="D141" s="21"/>
      <c r="E141" s="22"/>
      <c r="F141" s="22"/>
      <c r="G141" s="22"/>
      <c r="H141" s="23"/>
      <c r="I141" s="23"/>
      <c r="J141" s="24"/>
      <c r="K141" s="24"/>
      <c r="L141" s="24"/>
      <c r="M141" s="24"/>
      <c r="N141" s="24"/>
      <c r="O141" s="24"/>
      <c r="P141" s="24"/>
      <c r="Q141" s="22"/>
      <c r="R141" s="22"/>
      <c r="S141" s="22"/>
      <c r="T141" s="22"/>
      <c r="U141" s="22"/>
      <c r="V141" s="22"/>
      <c r="W141" s="22"/>
      <c r="X141" s="23"/>
      <c r="Y141" s="22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3"/>
      <c r="AV141" s="23"/>
      <c r="AW141" s="23"/>
      <c r="AX141" s="23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</row>
    <row r="142" spans="1:101" ht="14.4" x14ac:dyDescent="0.3">
      <c r="A142" s="20"/>
      <c r="B142" s="20"/>
      <c r="C142" s="21"/>
      <c r="D142" s="21"/>
      <c r="E142" s="22"/>
      <c r="F142" s="22"/>
      <c r="G142" s="22"/>
      <c r="H142" s="23"/>
      <c r="I142" s="23"/>
      <c r="J142" s="24"/>
      <c r="K142" s="24"/>
      <c r="L142" s="24"/>
      <c r="M142" s="24"/>
      <c r="N142" s="24"/>
      <c r="O142" s="24"/>
      <c r="P142" s="24"/>
      <c r="Q142" s="22"/>
      <c r="R142" s="22"/>
      <c r="S142" s="22"/>
      <c r="T142" s="22"/>
      <c r="U142" s="22"/>
      <c r="V142" s="22"/>
      <c r="W142" s="22"/>
      <c r="X142" s="23"/>
      <c r="Y142" s="22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3"/>
      <c r="AV142" s="23"/>
      <c r="AW142" s="23"/>
      <c r="AX142" s="23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</row>
    <row r="143" spans="1:101" ht="14.4" x14ac:dyDescent="0.3">
      <c r="A143" s="20"/>
      <c r="B143" s="20"/>
      <c r="C143" s="21"/>
      <c r="D143" s="21"/>
      <c r="E143" s="22"/>
      <c r="F143" s="22"/>
      <c r="G143" s="22"/>
      <c r="H143" s="23"/>
      <c r="I143" s="23"/>
      <c r="J143" s="24"/>
      <c r="K143" s="24"/>
      <c r="L143" s="24"/>
      <c r="M143" s="24"/>
      <c r="N143" s="24"/>
      <c r="O143" s="24"/>
      <c r="P143" s="24"/>
      <c r="Q143" s="22"/>
      <c r="R143" s="22"/>
      <c r="S143" s="22"/>
      <c r="T143" s="22"/>
      <c r="U143" s="22"/>
      <c r="V143" s="22"/>
      <c r="W143" s="22"/>
      <c r="X143" s="23"/>
      <c r="Y143" s="22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3"/>
      <c r="AV143" s="23"/>
      <c r="AW143" s="23"/>
      <c r="AX143" s="23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</row>
    <row r="144" spans="1:101" ht="14.4" x14ac:dyDescent="0.3">
      <c r="A144" s="20"/>
      <c r="B144" s="20"/>
      <c r="C144" s="21"/>
      <c r="D144" s="21"/>
      <c r="E144" s="22"/>
      <c r="F144" s="22"/>
      <c r="G144" s="22"/>
      <c r="H144" s="23"/>
      <c r="I144" s="23"/>
      <c r="J144" s="24"/>
      <c r="K144" s="24"/>
      <c r="L144" s="24"/>
      <c r="M144" s="24"/>
      <c r="N144" s="24"/>
      <c r="O144" s="24"/>
      <c r="P144" s="24"/>
      <c r="Q144" s="22"/>
      <c r="R144" s="22"/>
      <c r="S144" s="22"/>
      <c r="T144" s="22"/>
      <c r="U144" s="22"/>
      <c r="V144" s="22"/>
      <c r="W144" s="22"/>
      <c r="X144" s="23"/>
      <c r="Y144" s="22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3"/>
      <c r="AV144" s="23"/>
      <c r="AW144" s="23"/>
      <c r="AX144" s="23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</row>
    <row r="145" spans="1:101" ht="14.4" x14ac:dyDescent="0.3">
      <c r="A145" s="20"/>
      <c r="B145" s="20"/>
      <c r="C145" s="21"/>
      <c r="D145" s="21"/>
      <c r="E145" s="22"/>
      <c r="F145" s="22"/>
      <c r="G145" s="22"/>
      <c r="H145" s="23"/>
      <c r="I145" s="23"/>
      <c r="J145" s="24"/>
      <c r="K145" s="24"/>
      <c r="L145" s="24"/>
      <c r="M145" s="24"/>
      <c r="N145" s="24"/>
      <c r="O145" s="24"/>
      <c r="P145" s="24"/>
      <c r="Q145" s="22"/>
      <c r="R145" s="22"/>
      <c r="S145" s="22"/>
      <c r="T145" s="22"/>
      <c r="U145" s="22"/>
      <c r="V145" s="22"/>
      <c r="W145" s="22"/>
      <c r="X145" s="23"/>
      <c r="Y145" s="22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3"/>
      <c r="AV145" s="23"/>
      <c r="AW145" s="23"/>
      <c r="AX145" s="23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</row>
    <row r="146" spans="1:101" ht="14.4" x14ac:dyDescent="0.3">
      <c r="A146" s="20"/>
      <c r="B146" s="20"/>
      <c r="C146" s="21"/>
      <c r="D146" s="21"/>
      <c r="E146" s="22"/>
      <c r="F146" s="22"/>
      <c r="G146" s="22"/>
      <c r="H146" s="23"/>
      <c r="I146" s="23"/>
      <c r="J146" s="24"/>
      <c r="K146" s="24"/>
      <c r="L146" s="24"/>
      <c r="M146" s="24"/>
      <c r="N146" s="24"/>
      <c r="O146" s="24"/>
      <c r="P146" s="24"/>
      <c r="Q146" s="22"/>
      <c r="R146" s="22"/>
      <c r="S146" s="22"/>
      <c r="T146" s="22"/>
      <c r="U146" s="22"/>
      <c r="V146" s="22"/>
      <c r="W146" s="22"/>
      <c r="X146" s="23"/>
      <c r="Y146" s="22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3"/>
      <c r="AV146" s="23"/>
      <c r="AW146" s="23"/>
      <c r="AX146" s="23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</row>
    <row r="147" spans="1:101" ht="14.4" x14ac:dyDescent="0.3">
      <c r="A147" s="20"/>
      <c r="B147" s="20"/>
      <c r="C147" s="21"/>
      <c r="D147" s="21"/>
      <c r="E147" s="22"/>
      <c r="F147" s="22"/>
      <c r="G147" s="22"/>
      <c r="H147" s="23"/>
      <c r="I147" s="23"/>
      <c r="J147" s="24"/>
      <c r="K147" s="24"/>
      <c r="L147" s="24"/>
      <c r="M147" s="24"/>
      <c r="N147" s="24"/>
      <c r="O147" s="24"/>
      <c r="P147" s="24"/>
      <c r="Q147" s="22"/>
      <c r="R147" s="22"/>
      <c r="S147" s="22"/>
      <c r="T147" s="22"/>
      <c r="U147" s="22"/>
      <c r="V147" s="22"/>
      <c r="W147" s="22"/>
      <c r="X147" s="23"/>
      <c r="Y147" s="22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3"/>
      <c r="AV147" s="23"/>
      <c r="AW147" s="23"/>
      <c r="AX147" s="23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</row>
    <row r="148" spans="1:101" ht="14.4" x14ac:dyDescent="0.3">
      <c r="A148" s="20"/>
      <c r="B148" s="20"/>
      <c r="C148" s="21"/>
      <c r="D148" s="21"/>
      <c r="E148" s="22"/>
      <c r="F148" s="22"/>
      <c r="G148" s="22"/>
      <c r="H148" s="23"/>
      <c r="I148" s="23"/>
      <c r="J148" s="24"/>
      <c r="K148" s="24"/>
      <c r="L148" s="24"/>
      <c r="M148" s="24"/>
      <c r="N148" s="24"/>
      <c r="O148" s="24"/>
      <c r="P148" s="24"/>
      <c r="Q148" s="22"/>
      <c r="R148" s="22"/>
      <c r="S148" s="22"/>
      <c r="T148" s="22"/>
      <c r="U148" s="22"/>
      <c r="V148" s="22"/>
      <c r="W148" s="22"/>
      <c r="X148" s="23"/>
      <c r="Y148" s="22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3"/>
      <c r="AV148" s="23"/>
      <c r="AW148" s="23"/>
      <c r="AX148" s="23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</row>
    <row r="149" spans="1:101" ht="14.4" x14ac:dyDescent="0.3">
      <c r="A149" s="20"/>
      <c r="B149" s="20"/>
      <c r="C149" s="21"/>
      <c r="D149" s="21"/>
      <c r="E149" s="22"/>
      <c r="F149" s="22"/>
      <c r="G149" s="22"/>
      <c r="H149" s="23"/>
      <c r="I149" s="23"/>
      <c r="J149" s="24"/>
      <c r="K149" s="24"/>
      <c r="L149" s="24"/>
      <c r="M149" s="24"/>
      <c r="N149" s="24"/>
      <c r="O149" s="24"/>
      <c r="P149" s="24"/>
      <c r="Q149" s="22"/>
      <c r="R149" s="22"/>
      <c r="S149" s="22"/>
      <c r="T149" s="22"/>
      <c r="U149" s="22"/>
      <c r="V149" s="22"/>
      <c r="W149" s="22"/>
      <c r="X149" s="23"/>
      <c r="Y149" s="22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3"/>
      <c r="AV149" s="23"/>
      <c r="AW149" s="23"/>
      <c r="AX149" s="23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</row>
    <row r="150" spans="1:101" ht="14.4" x14ac:dyDescent="0.3">
      <c r="A150" s="20"/>
      <c r="B150" s="20"/>
      <c r="C150" s="21"/>
      <c r="D150" s="21"/>
      <c r="E150" s="22"/>
      <c r="F150" s="22"/>
      <c r="G150" s="22"/>
      <c r="H150" s="23"/>
      <c r="I150" s="23"/>
      <c r="J150" s="24"/>
      <c r="K150" s="24"/>
      <c r="L150" s="24"/>
      <c r="M150" s="24"/>
      <c r="N150" s="24"/>
      <c r="O150" s="24"/>
      <c r="P150" s="24"/>
      <c r="Q150" s="22"/>
      <c r="R150" s="22"/>
      <c r="S150" s="22"/>
      <c r="T150" s="22"/>
      <c r="U150" s="22"/>
      <c r="V150" s="22"/>
      <c r="W150" s="22"/>
      <c r="X150" s="23"/>
      <c r="Y150" s="22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3"/>
      <c r="AV150" s="23"/>
      <c r="AW150" s="23"/>
      <c r="AX150" s="23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</row>
    <row r="151" spans="1:101" ht="14.4" x14ac:dyDescent="0.3">
      <c r="A151" s="20"/>
      <c r="B151" s="20"/>
      <c r="C151" s="21"/>
      <c r="D151" s="21"/>
      <c r="E151" s="22"/>
      <c r="F151" s="22"/>
      <c r="G151" s="22"/>
      <c r="H151" s="23"/>
      <c r="I151" s="23"/>
      <c r="J151" s="24"/>
      <c r="K151" s="24"/>
      <c r="L151" s="24"/>
      <c r="M151" s="24"/>
      <c r="N151" s="24"/>
      <c r="O151" s="24"/>
      <c r="P151" s="24"/>
      <c r="Q151" s="22"/>
      <c r="R151" s="22"/>
      <c r="S151" s="22"/>
      <c r="T151" s="22"/>
      <c r="U151" s="22"/>
      <c r="V151" s="22"/>
      <c r="W151" s="22"/>
      <c r="X151" s="23"/>
      <c r="Y151" s="22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3"/>
      <c r="AV151" s="23"/>
      <c r="AW151" s="23"/>
      <c r="AX151" s="23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</row>
    <row r="152" spans="1:101" ht="14.4" x14ac:dyDescent="0.3">
      <c r="A152" s="20"/>
      <c r="B152" s="20"/>
      <c r="C152" s="21"/>
      <c r="D152" s="21"/>
      <c r="E152" s="22"/>
      <c r="F152" s="22"/>
      <c r="G152" s="22"/>
      <c r="H152" s="23"/>
      <c r="I152" s="23"/>
      <c r="J152" s="24"/>
      <c r="K152" s="24"/>
      <c r="L152" s="24"/>
      <c r="M152" s="24"/>
      <c r="N152" s="24"/>
      <c r="O152" s="24"/>
      <c r="P152" s="24"/>
      <c r="Q152" s="22"/>
      <c r="R152" s="22"/>
      <c r="S152" s="22"/>
      <c r="T152" s="22"/>
      <c r="U152" s="22"/>
      <c r="V152" s="22"/>
      <c r="W152" s="22"/>
      <c r="X152" s="23"/>
      <c r="Y152" s="22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3"/>
      <c r="AV152" s="23"/>
      <c r="AW152" s="23"/>
      <c r="AX152" s="23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</row>
    <row r="153" spans="1:101" ht="14.4" x14ac:dyDescent="0.3">
      <c r="A153" s="20"/>
      <c r="B153" s="20"/>
      <c r="C153" s="21"/>
      <c r="D153" s="21"/>
      <c r="E153" s="22"/>
      <c r="F153" s="22"/>
      <c r="G153" s="22"/>
      <c r="H153" s="23"/>
      <c r="I153" s="23"/>
      <c r="J153" s="24"/>
      <c r="K153" s="24"/>
      <c r="L153" s="24"/>
      <c r="M153" s="24"/>
      <c r="N153" s="24"/>
      <c r="O153" s="24"/>
      <c r="P153" s="24"/>
      <c r="Q153" s="22"/>
      <c r="R153" s="22"/>
      <c r="S153" s="22"/>
      <c r="T153" s="22"/>
      <c r="U153" s="22"/>
      <c r="V153" s="22"/>
      <c r="W153" s="22"/>
      <c r="X153" s="23"/>
      <c r="Y153" s="22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3"/>
      <c r="AV153" s="23"/>
      <c r="AW153" s="23"/>
      <c r="AX153" s="23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</row>
    <row r="154" spans="1:101" ht="14.4" x14ac:dyDescent="0.3">
      <c r="A154" s="20"/>
      <c r="B154" s="20"/>
      <c r="C154" s="21"/>
      <c r="D154" s="21"/>
      <c r="E154" s="22"/>
      <c r="F154" s="22"/>
      <c r="G154" s="22"/>
      <c r="H154" s="23"/>
      <c r="I154" s="23"/>
      <c r="J154" s="24"/>
      <c r="K154" s="24"/>
      <c r="L154" s="24"/>
      <c r="M154" s="24"/>
      <c r="N154" s="24"/>
      <c r="O154" s="24"/>
      <c r="P154" s="24"/>
      <c r="Q154" s="22"/>
      <c r="R154" s="22"/>
      <c r="S154" s="22"/>
      <c r="T154" s="22"/>
      <c r="U154" s="22"/>
      <c r="V154" s="22"/>
      <c r="W154" s="22"/>
      <c r="X154" s="23"/>
      <c r="Y154" s="22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3"/>
      <c r="AV154" s="23"/>
      <c r="AW154" s="23"/>
      <c r="AX154" s="23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</row>
    <row r="155" spans="1:101" ht="14.4" x14ac:dyDescent="0.3">
      <c r="A155" s="20"/>
      <c r="B155" s="20"/>
      <c r="C155" s="21"/>
      <c r="D155" s="21"/>
      <c r="E155" s="22"/>
      <c r="F155" s="22"/>
      <c r="G155" s="22"/>
      <c r="H155" s="23"/>
      <c r="I155" s="23"/>
      <c r="J155" s="24"/>
      <c r="K155" s="24"/>
      <c r="L155" s="24"/>
      <c r="M155" s="24"/>
      <c r="N155" s="24"/>
      <c r="O155" s="24"/>
      <c r="P155" s="24"/>
      <c r="Q155" s="22"/>
      <c r="R155" s="22"/>
      <c r="S155" s="22"/>
      <c r="T155" s="22"/>
      <c r="U155" s="22"/>
      <c r="V155" s="22"/>
      <c r="W155" s="22"/>
      <c r="X155" s="23"/>
      <c r="Y155" s="22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3"/>
      <c r="AV155" s="23"/>
      <c r="AW155" s="23"/>
      <c r="AX155" s="23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</row>
    <row r="156" spans="1:101" ht="14.4" x14ac:dyDescent="0.3">
      <c r="A156" s="20"/>
      <c r="B156" s="20"/>
      <c r="C156" s="21"/>
      <c r="D156" s="21"/>
      <c r="E156" s="22"/>
      <c r="F156" s="22"/>
      <c r="G156" s="22"/>
      <c r="H156" s="23"/>
      <c r="I156" s="23"/>
      <c r="J156" s="24"/>
      <c r="K156" s="24"/>
      <c r="L156" s="24"/>
      <c r="M156" s="24"/>
      <c r="N156" s="24"/>
      <c r="O156" s="24"/>
      <c r="P156" s="24"/>
      <c r="Q156" s="22"/>
      <c r="R156" s="22"/>
      <c r="S156" s="22"/>
      <c r="T156" s="22"/>
      <c r="U156" s="22"/>
      <c r="V156" s="22"/>
      <c r="W156" s="22"/>
      <c r="X156" s="23"/>
      <c r="Y156" s="22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3"/>
      <c r="AV156" s="23"/>
      <c r="AW156" s="23"/>
      <c r="AX156" s="23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</row>
    <row r="157" spans="1:101" ht="14.4" x14ac:dyDescent="0.3">
      <c r="A157" s="20"/>
      <c r="B157" s="20"/>
      <c r="C157" s="21"/>
      <c r="D157" s="21"/>
      <c r="E157" s="22"/>
      <c r="F157" s="22"/>
      <c r="G157" s="22"/>
      <c r="H157" s="23"/>
      <c r="I157" s="23"/>
      <c r="J157" s="24"/>
      <c r="K157" s="24"/>
      <c r="L157" s="24"/>
      <c r="M157" s="24"/>
      <c r="N157" s="24"/>
      <c r="O157" s="24"/>
      <c r="P157" s="24"/>
      <c r="Q157" s="22"/>
      <c r="R157" s="22"/>
      <c r="S157" s="22"/>
      <c r="T157" s="22"/>
      <c r="U157" s="22"/>
      <c r="V157" s="22"/>
      <c r="W157" s="22"/>
      <c r="X157" s="23"/>
      <c r="Y157" s="22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3"/>
      <c r="AV157" s="23"/>
      <c r="AW157" s="23"/>
      <c r="AX157" s="23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</row>
    <row r="158" spans="1:101" ht="14.4" x14ac:dyDescent="0.3">
      <c r="A158" s="20"/>
      <c r="B158" s="20"/>
      <c r="C158" s="21"/>
      <c r="D158" s="21"/>
      <c r="E158" s="22"/>
      <c r="F158" s="22"/>
      <c r="G158" s="22"/>
      <c r="H158" s="23"/>
      <c r="I158" s="23"/>
      <c r="J158" s="24"/>
      <c r="K158" s="24"/>
      <c r="L158" s="24"/>
      <c r="M158" s="24"/>
      <c r="N158" s="24"/>
      <c r="O158" s="24"/>
      <c r="P158" s="24"/>
      <c r="Q158" s="22"/>
      <c r="R158" s="22"/>
      <c r="S158" s="22"/>
      <c r="T158" s="22"/>
      <c r="U158" s="22"/>
      <c r="V158" s="22"/>
      <c r="W158" s="22"/>
      <c r="X158" s="23"/>
      <c r="Y158" s="22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3"/>
      <c r="AV158" s="23"/>
      <c r="AW158" s="23"/>
      <c r="AX158" s="23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</row>
    <row r="159" spans="1:101" ht="14.4" x14ac:dyDescent="0.3">
      <c r="A159" s="20"/>
      <c r="B159" s="20"/>
      <c r="C159" s="21"/>
      <c r="D159" s="21"/>
      <c r="E159" s="22"/>
      <c r="F159" s="22"/>
      <c r="G159" s="22"/>
      <c r="H159" s="23"/>
      <c r="I159" s="23"/>
      <c r="J159" s="24"/>
      <c r="K159" s="24"/>
      <c r="L159" s="24"/>
      <c r="M159" s="24"/>
      <c r="N159" s="24"/>
      <c r="O159" s="24"/>
      <c r="P159" s="24"/>
      <c r="Q159" s="22"/>
      <c r="R159" s="22"/>
      <c r="S159" s="22"/>
      <c r="T159" s="22"/>
      <c r="U159" s="22"/>
      <c r="V159" s="22"/>
      <c r="W159" s="22"/>
      <c r="X159" s="23"/>
      <c r="Y159" s="22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3"/>
      <c r="AV159" s="23"/>
      <c r="AW159" s="23"/>
      <c r="AX159" s="23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</row>
    <row r="160" spans="1:101" ht="14.4" x14ac:dyDescent="0.3">
      <c r="A160" s="20"/>
      <c r="B160" s="20"/>
      <c r="C160" s="21"/>
      <c r="D160" s="21"/>
      <c r="E160" s="22"/>
      <c r="F160" s="22"/>
      <c r="G160" s="22"/>
      <c r="H160" s="23"/>
      <c r="I160" s="23"/>
      <c r="J160" s="24"/>
      <c r="K160" s="24"/>
      <c r="L160" s="24"/>
      <c r="M160" s="24"/>
      <c r="N160" s="24"/>
      <c r="O160" s="24"/>
      <c r="P160" s="24"/>
      <c r="Q160" s="22"/>
      <c r="R160" s="22"/>
      <c r="S160" s="22"/>
      <c r="T160" s="22"/>
      <c r="U160" s="22"/>
      <c r="V160" s="22"/>
      <c r="W160" s="22"/>
      <c r="X160" s="23"/>
      <c r="Y160" s="22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3"/>
      <c r="AV160" s="23"/>
      <c r="AW160" s="23"/>
      <c r="AX160" s="23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</row>
    <row r="161" spans="1:101" ht="14.4" x14ac:dyDescent="0.3">
      <c r="A161" s="20"/>
      <c r="B161" s="20"/>
      <c r="C161" s="21"/>
      <c r="D161" s="21"/>
      <c r="E161" s="22"/>
      <c r="F161" s="22"/>
      <c r="G161" s="22"/>
      <c r="H161" s="23"/>
      <c r="I161" s="23"/>
      <c r="J161" s="24"/>
      <c r="K161" s="24"/>
      <c r="L161" s="24"/>
      <c r="M161" s="24"/>
      <c r="N161" s="24"/>
      <c r="O161" s="24"/>
      <c r="P161" s="24"/>
      <c r="Q161" s="22"/>
      <c r="R161" s="22"/>
      <c r="S161" s="22"/>
      <c r="T161" s="22"/>
      <c r="U161" s="22"/>
      <c r="V161" s="22"/>
      <c r="W161" s="22"/>
      <c r="X161" s="23"/>
      <c r="Y161" s="22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3"/>
      <c r="AV161" s="23"/>
      <c r="AW161" s="23"/>
      <c r="AX161" s="23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</row>
    <row r="162" spans="1:101" ht="14.4" x14ac:dyDescent="0.3">
      <c r="A162" s="20"/>
      <c r="B162" s="20"/>
      <c r="C162" s="21"/>
      <c r="D162" s="21"/>
      <c r="E162" s="22"/>
      <c r="F162" s="22"/>
      <c r="G162" s="22"/>
      <c r="H162" s="23"/>
      <c r="I162" s="23"/>
      <c r="J162" s="24"/>
      <c r="K162" s="24"/>
      <c r="L162" s="24"/>
      <c r="M162" s="24"/>
      <c r="N162" s="24"/>
      <c r="O162" s="24"/>
      <c r="P162" s="24"/>
      <c r="Q162" s="22"/>
      <c r="R162" s="22"/>
      <c r="S162" s="22"/>
      <c r="T162" s="22"/>
      <c r="U162" s="22"/>
      <c r="V162" s="22"/>
      <c r="W162" s="22"/>
      <c r="X162" s="23"/>
      <c r="Y162" s="22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3"/>
      <c r="AV162" s="23"/>
      <c r="AW162" s="23"/>
      <c r="AX162" s="23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</row>
    <row r="163" spans="1:101" ht="14.4" x14ac:dyDescent="0.3">
      <c r="A163" s="20"/>
      <c r="B163" s="20"/>
      <c r="C163" s="21"/>
      <c r="D163" s="21"/>
      <c r="E163" s="22"/>
      <c r="F163" s="22"/>
      <c r="G163" s="22"/>
      <c r="H163" s="23"/>
      <c r="I163" s="23"/>
      <c r="J163" s="24"/>
      <c r="K163" s="24"/>
      <c r="L163" s="24"/>
      <c r="M163" s="24"/>
      <c r="N163" s="24"/>
      <c r="O163" s="24"/>
      <c r="P163" s="24"/>
      <c r="Q163" s="22"/>
      <c r="R163" s="22"/>
      <c r="S163" s="22"/>
      <c r="T163" s="22"/>
      <c r="U163" s="22"/>
      <c r="V163" s="22"/>
      <c r="W163" s="22"/>
      <c r="X163" s="23"/>
      <c r="Y163" s="22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3"/>
      <c r="AV163" s="23"/>
      <c r="AW163" s="23"/>
      <c r="AX163" s="23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</row>
    <row r="164" spans="1:101" ht="14.4" x14ac:dyDescent="0.3">
      <c r="A164" s="20"/>
      <c r="B164" s="20"/>
      <c r="C164" s="21"/>
      <c r="D164" s="21"/>
      <c r="E164" s="22"/>
      <c r="F164" s="22"/>
      <c r="G164" s="22"/>
      <c r="H164" s="23"/>
      <c r="I164" s="23"/>
      <c r="J164" s="24"/>
      <c r="K164" s="24"/>
      <c r="L164" s="24"/>
      <c r="M164" s="24"/>
      <c r="N164" s="24"/>
      <c r="O164" s="24"/>
      <c r="P164" s="24"/>
      <c r="Q164" s="22"/>
      <c r="R164" s="22"/>
      <c r="S164" s="22"/>
      <c r="T164" s="22"/>
      <c r="U164" s="22"/>
      <c r="V164" s="22"/>
      <c r="W164" s="22"/>
      <c r="X164" s="23"/>
      <c r="Y164" s="22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3"/>
      <c r="AV164" s="23"/>
      <c r="AW164" s="23"/>
      <c r="AX164" s="23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</row>
    <row r="165" spans="1:101" ht="14.4" x14ac:dyDescent="0.3">
      <c r="A165" s="20"/>
      <c r="B165" s="20"/>
      <c r="C165" s="21"/>
      <c r="D165" s="21"/>
      <c r="E165" s="22"/>
      <c r="F165" s="22"/>
      <c r="G165" s="22"/>
      <c r="H165" s="23"/>
      <c r="I165" s="23"/>
      <c r="J165" s="24"/>
      <c r="K165" s="24"/>
      <c r="L165" s="24"/>
      <c r="M165" s="24"/>
      <c r="N165" s="24"/>
      <c r="O165" s="24"/>
      <c r="P165" s="24"/>
      <c r="Q165" s="22"/>
      <c r="R165" s="22"/>
      <c r="S165" s="22"/>
      <c r="T165" s="22"/>
      <c r="U165" s="22"/>
      <c r="V165" s="22"/>
      <c r="W165" s="22"/>
      <c r="X165" s="23"/>
      <c r="Y165" s="22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3"/>
      <c r="AV165" s="23"/>
      <c r="AW165" s="23"/>
      <c r="AX165" s="23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</row>
    <row r="166" spans="1:101" ht="14.4" x14ac:dyDescent="0.3">
      <c r="A166" s="20"/>
      <c r="B166" s="20"/>
      <c r="C166" s="21"/>
      <c r="D166" s="21"/>
      <c r="E166" s="22"/>
      <c r="F166" s="22"/>
      <c r="G166" s="22"/>
      <c r="H166" s="23"/>
      <c r="I166" s="23"/>
      <c r="J166" s="24"/>
      <c r="K166" s="24"/>
      <c r="L166" s="24"/>
      <c r="M166" s="24"/>
      <c r="N166" s="24"/>
      <c r="O166" s="24"/>
      <c r="P166" s="24"/>
      <c r="Q166" s="22"/>
      <c r="R166" s="22"/>
      <c r="S166" s="22"/>
      <c r="T166" s="22"/>
      <c r="U166" s="22"/>
      <c r="V166" s="22"/>
      <c r="W166" s="22"/>
      <c r="X166" s="23"/>
      <c r="Y166" s="22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3"/>
      <c r="AV166" s="23"/>
      <c r="AW166" s="23"/>
      <c r="AX166" s="23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</row>
    <row r="167" spans="1:101" ht="14.4" x14ac:dyDescent="0.3">
      <c r="A167" s="20"/>
      <c r="B167" s="20"/>
      <c r="C167" s="21"/>
      <c r="D167" s="21"/>
      <c r="E167" s="22"/>
      <c r="F167" s="22"/>
      <c r="G167" s="22"/>
      <c r="H167" s="23"/>
      <c r="I167" s="23"/>
      <c r="J167" s="24"/>
      <c r="K167" s="24"/>
      <c r="L167" s="24"/>
      <c r="M167" s="24"/>
      <c r="N167" s="24"/>
      <c r="O167" s="24"/>
      <c r="P167" s="24"/>
      <c r="Q167" s="22"/>
      <c r="R167" s="22"/>
      <c r="S167" s="22"/>
      <c r="T167" s="22"/>
      <c r="U167" s="22"/>
      <c r="V167" s="22"/>
      <c r="W167" s="22"/>
      <c r="X167" s="23"/>
      <c r="Y167" s="22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3"/>
      <c r="AV167" s="23"/>
      <c r="AW167" s="23"/>
      <c r="AX167" s="23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</row>
    <row r="168" spans="1:101" ht="14.4" x14ac:dyDescent="0.3">
      <c r="A168" s="20"/>
      <c r="B168" s="20"/>
      <c r="C168" s="21"/>
      <c r="D168" s="21"/>
      <c r="E168" s="22"/>
      <c r="F168" s="22"/>
      <c r="G168" s="22"/>
      <c r="H168" s="23"/>
      <c r="I168" s="23"/>
      <c r="J168" s="24"/>
      <c r="K168" s="24"/>
      <c r="L168" s="24"/>
      <c r="M168" s="24"/>
      <c r="N168" s="24"/>
      <c r="O168" s="24"/>
      <c r="P168" s="24"/>
      <c r="Q168" s="22"/>
      <c r="R168" s="22"/>
      <c r="S168" s="22"/>
      <c r="T168" s="22"/>
      <c r="U168" s="22"/>
      <c r="V168" s="22"/>
      <c r="W168" s="22"/>
      <c r="X168" s="23"/>
      <c r="Y168" s="22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3"/>
      <c r="AV168" s="23"/>
      <c r="AW168" s="23"/>
      <c r="AX168" s="23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  <c r="CS168" s="24"/>
      <c r="CT168" s="24"/>
      <c r="CU168" s="24"/>
      <c r="CV168" s="24"/>
      <c r="CW168" s="24"/>
    </row>
    <row r="169" spans="1:101" ht="14.4" x14ac:dyDescent="0.3">
      <c r="A169" s="20"/>
      <c r="B169" s="20"/>
      <c r="C169" s="21"/>
      <c r="D169" s="21"/>
      <c r="E169" s="22"/>
      <c r="F169" s="22"/>
      <c r="G169" s="22"/>
      <c r="H169" s="23"/>
      <c r="I169" s="23"/>
      <c r="J169" s="24"/>
      <c r="K169" s="24"/>
      <c r="L169" s="24"/>
      <c r="M169" s="24"/>
      <c r="N169" s="24"/>
      <c r="O169" s="24"/>
      <c r="P169" s="24"/>
      <c r="Q169" s="22"/>
      <c r="R169" s="22"/>
      <c r="S169" s="22"/>
      <c r="T169" s="22"/>
      <c r="U169" s="22"/>
      <c r="V169" s="22"/>
      <c r="W169" s="22"/>
      <c r="X169" s="23"/>
      <c r="Y169" s="22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3"/>
      <c r="AV169" s="23"/>
      <c r="AW169" s="23"/>
      <c r="AX169" s="23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  <c r="CS169" s="24"/>
      <c r="CT169" s="24"/>
      <c r="CU169" s="24"/>
      <c r="CV169" s="24"/>
      <c r="CW169" s="24"/>
    </row>
    <row r="170" spans="1:101" ht="14.4" x14ac:dyDescent="0.3">
      <c r="A170" s="20"/>
      <c r="B170" s="20"/>
      <c r="C170" s="21"/>
      <c r="D170" s="21"/>
      <c r="E170" s="22"/>
      <c r="F170" s="22"/>
      <c r="G170" s="22"/>
      <c r="H170" s="23"/>
      <c r="I170" s="23"/>
      <c r="J170" s="24"/>
      <c r="K170" s="24"/>
      <c r="L170" s="24"/>
      <c r="M170" s="24"/>
      <c r="N170" s="24"/>
      <c r="O170" s="24"/>
      <c r="P170" s="24"/>
      <c r="Q170" s="22"/>
      <c r="R170" s="22"/>
      <c r="S170" s="22"/>
      <c r="T170" s="22"/>
      <c r="U170" s="22"/>
      <c r="V170" s="22"/>
      <c r="W170" s="22"/>
      <c r="X170" s="23"/>
      <c r="Y170" s="22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3"/>
      <c r="AV170" s="23"/>
      <c r="AW170" s="23"/>
      <c r="AX170" s="23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  <c r="CS170" s="24"/>
      <c r="CT170" s="24"/>
      <c r="CU170" s="24"/>
      <c r="CV170" s="24"/>
      <c r="CW170" s="24"/>
    </row>
    <row r="171" spans="1:101" ht="14.4" x14ac:dyDescent="0.3">
      <c r="A171" s="20"/>
      <c r="B171" s="20"/>
      <c r="C171" s="21"/>
      <c r="D171" s="21"/>
      <c r="E171" s="22"/>
      <c r="F171" s="22"/>
      <c r="G171" s="22"/>
      <c r="H171" s="23"/>
      <c r="I171" s="23"/>
      <c r="J171" s="24"/>
      <c r="K171" s="24"/>
      <c r="L171" s="24"/>
      <c r="M171" s="24"/>
      <c r="N171" s="24"/>
      <c r="O171" s="24"/>
      <c r="P171" s="24"/>
      <c r="Q171" s="22"/>
      <c r="R171" s="22"/>
      <c r="S171" s="22"/>
      <c r="T171" s="22"/>
      <c r="U171" s="22"/>
      <c r="V171" s="22"/>
      <c r="W171" s="22"/>
      <c r="X171" s="23"/>
      <c r="Y171" s="22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3"/>
      <c r="AV171" s="23"/>
      <c r="AW171" s="23"/>
      <c r="AX171" s="23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  <c r="CS171" s="24"/>
      <c r="CT171" s="24"/>
      <c r="CU171" s="24"/>
      <c r="CV171" s="24"/>
      <c r="CW171" s="24"/>
    </row>
    <row r="172" spans="1:101" ht="14.4" x14ac:dyDescent="0.3">
      <c r="A172" s="20"/>
      <c r="B172" s="20"/>
      <c r="C172" s="21"/>
      <c r="D172" s="21"/>
      <c r="E172" s="22"/>
      <c r="F172" s="22"/>
      <c r="G172" s="22"/>
      <c r="H172" s="23"/>
      <c r="I172" s="23"/>
      <c r="J172" s="24"/>
      <c r="K172" s="24"/>
      <c r="L172" s="24"/>
      <c r="M172" s="24"/>
      <c r="N172" s="24"/>
      <c r="O172" s="24"/>
      <c r="P172" s="24"/>
      <c r="Q172" s="22"/>
      <c r="R172" s="22"/>
      <c r="S172" s="22"/>
      <c r="T172" s="22"/>
      <c r="U172" s="22"/>
      <c r="V172" s="22"/>
      <c r="W172" s="22"/>
      <c r="X172" s="23"/>
      <c r="Y172" s="22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3"/>
      <c r="AV172" s="23"/>
      <c r="AW172" s="23"/>
      <c r="AX172" s="23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  <c r="CS172" s="24"/>
      <c r="CT172" s="24"/>
      <c r="CU172" s="24"/>
      <c r="CV172" s="24"/>
      <c r="CW172" s="24"/>
    </row>
    <row r="173" spans="1:101" ht="14.4" x14ac:dyDescent="0.3">
      <c r="A173" s="20"/>
      <c r="B173" s="20"/>
      <c r="C173" s="21"/>
      <c r="D173" s="21"/>
      <c r="E173" s="22"/>
      <c r="F173" s="22"/>
      <c r="G173" s="22"/>
      <c r="H173" s="23"/>
      <c r="I173" s="23"/>
      <c r="J173" s="24"/>
      <c r="K173" s="24"/>
      <c r="L173" s="24"/>
      <c r="M173" s="24"/>
      <c r="N173" s="24"/>
      <c r="O173" s="24"/>
      <c r="P173" s="24"/>
      <c r="Q173" s="22"/>
      <c r="R173" s="22"/>
      <c r="S173" s="22"/>
      <c r="T173" s="22"/>
      <c r="U173" s="22"/>
      <c r="V173" s="22"/>
      <c r="W173" s="22"/>
      <c r="X173" s="23"/>
      <c r="Y173" s="22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3"/>
      <c r="AV173" s="23"/>
      <c r="AW173" s="23"/>
      <c r="AX173" s="23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  <c r="CS173" s="24"/>
      <c r="CT173" s="24"/>
      <c r="CU173" s="24"/>
      <c r="CV173" s="24"/>
      <c r="CW173" s="24"/>
    </row>
    <row r="174" spans="1:101" ht="14.4" x14ac:dyDescent="0.3">
      <c r="A174" s="20"/>
      <c r="B174" s="20"/>
      <c r="C174" s="21"/>
      <c r="D174" s="21"/>
      <c r="E174" s="22"/>
      <c r="F174" s="22"/>
      <c r="G174" s="22"/>
      <c r="H174" s="23"/>
      <c r="I174" s="23"/>
      <c r="J174" s="24"/>
      <c r="K174" s="24"/>
      <c r="L174" s="24"/>
      <c r="M174" s="24"/>
      <c r="N174" s="24"/>
      <c r="O174" s="24"/>
      <c r="P174" s="24"/>
      <c r="Q174" s="22"/>
      <c r="R174" s="22"/>
      <c r="S174" s="22"/>
      <c r="T174" s="22"/>
      <c r="U174" s="22"/>
      <c r="V174" s="22"/>
      <c r="W174" s="22"/>
      <c r="X174" s="23"/>
      <c r="Y174" s="22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3"/>
      <c r="AV174" s="23"/>
      <c r="AW174" s="23"/>
      <c r="AX174" s="23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  <c r="CS174" s="24"/>
      <c r="CT174" s="24"/>
      <c r="CU174" s="24"/>
      <c r="CV174" s="24"/>
      <c r="CW174" s="24"/>
    </row>
    <row r="175" spans="1:101" ht="14.4" x14ac:dyDescent="0.3">
      <c r="A175" s="20"/>
      <c r="B175" s="20"/>
      <c r="C175" s="21"/>
      <c r="D175" s="21"/>
      <c r="E175" s="22"/>
      <c r="F175" s="22"/>
      <c r="G175" s="22"/>
      <c r="H175" s="23"/>
      <c r="I175" s="23"/>
      <c r="J175" s="24"/>
      <c r="K175" s="24"/>
      <c r="L175" s="24"/>
      <c r="M175" s="24"/>
      <c r="N175" s="24"/>
      <c r="O175" s="24"/>
      <c r="P175" s="24"/>
      <c r="Q175" s="22"/>
      <c r="R175" s="22"/>
      <c r="S175" s="22"/>
      <c r="T175" s="22"/>
      <c r="U175" s="22"/>
      <c r="V175" s="22"/>
      <c r="W175" s="22"/>
      <c r="X175" s="23"/>
      <c r="Y175" s="22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3"/>
      <c r="AV175" s="23"/>
      <c r="AW175" s="23"/>
      <c r="AX175" s="23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  <c r="CS175" s="24"/>
      <c r="CT175" s="24"/>
      <c r="CU175" s="24"/>
      <c r="CV175" s="24"/>
      <c r="CW175" s="24"/>
    </row>
    <row r="176" spans="1:101" ht="14.4" x14ac:dyDescent="0.3">
      <c r="A176" s="20"/>
      <c r="B176" s="20"/>
      <c r="C176" s="21"/>
      <c r="D176" s="21"/>
      <c r="E176" s="22"/>
      <c r="F176" s="22"/>
      <c r="G176" s="22"/>
      <c r="H176" s="23"/>
      <c r="I176" s="23"/>
      <c r="J176" s="24"/>
      <c r="K176" s="24"/>
      <c r="L176" s="24"/>
      <c r="M176" s="24"/>
      <c r="N176" s="24"/>
      <c r="O176" s="24"/>
      <c r="P176" s="24"/>
      <c r="Q176" s="22"/>
      <c r="R176" s="22"/>
      <c r="S176" s="22"/>
      <c r="T176" s="22"/>
      <c r="U176" s="22"/>
      <c r="V176" s="22"/>
      <c r="W176" s="22"/>
      <c r="X176" s="23"/>
      <c r="Y176" s="22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3"/>
      <c r="AV176" s="23"/>
      <c r="AW176" s="23"/>
      <c r="AX176" s="23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  <c r="CS176" s="24"/>
      <c r="CT176" s="24"/>
      <c r="CU176" s="24"/>
      <c r="CV176" s="24"/>
      <c r="CW176" s="24"/>
    </row>
    <row r="177" spans="1:101" ht="14.4" x14ac:dyDescent="0.3">
      <c r="A177" s="20"/>
      <c r="B177" s="20"/>
      <c r="C177" s="21"/>
      <c r="D177" s="21"/>
      <c r="E177" s="22"/>
      <c r="F177" s="22"/>
      <c r="G177" s="22"/>
      <c r="H177" s="23"/>
      <c r="I177" s="23"/>
      <c r="J177" s="24"/>
      <c r="K177" s="24"/>
      <c r="L177" s="24"/>
      <c r="M177" s="24"/>
      <c r="N177" s="24"/>
      <c r="O177" s="24"/>
      <c r="P177" s="24"/>
      <c r="Q177" s="22"/>
      <c r="R177" s="22"/>
      <c r="S177" s="22"/>
      <c r="T177" s="22"/>
      <c r="U177" s="22"/>
      <c r="V177" s="22"/>
      <c r="W177" s="22"/>
      <c r="X177" s="23"/>
      <c r="Y177" s="22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3"/>
      <c r="AV177" s="23"/>
      <c r="AW177" s="23"/>
      <c r="AX177" s="23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  <c r="CS177" s="24"/>
      <c r="CT177" s="24"/>
      <c r="CU177" s="24"/>
      <c r="CV177" s="24"/>
      <c r="CW177" s="24"/>
    </row>
    <row r="178" spans="1:101" ht="14.4" x14ac:dyDescent="0.3">
      <c r="A178" s="20"/>
      <c r="B178" s="20"/>
      <c r="C178" s="21"/>
      <c r="D178" s="21"/>
      <c r="E178" s="22"/>
      <c r="F178" s="22"/>
      <c r="G178" s="22"/>
      <c r="H178" s="23"/>
      <c r="I178" s="23"/>
      <c r="J178" s="24"/>
      <c r="K178" s="24"/>
      <c r="L178" s="24"/>
      <c r="M178" s="24"/>
      <c r="N178" s="24"/>
      <c r="O178" s="24"/>
      <c r="P178" s="24"/>
      <c r="Q178" s="22"/>
      <c r="R178" s="22"/>
      <c r="S178" s="22"/>
      <c r="T178" s="22"/>
      <c r="U178" s="22"/>
      <c r="V178" s="22"/>
      <c r="W178" s="22"/>
      <c r="X178" s="23"/>
      <c r="Y178" s="22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3"/>
      <c r="AV178" s="23"/>
      <c r="AW178" s="23"/>
      <c r="AX178" s="23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  <c r="CS178" s="24"/>
      <c r="CT178" s="24"/>
      <c r="CU178" s="24"/>
      <c r="CV178" s="24"/>
      <c r="CW178" s="24"/>
    </row>
    <row r="179" spans="1:101" ht="14.4" x14ac:dyDescent="0.3">
      <c r="A179" s="20"/>
      <c r="B179" s="20"/>
      <c r="C179" s="21"/>
      <c r="D179" s="21"/>
      <c r="E179" s="22"/>
      <c r="F179" s="22"/>
      <c r="G179" s="22"/>
      <c r="H179" s="23"/>
      <c r="I179" s="23"/>
      <c r="J179" s="24"/>
      <c r="K179" s="24"/>
      <c r="L179" s="24"/>
      <c r="M179" s="24"/>
      <c r="N179" s="24"/>
      <c r="O179" s="24"/>
      <c r="P179" s="24"/>
      <c r="Q179" s="22"/>
      <c r="R179" s="22"/>
      <c r="S179" s="22"/>
      <c r="T179" s="22"/>
      <c r="U179" s="22"/>
      <c r="V179" s="22"/>
      <c r="W179" s="22"/>
      <c r="X179" s="23"/>
      <c r="Y179" s="22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3"/>
      <c r="AV179" s="23"/>
      <c r="AW179" s="23"/>
      <c r="AX179" s="23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  <c r="CS179" s="24"/>
      <c r="CT179" s="24"/>
      <c r="CU179" s="24"/>
      <c r="CV179" s="24"/>
      <c r="CW179" s="24"/>
    </row>
    <row r="180" spans="1:101" ht="14.4" x14ac:dyDescent="0.3">
      <c r="A180" s="20"/>
      <c r="B180" s="20"/>
      <c r="C180" s="21"/>
      <c r="D180" s="21"/>
      <c r="E180" s="22"/>
      <c r="F180" s="22"/>
      <c r="G180" s="22"/>
      <c r="H180" s="23"/>
      <c r="I180" s="23"/>
      <c r="J180" s="24"/>
      <c r="K180" s="24"/>
      <c r="L180" s="24"/>
      <c r="M180" s="24"/>
      <c r="N180" s="24"/>
      <c r="O180" s="24"/>
      <c r="P180" s="24"/>
      <c r="Q180" s="22"/>
      <c r="R180" s="22"/>
      <c r="S180" s="22"/>
      <c r="T180" s="22"/>
      <c r="U180" s="22"/>
      <c r="V180" s="22"/>
      <c r="W180" s="22"/>
      <c r="X180" s="23"/>
      <c r="Y180" s="22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3"/>
      <c r="AV180" s="23"/>
      <c r="AW180" s="23"/>
      <c r="AX180" s="23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  <c r="CS180" s="24"/>
      <c r="CT180" s="24"/>
      <c r="CU180" s="24"/>
      <c r="CV180" s="24"/>
      <c r="CW180" s="24"/>
    </row>
    <row r="181" spans="1:101" ht="14.4" x14ac:dyDescent="0.3">
      <c r="A181" s="20"/>
      <c r="B181" s="20"/>
      <c r="C181" s="21"/>
      <c r="D181" s="21"/>
      <c r="E181" s="22"/>
      <c r="F181" s="22"/>
      <c r="G181" s="22"/>
      <c r="H181" s="23"/>
      <c r="I181" s="23"/>
      <c r="J181" s="24"/>
      <c r="K181" s="24"/>
      <c r="L181" s="24"/>
      <c r="M181" s="24"/>
      <c r="N181" s="24"/>
      <c r="O181" s="24"/>
      <c r="P181" s="24"/>
      <c r="Q181" s="22"/>
      <c r="R181" s="22"/>
      <c r="S181" s="22"/>
      <c r="T181" s="22"/>
      <c r="U181" s="22"/>
      <c r="V181" s="22"/>
      <c r="W181" s="22"/>
      <c r="X181" s="23"/>
      <c r="Y181" s="22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3"/>
      <c r="AV181" s="23"/>
      <c r="AW181" s="23"/>
      <c r="AX181" s="23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  <c r="CS181" s="24"/>
      <c r="CT181" s="24"/>
      <c r="CU181" s="24"/>
      <c r="CV181" s="24"/>
      <c r="CW181" s="24"/>
    </row>
    <row r="182" spans="1:101" ht="14.4" x14ac:dyDescent="0.3">
      <c r="A182" s="20"/>
      <c r="B182" s="20"/>
      <c r="C182" s="21"/>
      <c r="D182" s="21"/>
      <c r="E182" s="22"/>
      <c r="F182" s="22"/>
      <c r="G182" s="22"/>
      <c r="H182" s="23"/>
      <c r="I182" s="23"/>
      <c r="J182" s="24"/>
      <c r="K182" s="24"/>
      <c r="L182" s="24"/>
      <c r="M182" s="24"/>
      <c r="N182" s="24"/>
      <c r="O182" s="24"/>
      <c r="P182" s="24"/>
      <c r="Q182" s="22"/>
      <c r="R182" s="22"/>
      <c r="S182" s="22"/>
      <c r="T182" s="22"/>
      <c r="U182" s="22"/>
      <c r="V182" s="22"/>
      <c r="W182" s="22"/>
      <c r="X182" s="23"/>
      <c r="Y182" s="22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3"/>
      <c r="AV182" s="23"/>
      <c r="AW182" s="23"/>
      <c r="AX182" s="23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  <c r="CS182" s="24"/>
      <c r="CT182" s="24"/>
      <c r="CU182" s="24"/>
      <c r="CV182" s="24"/>
      <c r="CW182" s="24"/>
    </row>
    <row r="183" spans="1:101" ht="14.4" x14ac:dyDescent="0.3">
      <c r="A183" s="20"/>
      <c r="B183" s="20"/>
      <c r="C183" s="21"/>
      <c r="D183" s="21"/>
      <c r="E183" s="22"/>
      <c r="F183" s="22"/>
      <c r="G183" s="22"/>
      <c r="H183" s="23"/>
      <c r="I183" s="23"/>
      <c r="J183" s="24"/>
      <c r="K183" s="24"/>
      <c r="L183" s="24"/>
      <c r="M183" s="24"/>
      <c r="N183" s="24"/>
      <c r="O183" s="24"/>
      <c r="P183" s="24"/>
      <c r="Q183" s="22"/>
      <c r="R183" s="22"/>
      <c r="S183" s="22"/>
      <c r="T183" s="22"/>
      <c r="U183" s="22"/>
      <c r="V183" s="22"/>
      <c r="W183" s="22"/>
      <c r="X183" s="23"/>
      <c r="Y183" s="22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3"/>
      <c r="AV183" s="23"/>
      <c r="AW183" s="23"/>
      <c r="AX183" s="23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  <c r="CS183" s="24"/>
      <c r="CT183" s="24"/>
      <c r="CU183" s="24"/>
      <c r="CV183" s="24"/>
      <c r="CW183" s="24"/>
    </row>
    <row r="184" spans="1:101" ht="14.4" x14ac:dyDescent="0.3">
      <c r="A184" s="20"/>
      <c r="B184" s="20"/>
      <c r="C184" s="21"/>
      <c r="D184" s="21"/>
      <c r="E184" s="22"/>
      <c r="F184" s="22"/>
      <c r="G184" s="22"/>
      <c r="H184" s="23"/>
      <c r="I184" s="23"/>
      <c r="J184" s="24"/>
      <c r="K184" s="24"/>
      <c r="L184" s="24"/>
      <c r="M184" s="24"/>
      <c r="N184" s="24"/>
      <c r="O184" s="24"/>
      <c r="P184" s="24"/>
      <c r="Q184" s="22"/>
      <c r="R184" s="22"/>
      <c r="S184" s="22"/>
      <c r="T184" s="22"/>
      <c r="U184" s="22"/>
      <c r="V184" s="22"/>
      <c r="W184" s="22"/>
      <c r="X184" s="23"/>
      <c r="Y184" s="22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3"/>
      <c r="AV184" s="23"/>
      <c r="AW184" s="23"/>
      <c r="AX184" s="23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  <c r="CS184" s="24"/>
      <c r="CT184" s="24"/>
      <c r="CU184" s="24"/>
      <c r="CV184" s="24"/>
      <c r="CW184" s="24"/>
    </row>
    <row r="185" spans="1:101" ht="14.4" x14ac:dyDescent="0.3">
      <c r="A185" s="20"/>
      <c r="B185" s="20"/>
      <c r="C185" s="21"/>
      <c r="D185" s="21"/>
      <c r="E185" s="22"/>
      <c r="F185" s="22"/>
      <c r="G185" s="22"/>
      <c r="H185" s="23"/>
      <c r="I185" s="23"/>
      <c r="J185" s="24"/>
      <c r="K185" s="24"/>
      <c r="L185" s="24"/>
      <c r="M185" s="24"/>
      <c r="N185" s="24"/>
      <c r="O185" s="24"/>
      <c r="P185" s="24"/>
      <c r="Q185" s="22"/>
      <c r="R185" s="22"/>
      <c r="S185" s="22"/>
      <c r="T185" s="22"/>
      <c r="U185" s="22"/>
      <c r="V185" s="22"/>
      <c r="W185" s="22"/>
      <c r="X185" s="23"/>
      <c r="Y185" s="22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3"/>
      <c r="AV185" s="23"/>
      <c r="AW185" s="23"/>
      <c r="AX185" s="23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</row>
    <row r="186" spans="1:101" ht="14.4" x14ac:dyDescent="0.3">
      <c r="A186" s="20"/>
      <c r="B186" s="20"/>
      <c r="C186" s="21"/>
      <c r="D186" s="21"/>
      <c r="E186" s="22"/>
      <c r="F186" s="22"/>
      <c r="G186" s="22"/>
      <c r="H186" s="23"/>
      <c r="I186" s="23"/>
      <c r="J186" s="24"/>
      <c r="K186" s="24"/>
      <c r="L186" s="24"/>
      <c r="M186" s="24"/>
      <c r="N186" s="24"/>
      <c r="O186" s="24"/>
      <c r="P186" s="24"/>
      <c r="Q186" s="22"/>
      <c r="R186" s="22"/>
      <c r="S186" s="22"/>
      <c r="T186" s="22"/>
      <c r="U186" s="22"/>
      <c r="V186" s="22"/>
      <c r="W186" s="22"/>
      <c r="X186" s="23"/>
      <c r="Y186" s="22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3"/>
      <c r="AV186" s="23"/>
      <c r="AW186" s="23"/>
      <c r="AX186" s="23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  <c r="CS186" s="24"/>
      <c r="CT186" s="24"/>
      <c r="CU186" s="24"/>
      <c r="CV186" s="24"/>
      <c r="CW186" s="24"/>
    </row>
    <row r="187" spans="1:101" ht="14.4" x14ac:dyDescent="0.3">
      <c r="A187" s="20"/>
      <c r="B187" s="20"/>
      <c r="C187" s="21"/>
      <c r="D187" s="21"/>
      <c r="E187" s="22"/>
      <c r="F187" s="22"/>
      <c r="G187" s="22"/>
      <c r="H187" s="23"/>
      <c r="I187" s="23"/>
      <c r="J187" s="24"/>
      <c r="K187" s="24"/>
      <c r="L187" s="24"/>
      <c r="M187" s="24"/>
      <c r="N187" s="24"/>
      <c r="O187" s="24"/>
      <c r="P187" s="24"/>
      <c r="Q187" s="22"/>
      <c r="R187" s="22"/>
      <c r="S187" s="22"/>
      <c r="T187" s="22"/>
      <c r="U187" s="22"/>
      <c r="V187" s="22"/>
      <c r="W187" s="22"/>
      <c r="X187" s="23"/>
      <c r="Y187" s="22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3"/>
      <c r="AV187" s="23"/>
      <c r="AW187" s="23"/>
      <c r="AX187" s="23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  <c r="CS187" s="24"/>
      <c r="CT187" s="24"/>
      <c r="CU187" s="24"/>
      <c r="CV187" s="24"/>
      <c r="CW187" s="24"/>
    </row>
    <row r="188" spans="1:101" ht="14.4" x14ac:dyDescent="0.3">
      <c r="A188" s="20"/>
      <c r="B188" s="20"/>
      <c r="C188" s="21"/>
      <c r="D188" s="21"/>
      <c r="E188" s="22"/>
      <c r="F188" s="22"/>
      <c r="G188" s="22"/>
      <c r="H188" s="23"/>
      <c r="I188" s="23"/>
      <c r="J188" s="24"/>
      <c r="K188" s="24"/>
      <c r="L188" s="24"/>
      <c r="M188" s="24"/>
      <c r="N188" s="24"/>
      <c r="O188" s="24"/>
      <c r="P188" s="24"/>
      <c r="Q188" s="22"/>
      <c r="R188" s="22"/>
      <c r="S188" s="22"/>
      <c r="T188" s="22"/>
      <c r="U188" s="22"/>
      <c r="V188" s="22"/>
      <c r="W188" s="22"/>
      <c r="X188" s="23"/>
      <c r="Y188" s="22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3"/>
      <c r="AV188" s="23"/>
      <c r="AW188" s="23"/>
      <c r="AX188" s="23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  <c r="CS188" s="24"/>
      <c r="CT188" s="24"/>
      <c r="CU188" s="24"/>
      <c r="CV188" s="24"/>
      <c r="CW188" s="24"/>
    </row>
    <row r="189" spans="1:101" ht="14.4" x14ac:dyDescent="0.3">
      <c r="A189" s="20"/>
      <c r="B189" s="20"/>
      <c r="C189" s="21"/>
      <c r="D189" s="21"/>
      <c r="E189" s="22"/>
      <c r="F189" s="22"/>
      <c r="G189" s="22"/>
      <c r="H189" s="23"/>
      <c r="I189" s="23"/>
      <c r="J189" s="24"/>
      <c r="K189" s="24"/>
      <c r="L189" s="24"/>
      <c r="M189" s="24"/>
      <c r="N189" s="24"/>
      <c r="O189" s="24"/>
      <c r="P189" s="24"/>
      <c r="Q189" s="22"/>
      <c r="R189" s="22"/>
      <c r="S189" s="22"/>
      <c r="T189" s="22"/>
      <c r="U189" s="22"/>
      <c r="V189" s="22"/>
      <c r="W189" s="22"/>
      <c r="X189" s="23"/>
      <c r="Y189" s="22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3"/>
      <c r="AV189" s="23"/>
      <c r="AW189" s="23"/>
      <c r="AX189" s="23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  <c r="CS189" s="24"/>
      <c r="CT189" s="24"/>
      <c r="CU189" s="24"/>
      <c r="CV189" s="24"/>
      <c r="CW189" s="24"/>
    </row>
    <row r="190" spans="1:101" ht="14.4" x14ac:dyDescent="0.3">
      <c r="A190" s="20"/>
      <c r="B190" s="20"/>
      <c r="C190" s="21"/>
      <c r="D190" s="21"/>
      <c r="E190" s="22"/>
      <c r="F190" s="22"/>
      <c r="G190" s="22"/>
      <c r="H190" s="23"/>
      <c r="I190" s="23"/>
      <c r="J190" s="24"/>
      <c r="K190" s="24"/>
      <c r="L190" s="24"/>
      <c r="M190" s="24"/>
      <c r="N190" s="24"/>
      <c r="O190" s="24"/>
      <c r="P190" s="24"/>
      <c r="Q190" s="22"/>
      <c r="R190" s="22"/>
      <c r="S190" s="22"/>
      <c r="T190" s="22"/>
      <c r="U190" s="22"/>
      <c r="V190" s="22"/>
      <c r="W190" s="22"/>
      <c r="X190" s="23"/>
      <c r="Y190" s="22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3"/>
      <c r="AV190" s="23"/>
      <c r="AW190" s="23"/>
      <c r="AX190" s="23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  <c r="CS190" s="24"/>
      <c r="CT190" s="24"/>
      <c r="CU190" s="24"/>
      <c r="CV190" s="24"/>
      <c r="CW190" s="24"/>
    </row>
    <row r="191" spans="1:101" ht="14.4" x14ac:dyDescent="0.3">
      <c r="A191" s="20"/>
      <c r="B191" s="20"/>
      <c r="C191" s="21"/>
      <c r="D191" s="21"/>
      <c r="E191" s="22"/>
      <c r="F191" s="22"/>
      <c r="G191" s="22"/>
      <c r="H191" s="23"/>
      <c r="I191" s="23"/>
      <c r="J191" s="24"/>
      <c r="K191" s="24"/>
      <c r="L191" s="24"/>
      <c r="M191" s="24"/>
      <c r="N191" s="24"/>
      <c r="O191" s="24"/>
      <c r="P191" s="24"/>
      <c r="Q191" s="22"/>
      <c r="R191" s="22"/>
      <c r="S191" s="22"/>
      <c r="T191" s="22"/>
      <c r="U191" s="22"/>
      <c r="V191" s="22"/>
      <c r="W191" s="22"/>
      <c r="X191" s="23"/>
      <c r="Y191" s="22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3"/>
      <c r="AV191" s="23"/>
      <c r="AW191" s="23"/>
      <c r="AX191" s="23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  <c r="CS191" s="24"/>
      <c r="CT191" s="24"/>
      <c r="CU191" s="24"/>
      <c r="CV191" s="24"/>
      <c r="CW191" s="24"/>
    </row>
    <row r="192" spans="1:101" ht="14.4" x14ac:dyDescent="0.3">
      <c r="A192" s="20"/>
      <c r="B192" s="20"/>
      <c r="C192" s="21"/>
      <c r="D192" s="21"/>
      <c r="E192" s="22"/>
      <c r="F192" s="22"/>
      <c r="G192" s="22"/>
      <c r="H192" s="23"/>
      <c r="I192" s="23"/>
      <c r="J192" s="24"/>
      <c r="K192" s="24"/>
      <c r="L192" s="24"/>
      <c r="M192" s="24"/>
      <c r="N192" s="24"/>
      <c r="O192" s="24"/>
      <c r="P192" s="24"/>
      <c r="Q192" s="22"/>
      <c r="R192" s="22"/>
      <c r="S192" s="22"/>
      <c r="T192" s="22"/>
      <c r="U192" s="22"/>
      <c r="V192" s="22"/>
      <c r="W192" s="22"/>
      <c r="X192" s="23"/>
      <c r="Y192" s="22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3"/>
      <c r="AV192" s="23"/>
      <c r="AW192" s="23"/>
      <c r="AX192" s="23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  <c r="CS192" s="24"/>
      <c r="CT192" s="24"/>
      <c r="CU192" s="24"/>
      <c r="CV192" s="24"/>
      <c r="CW192" s="24"/>
    </row>
    <row r="193" spans="1:101" ht="14.4" x14ac:dyDescent="0.3">
      <c r="A193" s="20"/>
      <c r="B193" s="20"/>
      <c r="C193" s="21"/>
      <c r="D193" s="21"/>
      <c r="E193" s="22"/>
      <c r="F193" s="22"/>
      <c r="G193" s="22"/>
      <c r="H193" s="23"/>
      <c r="I193" s="23"/>
      <c r="J193" s="24"/>
      <c r="K193" s="24"/>
      <c r="L193" s="24"/>
      <c r="M193" s="24"/>
      <c r="N193" s="24"/>
      <c r="O193" s="24"/>
      <c r="P193" s="24"/>
      <c r="Q193" s="22"/>
      <c r="R193" s="22"/>
      <c r="S193" s="22"/>
      <c r="T193" s="22"/>
      <c r="U193" s="22"/>
      <c r="V193" s="22"/>
      <c r="W193" s="22"/>
      <c r="X193" s="23"/>
      <c r="Y193" s="22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3"/>
      <c r="AV193" s="23"/>
      <c r="AW193" s="23"/>
      <c r="AX193" s="23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  <c r="CS193" s="24"/>
      <c r="CT193" s="24"/>
      <c r="CU193" s="24"/>
      <c r="CV193" s="24"/>
      <c r="CW193" s="24"/>
    </row>
    <row r="194" spans="1:101" ht="14.4" x14ac:dyDescent="0.3">
      <c r="A194" s="20"/>
      <c r="B194" s="20"/>
      <c r="C194" s="21"/>
      <c r="D194" s="21"/>
      <c r="E194" s="22"/>
      <c r="F194" s="22"/>
      <c r="G194" s="22"/>
      <c r="H194" s="23"/>
      <c r="I194" s="23"/>
      <c r="J194" s="24"/>
      <c r="K194" s="24"/>
      <c r="L194" s="24"/>
      <c r="M194" s="24"/>
      <c r="N194" s="24"/>
      <c r="O194" s="24"/>
      <c r="P194" s="24"/>
      <c r="Q194" s="22"/>
      <c r="R194" s="22"/>
      <c r="S194" s="22"/>
      <c r="T194" s="22"/>
      <c r="U194" s="22"/>
      <c r="V194" s="22"/>
      <c r="W194" s="22"/>
      <c r="X194" s="23"/>
      <c r="Y194" s="22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3"/>
      <c r="AV194" s="23"/>
      <c r="AW194" s="23"/>
      <c r="AX194" s="23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  <c r="CS194" s="24"/>
      <c r="CT194" s="24"/>
      <c r="CU194" s="24"/>
      <c r="CV194" s="24"/>
      <c r="CW194" s="24"/>
    </row>
    <row r="195" spans="1:101" ht="14.4" x14ac:dyDescent="0.3">
      <c r="A195" s="20"/>
      <c r="B195" s="20"/>
      <c r="C195" s="21"/>
      <c r="D195" s="21"/>
      <c r="E195" s="22"/>
      <c r="F195" s="22"/>
      <c r="G195" s="22"/>
      <c r="H195" s="23"/>
      <c r="I195" s="23"/>
      <c r="J195" s="24"/>
      <c r="K195" s="24"/>
      <c r="L195" s="24"/>
      <c r="M195" s="24"/>
      <c r="N195" s="24"/>
      <c r="O195" s="24"/>
      <c r="P195" s="24"/>
      <c r="Q195" s="22"/>
      <c r="R195" s="22"/>
      <c r="S195" s="22"/>
      <c r="T195" s="22"/>
      <c r="U195" s="22"/>
      <c r="V195" s="22"/>
      <c r="W195" s="22"/>
      <c r="X195" s="23"/>
      <c r="Y195" s="22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3"/>
      <c r="AV195" s="23"/>
      <c r="AW195" s="23"/>
      <c r="AX195" s="23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  <c r="CS195" s="24"/>
      <c r="CT195" s="24"/>
      <c r="CU195" s="24"/>
      <c r="CV195" s="24"/>
      <c r="CW195" s="24"/>
    </row>
    <row r="196" spans="1:101" ht="14.4" x14ac:dyDescent="0.3">
      <c r="A196" s="20"/>
      <c r="B196" s="20"/>
      <c r="C196" s="21"/>
      <c r="D196" s="21"/>
      <c r="E196" s="22"/>
      <c r="F196" s="22"/>
      <c r="G196" s="22"/>
      <c r="H196" s="23"/>
      <c r="I196" s="23"/>
      <c r="J196" s="24"/>
      <c r="K196" s="24"/>
      <c r="L196" s="24"/>
      <c r="M196" s="24"/>
      <c r="N196" s="24"/>
      <c r="O196" s="24"/>
      <c r="P196" s="24"/>
      <c r="Q196" s="22"/>
      <c r="R196" s="22"/>
      <c r="S196" s="22"/>
      <c r="T196" s="22"/>
      <c r="U196" s="22"/>
      <c r="V196" s="22"/>
      <c r="W196" s="22"/>
      <c r="X196" s="23"/>
      <c r="Y196" s="22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3"/>
      <c r="AV196" s="23"/>
      <c r="AW196" s="23"/>
      <c r="AX196" s="23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  <c r="CS196" s="24"/>
      <c r="CT196" s="24"/>
      <c r="CU196" s="24"/>
      <c r="CV196" s="24"/>
      <c r="CW196" s="24"/>
    </row>
    <row r="197" spans="1:101" ht="14.4" x14ac:dyDescent="0.3">
      <c r="A197" s="20"/>
      <c r="B197" s="20"/>
      <c r="C197" s="21"/>
      <c r="D197" s="21"/>
      <c r="E197" s="22"/>
      <c r="F197" s="22"/>
      <c r="G197" s="22"/>
      <c r="H197" s="23"/>
      <c r="I197" s="23"/>
      <c r="J197" s="24"/>
      <c r="K197" s="24"/>
      <c r="L197" s="24"/>
      <c r="M197" s="24"/>
      <c r="N197" s="24"/>
      <c r="O197" s="24"/>
      <c r="P197" s="24"/>
      <c r="Q197" s="22"/>
      <c r="R197" s="22"/>
      <c r="S197" s="22"/>
      <c r="T197" s="22"/>
      <c r="U197" s="22"/>
      <c r="V197" s="22"/>
      <c r="W197" s="22"/>
      <c r="X197" s="23"/>
      <c r="Y197" s="22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3"/>
      <c r="AV197" s="23"/>
      <c r="AW197" s="23"/>
      <c r="AX197" s="23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  <c r="CS197" s="24"/>
      <c r="CT197" s="24"/>
      <c r="CU197" s="24"/>
      <c r="CV197" s="24"/>
      <c r="CW197" s="24"/>
    </row>
    <row r="198" spans="1:101" ht="14.4" x14ac:dyDescent="0.3">
      <c r="A198" s="25"/>
      <c r="B198" s="20"/>
      <c r="C198" s="21"/>
      <c r="D198" s="21"/>
      <c r="E198" s="22"/>
      <c r="F198" s="22"/>
      <c r="G198" s="22"/>
      <c r="H198" s="23"/>
      <c r="I198" s="23"/>
      <c r="J198" s="24"/>
      <c r="K198" s="24"/>
      <c r="L198" s="24"/>
      <c r="M198" s="24"/>
      <c r="N198" s="24"/>
      <c r="O198" s="24"/>
      <c r="P198" s="24"/>
      <c r="Q198" s="22"/>
      <c r="R198" s="22"/>
      <c r="S198" s="22"/>
      <c r="T198" s="22"/>
      <c r="U198" s="22"/>
      <c r="V198" s="22"/>
      <c r="W198" s="22"/>
      <c r="X198" s="23"/>
      <c r="Y198" s="22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3"/>
      <c r="AV198" s="23"/>
      <c r="AW198" s="23"/>
      <c r="AX198" s="23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  <c r="CS198" s="24"/>
      <c r="CT198" s="24"/>
      <c r="CU198" s="24"/>
      <c r="CV198" s="24"/>
      <c r="CW198" s="24"/>
    </row>
    <row r="199" spans="1:101" ht="14.4" x14ac:dyDescent="0.3">
      <c r="A199" s="20"/>
      <c r="B199" s="20"/>
      <c r="C199" s="21"/>
      <c r="D199" s="21"/>
      <c r="E199" s="22"/>
      <c r="F199" s="22"/>
      <c r="G199" s="22"/>
      <c r="H199" s="23"/>
      <c r="I199" s="23"/>
      <c r="J199" s="24"/>
      <c r="K199" s="24"/>
      <c r="L199" s="24"/>
      <c r="M199" s="24"/>
      <c r="N199" s="24"/>
      <c r="O199" s="24"/>
      <c r="P199" s="24"/>
      <c r="Q199" s="22"/>
      <c r="R199" s="22"/>
      <c r="S199" s="22"/>
      <c r="T199" s="22"/>
      <c r="U199" s="22"/>
      <c r="V199" s="22"/>
      <c r="W199" s="22"/>
      <c r="X199" s="23"/>
      <c r="Y199" s="22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3"/>
      <c r="AV199" s="23"/>
      <c r="AW199" s="23"/>
      <c r="AX199" s="23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  <c r="CS199" s="24"/>
      <c r="CT199" s="24"/>
      <c r="CU199" s="24"/>
      <c r="CV199" s="24"/>
      <c r="CW199" s="24"/>
    </row>
    <row r="200" spans="1:101" ht="14.4" x14ac:dyDescent="0.3">
      <c r="A200" s="20"/>
      <c r="B200" s="20"/>
      <c r="C200" s="21"/>
      <c r="D200" s="21"/>
      <c r="E200" s="22"/>
      <c r="F200" s="22"/>
      <c r="G200" s="22"/>
      <c r="H200" s="23"/>
      <c r="I200" s="23"/>
      <c r="J200" s="24"/>
      <c r="K200" s="24"/>
      <c r="L200" s="24"/>
      <c r="M200" s="24"/>
      <c r="N200" s="24"/>
      <c r="O200" s="24"/>
      <c r="P200" s="24"/>
      <c r="Q200" s="22"/>
      <c r="R200" s="22"/>
      <c r="S200" s="22"/>
      <c r="T200" s="22"/>
      <c r="U200" s="22"/>
      <c r="V200" s="22"/>
      <c r="W200" s="22"/>
      <c r="X200" s="23"/>
      <c r="Y200" s="22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3"/>
      <c r="AV200" s="23"/>
      <c r="AW200" s="23"/>
      <c r="AX200" s="23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  <c r="CS200" s="24"/>
      <c r="CT200" s="24"/>
      <c r="CU200" s="24"/>
      <c r="CV200" s="24"/>
      <c r="CW200" s="24"/>
    </row>
    <row r="201" spans="1:101" ht="14.4" x14ac:dyDescent="0.3">
      <c r="A201" s="20"/>
      <c r="B201" s="20"/>
      <c r="C201" s="21"/>
      <c r="D201" s="21"/>
      <c r="E201" s="22"/>
      <c r="F201" s="22"/>
      <c r="G201" s="22"/>
      <c r="H201" s="23"/>
      <c r="I201" s="23"/>
      <c r="J201" s="24"/>
      <c r="K201" s="24"/>
      <c r="L201" s="24"/>
      <c r="M201" s="24"/>
      <c r="N201" s="24"/>
      <c r="O201" s="24"/>
      <c r="P201" s="24"/>
      <c r="Q201" s="22"/>
      <c r="R201" s="22"/>
      <c r="S201" s="22"/>
      <c r="T201" s="22"/>
      <c r="U201" s="22"/>
      <c r="V201" s="22"/>
      <c r="W201" s="22"/>
      <c r="X201" s="23"/>
      <c r="Y201" s="22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3"/>
      <c r="AV201" s="23"/>
      <c r="AW201" s="23"/>
      <c r="AX201" s="23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  <c r="CS201" s="24"/>
      <c r="CT201" s="24"/>
      <c r="CU201" s="24"/>
      <c r="CV201" s="24"/>
      <c r="CW201" s="24"/>
    </row>
    <row r="202" spans="1:101" ht="14.4" x14ac:dyDescent="0.3">
      <c r="A202" s="20"/>
      <c r="B202" s="20"/>
      <c r="C202" s="21"/>
      <c r="D202" s="21"/>
      <c r="E202" s="22"/>
      <c r="F202" s="22"/>
      <c r="G202" s="22"/>
      <c r="H202" s="23"/>
      <c r="I202" s="23"/>
      <c r="J202" s="24"/>
      <c r="K202" s="24"/>
      <c r="L202" s="24"/>
      <c r="M202" s="24"/>
      <c r="N202" s="24"/>
      <c r="O202" s="24"/>
      <c r="P202" s="24"/>
      <c r="Q202" s="22"/>
      <c r="R202" s="22"/>
      <c r="S202" s="22"/>
      <c r="T202" s="22"/>
      <c r="U202" s="22"/>
      <c r="V202" s="22"/>
      <c r="W202" s="22"/>
      <c r="X202" s="23"/>
      <c r="Y202" s="22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3"/>
      <c r="AV202" s="23"/>
      <c r="AW202" s="23"/>
      <c r="AX202" s="23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  <c r="CS202" s="24"/>
      <c r="CT202" s="24"/>
      <c r="CU202" s="24"/>
      <c r="CV202" s="24"/>
      <c r="CW202" s="24"/>
    </row>
    <row r="203" spans="1:101" ht="14.4" x14ac:dyDescent="0.3">
      <c r="A203" s="20"/>
      <c r="B203" s="20"/>
      <c r="C203" s="21"/>
      <c r="D203" s="21"/>
      <c r="E203" s="22"/>
      <c r="F203" s="22"/>
      <c r="G203" s="22"/>
      <c r="H203" s="23"/>
      <c r="I203" s="23"/>
      <c r="J203" s="24"/>
      <c r="K203" s="24"/>
      <c r="L203" s="24"/>
      <c r="M203" s="24"/>
      <c r="N203" s="24"/>
      <c r="O203" s="24"/>
      <c r="P203" s="24"/>
      <c r="Q203" s="22"/>
      <c r="R203" s="22"/>
      <c r="S203" s="22"/>
      <c r="T203" s="22"/>
      <c r="U203" s="22"/>
      <c r="V203" s="22"/>
      <c r="W203" s="22"/>
      <c r="X203" s="23"/>
      <c r="Y203" s="22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3"/>
      <c r="AV203" s="23"/>
      <c r="AW203" s="23"/>
      <c r="AX203" s="23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  <c r="CS203" s="24"/>
      <c r="CT203" s="24"/>
      <c r="CU203" s="24"/>
      <c r="CV203" s="24"/>
      <c r="CW203" s="24"/>
    </row>
    <row r="204" spans="1:101" ht="14.4" x14ac:dyDescent="0.3">
      <c r="A204" s="20"/>
      <c r="B204" s="20"/>
      <c r="C204" s="21"/>
      <c r="D204" s="21"/>
      <c r="E204" s="22"/>
      <c r="F204" s="22"/>
      <c r="G204" s="22"/>
      <c r="H204" s="23"/>
      <c r="I204" s="23"/>
      <c r="J204" s="24"/>
      <c r="K204" s="24"/>
      <c r="L204" s="24"/>
      <c r="M204" s="24"/>
      <c r="N204" s="24"/>
      <c r="O204" s="24"/>
      <c r="P204" s="24"/>
      <c r="Q204" s="22"/>
      <c r="R204" s="22"/>
      <c r="S204" s="22"/>
      <c r="T204" s="22"/>
      <c r="U204" s="22"/>
      <c r="V204" s="22"/>
      <c r="W204" s="22"/>
      <c r="X204" s="23"/>
      <c r="Y204" s="22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3"/>
      <c r="AV204" s="23"/>
      <c r="AW204" s="23"/>
      <c r="AX204" s="23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  <c r="CS204" s="24"/>
      <c r="CT204" s="24"/>
      <c r="CU204" s="24"/>
      <c r="CV204" s="24"/>
      <c r="CW204" s="24"/>
    </row>
    <row r="205" spans="1:101" ht="14.4" x14ac:dyDescent="0.3">
      <c r="A205" s="20"/>
      <c r="B205" s="20"/>
      <c r="C205" s="21"/>
      <c r="D205" s="21"/>
      <c r="E205" s="22"/>
      <c r="F205" s="22"/>
      <c r="G205" s="22"/>
      <c r="H205" s="23"/>
      <c r="I205" s="23"/>
      <c r="J205" s="24"/>
      <c r="K205" s="24"/>
      <c r="L205" s="24"/>
      <c r="M205" s="24"/>
      <c r="N205" s="24"/>
      <c r="O205" s="24"/>
      <c r="P205" s="24"/>
      <c r="Q205" s="22"/>
      <c r="R205" s="22"/>
      <c r="S205" s="22"/>
      <c r="T205" s="22"/>
      <c r="U205" s="22"/>
      <c r="V205" s="22"/>
      <c r="W205" s="22"/>
      <c r="X205" s="23"/>
      <c r="Y205" s="22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3"/>
      <c r="AV205" s="23"/>
      <c r="AW205" s="23"/>
      <c r="AX205" s="23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  <c r="CS205" s="24"/>
      <c r="CT205" s="24"/>
      <c r="CU205" s="24"/>
      <c r="CV205" s="24"/>
      <c r="CW205" s="24"/>
    </row>
    <row r="206" spans="1:101" ht="14.4" x14ac:dyDescent="0.3">
      <c r="A206" s="20"/>
      <c r="B206" s="20"/>
      <c r="C206" s="21"/>
      <c r="D206" s="21"/>
      <c r="E206" s="22"/>
      <c r="F206" s="22"/>
      <c r="G206" s="22"/>
      <c r="H206" s="23"/>
      <c r="I206" s="23"/>
      <c r="J206" s="24"/>
      <c r="K206" s="24"/>
      <c r="L206" s="24"/>
      <c r="M206" s="24"/>
      <c r="N206" s="24"/>
      <c r="O206" s="24"/>
      <c r="P206" s="24"/>
      <c r="Q206" s="22"/>
      <c r="R206" s="22"/>
      <c r="S206" s="22"/>
      <c r="T206" s="22"/>
      <c r="U206" s="22"/>
      <c r="V206" s="22"/>
      <c r="W206" s="22"/>
      <c r="X206" s="23"/>
      <c r="Y206" s="22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3"/>
      <c r="AV206" s="23"/>
      <c r="AW206" s="23"/>
      <c r="AX206" s="23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  <c r="CS206" s="24"/>
      <c r="CT206" s="24"/>
      <c r="CU206" s="24"/>
      <c r="CV206" s="24"/>
      <c r="CW206" s="24"/>
    </row>
    <row r="207" spans="1:101" ht="14.4" x14ac:dyDescent="0.3">
      <c r="A207" s="20"/>
      <c r="B207" s="20"/>
      <c r="C207" s="21"/>
      <c r="D207" s="21"/>
      <c r="E207" s="22"/>
      <c r="F207" s="22"/>
      <c r="G207" s="22"/>
      <c r="H207" s="23"/>
      <c r="I207" s="23"/>
      <c r="J207" s="24"/>
      <c r="K207" s="24"/>
      <c r="L207" s="24"/>
      <c r="M207" s="24"/>
      <c r="N207" s="24"/>
      <c r="O207" s="24"/>
      <c r="P207" s="24"/>
      <c r="Q207" s="22"/>
      <c r="R207" s="22"/>
      <c r="S207" s="22"/>
      <c r="T207" s="22"/>
      <c r="U207" s="22"/>
      <c r="V207" s="22"/>
      <c r="W207" s="22"/>
      <c r="X207" s="23"/>
      <c r="Y207" s="22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3"/>
      <c r="AV207" s="23"/>
      <c r="AW207" s="23"/>
      <c r="AX207" s="23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  <c r="CS207" s="24"/>
      <c r="CT207" s="24"/>
      <c r="CU207" s="24"/>
      <c r="CV207" s="24"/>
      <c r="CW207" s="24"/>
    </row>
    <row r="208" spans="1:101" ht="14.4" x14ac:dyDescent="0.3">
      <c r="A208" s="20"/>
      <c r="B208" s="20"/>
      <c r="C208" s="21"/>
      <c r="D208" s="21"/>
      <c r="E208" s="22"/>
      <c r="F208" s="22"/>
      <c r="G208" s="22"/>
      <c r="H208" s="23"/>
      <c r="I208" s="23"/>
      <c r="J208" s="24"/>
      <c r="K208" s="24"/>
      <c r="L208" s="24"/>
      <c r="M208" s="24"/>
      <c r="N208" s="24"/>
      <c r="O208" s="24"/>
      <c r="P208" s="24"/>
      <c r="Q208" s="22"/>
      <c r="R208" s="22"/>
      <c r="S208" s="22"/>
      <c r="T208" s="22"/>
      <c r="U208" s="22"/>
      <c r="V208" s="22"/>
      <c r="W208" s="22"/>
      <c r="X208" s="23"/>
      <c r="Y208" s="22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3"/>
      <c r="AV208" s="23"/>
      <c r="AW208" s="23"/>
      <c r="AX208" s="23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  <c r="CS208" s="24"/>
      <c r="CT208" s="24"/>
      <c r="CU208" s="24"/>
      <c r="CV208" s="24"/>
      <c r="CW208" s="24"/>
    </row>
    <row r="209" spans="1:101" ht="14.4" x14ac:dyDescent="0.3">
      <c r="A209" s="20"/>
      <c r="B209" s="20"/>
      <c r="C209" s="21"/>
      <c r="D209" s="21"/>
      <c r="E209" s="22"/>
      <c r="F209" s="22"/>
      <c r="G209" s="22"/>
      <c r="H209" s="23"/>
      <c r="I209" s="23"/>
      <c r="J209" s="24"/>
      <c r="K209" s="24"/>
      <c r="L209" s="24"/>
      <c r="M209" s="24"/>
      <c r="N209" s="24"/>
      <c r="O209" s="24"/>
      <c r="P209" s="24"/>
      <c r="Q209" s="22"/>
      <c r="R209" s="22"/>
      <c r="S209" s="22"/>
      <c r="T209" s="22"/>
      <c r="U209" s="22"/>
      <c r="V209" s="22"/>
      <c r="W209" s="22"/>
      <c r="X209" s="23"/>
      <c r="Y209" s="22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3"/>
      <c r="AV209" s="23"/>
      <c r="AW209" s="23"/>
      <c r="AX209" s="23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  <c r="CS209" s="24"/>
      <c r="CT209" s="24"/>
      <c r="CU209" s="24"/>
      <c r="CV209" s="24"/>
      <c r="CW209" s="24"/>
    </row>
    <row r="210" spans="1:101" ht="14.4" x14ac:dyDescent="0.3">
      <c r="A210" s="20"/>
      <c r="B210" s="20"/>
      <c r="C210" s="21"/>
      <c r="D210" s="21"/>
      <c r="E210" s="22"/>
      <c r="F210" s="22"/>
      <c r="G210" s="22"/>
      <c r="H210" s="23"/>
      <c r="I210" s="23"/>
      <c r="J210" s="24"/>
      <c r="K210" s="24"/>
      <c r="L210" s="24"/>
      <c r="M210" s="24"/>
      <c r="N210" s="24"/>
      <c r="O210" s="24"/>
      <c r="P210" s="24"/>
      <c r="Q210" s="22"/>
      <c r="R210" s="22"/>
      <c r="S210" s="22"/>
      <c r="T210" s="22"/>
      <c r="U210" s="22"/>
      <c r="V210" s="22"/>
      <c r="W210" s="22"/>
      <c r="X210" s="23"/>
      <c r="Y210" s="22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3"/>
      <c r="AV210" s="23"/>
      <c r="AW210" s="23"/>
      <c r="AX210" s="23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  <c r="CS210" s="24"/>
      <c r="CT210" s="24"/>
      <c r="CU210" s="24"/>
      <c r="CV210" s="24"/>
      <c r="CW210" s="24"/>
    </row>
    <row r="211" spans="1:101" ht="14.4" x14ac:dyDescent="0.3">
      <c r="A211" s="20"/>
      <c r="B211" s="20"/>
      <c r="C211" s="21"/>
      <c r="D211" s="21"/>
      <c r="E211" s="22"/>
      <c r="F211" s="22"/>
      <c r="G211" s="22"/>
      <c r="H211" s="23"/>
      <c r="I211" s="23"/>
      <c r="J211" s="24"/>
      <c r="K211" s="24"/>
      <c r="L211" s="24"/>
      <c r="M211" s="24"/>
      <c r="N211" s="24"/>
      <c r="O211" s="24"/>
      <c r="P211" s="24"/>
      <c r="Q211" s="22"/>
      <c r="R211" s="22"/>
      <c r="S211" s="22"/>
      <c r="T211" s="22"/>
      <c r="U211" s="22"/>
      <c r="V211" s="22"/>
      <c r="W211" s="22"/>
      <c r="X211" s="23"/>
      <c r="Y211" s="22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3"/>
      <c r="AV211" s="23"/>
      <c r="AW211" s="23"/>
      <c r="AX211" s="23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  <c r="CS211" s="24"/>
      <c r="CT211" s="24"/>
      <c r="CU211" s="24"/>
      <c r="CV211" s="24"/>
      <c r="CW211" s="24"/>
    </row>
    <row r="212" spans="1:101" ht="14.4" x14ac:dyDescent="0.3">
      <c r="A212" s="20"/>
      <c r="B212" s="20"/>
      <c r="C212" s="21"/>
      <c r="D212" s="21"/>
      <c r="E212" s="22"/>
      <c r="F212" s="22"/>
      <c r="G212" s="22"/>
      <c r="H212" s="23"/>
      <c r="I212" s="23"/>
      <c r="J212" s="24"/>
      <c r="K212" s="24"/>
      <c r="L212" s="24"/>
      <c r="M212" s="24"/>
      <c r="N212" s="24"/>
      <c r="O212" s="24"/>
      <c r="P212" s="24"/>
      <c r="Q212" s="22"/>
      <c r="R212" s="22"/>
      <c r="S212" s="22"/>
      <c r="T212" s="22"/>
      <c r="U212" s="22"/>
      <c r="V212" s="22"/>
      <c r="W212" s="22"/>
      <c r="X212" s="23"/>
      <c r="Y212" s="22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3"/>
      <c r="AV212" s="23"/>
      <c r="AW212" s="23"/>
      <c r="AX212" s="23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  <c r="CS212" s="24"/>
      <c r="CT212" s="24"/>
      <c r="CU212" s="24"/>
      <c r="CV212" s="24"/>
      <c r="CW212" s="24"/>
    </row>
    <row r="213" spans="1:101" ht="14.4" x14ac:dyDescent="0.3">
      <c r="A213" s="20"/>
      <c r="B213" s="20"/>
      <c r="C213" s="21"/>
      <c r="D213" s="21"/>
      <c r="E213" s="22"/>
      <c r="F213" s="22"/>
      <c r="G213" s="22"/>
      <c r="H213" s="23"/>
      <c r="I213" s="23"/>
      <c r="J213" s="24"/>
      <c r="K213" s="24"/>
      <c r="L213" s="24"/>
      <c r="M213" s="24"/>
      <c r="N213" s="24"/>
      <c r="O213" s="24"/>
      <c r="P213" s="24"/>
      <c r="Q213" s="22"/>
      <c r="R213" s="22"/>
      <c r="S213" s="22"/>
      <c r="T213" s="22"/>
      <c r="U213" s="22"/>
      <c r="V213" s="22"/>
      <c r="W213" s="22"/>
      <c r="X213" s="23"/>
      <c r="Y213" s="22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3"/>
      <c r="AV213" s="23"/>
      <c r="AW213" s="23"/>
      <c r="AX213" s="23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  <c r="CS213" s="24"/>
      <c r="CT213" s="24"/>
      <c r="CU213" s="24"/>
      <c r="CV213" s="24"/>
      <c r="CW213" s="24"/>
    </row>
    <row r="214" spans="1:101" ht="14.4" x14ac:dyDescent="0.3">
      <c r="A214" s="20"/>
      <c r="B214" s="20"/>
      <c r="C214" s="21"/>
      <c r="D214" s="21"/>
      <c r="E214" s="22"/>
      <c r="F214" s="22"/>
      <c r="G214" s="22"/>
      <c r="H214" s="23"/>
      <c r="I214" s="23"/>
      <c r="J214" s="24"/>
      <c r="K214" s="24"/>
      <c r="L214" s="24"/>
      <c r="M214" s="24"/>
      <c r="N214" s="24"/>
      <c r="O214" s="24"/>
      <c r="P214" s="24"/>
      <c r="Q214" s="22"/>
      <c r="R214" s="22"/>
      <c r="S214" s="22"/>
      <c r="T214" s="22"/>
      <c r="U214" s="22"/>
      <c r="V214" s="22"/>
      <c r="W214" s="22"/>
      <c r="X214" s="23"/>
      <c r="Y214" s="22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3"/>
      <c r="AV214" s="23"/>
      <c r="AW214" s="23"/>
      <c r="AX214" s="23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  <c r="CS214" s="24"/>
      <c r="CT214" s="24"/>
      <c r="CU214" s="24"/>
      <c r="CV214" s="24"/>
      <c r="CW214" s="24"/>
    </row>
    <row r="215" spans="1:101" ht="14.4" x14ac:dyDescent="0.3">
      <c r="A215" s="20"/>
      <c r="B215" s="20"/>
      <c r="C215" s="21"/>
      <c r="D215" s="21"/>
      <c r="E215" s="22"/>
      <c r="F215" s="22"/>
      <c r="G215" s="22"/>
      <c r="H215" s="23"/>
      <c r="I215" s="23"/>
      <c r="J215" s="24"/>
      <c r="K215" s="24"/>
      <c r="L215" s="24"/>
      <c r="M215" s="24"/>
      <c r="N215" s="24"/>
      <c r="O215" s="24"/>
      <c r="P215" s="24"/>
      <c r="Q215" s="22"/>
      <c r="R215" s="22"/>
      <c r="S215" s="22"/>
      <c r="T215" s="22"/>
      <c r="U215" s="22"/>
      <c r="V215" s="22"/>
      <c r="W215" s="22"/>
      <c r="X215" s="23"/>
      <c r="Y215" s="22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3"/>
      <c r="AV215" s="23"/>
      <c r="AW215" s="23"/>
      <c r="AX215" s="23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  <c r="CS215" s="24"/>
      <c r="CT215" s="24"/>
      <c r="CU215" s="24"/>
      <c r="CV215" s="24"/>
      <c r="CW215" s="24"/>
    </row>
    <row r="216" spans="1:101" ht="14.4" x14ac:dyDescent="0.3">
      <c r="A216" s="20"/>
      <c r="B216" s="20"/>
      <c r="C216" s="21"/>
      <c r="D216" s="21"/>
      <c r="E216" s="22"/>
      <c r="F216" s="22"/>
      <c r="G216" s="22"/>
      <c r="H216" s="23"/>
      <c r="I216" s="23"/>
      <c r="J216" s="24"/>
      <c r="K216" s="24"/>
      <c r="L216" s="24"/>
      <c r="M216" s="24"/>
      <c r="N216" s="24"/>
      <c r="O216" s="24"/>
      <c r="P216" s="24"/>
      <c r="Q216" s="22"/>
      <c r="R216" s="22"/>
      <c r="S216" s="22"/>
      <c r="T216" s="22"/>
      <c r="U216" s="22"/>
      <c r="V216" s="22"/>
      <c r="W216" s="22"/>
      <c r="X216" s="23"/>
      <c r="Y216" s="22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3"/>
      <c r="AV216" s="23"/>
      <c r="AW216" s="23"/>
      <c r="AX216" s="23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  <c r="CS216" s="24"/>
      <c r="CT216" s="24"/>
      <c r="CU216" s="24"/>
      <c r="CV216" s="24"/>
      <c r="CW216" s="24"/>
    </row>
    <row r="217" spans="1:101" ht="14.4" x14ac:dyDescent="0.3">
      <c r="A217" s="20"/>
      <c r="B217" s="20"/>
      <c r="C217" s="21"/>
      <c r="D217" s="21"/>
      <c r="E217" s="22"/>
      <c r="F217" s="22"/>
      <c r="G217" s="22"/>
      <c r="H217" s="23"/>
      <c r="I217" s="23"/>
      <c r="J217" s="24"/>
      <c r="K217" s="24"/>
      <c r="L217" s="24"/>
      <c r="M217" s="24"/>
      <c r="N217" s="24"/>
      <c r="O217" s="24"/>
      <c r="P217" s="24"/>
      <c r="Q217" s="22"/>
      <c r="R217" s="22"/>
      <c r="S217" s="22"/>
      <c r="T217" s="22"/>
      <c r="U217" s="22"/>
      <c r="V217" s="22"/>
      <c r="W217" s="22"/>
      <c r="X217" s="23"/>
      <c r="Y217" s="22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3"/>
      <c r="AV217" s="23"/>
      <c r="AW217" s="23"/>
      <c r="AX217" s="23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  <c r="CS217" s="24"/>
      <c r="CT217" s="24"/>
      <c r="CU217" s="24"/>
      <c r="CV217" s="24"/>
      <c r="CW217" s="24"/>
    </row>
    <row r="218" spans="1:101" ht="14.4" x14ac:dyDescent="0.3">
      <c r="A218" s="20"/>
      <c r="B218" s="20"/>
      <c r="C218" s="21"/>
      <c r="D218" s="21"/>
      <c r="E218" s="22"/>
      <c r="F218" s="22"/>
      <c r="G218" s="22"/>
      <c r="H218" s="23"/>
      <c r="I218" s="23"/>
      <c r="J218" s="24"/>
      <c r="K218" s="24"/>
      <c r="L218" s="24"/>
      <c r="M218" s="24"/>
      <c r="N218" s="24"/>
      <c r="O218" s="24"/>
      <c r="P218" s="24"/>
      <c r="Q218" s="22"/>
      <c r="R218" s="22"/>
      <c r="S218" s="22"/>
      <c r="T218" s="22"/>
      <c r="U218" s="22"/>
      <c r="V218" s="22"/>
      <c r="W218" s="22"/>
      <c r="X218" s="23"/>
      <c r="Y218" s="22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3"/>
      <c r="AV218" s="23"/>
      <c r="AW218" s="23"/>
      <c r="AX218" s="23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  <c r="CS218" s="24"/>
      <c r="CT218" s="24"/>
      <c r="CU218" s="24"/>
      <c r="CV218" s="24"/>
      <c r="CW218" s="24"/>
    </row>
    <row r="219" spans="1:101" ht="14.4" x14ac:dyDescent="0.3">
      <c r="A219" s="20"/>
      <c r="B219" s="20"/>
      <c r="C219" s="21"/>
      <c r="D219" s="21"/>
      <c r="E219" s="22"/>
      <c r="F219" s="22"/>
      <c r="G219" s="22"/>
      <c r="H219" s="23"/>
      <c r="I219" s="23"/>
      <c r="J219" s="24"/>
      <c r="K219" s="24"/>
      <c r="L219" s="24"/>
      <c r="M219" s="24"/>
      <c r="N219" s="24"/>
      <c r="O219" s="24"/>
      <c r="P219" s="24"/>
      <c r="Q219" s="22"/>
      <c r="R219" s="22"/>
      <c r="S219" s="22"/>
      <c r="T219" s="22"/>
      <c r="U219" s="22"/>
      <c r="V219" s="22"/>
      <c r="W219" s="22"/>
      <c r="X219" s="23"/>
      <c r="Y219" s="22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3"/>
      <c r="AV219" s="23"/>
      <c r="AW219" s="23"/>
      <c r="AX219" s="23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  <c r="CS219" s="24"/>
      <c r="CT219" s="24"/>
      <c r="CU219" s="24"/>
      <c r="CV219" s="24"/>
      <c r="CW219" s="24"/>
    </row>
    <row r="220" spans="1:101" ht="14.4" x14ac:dyDescent="0.3">
      <c r="A220" s="20"/>
      <c r="B220" s="20"/>
      <c r="C220" s="21"/>
      <c r="D220" s="21"/>
      <c r="E220" s="22"/>
      <c r="F220" s="22"/>
      <c r="G220" s="22"/>
      <c r="H220" s="23"/>
      <c r="I220" s="23"/>
      <c r="J220" s="24"/>
      <c r="K220" s="24"/>
      <c r="L220" s="24"/>
      <c r="M220" s="24"/>
      <c r="N220" s="24"/>
      <c r="O220" s="24"/>
      <c r="P220" s="24"/>
      <c r="Q220" s="22"/>
      <c r="R220" s="22"/>
      <c r="S220" s="22"/>
      <c r="T220" s="22"/>
      <c r="U220" s="22"/>
      <c r="V220" s="22"/>
      <c r="W220" s="22"/>
      <c r="X220" s="23"/>
      <c r="Y220" s="22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3"/>
      <c r="AV220" s="23"/>
      <c r="AW220" s="23"/>
      <c r="AX220" s="23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  <c r="CS220" s="24"/>
      <c r="CT220" s="24"/>
      <c r="CU220" s="24"/>
      <c r="CV220" s="24"/>
      <c r="CW220" s="24"/>
    </row>
    <row r="221" spans="1:101" ht="14.4" x14ac:dyDescent="0.3">
      <c r="A221" s="20"/>
      <c r="B221" s="20"/>
      <c r="C221" s="21"/>
      <c r="D221" s="21"/>
      <c r="E221" s="22"/>
      <c r="F221" s="22"/>
      <c r="G221" s="22"/>
      <c r="H221" s="23"/>
      <c r="I221" s="23"/>
      <c r="J221" s="24"/>
      <c r="K221" s="24"/>
      <c r="L221" s="24"/>
      <c r="M221" s="24"/>
      <c r="N221" s="24"/>
      <c r="O221" s="24"/>
      <c r="P221" s="24"/>
      <c r="Q221" s="22"/>
      <c r="R221" s="22"/>
      <c r="S221" s="22"/>
      <c r="T221" s="22"/>
      <c r="U221" s="22"/>
      <c r="V221" s="22"/>
      <c r="W221" s="22"/>
      <c r="X221" s="23"/>
      <c r="Y221" s="22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3"/>
      <c r="AV221" s="23"/>
      <c r="AW221" s="23"/>
      <c r="AX221" s="23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  <c r="CS221" s="24"/>
      <c r="CT221" s="24"/>
      <c r="CU221" s="24"/>
      <c r="CV221" s="24"/>
      <c r="CW221" s="24"/>
    </row>
    <row r="222" spans="1:101" ht="14.4" x14ac:dyDescent="0.3">
      <c r="A222" s="20"/>
      <c r="B222" s="20"/>
      <c r="C222" s="21"/>
      <c r="D222" s="21"/>
      <c r="E222" s="22"/>
      <c r="F222" s="22"/>
      <c r="G222" s="22"/>
      <c r="H222" s="23"/>
      <c r="I222" s="23"/>
      <c r="J222" s="24"/>
      <c r="K222" s="24"/>
      <c r="L222" s="24"/>
      <c r="M222" s="24"/>
      <c r="N222" s="24"/>
      <c r="O222" s="24"/>
      <c r="P222" s="24"/>
      <c r="Q222" s="22"/>
      <c r="R222" s="22"/>
      <c r="S222" s="22"/>
      <c r="T222" s="22"/>
      <c r="U222" s="22"/>
      <c r="V222" s="22"/>
      <c r="W222" s="22"/>
      <c r="X222" s="23"/>
      <c r="Y222" s="22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3"/>
      <c r="AV222" s="23"/>
      <c r="AW222" s="23"/>
      <c r="AX222" s="23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  <c r="CS222" s="24"/>
      <c r="CT222" s="24"/>
      <c r="CU222" s="24"/>
      <c r="CV222" s="24"/>
      <c r="CW222" s="24"/>
    </row>
    <row r="223" spans="1:101" ht="14.4" x14ac:dyDescent="0.3">
      <c r="A223" s="20"/>
      <c r="B223" s="20"/>
      <c r="C223" s="21"/>
      <c r="D223" s="21"/>
      <c r="E223" s="22"/>
      <c r="F223" s="22"/>
      <c r="G223" s="22"/>
      <c r="H223" s="23"/>
      <c r="I223" s="23"/>
      <c r="J223" s="24"/>
      <c r="K223" s="24"/>
      <c r="L223" s="24"/>
      <c r="M223" s="24"/>
      <c r="N223" s="24"/>
      <c r="O223" s="24"/>
      <c r="P223" s="24"/>
      <c r="Q223" s="22"/>
      <c r="R223" s="22"/>
      <c r="S223" s="22"/>
      <c r="T223" s="22"/>
      <c r="U223" s="22"/>
      <c r="V223" s="22"/>
      <c r="W223" s="22"/>
      <c r="X223" s="23"/>
      <c r="Y223" s="22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3"/>
      <c r="AV223" s="23"/>
      <c r="AW223" s="23"/>
      <c r="AX223" s="23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  <c r="CS223" s="24"/>
      <c r="CT223" s="24"/>
      <c r="CU223" s="24"/>
      <c r="CV223" s="24"/>
      <c r="CW223" s="24"/>
    </row>
    <row r="224" spans="1:101" ht="14.4" x14ac:dyDescent="0.3">
      <c r="A224" s="20"/>
      <c r="B224" s="20"/>
      <c r="C224" s="21"/>
      <c r="D224" s="21"/>
      <c r="E224" s="22"/>
      <c r="F224" s="22"/>
      <c r="G224" s="22"/>
      <c r="H224" s="23"/>
      <c r="I224" s="23"/>
      <c r="J224" s="24"/>
      <c r="K224" s="24"/>
      <c r="L224" s="24"/>
      <c r="M224" s="24"/>
      <c r="N224" s="24"/>
      <c r="O224" s="24"/>
      <c r="P224" s="24"/>
      <c r="Q224" s="22"/>
      <c r="R224" s="22"/>
      <c r="S224" s="22"/>
      <c r="T224" s="22"/>
      <c r="U224" s="22"/>
      <c r="V224" s="22"/>
      <c r="W224" s="22"/>
      <c r="X224" s="23"/>
      <c r="Y224" s="22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3"/>
      <c r="AV224" s="23"/>
      <c r="AW224" s="23"/>
      <c r="AX224" s="23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  <c r="CS224" s="24"/>
      <c r="CT224" s="24"/>
      <c r="CU224" s="24"/>
      <c r="CV224" s="24"/>
      <c r="CW224" s="24"/>
    </row>
    <row r="225" spans="1:101" ht="14.4" x14ac:dyDescent="0.3">
      <c r="A225" s="20"/>
      <c r="B225" s="20"/>
      <c r="C225" s="21"/>
      <c r="D225" s="21"/>
      <c r="E225" s="22"/>
      <c r="F225" s="22"/>
      <c r="G225" s="22"/>
      <c r="H225" s="23"/>
      <c r="I225" s="23"/>
      <c r="J225" s="24"/>
      <c r="K225" s="24"/>
      <c r="L225" s="24"/>
      <c r="M225" s="24"/>
      <c r="N225" s="24"/>
      <c r="O225" s="24"/>
      <c r="P225" s="24"/>
      <c r="Q225" s="22"/>
      <c r="R225" s="22"/>
      <c r="S225" s="22"/>
      <c r="T225" s="22"/>
      <c r="U225" s="22"/>
      <c r="V225" s="22"/>
      <c r="W225" s="22"/>
      <c r="X225" s="23"/>
      <c r="Y225" s="22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3"/>
      <c r="AV225" s="23"/>
      <c r="AW225" s="23"/>
      <c r="AX225" s="23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  <c r="CS225" s="24"/>
      <c r="CT225" s="24"/>
      <c r="CU225" s="24"/>
      <c r="CV225" s="24"/>
      <c r="CW225" s="24"/>
    </row>
    <row r="226" spans="1:101" ht="14.4" x14ac:dyDescent="0.3">
      <c r="A226" s="20"/>
      <c r="B226" s="20"/>
      <c r="C226" s="21"/>
      <c r="D226" s="21"/>
      <c r="E226" s="22"/>
      <c r="F226" s="22"/>
      <c r="G226" s="22"/>
      <c r="H226" s="23"/>
      <c r="I226" s="23"/>
      <c r="J226" s="24"/>
      <c r="K226" s="24"/>
      <c r="L226" s="24"/>
      <c r="M226" s="24"/>
      <c r="N226" s="24"/>
      <c r="O226" s="24"/>
      <c r="P226" s="24"/>
      <c r="Q226" s="22"/>
      <c r="R226" s="22"/>
      <c r="S226" s="22"/>
      <c r="T226" s="22"/>
      <c r="U226" s="22"/>
      <c r="V226" s="22"/>
      <c r="W226" s="22"/>
      <c r="X226" s="23"/>
      <c r="Y226" s="22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3"/>
      <c r="AV226" s="23"/>
      <c r="AW226" s="23"/>
      <c r="AX226" s="23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  <c r="CS226" s="24"/>
      <c r="CT226" s="24"/>
      <c r="CU226" s="24"/>
      <c r="CV226" s="24"/>
      <c r="CW226" s="24"/>
    </row>
    <row r="227" spans="1:101" ht="14.4" x14ac:dyDescent="0.3">
      <c r="A227" s="20"/>
      <c r="B227" s="20"/>
      <c r="C227" s="21"/>
      <c r="D227" s="21"/>
      <c r="E227" s="22"/>
      <c r="F227" s="22"/>
      <c r="G227" s="22"/>
      <c r="H227" s="23"/>
      <c r="I227" s="23"/>
      <c r="J227" s="24"/>
      <c r="K227" s="24"/>
      <c r="L227" s="24"/>
      <c r="M227" s="24"/>
      <c r="N227" s="24"/>
      <c r="O227" s="24"/>
      <c r="P227" s="24"/>
      <c r="Q227" s="22"/>
      <c r="R227" s="22"/>
      <c r="S227" s="22"/>
      <c r="T227" s="22"/>
      <c r="U227" s="22"/>
      <c r="V227" s="22"/>
      <c r="W227" s="22"/>
      <c r="X227" s="23"/>
      <c r="Y227" s="22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3"/>
      <c r="AV227" s="23"/>
      <c r="AW227" s="23"/>
      <c r="AX227" s="23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  <c r="CS227" s="24"/>
      <c r="CT227" s="24"/>
      <c r="CU227" s="24"/>
      <c r="CV227" s="24"/>
      <c r="CW227" s="24"/>
    </row>
    <row r="228" spans="1:101" ht="14.4" x14ac:dyDescent="0.3">
      <c r="A228" s="20"/>
      <c r="B228" s="20"/>
      <c r="C228" s="21"/>
      <c r="D228" s="21"/>
      <c r="E228" s="22"/>
      <c r="F228" s="22"/>
      <c r="G228" s="22"/>
      <c r="H228" s="23"/>
      <c r="I228" s="23"/>
      <c r="J228" s="24"/>
      <c r="K228" s="24"/>
      <c r="L228" s="24"/>
      <c r="M228" s="24"/>
      <c r="N228" s="24"/>
      <c r="O228" s="24"/>
      <c r="P228" s="24"/>
      <c r="Q228" s="22"/>
      <c r="R228" s="22"/>
      <c r="S228" s="22"/>
      <c r="T228" s="22"/>
      <c r="U228" s="22"/>
      <c r="V228" s="22"/>
      <c r="W228" s="22"/>
      <c r="X228" s="23"/>
      <c r="Y228" s="22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3"/>
      <c r="AV228" s="23"/>
      <c r="AW228" s="23"/>
      <c r="AX228" s="23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  <c r="CS228" s="24"/>
      <c r="CT228" s="24"/>
      <c r="CU228" s="24"/>
      <c r="CV228" s="24"/>
      <c r="CW228" s="24"/>
    </row>
    <row r="229" spans="1:101" ht="14.4" x14ac:dyDescent="0.3">
      <c r="A229" s="20"/>
      <c r="B229" s="20"/>
      <c r="C229" s="21"/>
      <c r="D229" s="21"/>
      <c r="E229" s="22"/>
      <c r="F229" s="22"/>
      <c r="G229" s="22"/>
      <c r="H229" s="23"/>
      <c r="I229" s="23"/>
      <c r="J229" s="24"/>
      <c r="K229" s="24"/>
      <c r="L229" s="24"/>
      <c r="M229" s="24"/>
      <c r="N229" s="24"/>
      <c r="O229" s="24"/>
      <c r="P229" s="24"/>
      <c r="Q229" s="22"/>
      <c r="R229" s="22"/>
      <c r="S229" s="22"/>
      <c r="T229" s="22"/>
      <c r="U229" s="22"/>
      <c r="V229" s="22"/>
      <c r="W229" s="22"/>
      <c r="X229" s="23"/>
      <c r="Y229" s="22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3"/>
      <c r="AV229" s="23"/>
      <c r="AW229" s="23"/>
      <c r="AX229" s="23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  <c r="CS229" s="24"/>
      <c r="CT229" s="24"/>
      <c r="CU229" s="24"/>
      <c r="CV229" s="24"/>
      <c r="CW229" s="24"/>
    </row>
    <row r="230" spans="1:101" ht="14.4" x14ac:dyDescent="0.3">
      <c r="A230" s="20"/>
      <c r="B230" s="20"/>
      <c r="C230" s="21"/>
      <c r="D230" s="21"/>
      <c r="E230" s="22"/>
      <c r="F230" s="22"/>
      <c r="G230" s="22"/>
      <c r="H230" s="23"/>
      <c r="I230" s="23"/>
      <c r="J230" s="24"/>
      <c r="K230" s="24"/>
      <c r="L230" s="24"/>
      <c r="M230" s="24"/>
      <c r="N230" s="24"/>
      <c r="O230" s="24"/>
      <c r="P230" s="24"/>
      <c r="Q230" s="22"/>
      <c r="R230" s="22"/>
      <c r="S230" s="22"/>
      <c r="T230" s="22"/>
      <c r="U230" s="22"/>
      <c r="V230" s="22"/>
      <c r="W230" s="22"/>
      <c r="X230" s="23"/>
      <c r="Y230" s="22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3"/>
      <c r="AV230" s="23"/>
      <c r="AW230" s="23"/>
      <c r="AX230" s="23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</row>
    <row r="231" spans="1:101" ht="14.4" x14ac:dyDescent="0.3">
      <c r="A231" s="20"/>
      <c r="B231" s="20"/>
      <c r="C231" s="21"/>
      <c r="D231" s="21"/>
      <c r="E231" s="22"/>
      <c r="F231" s="22"/>
      <c r="G231" s="22"/>
      <c r="H231" s="23"/>
      <c r="I231" s="23"/>
      <c r="J231" s="24"/>
      <c r="K231" s="24"/>
      <c r="L231" s="24"/>
      <c r="M231" s="24"/>
      <c r="N231" s="24"/>
      <c r="O231" s="24"/>
      <c r="P231" s="24"/>
      <c r="Q231" s="22"/>
      <c r="R231" s="22"/>
      <c r="S231" s="22"/>
      <c r="T231" s="22"/>
      <c r="U231" s="22"/>
      <c r="V231" s="22"/>
      <c r="W231" s="22"/>
      <c r="X231" s="23"/>
      <c r="Y231" s="22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3"/>
      <c r="AV231" s="23"/>
      <c r="AW231" s="23"/>
      <c r="AX231" s="23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  <c r="CS231" s="24"/>
      <c r="CT231" s="24"/>
      <c r="CU231" s="24"/>
      <c r="CV231" s="24"/>
      <c r="CW231" s="24"/>
    </row>
    <row r="232" spans="1:101" ht="14.4" x14ac:dyDescent="0.3">
      <c r="A232" s="20"/>
      <c r="B232" s="20"/>
      <c r="C232" s="21"/>
      <c r="D232" s="21"/>
      <c r="E232" s="22"/>
      <c r="F232" s="22"/>
      <c r="G232" s="22"/>
      <c r="H232" s="23"/>
      <c r="I232" s="23"/>
      <c r="J232" s="24"/>
      <c r="K232" s="24"/>
      <c r="L232" s="24"/>
      <c r="M232" s="24"/>
      <c r="N232" s="24"/>
      <c r="O232" s="24"/>
      <c r="P232" s="24"/>
      <c r="Q232" s="22"/>
      <c r="R232" s="22"/>
      <c r="S232" s="22"/>
      <c r="T232" s="22"/>
      <c r="U232" s="22"/>
      <c r="V232" s="22"/>
      <c r="W232" s="22"/>
      <c r="X232" s="23"/>
      <c r="Y232" s="22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3"/>
      <c r="AV232" s="23"/>
      <c r="AW232" s="23"/>
      <c r="AX232" s="23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  <c r="CS232" s="24"/>
      <c r="CT232" s="24"/>
      <c r="CU232" s="24"/>
      <c r="CV232" s="24"/>
      <c r="CW232" s="24"/>
    </row>
    <row r="233" spans="1:101" ht="14.4" x14ac:dyDescent="0.3">
      <c r="A233" s="20"/>
      <c r="B233" s="20"/>
      <c r="C233" s="21"/>
      <c r="D233" s="21"/>
      <c r="E233" s="22"/>
      <c r="F233" s="22"/>
      <c r="G233" s="22"/>
      <c r="H233" s="23"/>
      <c r="I233" s="23"/>
      <c r="J233" s="24"/>
      <c r="K233" s="24"/>
      <c r="L233" s="24"/>
      <c r="M233" s="24"/>
      <c r="N233" s="24"/>
      <c r="O233" s="24"/>
      <c r="P233" s="24"/>
      <c r="Q233" s="22"/>
      <c r="R233" s="22"/>
      <c r="S233" s="22"/>
      <c r="T233" s="22"/>
      <c r="U233" s="22"/>
      <c r="V233" s="22"/>
      <c r="W233" s="22"/>
      <c r="X233" s="23"/>
      <c r="Y233" s="22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3"/>
      <c r="AV233" s="23"/>
      <c r="AW233" s="23"/>
      <c r="AX233" s="23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  <c r="CS233" s="24"/>
      <c r="CT233" s="24"/>
      <c r="CU233" s="24"/>
      <c r="CV233" s="24"/>
      <c r="CW233" s="24"/>
    </row>
    <row r="234" spans="1:101" ht="14.4" x14ac:dyDescent="0.3">
      <c r="A234" s="20"/>
      <c r="B234" s="20"/>
      <c r="C234" s="21"/>
      <c r="D234" s="21"/>
      <c r="E234" s="22"/>
      <c r="F234" s="22"/>
      <c r="G234" s="22"/>
      <c r="H234" s="23"/>
      <c r="I234" s="23"/>
      <c r="J234" s="24"/>
      <c r="K234" s="24"/>
      <c r="L234" s="24"/>
      <c r="M234" s="24"/>
      <c r="N234" s="24"/>
      <c r="O234" s="24"/>
      <c r="P234" s="24"/>
      <c r="Q234" s="22"/>
      <c r="R234" s="22"/>
      <c r="S234" s="22"/>
      <c r="T234" s="22"/>
      <c r="U234" s="22"/>
      <c r="V234" s="22"/>
      <c r="W234" s="22"/>
      <c r="X234" s="23"/>
      <c r="Y234" s="22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3"/>
      <c r="AV234" s="23"/>
      <c r="AW234" s="23"/>
      <c r="AX234" s="23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  <c r="CS234" s="24"/>
      <c r="CT234" s="24"/>
      <c r="CU234" s="24"/>
      <c r="CV234" s="24"/>
      <c r="CW234" s="24"/>
    </row>
    <row r="235" spans="1:101" ht="14.4" x14ac:dyDescent="0.3">
      <c r="A235" s="20"/>
      <c r="B235" s="20"/>
      <c r="C235" s="21"/>
      <c r="D235" s="21"/>
      <c r="E235" s="22"/>
      <c r="F235" s="22"/>
      <c r="G235" s="22"/>
      <c r="H235" s="23"/>
      <c r="I235" s="23"/>
      <c r="J235" s="24"/>
      <c r="K235" s="24"/>
      <c r="L235" s="24"/>
      <c r="M235" s="24"/>
      <c r="N235" s="24"/>
      <c r="O235" s="24"/>
      <c r="P235" s="24"/>
      <c r="Q235" s="22"/>
      <c r="R235" s="22"/>
      <c r="S235" s="22"/>
      <c r="T235" s="22"/>
      <c r="U235" s="22"/>
      <c r="V235" s="22"/>
      <c r="W235" s="22"/>
      <c r="X235" s="23"/>
      <c r="Y235" s="22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3"/>
      <c r="AV235" s="23"/>
      <c r="AW235" s="23"/>
      <c r="AX235" s="23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  <c r="CS235" s="24"/>
      <c r="CT235" s="24"/>
      <c r="CU235" s="24"/>
      <c r="CV235" s="24"/>
      <c r="CW235" s="24"/>
    </row>
    <row r="236" spans="1:101" ht="14.4" x14ac:dyDescent="0.3">
      <c r="A236" s="20"/>
      <c r="B236" s="20"/>
      <c r="C236" s="21"/>
      <c r="D236" s="21"/>
      <c r="E236" s="22"/>
      <c r="F236" s="22"/>
      <c r="G236" s="22"/>
      <c r="H236" s="23"/>
      <c r="I236" s="23"/>
      <c r="J236" s="24"/>
      <c r="K236" s="24"/>
      <c r="L236" s="24"/>
      <c r="M236" s="24"/>
      <c r="N236" s="24"/>
      <c r="O236" s="24"/>
      <c r="P236" s="24"/>
      <c r="Q236" s="22"/>
      <c r="R236" s="22"/>
      <c r="S236" s="22"/>
      <c r="T236" s="22"/>
      <c r="U236" s="22"/>
      <c r="V236" s="22"/>
      <c r="W236" s="22"/>
      <c r="X236" s="23"/>
      <c r="Y236" s="22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3"/>
      <c r="AV236" s="23"/>
      <c r="AW236" s="23"/>
      <c r="AX236" s="23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  <c r="CS236" s="24"/>
      <c r="CT236" s="24"/>
      <c r="CU236" s="24"/>
      <c r="CV236" s="24"/>
      <c r="CW236" s="24"/>
    </row>
    <row r="237" spans="1:101" ht="14.4" x14ac:dyDescent="0.3">
      <c r="A237" s="20"/>
      <c r="B237" s="20"/>
      <c r="C237" s="21"/>
      <c r="D237" s="21"/>
      <c r="E237" s="22"/>
      <c r="F237" s="22"/>
      <c r="G237" s="22"/>
      <c r="H237" s="23"/>
      <c r="I237" s="23"/>
      <c r="J237" s="24"/>
      <c r="K237" s="24"/>
      <c r="L237" s="24"/>
      <c r="M237" s="24"/>
      <c r="N237" s="24"/>
      <c r="O237" s="24"/>
      <c r="P237" s="24"/>
      <c r="Q237" s="22"/>
      <c r="R237" s="22"/>
      <c r="S237" s="22"/>
      <c r="T237" s="22"/>
      <c r="U237" s="22"/>
      <c r="V237" s="22"/>
      <c r="W237" s="22"/>
      <c r="X237" s="23"/>
      <c r="Y237" s="22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3"/>
      <c r="AV237" s="23"/>
      <c r="AW237" s="23"/>
      <c r="AX237" s="23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  <c r="CS237" s="24"/>
      <c r="CT237" s="24"/>
      <c r="CU237" s="24"/>
      <c r="CV237" s="24"/>
      <c r="CW237" s="24"/>
    </row>
    <row r="238" spans="1:101" ht="14.4" x14ac:dyDescent="0.3">
      <c r="A238" s="20"/>
      <c r="B238" s="20"/>
      <c r="C238" s="21"/>
      <c r="D238" s="21"/>
      <c r="E238" s="22"/>
      <c r="F238" s="22"/>
      <c r="G238" s="22"/>
      <c r="H238" s="23"/>
      <c r="I238" s="23"/>
      <c r="J238" s="24"/>
      <c r="K238" s="24"/>
      <c r="L238" s="24"/>
      <c r="M238" s="24"/>
      <c r="N238" s="24"/>
      <c r="O238" s="24"/>
      <c r="P238" s="24"/>
      <c r="Q238" s="22"/>
      <c r="R238" s="22"/>
      <c r="S238" s="22"/>
      <c r="T238" s="22"/>
      <c r="U238" s="22"/>
      <c r="V238" s="22"/>
      <c r="W238" s="22"/>
      <c r="X238" s="23"/>
      <c r="Y238" s="22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3"/>
      <c r="AV238" s="23"/>
      <c r="AW238" s="23"/>
      <c r="AX238" s="23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  <c r="CS238" s="24"/>
      <c r="CT238" s="24"/>
      <c r="CU238" s="24"/>
      <c r="CV238" s="24"/>
      <c r="CW238" s="24"/>
    </row>
    <row r="239" spans="1:101" ht="14.4" x14ac:dyDescent="0.3">
      <c r="A239" s="20"/>
      <c r="B239" s="20"/>
      <c r="C239" s="21"/>
      <c r="D239" s="21"/>
      <c r="E239" s="22"/>
      <c r="F239" s="22"/>
      <c r="G239" s="22"/>
      <c r="H239" s="23"/>
      <c r="I239" s="23"/>
      <c r="J239" s="24"/>
      <c r="K239" s="24"/>
      <c r="L239" s="24"/>
      <c r="M239" s="24"/>
      <c r="N239" s="24"/>
      <c r="O239" s="24"/>
      <c r="P239" s="24"/>
      <c r="Q239" s="22"/>
      <c r="R239" s="22"/>
      <c r="S239" s="22"/>
      <c r="T239" s="22"/>
      <c r="U239" s="22"/>
      <c r="V239" s="22"/>
      <c r="W239" s="22"/>
      <c r="X239" s="23"/>
      <c r="Y239" s="22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3"/>
      <c r="AV239" s="23"/>
      <c r="AW239" s="23"/>
      <c r="AX239" s="23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  <c r="CS239" s="24"/>
      <c r="CT239" s="24"/>
      <c r="CU239" s="24"/>
      <c r="CV239" s="24"/>
      <c r="CW239" s="24"/>
    </row>
    <row r="240" spans="1:101" ht="14.4" x14ac:dyDescent="0.3">
      <c r="A240" s="20"/>
      <c r="B240" s="20"/>
      <c r="C240" s="21"/>
      <c r="D240" s="21"/>
      <c r="E240" s="22"/>
      <c r="F240" s="22"/>
      <c r="G240" s="22"/>
      <c r="H240" s="23"/>
      <c r="I240" s="23"/>
      <c r="J240" s="24"/>
      <c r="K240" s="24"/>
      <c r="L240" s="24"/>
      <c r="M240" s="24"/>
      <c r="N240" s="24"/>
      <c r="O240" s="24"/>
      <c r="P240" s="24"/>
      <c r="Q240" s="22"/>
      <c r="R240" s="22"/>
      <c r="S240" s="22"/>
      <c r="T240" s="22"/>
      <c r="U240" s="22"/>
      <c r="V240" s="22"/>
      <c r="W240" s="22"/>
      <c r="X240" s="23"/>
      <c r="Y240" s="22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3"/>
      <c r="AV240" s="23"/>
      <c r="AW240" s="23"/>
      <c r="AX240" s="23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  <c r="CS240" s="24"/>
      <c r="CT240" s="24"/>
      <c r="CU240" s="24"/>
      <c r="CV240" s="24"/>
      <c r="CW240" s="24"/>
    </row>
    <row r="241" spans="1:101" ht="14.4" x14ac:dyDescent="0.3">
      <c r="A241" s="20"/>
      <c r="B241" s="20"/>
      <c r="C241" s="21"/>
      <c r="D241" s="21"/>
      <c r="E241" s="22"/>
      <c r="F241" s="22"/>
      <c r="G241" s="22"/>
      <c r="H241" s="23"/>
      <c r="I241" s="23"/>
      <c r="J241" s="24"/>
      <c r="K241" s="24"/>
      <c r="L241" s="24"/>
      <c r="M241" s="24"/>
      <c r="N241" s="24"/>
      <c r="O241" s="24"/>
      <c r="P241" s="24"/>
      <c r="Q241" s="22"/>
      <c r="R241" s="22"/>
      <c r="S241" s="22"/>
      <c r="T241" s="22"/>
      <c r="U241" s="22"/>
      <c r="V241" s="22"/>
      <c r="W241" s="22"/>
      <c r="X241" s="23"/>
      <c r="Y241" s="22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3"/>
      <c r="AV241" s="23"/>
      <c r="AW241" s="23"/>
      <c r="AX241" s="23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  <c r="CS241" s="24"/>
      <c r="CT241" s="24"/>
      <c r="CU241" s="24"/>
      <c r="CV241" s="24"/>
      <c r="CW241" s="24"/>
    </row>
    <row r="242" spans="1:101" ht="14.4" x14ac:dyDescent="0.3">
      <c r="A242" s="20"/>
      <c r="B242" s="20"/>
      <c r="C242" s="21"/>
      <c r="D242" s="21"/>
      <c r="E242" s="22"/>
      <c r="F242" s="22"/>
      <c r="G242" s="22"/>
      <c r="H242" s="23"/>
      <c r="I242" s="23"/>
      <c r="J242" s="24"/>
      <c r="K242" s="24"/>
      <c r="L242" s="24"/>
      <c r="M242" s="24"/>
      <c r="N242" s="24"/>
      <c r="O242" s="24"/>
      <c r="P242" s="24"/>
      <c r="Q242" s="22"/>
      <c r="R242" s="22"/>
      <c r="S242" s="22"/>
      <c r="T242" s="22"/>
      <c r="U242" s="22"/>
      <c r="V242" s="22"/>
      <c r="W242" s="22"/>
      <c r="X242" s="23"/>
      <c r="Y242" s="22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3"/>
      <c r="AV242" s="23"/>
      <c r="AW242" s="23"/>
      <c r="AX242" s="23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  <c r="CS242" s="24"/>
      <c r="CT242" s="24"/>
      <c r="CU242" s="24"/>
      <c r="CV242" s="24"/>
      <c r="CW242" s="24"/>
    </row>
    <row r="243" spans="1:101" ht="14.4" x14ac:dyDescent="0.3">
      <c r="A243" s="20"/>
      <c r="B243" s="20"/>
      <c r="C243" s="21"/>
      <c r="D243" s="21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3"/>
      <c r="Y243" s="22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3"/>
      <c r="AV243" s="23"/>
      <c r="AW243" s="23"/>
      <c r="AX243" s="23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  <c r="CS243" s="24"/>
      <c r="CT243" s="24"/>
      <c r="CU243" s="24"/>
      <c r="CV243" s="24"/>
      <c r="CW243" s="24"/>
    </row>
    <row r="244" spans="1:101" ht="14.4" x14ac:dyDescent="0.3">
      <c r="A244" s="20"/>
      <c r="B244" s="20"/>
      <c r="C244" s="21"/>
      <c r="D244" s="21"/>
      <c r="E244" s="22"/>
      <c r="F244" s="22"/>
      <c r="G244" s="22"/>
      <c r="H244" s="23"/>
      <c r="I244" s="23"/>
      <c r="J244" s="24"/>
      <c r="K244" s="24"/>
      <c r="L244" s="24"/>
      <c r="M244" s="24"/>
      <c r="N244" s="24"/>
      <c r="O244" s="24"/>
      <c r="P244" s="24"/>
      <c r="Q244" s="22"/>
      <c r="R244" s="22"/>
      <c r="S244" s="22"/>
      <c r="T244" s="22"/>
      <c r="U244" s="22"/>
      <c r="V244" s="22"/>
      <c r="W244" s="22"/>
      <c r="X244" s="23"/>
      <c r="Y244" s="22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3"/>
      <c r="AV244" s="23"/>
      <c r="AW244" s="23"/>
      <c r="AX244" s="23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  <c r="CS244" s="24"/>
      <c r="CT244" s="24"/>
      <c r="CU244" s="24"/>
      <c r="CV244" s="24"/>
      <c r="CW244" s="24"/>
    </row>
    <row r="245" spans="1:101" ht="14.4" x14ac:dyDescent="0.3">
      <c r="A245" s="20"/>
      <c r="B245" s="20"/>
      <c r="C245" s="21"/>
      <c r="D245" s="21"/>
      <c r="E245" s="22"/>
      <c r="F245" s="22"/>
      <c r="G245" s="22"/>
      <c r="H245" s="23"/>
      <c r="I245" s="23"/>
      <c r="J245" s="24"/>
      <c r="K245" s="24"/>
      <c r="L245" s="24"/>
      <c r="M245" s="24"/>
      <c r="N245" s="24"/>
      <c r="O245" s="24"/>
      <c r="P245" s="24"/>
      <c r="Q245" s="22"/>
      <c r="R245" s="22"/>
      <c r="S245" s="22"/>
      <c r="T245" s="22"/>
      <c r="U245" s="22"/>
      <c r="V245" s="22"/>
      <c r="W245" s="22"/>
      <c r="X245" s="23"/>
      <c r="Y245" s="22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3"/>
      <c r="AV245" s="23"/>
      <c r="AW245" s="23"/>
      <c r="AX245" s="23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  <c r="CS245" s="24"/>
      <c r="CT245" s="24"/>
      <c r="CU245" s="24"/>
      <c r="CV245" s="24"/>
      <c r="CW245" s="24"/>
    </row>
    <row r="246" spans="1:101" ht="14.4" x14ac:dyDescent="0.3">
      <c r="A246" s="20"/>
      <c r="B246" s="20"/>
      <c r="C246" s="21"/>
      <c r="D246" s="21"/>
      <c r="E246" s="22"/>
      <c r="F246" s="22"/>
      <c r="G246" s="22"/>
      <c r="H246" s="23"/>
      <c r="I246" s="23"/>
      <c r="J246" s="24"/>
      <c r="K246" s="24"/>
      <c r="L246" s="24"/>
      <c r="M246" s="24"/>
      <c r="N246" s="24"/>
      <c r="O246" s="24"/>
      <c r="P246" s="24"/>
      <c r="Q246" s="22"/>
      <c r="R246" s="22"/>
      <c r="S246" s="22"/>
      <c r="T246" s="22"/>
      <c r="U246" s="22"/>
      <c r="V246" s="22"/>
      <c r="W246" s="22"/>
      <c r="X246" s="23"/>
      <c r="Y246" s="22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3"/>
      <c r="AV246" s="23"/>
      <c r="AW246" s="23"/>
      <c r="AX246" s="23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  <c r="CS246" s="24"/>
      <c r="CT246" s="24"/>
      <c r="CU246" s="24"/>
      <c r="CV246" s="24"/>
      <c r="CW246" s="24"/>
    </row>
    <row r="247" spans="1:101" ht="14.4" x14ac:dyDescent="0.3">
      <c r="A247" s="20"/>
      <c r="B247" s="20"/>
      <c r="C247" s="21"/>
      <c r="D247" s="21"/>
      <c r="E247" s="22"/>
      <c r="F247" s="22"/>
      <c r="G247" s="22"/>
      <c r="H247" s="23"/>
      <c r="I247" s="23"/>
      <c r="J247" s="24"/>
      <c r="K247" s="24"/>
      <c r="L247" s="24"/>
      <c r="M247" s="24"/>
      <c r="N247" s="24"/>
      <c r="O247" s="24"/>
      <c r="P247" s="24"/>
      <c r="Q247" s="22"/>
      <c r="R247" s="22"/>
      <c r="S247" s="22"/>
      <c r="T247" s="22"/>
      <c r="U247" s="22"/>
      <c r="V247" s="22"/>
      <c r="W247" s="22"/>
      <c r="X247" s="23"/>
      <c r="Y247" s="22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3"/>
      <c r="AV247" s="23"/>
      <c r="AW247" s="23"/>
      <c r="AX247" s="23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  <c r="CS247" s="24"/>
      <c r="CT247" s="24"/>
      <c r="CU247" s="24"/>
      <c r="CV247" s="24"/>
      <c r="CW247" s="24"/>
    </row>
    <row r="248" spans="1:101" ht="14.4" x14ac:dyDescent="0.3">
      <c r="A248" s="20"/>
      <c r="B248" s="20"/>
      <c r="C248" s="21"/>
      <c r="D248" s="21"/>
      <c r="E248" s="22"/>
      <c r="F248" s="22"/>
      <c r="G248" s="22"/>
      <c r="H248" s="23"/>
      <c r="I248" s="23"/>
      <c r="J248" s="24"/>
      <c r="K248" s="24"/>
      <c r="L248" s="24"/>
      <c r="M248" s="24"/>
      <c r="N248" s="24"/>
      <c r="O248" s="24"/>
      <c r="P248" s="24"/>
      <c r="Q248" s="22"/>
      <c r="R248" s="22"/>
      <c r="S248" s="22"/>
      <c r="T248" s="22"/>
      <c r="U248" s="22"/>
      <c r="V248" s="22"/>
      <c r="W248" s="22"/>
      <c r="X248" s="23"/>
      <c r="Y248" s="22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3"/>
      <c r="AV248" s="23"/>
      <c r="AW248" s="23"/>
      <c r="AX248" s="23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  <c r="CS248" s="24"/>
      <c r="CT248" s="24"/>
      <c r="CU248" s="24"/>
      <c r="CV248" s="24"/>
      <c r="CW248" s="24"/>
    </row>
    <row r="249" spans="1:101" ht="14.4" x14ac:dyDescent="0.3">
      <c r="A249" s="20"/>
      <c r="B249" s="20"/>
      <c r="C249" s="21"/>
      <c r="D249" s="21"/>
      <c r="E249" s="22"/>
      <c r="F249" s="22"/>
      <c r="G249" s="22"/>
      <c r="H249" s="23"/>
      <c r="I249" s="23"/>
      <c r="J249" s="24"/>
      <c r="K249" s="24"/>
      <c r="L249" s="24"/>
      <c r="M249" s="24"/>
      <c r="N249" s="24"/>
      <c r="O249" s="24"/>
      <c r="P249" s="24"/>
      <c r="Q249" s="22"/>
      <c r="R249" s="22"/>
      <c r="S249" s="22"/>
      <c r="T249" s="22"/>
      <c r="U249" s="22"/>
      <c r="V249" s="22"/>
      <c r="W249" s="22"/>
      <c r="X249" s="23"/>
      <c r="Y249" s="22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3"/>
      <c r="AV249" s="23"/>
      <c r="AW249" s="23"/>
      <c r="AX249" s="23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  <c r="CS249" s="24"/>
      <c r="CT249" s="24"/>
      <c r="CU249" s="24"/>
      <c r="CV249" s="24"/>
      <c r="CW249" s="24"/>
    </row>
    <row r="250" spans="1:101" ht="14.4" x14ac:dyDescent="0.3">
      <c r="A250" s="20"/>
      <c r="B250" s="20"/>
      <c r="C250" s="21"/>
      <c r="D250" s="21"/>
      <c r="E250" s="22"/>
      <c r="F250" s="22"/>
      <c r="G250" s="22"/>
      <c r="H250" s="23"/>
      <c r="I250" s="23"/>
      <c r="J250" s="24"/>
      <c r="K250" s="24"/>
      <c r="L250" s="24"/>
      <c r="M250" s="24"/>
      <c r="N250" s="24"/>
      <c r="O250" s="24"/>
      <c r="P250" s="24"/>
      <c r="Q250" s="22"/>
      <c r="R250" s="22"/>
      <c r="S250" s="22"/>
      <c r="T250" s="22"/>
      <c r="U250" s="22"/>
      <c r="V250" s="22"/>
      <c r="W250" s="22"/>
      <c r="X250" s="23"/>
      <c r="Y250" s="22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3"/>
      <c r="AV250" s="23"/>
      <c r="AW250" s="23"/>
      <c r="AX250" s="23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  <c r="CS250" s="24"/>
      <c r="CT250" s="24"/>
      <c r="CU250" s="24"/>
      <c r="CV250" s="24"/>
      <c r="CW250" s="24"/>
    </row>
    <row r="251" spans="1:101" ht="14.4" x14ac:dyDescent="0.3">
      <c r="A251" s="20"/>
      <c r="B251" s="20"/>
      <c r="C251" s="21"/>
      <c r="D251" s="21"/>
      <c r="E251" s="22"/>
      <c r="F251" s="22"/>
      <c r="G251" s="22"/>
      <c r="H251" s="23"/>
      <c r="I251" s="23"/>
      <c r="J251" s="24"/>
      <c r="K251" s="24"/>
      <c r="L251" s="24"/>
      <c r="M251" s="24"/>
      <c r="N251" s="24"/>
      <c r="O251" s="24"/>
      <c r="P251" s="24"/>
      <c r="Q251" s="22"/>
      <c r="R251" s="22"/>
      <c r="S251" s="22"/>
      <c r="T251" s="22"/>
      <c r="U251" s="22"/>
      <c r="V251" s="22"/>
      <c r="W251" s="22"/>
      <c r="X251" s="23"/>
      <c r="Y251" s="22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3"/>
      <c r="AV251" s="23"/>
      <c r="AW251" s="23"/>
      <c r="AX251" s="23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  <c r="CS251" s="24"/>
      <c r="CT251" s="24"/>
      <c r="CU251" s="24"/>
      <c r="CV251" s="24"/>
      <c r="CW251" s="24"/>
    </row>
  </sheetData>
  <autoFilter ref="A1:D242" xr:uid="{00000000-0001-0000-0200-000000000000}"/>
  <customSheetViews>
    <customSheetView guid="{5B60A9D9-7B95-4E78-AE9E-014FF8DB45B4}" filter="1" showAutoFilter="1">
      <pageMargins left="0.7" right="0.7" top="0.75" bottom="0.75" header="0.3" footer="0.3"/>
      <autoFilter ref="O1:O1681" xr:uid="{9E2907C5-416F-46CB-82A2-787354FC6E0C}"/>
    </customSheetView>
  </customSheetViews>
  <conditionalFormatting sqref="E243:P243">
    <cfRule type="colorScale" priority="8">
      <colorScale>
        <cfvo type="min"/>
        <cfvo type="max"/>
        <color rgb="FFFFFFFF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Counts</vt:lpstr>
      <vt:lpstr>Density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Farid Aboharb</cp:lastModifiedBy>
  <dcterms:modified xsi:type="dcterms:W3CDTF">2023-03-06T14:34:08Z</dcterms:modified>
</cp:coreProperties>
</file>