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EE26B109-1E8C-461B-A196-BA1B8B2440FE}" xr6:coauthVersionLast="47" xr6:coauthVersionMax="47" xr10:uidLastSave="{00000000-0000-0000-0000-000000000000}"/>
  <bookViews>
    <workbookView xWindow="67485" yWindow="-15210" windowWidth="7500" windowHeight="6000" firstSheet="6" activeTab="6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state="hidden" r:id="rId4"/>
    <sheet name="KWENTA - Decay" sheetId="7" state="hidden" r:id="rId5"/>
    <sheet name="KWENTA - Final" sheetId="8" state="hidden" r:id="rId6"/>
    <sheet name="KWENTA - Epoch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K26" i="9"/>
  <c r="K3" i="9"/>
  <c r="I15" i="9" l="1"/>
  <c r="K17" i="9"/>
  <c r="K20" i="9"/>
  <c r="H22" i="9"/>
  <c r="C18" i="9"/>
  <c r="C16" i="9"/>
  <c r="C21" i="9" s="1"/>
  <c r="C27" i="9" s="1"/>
  <c r="G14" i="9"/>
  <c r="K14" i="9" s="1"/>
  <c r="C13" i="9"/>
  <c r="C25" i="9" s="1"/>
  <c r="K8" i="9"/>
  <c r="H3" i="9"/>
  <c r="I3" i="9" s="1"/>
  <c r="K23" i="9"/>
  <c r="K15" i="9"/>
  <c r="K12" i="9"/>
  <c r="I12" i="9"/>
  <c r="K11" i="9"/>
  <c r="I11" i="9"/>
  <c r="K9" i="9"/>
  <c r="I9" i="9"/>
  <c r="I8" i="9"/>
  <c r="O31" i="8"/>
  <c r="N31" i="8"/>
  <c r="N23" i="8"/>
  <c r="N22" i="8"/>
  <c r="N20" i="8"/>
  <c r="N19" i="8"/>
  <c r="N17" i="8"/>
  <c r="N16" i="8"/>
  <c r="N14" i="8"/>
  <c r="N15" i="8"/>
  <c r="N12" i="8"/>
  <c r="N11" i="8"/>
  <c r="I40" i="8"/>
  <c r="I39" i="8"/>
  <c r="G40" i="8"/>
  <c r="K23" i="8"/>
  <c r="K22" i="8"/>
  <c r="I23" i="8"/>
  <c r="I22" i="8"/>
  <c r="K20" i="8"/>
  <c r="M20" i="8" s="1"/>
  <c r="K19" i="8"/>
  <c r="I20" i="8"/>
  <c r="I19" i="8"/>
  <c r="K17" i="8"/>
  <c r="K16" i="8"/>
  <c r="I17" i="8"/>
  <c r="I16" i="8"/>
  <c r="K15" i="8"/>
  <c r="K14" i="8"/>
  <c r="I15" i="8"/>
  <c r="I14" i="8"/>
  <c r="J23" i="8"/>
  <c r="J22" i="8"/>
  <c r="J20" i="8"/>
  <c r="J19" i="8"/>
  <c r="J17" i="8"/>
  <c r="M17" i="8" s="1"/>
  <c r="J16" i="8"/>
  <c r="J15" i="8"/>
  <c r="J14" i="8"/>
  <c r="I11" i="8"/>
  <c r="J12" i="8"/>
  <c r="K12" i="8" s="1"/>
  <c r="M12" i="8" s="1"/>
  <c r="I12" i="8"/>
  <c r="J11" i="8"/>
  <c r="K11" i="8" s="1"/>
  <c r="M11" i="8" s="1"/>
  <c r="M9" i="8"/>
  <c r="M8" i="8"/>
  <c r="J9" i="8"/>
  <c r="K9" i="8" s="1"/>
  <c r="J8" i="8"/>
  <c r="K8" i="8" s="1"/>
  <c r="I8" i="8"/>
  <c r="E31" i="8"/>
  <c r="E30" i="8"/>
  <c r="L28" i="8"/>
  <c r="K28" i="8"/>
  <c r="L27" i="8"/>
  <c r="H23" i="8"/>
  <c r="H22" i="8"/>
  <c r="P20" i="8"/>
  <c r="P21" i="8" s="1"/>
  <c r="H20" i="8"/>
  <c r="H19" i="8"/>
  <c r="Q17" i="8"/>
  <c r="Q18" i="8" s="1"/>
  <c r="Q19" i="8" s="1"/>
  <c r="Q20" i="8" s="1"/>
  <c r="H17" i="8"/>
  <c r="H16" i="8"/>
  <c r="H15" i="8"/>
  <c r="H14" i="8"/>
  <c r="H12" i="8"/>
  <c r="H11" i="8"/>
  <c r="R9" i="8"/>
  <c r="R10" i="8" s="1"/>
  <c r="Q9" i="8"/>
  <c r="H9" i="8"/>
  <c r="I9" i="8" s="1"/>
  <c r="R8" i="8"/>
  <c r="Q8" i="8"/>
  <c r="H8" i="8"/>
  <c r="I14" i="9" l="1"/>
  <c r="J15" i="9"/>
  <c r="G16" i="9"/>
  <c r="J11" i="9"/>
  <c r="N11" i="9" s="1"/>
  <c r="J12" i="9"/>
  <c r="J8" i="9"/>
  <c r="N8" i="9" s="1"/>
  <c r="J14" i="9"/>
  <c r="J9" i="9"/>
  <c r="M23" i="8"/>
  <c r="M22" i="8"/>
  <c r="M19" i="8"/>
  <c r="M16" i="8"/>
  <c r="M15" i="8"/>
  <c r="M14" i="8"/>
  <c r="Q10" i="8"/>
  <c r="Q12" i="8" s="1"/>
  <c r="Q13" i="8" s="1"/>
  <c r="Q21" i="8"/>
  <c r="E31" i="6"/>
  <c r="E30" i="6"/>
  <c r="I16" i="9" l="1"/>
  <c r="K16" i="9"/>
  <c r="N14" i="9"/>
  <c r="I17" i="9"/>
  <c r="J17" i="9" s="1"/>
  <c r="N17" i="9" s="1"/>
  <c r="J16" i="9"/>
  <c r="N16" i="9" s="1"/>
  <c r="G19" i="9"/>
  <c r="N15" i="9"/>
  <c r="N9" i="9"/>
  <c r="N12" i="9"/>
  <c r="N8" i="8"/>
  <c r="Q21" i="6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I19" i="9" l="1"/>
  <c r="K19" i="9"/>
  <c r="O9" i="9"/>
  <c r="G22" i="9"/>
  <c r="J19" i="9"/>
  <c r="N19" i="9" s="1"/>
  <c r="I20" i="9"/>
  <c r="J20" i="9" s="1"/>
  <c r="N20" i="9" s="1"/>
  <c r="O12" i="9"/>
  <c r="O15" i="9" s="1"/>
  <c r="O17" i="9" s="1"/>
  <c r="O8" i="9"/>
  <c r="O11" i="9" s="1"/>
  <c r="O14" i="9" s="1"/>
  <c r="N9" i="8"/>
  <c r="F27" i="8"/>
  <c r="F26" i="8"/>
  <c r="J14" i="7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G25" i="9" l="1"/>
  <c r="I23" i="9"/>
  <c r="J23" i="9" s="1"/>
  <c r="I22" i="9"/>
  <c r="J22" i="9" s="1"/>
  <c r="O16" i="9"/>
  <c r="O19" i="9" s="1"/>
  <c r="P15" i="9"/>
  <c r="K25" i="9"/>
  <c r="K22" i="9"/>
  <c r="O20" i="9"/>
  <c r="F28" i="8"/>
  <c r="N9" i="7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L26" i="9" l="1"/>
  <c r="L34" i="9"/>
  <c r="L25" i="9"/>
  <c r="I25" i="9"/>
  <c r="J25" i="9" s="1"/>
  <c r="I26" i="9"/>
  <c r="J26" i="9" s="1"/>
  <c r="P20" i="9"/>
  <c r="N25" i="9"/>
  <c r="N26" i="9"/>
  <c r="N23" i="9"/>
  <c r="G31" i="9" s="1"/>
  <c r="L22" i="9"/>
  <c r="N22" i="9" s="1"/>
  <c r="G30" i="9" s="1"/>
  <c r="P12" i="7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G32" i="9" l="1"/>
  <c r="O23" i="9"/>
  <c r="O26" i="9" s="1"/>
  <c r="O22" i="9"/>
  <c r="O25" i="9" s="1"/>
  <c r="F28" i="6"/>
  <c r="L13" i="5"/>
  <c r="L15" i="5" s="1"/>
  <c r="L16" i="5"/>
  <c r="I19" i="5"/>
  <c r="K19" i="5" s="1"/>
  <c r="I18" i="5"/>
  <c r="K18" i="5" s="1"/>
  <c r="P26" i="9" l="1"/>
  <c r="L19" i="5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<sst xmlns="http://schemas.openxmlformats.org/spreadsheetml/2006/main" count="252" uniqueCount="67">
  <si>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</si>
  <si>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</si>
  <si>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</si>
  <si>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</si>
  <si>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</si>
  <si>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</si>
  <si>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</si>
  <si>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</si>
  <si>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</si>
  <si>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</si>
  <si>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</si>
  <si>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</si>
  <si>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</si>
  <si>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</si>
  <si>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</si>
  <si>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</si>
  <si>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</si>
  <si>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</si>
  <si>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</si>
  <si>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</si>
  <si>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</si>
  <si>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</si>
  <si>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</si>
  <si>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</si>
  <si>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</si>
  <si>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</si>
  <si>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</si>
  <si>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</si>
  <si>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</si>
  <si>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</si>
  <si>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</si>
  <si>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</si>
  <si>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</si>
  <si>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</si>
  <si>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</si>
  <si>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</si>
  <si>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</si>
  <si>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</si>
  <si>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</si>
  <si>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</si>
  <si>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</si>
  <si>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</si>
  <si>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</si>
  <si>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</si>
  <si>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</si>
  <si>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</si>
  <si>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</si>
  <si>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</si>
  <si>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</si>
  <si>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</si>
  <si>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</si>
  <si>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</si>
  <si>
    <t xml:space="preserve">staking % </t>
  </si>
  <si>
    <t xml:space="preserve">trading % </t>
  </si>
  <si>
    <t>alpha</t>
  </si>
  <si>
    <t>1-alpha</t>
  </si>
  <si>
    <t>staking Reward</t>
  </si>
  <si>
    <t>rewardScore</t>
  </si>
  <si>
    <t>trading Rewards</t>
  </si>
  <si>
    <t>Epoch</t>
  </si>
  <si>
    <t>Both Trade</t>
  </si>
  <si>
    <t>Set reward</t>
  </si>
  <si>
    <t>Staker 1 withdraws half</t>
  </si>
  <si>
    <t>Staker 2 trades</t>
  </si>
  <si>
    <t>Staker 2 withdraws all</t>
  </si>
  <si>
    <t>Staker 2 trades and stakes</t>
  </si>
  <si>
    <t>Staker 1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</si>
</sst>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0" formatCode="0.000000"/>
    <numFmt numFmtId="171" formatCode="_(* #,##0_);_(* \(#,##0\);_(* &quot;-&quot;??_);_(@_)"/>
    <numFmt numFmtId="172" formatCode="0.000E+00"/>
    <numFmt numFmtId="173" formatCode="#,##0.00000"/>
    <numFmt numFmtId="174" formatCode="#,##0.000000000"/>
    <numFmt numFmtId="176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0" fontId="0" fillId="2" borderId="0" xfId="0" applyNumberFormat="1" applyFill="1"/>
    <xf numFmtId="171" fontId="0" fillId="2" borderId="0" xfId="1" applyNumberFormat="1" applyFont="1" applyFill="1"/>
    <xf numFmtId="172" fontId="0" fillId="2" borderId="0" xfId="0" applyNumberFormat="1" applyFill="1"/>
    <xf numFmtId="173" fontId="0" fillId="2" borderId="7" xfId="0" applyNumberFormat="1" applyFill="1" applyBorder="1"/>
    <xf numFmtId="9" fontId="0" fillId="2" borderId="0" xfId="0" applyNumberFormat="1" applyFill="1"/>
    <xf numFmtId="173" fontId="0" fillId="2" borderId="0" xfId="0" applyNumberFormat="1" applyFill="1"/>
    <xf numFmtId="0" fontId="1" fillId="2" borderId="15" xfId="0" applyFont="1" applyFill="1" applyBorder="1"/>
    <xf numFmtId="0" fontId="1" fillId="2" borderId="16" xfId="0" applyFont="1" applyFill="1" applyBorder="1"/>
    <xf numFmtId="4" fontId="0" fillId="2" borderId="7" xfId="0" applyNumberFormat="1" applyFill="1" applyBorder="1"/>
    <xf numFmtId="4" fontId="0" fillId="2" borderId="9" xfId="0" applyNumberFormat="1" applyFill="1" applyBorder="1"/>
    <xf numFmtId="2" fontId="1" fillId="2" borderId="9" xfId="0" applyNumberFormat="1" applyFont="1" applyFill="1" applyBorder="1"/>
    <xf numFmtId="4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3" borderId="0" xfId="0" applyFill="1" applyBorder="1"/>
    <xf numFmtId="0" fontId="0" fillId="3" borderId="6" xfId="0" applyFill="1" applyBorder="1"/>
    <xf numFmtId="11" fontId="0" fillId="3" borderId="0" xfId="0" applyNumberFormat="1" applyFill="1" applyBorder="1"/>
    <xf numFmtId="4" fontId="0" fillId="3" borderId="0" xfId="0" applyNumberFormat="1" applyFill="1" applyBorder="1"/>
    <xf numFmtId="4" fontId="0" fillId="3" borderId="7" xfId="0" applyNumberFormat="1" applyFill="1" applyBorder="1"/>
    <xf numFmtId="0" fontId="1" fillId="3" borderId="6" xfId="0" applyFont="1" applyFill="1" applyBorder="1"/>
    <xf numFmtId="0" fontId="1" fillId="3" borderId="15" xfId="0" applyFont="1" applyFill="1" applyBorder="1"/>
    <xf numFmtId="0" fontId="1" fillId="4" borderId="6" xfId="0" applyFont="1" applyFill="1" applyBorder="1"/>
    <xf numFmtId="0" fontId="1" fillId="4" borderId="15" xfId="0" applyFont="1" applyFill="1" applyBorder="1"/>
    <xf numFmtId="0" fontId="0" fillId="4" borderId="0" xfId="0" applyFill="1" applyBorder="1"/>
    <xf numFmtId="0" fontId="0" fillId="4" borderId="6" xfId="0" applyFill="1" applyBorder="1"/>
    <xf numFmtId="4" fontId="0" fillId="4" borderId="0" xfId="0" applyNumberFormat="1" applyFill="1" applyBorder="1"/>
    <xf numFmtId="4" fontId="0" fillId="4" borderId="7" xfId="0" applyNumberFormat="1" applyFill="1" applyBorder="1"/>
    <xf numFmtId="174" fontId="0" fillId="4" borderId="0" xfId="0" applyNumberFormat="1" applyFill="1" applyBorder="1"/>
    <xf numFmtId="174" fontId="0" fillId="0" borderId="0" xfId="0" applyNumberFormat="1"/>
    <xf numFmtId="176" fontId="0" fillId="2" borderId="7" xfId="0" applyNumberFormat="1" applyFill="1" applyBorder="1"/>
    <xf numFmtId="176" fontId="0" fillId="2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opLeftCell="D1" zoomScale="70" zoomScaleNormal="70" workbookViewId="0">
      <selection sqref="A1:T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5C9-D190-4388-8820-6AF1434A50B5}">
  <dimension ref="A1:S40"/>
  <sheetViews>
    <sheetView zoomScale="70" zoomScaleNormal="70" workbookViewId="0">
      <selection sqref="A1:N28"/>
    </sheetView>
  </sheetViews>
  <sheetFormatPr defaultRowHeight="14.75" x14ac:dyDescent="0.75"/>
  <cols>
    <col min="2" max="2" width="9.58984375" bestFit="1" customWidth="1"/>
    <col min="3" max="3" width="27.31640625" bestFit="1" customWidth="1"/>
    <col min="5" max="5" width="16.26953125" bestFit="1" customWidth="1"/>
    <col min="6" max="6" width="10.54296875" bestFit="1" customWidth="1"/>
    <col min="7" max="7" width="10.81640625" bestFit="1" customWidth="1"/>
    <col min="8" max="8" width="14.6328125" bestFit="1" customWidth="1"/>
    <col min="9" max="9" width="18.1796875" bestFit="1" customWidth="1"/>
    <col min="10" max="10" width="15.1796875" bestFit="1" customWidth="1"/>
    <col min="11" max="11" width="19.1328125" bestFit="1" customWidth="1"/>
    <col min="12" max="12" width="26.90625" bestFit="1" customWidth="1"/>
    <col min="13" max="13" width="10" bestFit="1" customWidth="1"/>
    <col min="14" max="14" width="25.40625" bestFit="1" customWidth="1"/>
    <col min="15" max="15" width="10" bestFit="1" customWidth="1"/>
    <col min="16" max="16" width="15.453125" bestFit="1" customWidth="1"/>
    <col min="17" max="18" width="14.08984375" bestFit="1" customWidth="1"/>
  </cols>
  <sheetData>
    <row r="1" spans="1:19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51"/>
      <c r="N1" s="49"/>
      <c r="O1" s="49"/>
      <c r="P1" s="49"/>
      <c r="Q1" s="49"/>
      <c r="R1" s="49"/>
      <c r="S1" s="49"/>
    </row>
    <row r="2" spans="1:19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52</v>
      </c>
      <c r="J2" s="52" t="s">
        <v>53</v>
      </c>
      <c r="K2" s="52" t="s">
        <v>54</v>
      </c>
      <c r="L2" s="52" t="s">
        <v>55</v>
      </c>
      <c r="M2" s="51"/>
      <c r="N2" s="49"/>
      <c r="O2" s="49"/>
      <c r="P2" s="49"/>
      <c r="Q2" s="49"/>
      <c r="R2" s="49"/>
      <c r="S2" s="49"/>
    </row>
    <row r="3" spans="1:19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85">
        <v>0.8</v>
      </c>
      <c r="J3" s="85">
        <v>0.2</v>
      </c>
      <c r="K3" s="49">
        <v>0.7</v>
      </c>
      <c r="L3" s="49">
        <v>0.3</v>
      </c>
      <c r="M3" s="54"/>
      <c r="N3" s="49"/>
      <c r="O3" s="49"/>
      <c r="P3" s="49"/>
      <c r="Q3" s="49"/>
      <c r="R3" s="49"/>
      <c r="S3" s="49"/>
    </row>
    <row r="4" spans="1:19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51"/>
      <c r="N4" s="50"/>
      <c r="O4" s="49"/>
      <c r="P4" s="49"/>
      <c r="Q4" s="49"/>
      <c r="R4" s="49"/>
      <c r="S4" s="49"/>
    </row>
    <row r="5" spans="1:19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8"/>
      <c r="N5" s="58"/>
      <c r="O5" s="49"/>
      <c r="P5" s="49"/>
      <c r="Q5" s="49"/>
      <c r="R5" s="49"/>
      <c r="S5" s="49"/>
    </row>
    <row r="6" spans="1:19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51"/>
      <c r="N6" s="49"/>
      <c r="O6" s="49"/>
      <c r="P6" s="49"/>
      <c r="Q6" s="49"/>
      <c r="R6" s="49"/>
      <c r="S6" s="49"/>
    </row>
    <row r="7" spans="1:19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56</v>
      </c>
      <c r="J7" s="60" t="s">
        <v>57</v>
      </c>
      <c r="K7" s="61" t="s">
        <v>58</v>
      </c>
      <c r="L7" s="60"/>
      <c r="M7" s="62" t="s">
        <v>6</v>
      </c>
      <c r="N7" s="63" t="s">
        <v>40</v>
      </c>
      <c r="O7" s="49"/>
      <c r="P7" s="49"/>
      <c r="Q7" s="49"/>
      <c r="R7" s="49"/>
      <c r="S7" s="49"/>
    </row>
    <row r="8" spans="1:19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+$I$3*$H$3*H8*60</f>
        <v>24</v>
      </c>
      <c r="J8" s="68">
        <f>+((G8/1000000000000000000)^$K$3)*((F8/1000000000000000000)^$L$3)</f>
        <v>18.991444823309347</v>
      </c>
      <c r="K8" s="68">
        <f>+$J$3*$H$3*J8/SUM(J8:J9)*60</f>
        <v>4.5722911359585643</v>
      </c>
      <c r="L8" s="68"/>
      <c r="M8" s="68">
        <f>+K8+I8</f>
        <v>28.572291135958565</v>
      </c>
      <c r="N8" s="71">
        <f>+M8</f>
        <v>28.572291135958565</v>
      </c>
      <c r="O8" s="49"/>
      <c r="P8" s="49"/>
      <c r="Q8" s="49">
        <f>10^0.7</f>
        <v>5.0118723362727229</v>
      </c>
      <c r="R8" s="49">
        <f>10^0.7</f>
        <v>5.0118723362727229</v>
      </c>
      <c r="S8" s="49"/>
    </row>
    <row r="9" spans="1:19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+$I$3*$H$3*H9*60</f>
        <v>24</v>
      </c>
      <c r="J9" s="68">
        <f>+((G9/1000000000000000000)^$K$3)*((F9/1000000000000000000)^$L$3)</f>
        <v>30.851693136000481</v>
      </c>
      <c r="K9" s="68">
        <f>+$J$3*$H$3*J9/SUM(J8:J9)*60</f>
        <v>7.4277088640414357</v>
      </c>
      <c r="L9" s="68"/>
      <c r="M9" s="68">
        <f>+K9+I9</f>
        <v>31.427708864041435</v>
      </c>
      <c r="N9" s="71">
        <f>+M9</f>
        <v>31.427708864041435</v>
      </c>
      <c r="O9" s="49"/>
      <c r="P9" s="49"/>
      <c r="Q9" s="49">
        <f>25^0.3</f>
        <v>2.626527804403767</v>
      </c>
      <c r="R9" s="49">
        <f>50^0.3</f>
        <v>3.2336350328867871</v>
      </c>
      <c r="S9" s="49"/>
    </row>
    <row r="10" spans="1:19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71"/>
      <c r="O10" s="49"/>
      <c r="P10" s="49"/>
      <c r="Q10" s="49">
        <f>+Q9*Q8</f>
        <v>13.163822043342373</v>
      </c>
      <c r="R10" s="49">
        <f>+R9*R8</f>
        <v>16.206565966927624</v>
      </c>
      <c r="S10" s="49"/>
    </row>
    <row r="11" spans="1:19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+$I$3*$H$3*H11*60</f>
        <v>40.000000000000007</v>
      </c>
      <c r="J11" s="68">
        <f>+((G11/1000000000000000000)^$K$3)*((F11/1000000000000000000)^$L$3)</f>
        <v>30.778610333622904</v>
      </c>
      <c r="K11" s="68">
        <f>+$J$3*$H$3*J11/SUM(J11:J12)*60</f>
        <v>5.9928850453497837</v>
      </c>
      <c r="L11" s="68"/>
      <c r="M11" s="68">
        <f>+K11+I11</f>
        <v>45.992885045349794</v>
      </c>
      <c r="N11" s="71">
        <f>+M11+N8</f>
        <v>74.56517618130836</v>
      </c>
      <c r="O11" s="49"/>
      <c r="P11" s="49"/>
      <c r="Q11" s="49"/>
      <c r="R11" s="49"/>
      <c r="S11" s="49"/>
    </row>
    <row r="12" spans="1:19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+$I$3*$H$3*H12*60</f>
        <v>8</v>
      </c>
      <c r="J12" s="68">
        <f>+((G12/1000000000000000000)^$K$3)*((F12/1000000000000000000)^$L$3)</f>
        <v>30.851693136000481</v>
      </c>
      <c r="K12" s="68">
        <f>+$J$3*$H$3*J12/SUM(J11:J12)*60</f>
        <v>6.0071149546502163</v>
      </c>
      <c r="L12" s="68"/>
      <c r="M12" s="68">
        <f>+K12+I12</f>
        <v>14.007114954650216</v>
      </c>
      <c r="N12" s="71">
        <f>+M12+N9</f>
        <v>45.434823818691655</v>
      </c>
      <c r="O12" s="49"/>
      <c r="P12" s="49"/>
      <c r="Q12" s="49">
        <f>+Q10+R10</f>
        <v>29.370388010269998</v>
      </c>
      <c r="R12" s="49"/>
      <c r="S12" s="49"/>
    </row>
    <row r="13" spans="1:19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71"/>
      <c r="O13" s="49"/>
      <c r="P13" s="49"/>
      <c r="Q13" s="49">
        <f>1/Q12/60</f>
        <v>5.6746498074314853E-4</v>
      </c>
      <c r="R13" s="49"/>
      <c r="S13" s="49"/>
    </row>
    <row r="14" spans="1:19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+$I$3*$H$3*H14*30</f>
        <v>20.000000000000004</v>
      </c>
      <c r="J14" s="68">
        <f>+((G14/1000000000000000000)^$K$3)*((F14/1000000000000000000)^$L$3)</f>
        <v>30.778610333622904</v>
      </c>
      <c r="K14" s="68">
        <f>+$J$3*$H$3*J14/SUM(J14:J15)*30</f>
        <v>2.6448202838006507</v>
      </c>
      <c r="L14" s="68"/>
      <c r="M14" s="68">
        <f>+K14+I14</f>
        <v>22.644820283800655</v>
      </c>
      <c r="N14" s="71">
        <f>+M14+N11</f>
        <v>97.209996465109015</v>
      </c>
      <c r="O14" s="49"/>
      <c r="P14" s="49"/>
      <c r="Q14" s="49"/>
      <c r="R14" s="49"/>
      <c r="S14" s="49"/>
    </row>
    <row r="15" spans="1:19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+$I$3*$H$3*H15*30</f>
        <v>4</v>
      </c>
      <c r="J15" s="68">
        <f>+((G15/1000000000000000000)^$K$3)*((F15/1000000000000000000)^$L$3)</f>
        <v>39.04528777122723</v>
      </c>
      <c r="K15" s="68">
        <f>+$J$3*$H$3*J15/SUM(J14:J15)*30</f>
        <v>3.3551797161993497</v>
      </c>
      <c r="L15" s="68"/>
      <c r="M15" s="68">
        <f>+K15+I15</f>
        <v>7.3551797161993502</v>
      </c>
      <c r="N15" s="71">
        <f>+M15+N12</f>
        <v>52.790003534891007</v>
      </c>
      <c r="O15" s="49"/>
      <c r="P15" s="49"/>
      <c r="Q15" s="49"/>
      <c r="R15" s="49"/>
      <c r="S15" s="49"/>
    </row>
    <row r="16" spans="1:19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+$I$3*$H$3*H16*70</f>
        <v>35</v>
      </c>
      <c r="J16" s="68">
        <f>+((G16/1000000000000000000)^$K$3)*((F16/1000000000000000000)^$L$3)</f>
        <v>30.778610333622904</v>
      </c>
      <c r="K16" s="68">
        <f>+$J$3*$H$3*J16/SUM(J16:J17)*70</f>
        <v>5.0654399784999322</v>
      </c>
      <c r="L16" s="68"/>
      <c r="M16" s="68">
        <f>+K16+I16</f>
        <v>40.065439978499931</v>
      </c>
      <c r="N16" s="71">
        <f>+M16+N14</f>
        <v>137.27543644360895</v>
      </c>
      <c r="O16" s="49"/>
      <c r="P16" s="49"/>
      <c r="Q16" s="49"/>
      <c r="R16" s="49"/>
      <c r="S16" s="49"/>
    </row>
    <row r="17" spans="1:19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+$I$3*$H$3*H17*70</f>
        <v>21.000000000000004</v>
      </c>
      <c r="J17" s="68">
        <f>+((G17/1000000000000000000)^$K$3)*((F17/1000000000000000000)^$L$3)</f>
        <v>54.288145268982554</v>
      </c>
      <c r="K17" s="68">
        <f>+$J$3*$H$3*J17/SUM(J16:J17)*70</f>
        <v>8.9345600215000704</v>
      </c>
      <c r="L17" s="68"/>
      <c r="M17" s="68">
        <f>+K17+I17</f>
        <v>29.934560021500076</v>
      </c>
      <c r="N17" s="71">
        <f>+M17+N15</f>
        <v>82.724563556391075</v>
      </c>
      <c r="O17" s="49"/>
      <c r="P17" s="49"/>
      <c r="Q17" s="49">
        <f>60*1000000000000000000</f>
        <v>6E+19</v>
      </c>
      <c r="R17" s="49"/>
      <c r="S17" s="49"/>
    </row>
    <row r="18" spans="1:19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71"/>
      <c r="O18" s="49"/>
      <c r="P18" s="49"/>
      <c r="Q18" s="49">
        <f>+Q17*10000</f>
        <v>6.0000000000000002E+23</v>
      </c>
      <c r="R18" s="49"/>
      <c r="S18" s="49"/>
    </row>
    <row r="19" spans="1:19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+$I$3*$H$3*H19*30</f>
        <v>13.714285714285714</v>
      </c>
      <c r="J19" s="68">
        <f>+((G19/1000000000000000000)^$K$3)*((F19/1000000000000000000)^$L$3)</f>
        <v>28.785647540658108</v>
      </c>
      <c r="K19" s="68">
        <f>+$J$3*$H$3*J19/SUM(J19:J20)*30</f>
        <v>2.0790417700045754</v>
      </c>
      <c r="L19" s="68"/>
      <c r="M19" s="68">
        <f>+K19+I19</f>
        <v>15.793327484290289</v>
      </c>
      <c r="N19" s="71">
        <f>+M19+N16</f>
        <v>153.06876392789925</v>
      </c>
      <c r="O19" s="49"/>
      <c r="P19" s="49"/>
      <c r="Q19" s="49">
        <f>+Q18*1E+50</f>
        <v>6.0000000000000002E+73</v>
      </c>
      <c r="R19" s="49"/>
      <c r="S19" s="49"/>
    </row>
    <row r="20" spans="1:19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+$I$3*$H$3*H20*30</f>
        <v>10.285714285714286</v>
      </c>
      <c r="J20" s="68">
        <f>+((G20/1000000000000000000)^$K$3)*((F20/1000000000000000000)^$L$3)</f>
        <v>54.288145268982554</v>
      </c>
      <c r="K20" s="68">
        <f>+$J$3*$H$3*J20/SUM(J19:J20)*30</f>
        <v>3.9209582299954251</v>
      </c>
      <c r="L20" s="68"/>
      <c r="M20" s="68">
        <f>+K20+I20</f>
        <v>14.206672515709712</v>
      </c>
      <c r="N20" s="71">
        <f>+M20+N17</f>
        <v>96.931236072100788</v>
      </c>
      <c r="O20" s="49"/>
      <c r="P20" s="50">
        <f>+K27</f>
        <v>0.999</v>
      </c>
      <c r="Q20" s="49">
        <f>+Q19/2.93703880102699E+37</f>
        <v>2.0428739306753418E+36</v>
      </c>
      <c r="R20" s="49"/>
      <c r="S20" s="49"/>
    </row>
    <row r="21" spans="1:19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71"/>
      <c r="O21" s="49"/>
      <c r="P21" s="49">
        <f>+P20^(0.3*60)</f>
        <v>0.98215218705145069</v>
      </c>
      <c r="Q21" s="83">
        <f>+Q20/(P21*1000000000000000000)</f>
        <v>2.0799973340265288E+18</v>
      </c>
      <c r="R21" s="49"/>
      <c r="S21" s="49"/>
    </row>
    <row r="22" spans="1:19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+$I$3*$H$3*H22*50</f>
        <v>22.857142857142858</v>
      </c>
      <c r="J22" s="68">
        <f>+((G22/1000000000000000000)^$K$3)*((F22/1000000000000000000)^$L$3)</f>
        <v>88.808596464545104</v>
      </c>
      <c r="K22" s="68">
        <f>+$J$3*$H$3*J22/SUM(J22:J23)*50</f>
        <v>6.2061927748098533</v>
      </c>
      <c r="L22" s="68"/>
      <c r="M22" s="68">
        <f>+K22+I22</f>
        <v>29.063335631952711</v>
      </c>
      <c r="N22" s="71">
        <f>+M22+N19</f>
        <v>182.13209955985195</v>
      </c>
      <c r="O22" s="49"/>
      <c r="P22" s="49"/>
      <c r="Q22" s="49"/>
      <c r="R22" s="49"/>
      <c r="S22" s="49"/>
    </row>
    <row r="23" spans="1:19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+$I$3*$H$3*H23*50</f>
        <v>17.142857142857142</v>
      </c>
      <c r="J23" s="74">
        <f>+((G23/1000000000000000000)^$K$3)*((F23/1000000000000000000)^$L$3)</f>
        <v>54.288145268982554</v>
      </c>
      <c r="K23" s="74">
        <f>+$J$3*$H$3*J23/SUM(J22:J23)*50</f>
        <v>3.7938072251901462</v>
      </c>
      <c r="L23" s="74"/>
      <c r="M23" s="74">
        <f>+K23+I23</f>
        <v>20.936664368047289</v>
      </c>
      <c r="N23" s="75">
        <f>+M23+N20</f>
        <v>117.86790044014808</v>
      </c>
      <c r="O23" s="49"/>
      <c r="P23" s="49"/>
      <c r="Q23" s="49"/>
      <c r="R23" s="49"/>
      <c r="S23" s="49"/>
    </row>
    <row r="24" spans="1:19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51"/>
      <c r="N24" s="49"/>
      <c r="O24" s="49"/>
      <c r="P24" s="49"/>
      <c r="Q24" s="49"/>
      <c r="R24" s="49"/>
      <c r="S24" s="49"/>
    </row>
    <row r="25" spans="1:19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51"/>
      <c r="N25" s="49"/>
      <c r="O25" s="49"/>
      <c r="P25" s="49"/>
      <c r="Q25" s="49"/>
      <c r="R25" s="49"/>
      <c r="S25" s="49"/>
    </row>
    <row r="26" spans="1:19" ht="15.5" thickTop="1" x14ac:dyDescent="0.75">
      <c r="A26" s="49"/>
      <c r="B26" s="49"/>
      <c r="C26" s="49"/>
      <c r="D26" s="49"/>
      <c r="E26" s="66" t="s">
        <v>24</v>
      </c>
      <c r="F26" s="78">
        <f>+SUM(M8,M11,M14,M16,M19,M22)</f>
        <v>182.13209955985195</v>
      </c>
      <c r="G26" s="49"/>
      <c r="H26" s="49"/>
      <c r="I26" s="49"/>
      <c r="J26" s="49"/>
      <c r="K26" s="50"/>
      <c r="L26" s="81"/>
      <c r="M26" s="51"/>
      <c r="N26" s="49"/>
      <c r="O26" s="49"/>
      <c r="P26" s="49"/>
      <c r="Q26" s="49"/>
      <c r="R26" s="49"/>
      <c r="S26" s="49"/>
    </row>
    <row r="27" spans="1:19" x14ac:dyDescent="0.75">
      <c r="A27" s="49"/>
      <c r="B27" s="49"/>
      <c r="C27" s="49"/>
      <c r="D27" s="49"/>
      <c r="E27" s="73" t="s">
        <v>25</v>
      </c>
      <c r="F27" s="79">
        <f>+SUM(M9,M12,M15,M17,M20,M23)</f>
        <v>117.86790044014808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51"/>
      <c r="N27" s="49"/>
      <c r="O27" s="49"/>
      <c r="P27" s="49"/>
      <c r="Q27" s="49"/>
      <c r="R27" s="49"/>
      <c r="S27" s="49"/>
    </row>
    <row r="28" spans="1:19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51"/>
      <c r="N28" s="49"/>
      <c r="O28" s="49"/>
      <c r="P28" s="49"/>
      <c r="Q28" s="49"/>
      <c r="R28" s="49"/>
      <c r="S28" s="49"/>
    </row>
    <row r="29" spans="1:19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51"/>
      <c r="N29" s="49"/>
      <c r="O29" s="49"/>
      <c r="P29" s="49"/>
      <c r="Q29" s="49"/>
      <c r="R29" s="49"/>
      <c r="S29" s="49"/>
    </row>
    <row r="30" spans="1:19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51"/>
      <c r="N30" s="49"/>
      <c r="O30" s="49"/>
      <c r="P30" s="49"/>
      <c r="Q30" s="49"/>
      <c r="R30" s="49"/>
      <c r="S30" s="49"/>
    </row>
    <row r="31" spans="1:19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>
        <v>1.0313746731726601E+20</v>
      </c>
      <c r="M31" s="51"/>
      <c r="N31" s="49">
        <f>+L31/1000000000000000000</f>
        <v>103.137467317266</v>
      </c>
      <c r="O31" s="86">
        <f>+N31-N11</f>
        <v>28.572291135957641</v>
      </c>
      <c r="P31" s="49"/>
      <c r="Q31" s="49"/>
      <c r="R31" s="49"/>
      <c r="S31" s="49"/>
    </row>
    <row r="32" spans="1:19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51"/>
      <c r="N32" s="49"/>
      <c r="O32" s="49"/>
      <c r="P32" s="49"/>
      <c r="Q32" s="49"/>
      <c r="R32" s="49"/>
      <c r="S32" s="49"/>
    </row>
    <row r="39" spans="7:9" x14ac:dyDescent="0.75">
      <c r="G39">
        <v>33</v>
      </c>
      <c r="I39">
        <f>80*G39*10000</f>
        <v>26400000</v>
      </c>
    </row>
    <row r="40" spans="7:9" x14ac:dyDescent="0.75">
      <c r="G40">
        <f>80%*G39</f>
        <v>26.400000000000002</v>
      </c>
      <c r="I40">
        <f>+I39/10000/100</f>
        <v>26.4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162D-03F7-4BA4-B1C9-0B1FB7C23E32}">
  <dimension ref="B1:P34"/>
  <sheetViews>
    <sheetView tabSelected="1" workbookViewId="0">
      <selection activeCell="D40" sqref="D40"/>
    </sheetView>
  </sheetViews>
  <sheetFormatPr defaultRowHeight="14.75" x14ac:dyDescent="0.75"/>
  <cols>
    <col min="3" max="3" width="7" bestFit="1" customWidth="1"/>
    <col min="4" max="4" width="25.26953125" bestFit="1" customWidth="1"/>
    <col min="6" max="6" width="12.453125" bestFit="1" customWidth="1"/>
    <col min="7" max="7" width="18.26953125" bestFit="1" customWidth="1"/>
    <col min="8" max="8" width="8.6328125" bestFit="1" customWidth="1"/>
    <col min="9" max="9" width="10.6796875" bestFit="1" customWidth="1"/>
    <col min="10" max="10" width="13.81640625" bestFit="1" customWidth="1"/>
    <col min="11" max="11" width="12.1796875" bestFit="1" customWidth="1"/>
    <col min="12" max="12" width="24.31640625" bestFit="1" customWidth="1"/>
    <col min="13" max="13" width="22.54296875" bestFit="1" customWidth="1"/>
    <col min="14" max="14" width="7.6796875" bestFit="1" customWidth="1"/>
    <col min="15" max="15" width="19.40625" bestFit="1" customWidth="1"/>
  </cols>
  <sheetData>
    <row r="1" spans="2:16" x14ac:dyDescent="0.75"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49"/>
      <c r="N1" s="51"/>
      <c r="O1" s="49"/>
    </row>
    <row r="2" spans="2:16" ht="15.5" thickBot="1" x14ac:dyDescent="0.9">
      <c r="B2" s="49"/>
      <c r="C2" s="52" t="s">
        <v>12</v>
      </c>
      <c r="D2" s="52" t="s">
        <v>26</v>
      </c>
      <c r="E2" s="52"/>
      <c r="F2" s="49"/>
      <c r="G2" s="52" t="s">
        <v>28</v>
      </c>
      <c r="H2" s="52" t="s">
        <v>29</v>
      </c>
      <c r="I2" s="52" t="s">
        <v>2</v>
      </c>
      <c r="J2" s="52" t="s">
        <v>52</v>
      </c>
      <c r="K2" s="52" t="s">
        <v>53</v>
      </c>
      <c r="L2" s="52" t="s">
        <v>54</v>
      </c>
      <c r="M2" s="52" t="s">
        <v>55</v>
      </c>
      <c r="N2" s="51"/>
      <c r="O2" s="49"/>
    </row>
    <row r="3" spans="2:16" ht="15.5" thickTop="1" x14ac:dyDescent="0.75">
      <c r="B3" s="49"/>
      <c r="C3" s="53" t="s">
        <v>15</v>
      </c>
      <c r="D3" s="49">
        <v>25</v>
      </c>
      <c r="E3" s="49"/>
      <c r="F3" s="49"/>
      <c r="G3" s="49">
        <v>100</v>
      </c>
      <c r="H3" s="49">
        <f>86400*7</f>
        <v>604800</v>
      </c>
      <c r="I3" s="49">
        <f>+G3/H3</f>
        <v>1.6534391534391533E-4</v>
      </c>
      <c r="J3" s="85">
        <v>0.8</v>
      </c>
      <c r="K3" s="85">
        <f>1-J3</f>
        <v>0.19999999999999996</v>
      </c>
      <c r="L3" s="49">
        <v>0.7</v>
      </c>
      <c r="M3" s="49">
        <v>0.3</v>
      </c>
      <c r="N3" s="54"/>
      <c r="O3" s="49"/>
    </row>
    <row r="4" spans="2:16" x14ac:dyDescent="0.75">
      <c r="B4" s="49"/>
      <c r="C4" s="53" t="s">
        <v>16</v>
      </c>
      <c r="D4" s="49">
        <v>50</v>
      </c>
      <c r="E4" s="49"/>
      <c r="F4" s="49"/>
      <c r="G4" s="49"/>
      <c r="H4" s="49"/>
      <c r="I4" s="49"/>
      <c r="J4" s="49"/>
      <c r="K4" s="49"/>
      <c r="L4" s="50"/>
      <c r="M4" s="49"/>
      <c r="N4" s="51"/>
      <c r="O4" s="50"/>
    </row>
    <row r="5" spans="2:16" x14ac:dyDescent="0.75">
      <c r="B5" s="49"/>
      <c r="C5" s="55"/>
      <c r="D5" s="56"/>
      <c r="E5" s="56"/>
      <c r="F5" s="56"/>
      <c r="G5" s="56"/>
      <c r="H5" s="56"/>
      <c r="I5" s="56"/>
      <c r="J5" s="56"/>
      <c r="K5" s="56"/>
      <c r="L5" s="57"/>
      <c r="M5" s="56"/>
      <c r="N5" s="58"/>
      <c r="O5" s="58"/>
    </row>
    <row r="6" spans="2:16" x14ac:dyDescent="0.75">
      <c r="B6" s="49"/>
      <c r="C6" s="49"/>
      <c r="D6" s="49"/>
      <c r="E6" s="49"/>
      <c r="F6" s="49"/>
      <c r="G6" s="49"/>
      <c r="H6" s="49"/>
      <c r="I6" s="49"/>
      <c r="J6" s="49"/>
      <c r="K6" s="49"/>
      <c r="L6" s="50"/>
      <c r="M6" s="49"/>
      <c r="N6" s="51"/>
      <c r="O6" s="49"/>
    </row>
    <row r="7" spans="2:16" x14ac:dyDescent="0.75">
      <c r="B7" s="59" t="s">
        <v>59</v>
      </c>
      <c r="C7" s="59" t="s">
        <v>39</v>
      </c>
      <c r="D7" s="60" t="s">
        <v>23</v>
      </c>
      <c r="E7" s="60"/>
      <c r="F7" s="59" t="s">
        <v>41</v>
      </c>
      <c r="G7" s="60" t="s">
        <v>27</v>
      </c>
      <c r="H7" s="60" t="s">
        <v>13</v>
      </c>
      <c r="I7" s="60" t="s">
        <v>42</v>
      </c>
      <c r="J7" s="60" t="s">
        <v>56</v>
      </c>
      <c r="K7" s="60" t="s">
        <v>57</v>
      </c>
      <c r="L7" s="61" t="s">
        <v>58</v>
      </c>
      <c r="M7" s="60"/>
      <c r="N7" s="62" t="s">
        <v>6</v>
      </c>
      <c r="O7" s="63" t="s">
        <v>40</v>
      </c>
    </row>
    <row r="8" spans="2:16" x14ac:dyDescent="0.75">
      <c r="B8" s="93">
        <v>1</v>
      </c>
      <c r="C8" s="94">
        <v>0</v>
      </c>
      <c r="D8" s="95" t="s">
        <v>61</v>
      </c>
      <c r="E8" s="95"/>
      <c r="F8" s="96" t="s">
        <v>24</v>
      </c>
      <c r="G8" s="95">
        <v>1E+19</v>
      </c>
      <c r="H8" s="97">
        <v>0</v>
      </c>
      <c r="I8" s="98">
        <f>+G8/SUM(G8:G9)</f>
        <v>0.5</v>
      </c>
      <c r="J8" s="98">
        <f>+$J$3*$I$3*I8*C10</f>
        <v>5.7142857142857144</v>
      </c>
      <c r="K8" s="98">
        <f>+((H8/1000000000000000000)^$L$3)*((G8/1000000000000000000)^$M$3)</f>
        <v>0</v>
      </c>
      <c r="L8" s="98">
        <v>0</v>
      </c>
      <c r="M8" s="98"/>
      <c r="N8" s="98">
        <f>+L8+J8</f>
        <v>5.7142857142857144</v>
      </c>
      <c r="O8" s="99">
        <f>+N8</f>
        <v>5.7142857142857144</v>
      </c>
    </row>
    <row r="9" spans="2:16" x14ac:dyDescent="0.75">
      <c r="B9" s="100"/>
      <c r="C9" s="101"/>
      <c r="D9" s="95"/>
      <c r="E9" s="95"/>
      <c r="F9" s="96" t="s">
        <v>25</v>
      </c>
      <c r="G9" s="95">
        <v>1E+19</v>
      </c>
      <c r="H9" s="97">
        <v>0</v>
      </c>
      <c r="I9" s="98">
        <f>+G9/SUM(G8:G9)</f>
        <v>0.5</v>
      </c>
      <c r="J9" s="98">
        <f>+$J$3*$I$3*I9*C10</f>
        <v>5.7142857142857144</v>
      </c>
      <c r="K9" s="98">
        <f>+((H9/1000000000000000000)^$L$3)*((G9/1000000000000000000)^$M$3)</f>
        <v>0</v>
      </c>
      <c r="L9" s="98">
        <v>0</v>
      </c>
      <c r="M9" s="98"/>
      <c r="N9" s="98">
        <f>+L9+J9</f>
        <v>5.7142857142857144</v>
      </c>
      <c r="O9" s="99">
        <f>+N9</f>
        <v>5.7142857142857144</v>
      </c>
    </row>
    <row r="10" spans="2:16" x14ac:dyDescent="0.75">
      <c r="B10" s="100"/>
      <c r="C10" s="101">
        <v>86400</v>
      </c>
      <c r="D10" s="95" t="s">
        <v>60</v>
      </c>
      <c r="E10" s="95"/>
      <c r="F10" s="96"/>
      <c r="G10" s="95"/>
      <c r="H10" s="95"/>
      <c r="I10" s="98"/>
      <c r="J10" s="98"/>
      <c r="K10" s="98"/>
      <c r="L10" s="98"/>
      <c r="M10" s="98"/>
      <c r="N10" s="98"/>
      <c r="O10" s="99"/>
    </row>
    <row r="11" spans="2:16" x14ac:dyDescent="0.75">
      <c r="B11" s="100"/>
      <c r="C11" s="101"/>
      <c r="D11" s="95"/>
      <c r="E11" s="95"/>
      <c r="F11" s="96" t="s">
        <v>24</v>
      </c>
      <c r="G11" s="95">
        <v>1E+19</v>
      </c>
      <c r="H11" s="97">
        <v>2.5E+19</v>
      </c>
      <c r="I11" s="98">
        <f>+G11/SUM(G11:G12)</f>
        <v>0.5</v>
      </c>
      <c r="J11" s="98">
        <f>+$J$3*$I$3*I11*(C13-C10)</f>
        <v>17.142857142857142</v>
      </c>
      <c r="K11" s="98">
        <f>+((H11/1000000000000000000)^$L$3)*((G11/1000000000000000000)^$M$3)</f>
        <v>18.991444823309347</v>
      </c>
      <c r="L11" s="98">
        <v>0</v>
      </c>
      <c r="M11" s="98"/>
      <c r="N11" s="98">
        <f>+L11+J11</f>
        <v>17.142857142857142</v>
      </c>
      <c r="O11" s="99">
        <f>+N11+O8</f>
        <v>22.857142857142858</v>
      </c>
    </row>
    <row r="12" spans="2:16" x14ac:dyDescent="0.75">
      <c r="B12" s="100"/>
      <c r="C12" s="101"/>
      <c r="D12" s="95"/>
      <c r="E12" s="95"/>
      <c r="F12" s="96" t="s">
        <v>25</v>
      </c>
      <c r="G12" s="95">
        <v>1E+19</v>
      </c>
      <c r="H12" s="97">
        <v>5E+19</v>
      </c>
      <c r="I12" s="98">
        <f>+G12/SUM(G11:G12)</f>
        <v>0.5</v>
      </c>
      <c r="J12" s="98">
        <f>+$J$3*$I$3*I12*(C13-C10)</f>
        <v>17.142857142857142</v>
      </c>
      <c r="K12" s="98">
        <f>+((H12/1000000000000000000)^$L$3)*((G12/1000000000000000000)^$M$3)</f>
        <v>30.851693136000481</v>
      </c>
      <c r="L12" s="98">
        <v>0</v>
      </c>
      <c r="M12" s="98"/>
      <c r="N12" s="98">
        <f>+L12+J12</f>
        <v>17.142857142857142</v>
      </c>
      <c r="O12" s="99">
        <f>+N12+O9</f>
        <v>22.857142857142858</v>
      </c>
    </row>
    <row r="13" spans="2:16" x14ac:dyDescent="0.75">
      <c r="B13" s="100"/>
      <c r="C13" s="101">
        <f>+C10+3*86400</f>
        <v>345600</v>
      </c>
      <c r="D13" s="95" t="s">
        <v>62</v>
      </c>
      <c r="E13" s="95"/>
      <c r="F13" s="96"/>
      <c r="G13" s="95"/>
      <c r="H13" s="95"/>
      <c r="I13" s="98"/>
      <c r="J13" s="98"/>
      <c r="K13" s="98"/>
      <c r="L13" s="98"/>
      <c r="M13" s="98"/>
      <c r="N13" s="98"/>
      <c r="O13" s="99"/>
    </row>
    <row r="14" spans="2:16" x14ac:dyDescent="0.75">
      <c r="B14" s="100"/>
      <c r="C14" s="101"/>
      <c r="D14" s="95"/>
      <c r="E14" s="95"/>
      <c r="F14" s="96" t="s">
        <v>24</v>
      </c>
      <c r="G14" s="95">
        <f>+G11/2</f>
        <v>5E+18</v>
      </c>
      <c r="H14" s="97">
        <v>2.5E+19</v>
      </c>
      <c r="I14" s="98">
        <f>+G14/SUM(G14:G15)</f>
        <v>0.33333333333333331</v>
      </c>
      <c r="J14" s="98">
        <f>+$J$3*$I$3*I14*(C16-C13)</f>
        <v>11.428571428571429</v>
      </c>
      <c r="K14" s="98">
        <f>+((H14/1000000000000000000)^$L$3)*((G14/1000000000000000000)^$M$3)</f>
        <v>15.425846568000239</v>
      </c>
      <c r="L14" s="98">
        <f>+K14/SUM(K14:K15)*$G$3*$K$3</f>
        <v>6.6666666666666643</v>
      </c>
      <c r="M14" s="98"/>
      <c r="N14" s="98">
        <f>+L14+J14</f>
        <v>18.095238095238095</v>
      </c>
      <c r="O14" s="99">
        <f>+N14+O11</f>
        <v>40.952380952380949</v>
      </c>
    </row>
    <row r="15" spans="2:16" x14ac:dyDescent="0.75">
      <c r="B15" s="100"/>
      <c r="C15" s="101"/>
      <c r="D15" s="95"/>
      <c r="E15" s="95"/>
      <c r="F15" s="96" t="s">
        <v>25</v>
      </c>
      <c r="G15" s="95">
        <v>1E+19</v>
      </c>
      <c r="H15" s="97">
        <v>5E+19</v>
      </c>
      <c r="I15" s="98">
        <f>+G15/SUM(G14:G15)</f>
        <v>0.66666666666666663</v>
      </c>
      <c r="J15" s="98">
        <f>+$J$3*$I$3*I15*(C16-C13)</f>
        <v>22.857142857142858</v>
      </c>
      <c r="K15" s="98">
        <f>+((H15/1000000000000000000)^$L$3)*((G15/1000000000000000000)^$M$3)</f>
        <v>30.851693136000481</v>
      </c>
      <c r="L15" s="98">
        <f>+K15/SUM(K14:K15)*$G$3*$K$3</f>
        <v>13.333333333333332</v>
      </c>
      <c r="M15" s="98"/>
      <c r="N15" s="98">
        <f>+L15+J15</f>
        <v>36.19047619047619</v>
      </c>
      <c r="O15" s="99">
        <f>+N15+O12</f>
        <v>59.047619047619051</v>
      </c>
      <c r="P15" s="92">
        <f>+SUM(O14:O15)</f>
        <v>100</v>
      </c>
    </row>
    <row r="16" spans="2:16" x14ac:dyDescent="0.75">
      <c r="B16" s="64">
        <v>2</v>
      </c>
      <c r="C16" s="87">
        <f>7*86400</f>
        <v>604800</v>
      </c>
      <c r="D16" s="65" t="s">
        <v>64</v>
      </c>
      <c r="E16" s="65"/>
      <c r="F16" s="66" t="s">
        <v>24</v>
      </c>
      <c r="G16" s="65">
        <f>+G14</f>
        <v>5E+18</v>
      </c>
      <c r="H16" s="65">
        <v>0</v>
      </c>
      <c r="I16" s="68">
        <f>+G16/SUM(G16:G17)</f>
        <v>1</v>
      </c>
      <c r="J16" s="68">
        <f>+$J$3*$I$3*I16*C18</f>
        <v>11.428571428571429</v>
      </c>
      <c r="K16" s="68">
        <f t="shared" ref="K16:K17" si="0">+((H16/1000000000000000000)^$L$3)*((G16/1000000000000000000)^$M$3)</f>
        <v>0</v>
      </c>
      <c r="L16" s="68">
        <v>0</v>
      </c>
      <c r="M16" s="68"/>
      <c r="N16" s="68">
        <f>+L16+J16</f>
        <v>11.428571428571429</v>
      </c>
      <c r="O16" s="89">
        <f>+N16+O14</f>
        <v>52.38095238095238</v>
      </c>
    </row>
    <row r="17" spans="2:16" x14ac:dyDescent="0.75">
      <c r="B17" s="64"/>
      <c r="C17" s="87"/>
      <c r="D17" s="65"/>
      <c r="E17" s="65"/>
      <c r="F17" s="66" t="s">
        <v>25</v>
      </c>
      <c r="G17" s="65">
        <v>0</v>
      </c>
      <c r="H17" s="67">
        <v>0</v>
      </c>
      <c r="I17" s="68">
        <f>+G17/SUM(G16:G17)</f>
        <v>0</v>
      </c>
      <c r="J17" s="68">
        <f>+$J$3*$I$3*I17*70</f>
        <v>0</v>
      </c>
      <c r="K17" s="68">
        <f t="shared" si="0"/>
        <v>0</v>
      </c>
      <c r="L17" s="68">
        <v>0</v>
      </c>
      <c r="M17" s="68"/>
      <c r="N17" s="68">
        <f>+L17+J17</f>
        <v>0</v>
      </c>
      <c r="O17" s="89">
        <f>+N17+O15</f>
        <v>59.047619047619051</v>
      </c>
    </row>
    <row r="18" spans="2:16" x14ac:dyDescent="0.75">
      <c r="B18" s="64"/>
      <c r="C18" s="87">
        <f>+C10</f>
        <v>86400</v>
      </c>
      <c r="D18" s="65" t="s">
        <v>63</v>
      </c>
      <c r="E18" s="65"/>
      <c r="F18" s="66"/>
      <c r="G18" s="65"/>
      <c r="H18" s="65"/>
      <c r="I18" s="68"/>
      <c r="J18" s="68"/>
      <c r="K18" s="68"/>
      <c r="L18" s="68"/>
      <c r="M18" s="68"/>
      <c r="N18" s="68"/>
      <c r="O18" s="89"/>
    </row>
    <row r="19" spans="2:16" x14ac:dyDescent="0.75">
      <c r="B19" s="64"/>
      <c r="C19" s="87"/>
      <c r="D19" s="65"/>
      <c r="E19" s="65"/>
      <c r="F19" s="66" t="s">
        <v>24</v>
      </c>
      <c r="G19" s="65">
        <f>+G16</f>
        <v>5E+18</v>
      </c>
      <c r="H19" s="65">
        <v>0</v>
      </c>
      <c r="I19" s="68">
        <f>+G19/SUM(G19:G20)</f>
        <v>1</v>
      </c>
      <c r="J19" s="68">
        <f>+$J$3*$I$3*I19*(C21-C18)</f>
        <v>68.571428571428569</v>
      </c>
      <c r="K19" s="68">
        <f t="shared" ref="K19:K20" si="1">+((H19/1000000000000000000)^$L$3)*((G19/1000000000000000000)^$M$3)</f>
        <v>0</v>
      </c>
      <c r="L19" s="68">
        <v>0</v>
      </c>
      <c r="M19" s="68"/>
      <c r="N19" s="68">
        <f>+L19+J19</f>
        <v>68.571428571428569</v>
      </c>
      <c r="O19" s="89">
        <f>+N19+O16</f>
        <v>120.95238095238095</v>
      </c>
    </row>
    <row r="20" spans="2:16" x14ac:dyDescent="0.75">
      <c r="B20" s="64"/>
      <c r="C20" s="87"/>
      <c r="D20" s="65"/>
      <c r="E20" s="65"/>
      <c r="F20" s="66" t="s">
        <v>25</v>
      </c>
      <c r="G20" s="65">
        <v>0</v>
      </c>
      <c r="H20" s="65">
        <v>7E+19</v>
      </c>
      <c r="I20" s="68">
        <f>+G20/SUM(G19:G20)</f>
        <v>0</v>
      </c>
      <c r="J20" s="68">
        <f>+$J$3*$I$3*I20*30</f>
        <v>0</v>
      </c>
      <c r="K20" s="68">
        <f t="shared" si="1"/>
        <v>0</v>
      </c>
      <c r="L20" s="68">
        <v>0</v>
      </c>
      <c r="M20" s="68"/>
      <c r="N20" s="68">
        <f>+L20+J20</f>
        <v>0</v>
      </c>
      <c r="O20" s="89">
        <f>+N20+O17</f>
        <v>59.047619047619051</v>
      </c>
      <c r="P20" s="92">
        <f>+SUM(O19:O20)</f>
        <v>180</v>
      </c>
    </row>
    <row r="21" spans="2:16" x14ac:dyDescent="0.75">
      <c r="B21" s="102">
        <v>3</v>
      </c>
      <c r="C21" s="103">
        <f>+C16</f>
        <v>604800</v>
      </c>
      <c r="D21" s="104" t="s">
        <v>65</v>
      </c>
      <c r="E21" s="104"/>
      <c r="F21" s="105"/>
      <c r="G21" s="104"/>
      <c r="H21" s="104"/>
      <c r="I21" s="106"/>
      <c r="J21" s="106"/>
      <c r="K21" s="106"/>
      <c r="L21" s="106"/>
      <c r="M21" s="106"/>
      <c r="N21" s="106"/>
      <c r="O21" s="107"/>
    </row>
    <row r="22" spans="2:16" x14ac:dyDescent="0.75">
      <c r="B22" s="102"/>
      <c r="C22" s="103"/>
      <c r="D22" s="104"/>
      <c r="E22" s="104"/>
      <c r="F22" s="105" t="s">
        <v>24</v>
      </c>
      <c r="G22" s="104">
        <f>+G19</f>
        <v>5E+18</v>
      </c>
      <c r="H22" s="104">
        <f>+H19</f>
        <v>0</v>
      </c>
      <c r="I22" s="106">
        <f>+G22/SUM(G22:G23)</f>
        <v>0.14285714285714285</v>
      </c>
      <c r="J22" s="106">
        <f>+$J$3*$I$3*I22*(C25)</f>
        <v>6.5306122448979593</v>
      </c>
      <c r="K22" s="106">
        <f>+((H22/1000000000000000000)^$L$3)*((G22/1000000000000000000)^$M$3)</f>
        <v>0</v>
      </c>
      <c r="L22" s="106">
        <f>+$K$3*$I$3*K22/SUM(K22:K26)*50</f>
        <v>0</v>
      </c>
      <c r="M22" s="106"/>
      <c r="N22" s="106">
        <f>+L22+J22</f>
        <v>6.5306122448979593</v>
      </c>
      <c r="O22" s="107">
        <f>+N22+O19</f>
        <v>127.48299319727892</v>
      </c>
    </row>
    <row r="23" spans="2:16" x14ac:dyDescent="0.75">
      <c r="B23" s="102"/>
      <c r="C23" s="103"/>
      <c r="D23" s="104"/>
      <c r="E23" s="104"/>
      <c r="F23" s="105" t="s">
        <v>25</v>
      </c>
      <c r="G23" s="104">
        <v>3E+19</v>
      </c>
      <c r="H23" s="104">
        <v>9E+19</v>
      </c>
      <c r="I23" s="106">
        <f>+G23/SUM(G22:G23)</f>
        <v>0.8571428571428571</v>
      </c>
      <c r="J23" s="106">
        <f>+$J$3*$I$3*I23*C25</f>
        <v>39.183673469387756</v>
      </c>
      <c r="K23" s="106">
        <f>+((H23/1000000000000000000)^$L$3)*((G23/1000000000000000000)^$M$3)</f>
        <v>64.730078399237783</v>
      </c>
      <c r="L23" s="106">
        <v>0</v>
      </c>
      <c r="M23" s="106"/>
      <c r="N23" s="106">
        <f>+L23+J23</f>
        <v>39.183673469387756</v>
      </c>
      <c r="O23" s="107">
        <f>+N23+O20</f>
        <v>98.231292517006807</v>
      </c>
    </row>
    <row r="24" spans="2:16" x14ac:dyDescent="0.75">
      <c r="B24" s="102"/>
      <c r="C24" s="103"/>
      <c r="D24" s="104"/>
      <c r="E24" s="104"/>
      <c r="F24" s="105"/>
      <c r="G24" s="104"/>
      <c r="H24" s="104"/>
      <c r="I24" s="106"/>
      <c r="J24" s="106"/>
      <c r="K24" s="106"/>
      <c r="L24" s="106"/>
      <c r="M24" s="106"/>
      <c r="N24" s="106"/>
      <c r="O24" s="107"/>
    </row>
    <row r="25" spans="2:16" x14ac:dyDescent="0.75">
      <c r="B25" s="102"/>
      <c r="C25" s="103">
        <f>+C13</f>
        <v>345600</v>
      </c>
      <c r="D25" s="104" t="s">
        <v>66</v>
      </c>
      <c r="E25" s="104"/>
      <c r="F25" s="105" t="s">
        <v>24</v>
      </c>
      <c r="G25" s="104">
        <f>+G22</f>
        <v>5E+18</v>
      </c>
      <c r="H25" s="104">
        <v>1E+20</v>
      </c>
      <c r="I25" s="106">
        <f>+G25/SUM(G25:G26)</f>
        <v>0.14285714285714285</v>
      </c>
      <c r="J25" s="106">
        <f>+$J$3*$I$3*I25*(C27-C25)</f>
        <v>4.8979591836734695</v>
      </c>
      <c r="K25" s="108">
        <f>+((H25/1000000000000000000)^$L$3)*((G25/1000000000000000000)^$M$3)</f>
        <v>40.709053153690434</v>
      </c>
      <c r="L25" s="106">
        <f>+K25/SUM(K25:K26)*$G$3*$K$3</f>
        <v>7.7218111632976303</v>
      </c>
      <c r="M25" s="106"/>
      <c r="N25" s="106">
        <f>+L25+J25</f>
        <v>12.6197703469711</v>
      </c>
      <c r="O25" s="107">
        <f>+N25+O22</f>
        <v>140.10276354425002</v>
      </c>
    </row>
    <row r="26" spans="2:16" x14ac:dyDescent="0.75">
      <c r="B26" s="102"/>
      <c r="C26" s="103"/>
      <c r="D26" s="104"/>
      <c r="E26" s="104"/>
      <c r="F26" s="105" t="s">
        <v>25</v>
      </c>
      <c r="G26" s="104">
        <v>3E+19</v>
      </c>
      <c r="H26" s="104">
        <v>9E+19</v>
      </c>
      <c r="I26" s="106">
        <f>+G26/SUM(G25:G26)</f>
        <v>0.8571428571428571</v>
      </c>
      <c r="J26" s="106">
        <f>+$J$3*$I$3*I26*(C27-C25)</f>
        <v>29.387755102040817</v>
      </c>
      <c r="K26" s="108">
        <f>+((H26/1000000000000000000)^$L$3)*((G26/1000000000000000000)^$M$3)</f>
        <v>64.730078399237783</v>
      </c>
      <c r="L26" s="106">
        <f>+K26/SUM(K25:K26)*$G$3*$K$3</f>
        <v>12.278188836702366</v>
      </c>
      <c r="M26" s="106"/>
      <c r="N26" s="106">
        <f>+L26+J26</f>
        <v>41.665943938743183</v>
      </c>
      <c r="O26" s="107">
        <f>+N26+O23</f>
        <v>139.89723645574998</v>
      </c>
      <c r="P26" s="92">
        <f>+SUM(O25:O26)</f>
        <v>280</v>
      </c>
    </row>
    <row r="27" spans="2:16" x14ac:dyDescent="0.75">
      <c r="B27" s="72"/>
      <c r="C27" s="88">
        <f>+C21</f>
        <v>604800</v>
      </c>
      <c r="D27" s="56" t="s">
        <v>17</v>
      </c>
      <c r="E27" s="56"/>
      <c r="F27" s="73"/>
      <c r="G27" s="56"/>
      <c r="H27" s="56"/>
      <c r="I27" s="74"/>
      <c r="J27" s="74"/>
      <c r="K27" s="74"/>
      <c r="L27" s="74"/>
      <c r="M27" s="74"/>
      <c r="N27" s="74"/>
      <c r="O27" s="90"/>
    </row>
    <row r="28" spans="2:16" x14ac:dyDescent="0.75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50"/>
      <c r="M28" s="49"/>
      <c r="N28" s="51"/>
      <c r="O28" s="49"/>
    </row>
    <row r="29" spans="2:16" ht="15.5" thickBot="1" x14ac:dyDescent="0.9">
      <c r="B29" s="49"/>
      <c r="C29" s="49"/>
      <c r="D29" s="49"/>
      <c r="E29" s="49"/>
      <c r="F29" s="76" t="s">
        <v>31</v>
      </c>
      <c r="G29" s="77"/>
      <c r="H29" s="49"/>
      <c r="I29" s="49"/>
      <c r="J29" s="49"/>
      <c r="K29" s="49"/>
      <c r="L29" s="50"/>
      <c r="M29" s="49"/>
      <c r="N29" s="51"/>
      <c r="O29" s="49"/>
    </row>
    <row r="30" spans="2:16" ht="15.5" thickTop="1" x14ac:dyDescent="0.75">
      <c r="B30" s="49"/>
      <c r="C30" s="49"/>
      <c r="D30" s="49"/>
      <c r="E30" s="49"/>
      <c r="F30" s="66" t="s">
        <v>24</v>
      </c>
      <c r="G30" s="110">
        <f>+SUM(N8,N11,N14,N16,N19,N22,N25)</f>
        <v>140.10276354425002</v>
      </c>
      <c r="H30" s="49"/>
      <c r="I30" s="49"/>
      <c r="J30" s="49"/>
      <c r="K30" s="49"/>
      <c r="L30" s="50"/>
      <c r="M30" s="81"/>
      <c r="N30" s="51"/>
      <c r="O30" s="49"/>
    </row>
    <row r="31" spans="2:16" x14ac:dyDescent="0.75">
      <c r="B31" s="49"/>
      <c r="C31" s="49"/>
      <c r="D31" s="49"/>
      <c r="E31" s="49"/>
      <c r="F31" s="73" t="s">
        <v>25</v>
      </c>
      <c r="G31" s="111">
        <f>+SUM(N9,N12,N15,N17,N20,N23,N26)</f>
        <v>139.89723645574998</v>
      </c>
      <c r="H31" s="49"/>
      <c r="I31" s="49"/>
      <c r="J31" s="49"/>
      <c r="K31" s="49"/>
      <c r="L31" s="50"/>
      <c r="M31" s="82"/>
      <c r="N31" s="51"/>
      <c r="O31" s="49"/>
    </row>
    <row r="32" spans="2:16" x14ac:dyDescent="0.75">
      <c r="B32" s="49"/>
      <c r="C32" s="49"/>
      <c r="D32" s="49"/>
      <c r="E32" s="49"/>
      <c r="F32" s="72" t="s">
        <v>14</v>
      </c>
      <c r="G32" s="91">
        <f>+SUM(G30:G31)</f>
        <v>280</v>
      </c>
      <c r="H32" s="49"/>
      <c r="I32" s="49"/>
      <c r="J32" s="49"/>
      <c r="K32" s="49"/>
      <c r="L32" s="50"/>
      <c r="M32" s="49"/>
      <c r="N32" s="51"/>
      <c r="O32" s="49"/>
    </row>
    <row r="34" spans="12:12" x14ac:dyDescent="0.75">
      <c r="L34" s="109">
        <f>+K26+K25-K14</f>
        <v>90.013284984927978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SNX</vt:lpstr>
      <vt:lpstr>SNX - Detail</vt:lpstr>
      <vt:lpstr>KWENTA</vt:lpstr>
      <vt:lpstr>KWENTA - power</vt:lpstr>
      <vt:lpstr>KWENTA - Decay</vt:lpstr>
      <vt:lpstr>KWENTA - Final</vt:lpstr>
      <vt:lpstr>KWENTA - 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2021-12-08T15:33:34Z</dcterms:modified>
</cp:coreProperties>
</file>