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Documents\16slimchance16\token\"/>
    </mc:Choice>
  </mc:AlternateContent>
  <xr:revisionPtr revIDLastSave="0" documentId="13_ncr:1_{3614439B-31E7-4EC0-8DB0-5937F1CDE6EE}" xr6:coauthVersionLast="47" xr6:coauthVersionMax="47" xr10:uidLastSave="{00000000-0000-0000-0000-000000000000}"/>
  <bookViews>
    <workbookView xWindow="67995" yWindow="-15075" windowWidth="6825" windowHeight="3915" firstSheet="6" activeTab="6" xr2:uid="{00000000-000D-0000-FFFF-FFFF00000000}"/>
  </bookViews>
  <sheets>
    <sheet name="SNX" sheetId="1" state="hidden" r:id="rId1"/>
    <sheet name="SNX - Detail" sheetId="4" state="hidden" r:id="rId2"/>
    <sheet name="KWENTA" sheetId="5" state="hidden" r:id="rId3"/>
    <sheet name="KWENTA - power" sheetId="6" state="hidden" r:id="rId4"/>
    <sheet name="KWENTA - Decay" sheetId="7" state="hidden" r:id="rId5"/>
    <sheet name="KWENTA - Final" sheetId="8" state="hidden" r:id="rId6"/>
    <sheet name="KWENTA - Epochs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9" l="1"/>
  <c r="K3" i="9"/>
  <c r="I15" i="9" l="1"/>
  <c r="K17" i="9"/>
  <c r="K20" i="9"/>
  <c r="H22" i="9"/>
  <c r="C18" i="9"/>
  <c r="C16" i="9"/>
  <c r="C21" i="9" s="1"/>
  <c r="C27" i="9" s="1"/>
  <c r="G14" i="9"/>
  <c r="K14" i="9" s="1"/>
  <c r="C13" i="9"/>
  <c r="C25" i="9" s="1"/>
  <c r="K8" i="9"/>
  <c r="H3" i="9"/>
  <c r="I3" i="9" s="1"/>
  <c r="K23" i="9"/>
  <c r="K15" i="9"/>
  <c r="K12" i="9"/>
  <c r="I12" i="9"/>
  <c r="K11" i="9"/>
  <c r="I11" i="9"/>
  <c r="K9" i="9"/>
  <c r="I9" i="9"/>
  <c r="I8" i="9"/>
  <c r="O31" i="8"/>
  <c r="N31" i="8"/>
  <c r="N23" i="8"/>
  <c r="N22" i="8"/>
  <c r="N20" i="8"/>
  <c r="N19" i="8"/>
  <c r="N17" i="8"/>
  <c r="N16" i="8"/>
  <c r="N14" i="8"/>
  <c r="N15" i="8"/>
  <c r="N12" i="8"/>
  <c r="N11" i="8"/>
  <c r="I40" i="8"/>
  <c r="I39" i="8"/>
  <c r="G40" i="8"/>
  <c r="K23" i="8"/>
  <c r="K22" i="8"/>
  <c r="I23" i="8"/>
  <c r="I22" i="8"/>
  <c r="K20" i="8"/>
  <c r="M20" i="8" s="1"/>
  <c r="K19" i="8"/>
  <c r="I20" i="8"/>
  <c r="I19" i="8"/>
  <c r="K17" i="8"/>
  <c r="K16" i="8"/>
  <c r="I17" i="8"/>
  <c r="I16" i="8"/>
  <c r="K15" i="8"/>
  <c r="K14" i="8"/>
  <c r="I15" i="8"/>
  <c r="I14" i="8"/>
  <c r="J23" i="8"/>
  <c r="J22" i="8"/>
  <c r="J20" i="8"/>
  <c r="J19" i="8"/>
  <c r="J17" i="8"/>
  <c r="M17" i="8" s="1"/>
  <c r="J16" i="8"/>
  <c r="J15" i="8"/>
  <c r="J14" i="8"/>
  <c r="I11" i="8"/>
  <c r="J12" i="8"/>
  <c r="K12" i="8" s="1"/>
  <c r="M12" i="8" s="1"/>
  <c r="I12" i="8"/>
  <c r="J11" i="8"/>
  <c r="K11" i="8" s="1"/>
  <c r="M11" i="8" s="1"/>
  <c r="M9" i="8"/>
  <c r="M8" i="8"/>
  <c r="J9" i="8"/>
  <c r="K9" i="8" s="1"/>
  <c r="J8" i="8"/>
  <c r="K8" i="8" s="1"/>
  <c r="I8" i="8"/>
  <c r="E31" i="8"/>
  <c r="E30" i="8"/>
  <c r="L28" i="8"/>
  <c r="K28" i="8"/>
  <c r="L27" i="8"/>
  <c r="H23" i="8"/>
  <c r="H22" i="8"/>
  <c r="P20" i="8"/>
  <c r="P21" i="8" s="1"/>
  <c r="H20" i="8"/>
  <c r="H19" i="8"/>
  <c r="Q17" i="8"/>
  <c r="Q18" i="8" s="1"/>
  <c r="Q19" i="8" s="1"/>
  <c r="Q20" i="8" s="1"/>
  <c r="H17" i="8"/>
  <c r="H16" i="8"/>
  <c r="H15" i="8"/>
  <c r="H14" i="8"/>
  <c r="H12" i="8"/>
  <c r="H11" i="8"/>
  <c r="R9" i="8"/>
  <c r="R10" i="8" s="1"/>
  <c r="Q9" i="8"/>
  <c r="H9" i="8"/>
  <c r="I9" i="8" s="1"/>
  <c r="R8" i="8"/>
  <c r="Q8" i="8"/>
  <c r="H8" i="8"/>
  <c r="I14" i="9" l="1"/>
  <c r="L15" i="9"/>
  <c r="L14" i="9"/>
  <c r="J15" i="9"/>
  <c r="G16" i="9"/>
  <c r="J11" i="9"/>
  <c r="N11" i="9" s="1"/>
  <c r="J12" i="9"/>
  <c r="J8" i="9"/>
  <c r="N8" i="9" s="1"/>
  <c r="J14" i="9"/>
  <c r="J9" i="9"/>
  <c r="M23" i="8"/>
  <c r="M22" i="8"/>
  <c r="M19" i="8"/>
  <c r="M16" i="8"/>
  <c r="M15" i="8"/>
  <c r="M14" i="8"/>
  <c r="Q10" i="8"/>
  <c r="Q12" i="8" s="1"/>
  <c r="Q13" i="8" s="1"/>
  <c r="Q21" i="8"/>
  <c r="E31" i="6"/>
  <c r="E30" i="6"/>
  <c r="I16" i="9" l="1"/>
  <c r="K16" i="9"/>
  <c r="N14" i="9"/>
  <c r="I17" i="9"/>
  <c r="J17" i="9" s="1"/>
  <c r="N17" i="9" s="1"/>
  <c r="J16" i="9"/>
  <c r="N16" i="9" s="1"/>
  <c r="G19" i="9"/>
  <c r="N15" i="9"/>
  <c r="N9" i="9"/>
  <c r="N12" i="9"/>
  <c r="N8" i="8"/>
  <c r="Q21" i="6"/>
  <c r="R21" i="6" s="1"/>
  <c r="R20" i="6"/>
  <c r="Q20" i="6"/>
  <c r="R19" i="6"/>
  <c r="R18" i="6"/>
  <c r="R17" i="6"/>
  <c r="R13" i="6"/>
  <c r="L28" i="6"/>
  <c r="L27" i="6"/>
  <c r="K28" i="6"/>
  <c r="J8" i="7"/>
  <c r="L8" i="7" s="1"/>
  <c r="M8" i="7" s="1"/>
  <c r="N8" i="7" s="1"/>
  <c r="O8" i="7" s="1"/>
  <c r="R12" i="6"/>
  <c r="S9" i="6"/>
  <c r="S10" i="6" s="1"/>
  <c r="S8" i="6"/>
  <c r="R10" i="6"/>
  <c r="R9" i="6"/>
  <c r="R8" i="6"/>
  <c r="H22" i="7"/>
  <c r="J22" i="7" s="1"/>
  <c r="L22" i="7" s="1"/>
  <c r="H15" i="7"/>
  <c r="H23" i="7"/>
  <c r="H20" i="7"/>
  <c r="H19" i="7"/>
  <c r="H17" i="7"/>
  <c r="J17" i="7" s="1"/>
  <c r="L17" i="7" s="1"/>
  <c r="H16" i="7"/>
  <c r="J16" i="7" s="1"/>
  <c r="L16" i="7" s="1"/>
  <c r="H14" i="7"/>
  <c r="H12" i="7"/>
  <c r="H11" i="7"/>
  <c r="J11" i="7" s="1"/>
  <c r="L11" i="7" s="1"/>
  <c r="H9" i="7"/>
  <c r="H8" i="7"/>
  <c r="I23" i="7"/>
  <c r="K23" i="7" s="1"/>
  <c r="I22" i="7"/>
  <c r="K22" i="7" s="1"/>
  <c r="I20" i="7"/>
  <c r="K20" i="7" s="1"/>
  <c r="I19" i="7"/>
  <c r="K19" i="7" s="1"/>
  <c r="I17" i="7"/>
  <c r="K17" i="7" s="1"/>
  <c r="I16" i="7"/>
  <c r="K16" i="7" s="1"/>
  <c r="I15" i="7"/>
  <c r="K15" i="7" s="1"/>
  <c r="I14" i="7"/>
  <c r="K14" i="7" s="1"/>
  <c r="I12" i="7"/>
  <c r="K12" i="7" s="1"/>
  <c r="I11" i="7"/>
  <c r="K11" i="7" s="1"/>
  <c r="I9" i="7"/>
  <c r="K9" i="7" s="1"/>
  <c r="I8" i="7"/>
  <c r="K8" i="7" s="1"/>
  <c r="I14" i="6"/>
  <c r="K14" i="6" s="1"/>
  <c r="I23" i="6"/>
  <c r="K23" i="6" s="1"/>
  <c r="I22" i="6"/>
  <c r="K22" i="6" s="1"/>
  <c r="I20" i="6"/>
  <c r="K20" i="6" s="1"/>
  <c r="I19" i="6"/>
  <c r="K19" i="6" s="1"/>
  <c r="I17" i="6"/>
  <c r="K17" i="6" s="1"/>
  <c r="I16" i="6"/>
  <c r="K16" i="6" s="1"/>
  <c r="I15" i="6"/>
  <c r="K15" i="6" s="1"/>
  <c r="I12" i="6"/>
  <c r="K12" i="6" s="1"/>
  <c r="I11" i="6"/>
  <c r="K11" i="6" s="1"/>
  <c r="I9" i="6"/>
  <c r="K9" i="6" s="1"/>
  <c r="I8" i="6"/>
  <c r="K8" i="6" s="1"/>
  <c r="H23" i="6"/>
  <c r="J23" i="6" s="1"/>
  <c r="H22" i="6"/>
  <c r="J22" i="6" s="1"/>
  <c r="H20" i="6"/>
  <c r="J20" i="6" s="1"/>
  <c r="H19" i="6"/>
  <c r="J19" i="6" s="1"/>
  <c r="H17" i="6"/>
  <c r="J17" i="6" s="1"/>
  <c r="H16" i="6"/>
  <c r="J16" i="6" s="1"/>
  <c r="H15" i="6"/>
  <c r="J15" i="6" s="1"/>
  <c r="H14" i="6"/>
  <c r="J14" i="6" s="1"/>
  <c r="H12" i="6"/>
  <c r="J12" i="6" s="1"/>
  <c r="H11" i="6"/>
  <c r="J11" i="6" s="1"/>
  <c r="H9" i="6"/>
  <c r="J9" i="6" s="1"/>
  <c r="H8" i="6"/>
  <c r="J8" i="6" s="1"/>
  <c r="I14" i="5"/>
  <c r="I10" i="5"/>
  <c r="I8" i="5"/>
  <c r="I7" i="5"/>
  <c r="I11" i="5"/>
  <c r="J13" i="5"/>
  <c r="G2" i="5"/>
  <c r="I2" i="5" s="1"/>
  <c r="F5" i="4"/>
  <c r="F7" i="4" s="1"/>
  <c r="G7" i="4" s="1"/>
  <c r="H7" i="4" s="1"/>
  <c r="I7" i="4" s="1"/>
  <c r="J7" i="4" s="1"/>
  <c r="K7" i="4" s="1"/>
  <c r="L7" i="4" s="1"/>
  <c r="K14" i="4"/>
  <c r="G15" i="4"/>
  <c r="G8" i="4"/>
  <c r="H8" i="4" s="1"/>
  <c r="I8" i="4" s="1"/>
  <c r="J8" i="4" s="1"/>
  <c r="K8" i="4" s="1"/>
  <c r="L8" i="4" s="1"/>
  <c r="O3" i="4"/>
  <c r="I19" i="9" l="1"/>
  <c r="K19" i="9"/>
  <c r="O9" i="9"/>
  <c r="G22" i="9"/>
  <c r="J19" i="9"/>
  <c r="N19" i="9" s="1"/>
  <c r="I20" i="9"/>
  <c r="J20" i="9" s="1"/>
  <c r="N20" i="9" s="1"/>
  <c r="O12" i="9"/>
  <c r="O15" i="9" s="1"/>
  <c r="O17" i="9" s="1"/>
  <c r="O8" i="9"/>
  <c r="O11" i="9" s="1"/>
  <c r="O14" i="9" s="1"/>
  <c r="N9" i="8"/>
  <c r="F27" i="8"/>
  <c r="F26" i="8"/>
  <c r="J14" i="7"/>
  <c r="L14" i="7" s="1"/>
  <c r="M14" i="7" s="1"/>
  <c r="J20" i="7"/>
  <c r="L20" i="7" s="1"/>
  <c r="J9" i="7"/>
  <c r="L9" i="7" s="1"/>
  <c r="J23" i="7"/>
  <c r="L23" i="7" s="1"/>
  <c r="M23" i="7" s="1"/>
  <c r="J12" i="7"/>
  <c r="L12" i="7" s="1"/>
  <c r="M12" i="7" s="1"/>
  <c r="J19" i="7"/>
  <c r="L19" i="7" s="1"/>
  <c r="M19" i="7" s="1"/>
  <c r="J15" i="7"/>
  <c r="L15" i="7" s="1"/>
  <c r="M15" i="7" s="1"/>
  <c r="M22" i="7"/>
  <c r="M17" i="7"/>
  <c r="N17" i="7" s="1"/>
  <c r="O17" i="7" s="1"/>
  <c r="M9" i="7"/>
  <c r="M20" i="7"/>
  <c r="M11" i="7"/>
  <c r="M16" i="7"/>
  <c r="L12" i="6"/>
  <c r="L22" i="6"/>
  <c r="L23" i="6"/>
  <c r="L20" i="6"/>
  <c r="L16" i="6"/>
  <c r="L14" i="6"/>
  <c r="L15" i="6"/>
  <c r="L11" i="6"/>
  <c r="L8" i="6"/>
  <c r="L9" i="6"/>
  <c r="L17" i="6"/>
  <c r="L19" i="6"/>
  <c r="M19" i="6" s="1"/>
  <c r="N19" i="6" s="1"/>
  <c r="J14" i="5"/>
  <c r="H2" i="5"/>
  <c r="J10" i="5"/>
  <c r="J15" i="5"/>
  <c r="J11" i="5"/>
  <c r="K11" i="5" s="1"/>
  <c r="J16" i="5"/>
  <c r="J18" i="5"/>
  <c r="J7" i="5"/>
  <c r="J21" i="5"/>
  <c r="J19" i="5"/>
  <c r="J8" i="5"/>
  <c r="J22" i="5"/>
  <c r="G5" i="4"/>
  <c r="H5" i="4" s="1"/>
  <c r="I5" i="4" s="1"/>
  <c r="J5" i="4" s="1"/>
  <c r="K5" i="4" s="1"/>
  <c r="L5" i="4" s="1"/>
  <c r="M5" i="4" s="1"/>
  <c r="N5" i="4" s="1"/>
  <c r="N8" i="4" s="1"/>
  <c r="G25" i="9" l="1"/>
  <c r="I23" i="9"/>
  <c r="J23" i="9" s="1"/>
  <c r="I22" i="9"/>
  <c r="J22" i="9" s="1"/>
  <c r="O16" i="9"/>
  <c r="O19" i="9" s="1"/>
  <c r="P15" i="9"/>
  <c r="K25" i="9"/>
  <c r="K22" i="9"/>
  <c r="O20" i="9"/>
  <c r="F28" i="8"/>
  <c r="N9" i="7"/>
  <c r="O9" i="7" s="1"/>
  <c r="F27" i="7" s="1"/>
  <c r="N14" i="7"/>
  <c r="O14" i="7" s="1"/>
  <c r="N23" i="7"/>
  <c r="O23" i="7" s="1"/>
  <c r="N15" i="7"/>
  <c r="O15" i="7" s="1"/>
  <c r="P8" i="7"/>
  <c r="N16" i="7"/>
  <c r="O16" i="7" s="1"/>
  <c r="N11" i="7"/>
  <c r="O11" i="7" s="1"/>
  <c r="N20" i="7"/>
  <c r="O20" i="7" s="1"/>
  <c r="N22" i="7"/>
  <c r="O22" i="7" s="1"/>
  <c r="N12" i="7"/>
  <c r="O12" i="7" s="1"/>
  <c r="N19" i="7"/>
  <c r="O19" i="7" s="1"/>
  <c r="M15" i="6"/>
  <c r="N15" i="6" s="1"/>
  <c r="M17" i="6"/>
  <c r="N17" i="6" s="1"/>
  <c r="M9" i="6"/>
  <c r="N9" i="6" s="1"/>
  <c r="O9" i="6" s="1"/>
  <c r="M22" i="6"/>
  <c r="N22" i="6" s="1"/>
  <c r="M16" i="6"/>
  <c r="N16" i="6" s="1"/>
  <c r="M11" i="6"/>
  <c r="N11" i="6" s="1"/>
  <c r="M14" i="6"/>
  <c r="N14" i="6" s="1"/>
  <c r="M23" i="6"/>
  <c r="N23" i="6" s="1"/>
  <c r="M20" i="6"/>
  <c r="N20" i="6" s="1"/>
  <c r="M12" i="6"/>
  <c r="N12" i="6" s="1"/>
  <c r="M8" i="6"/>
  <c r="N8" i="6" s="1"/>
  <c r="O8" i="6" s="1"/>
  <c r="K8" i="5"/>
  <c r="L11" i="5" s="1"/>
  <c r="K10" i="5"/>
  <c r="K7" i="5"/>
  <c r="K14" i="5"/>
  <c r="I13" i="5"/>
  <c r="N7" i="4"/>
  <c r="O7" i="4" s="1"/>
  <c r="O5" i="4"/>
  <c r="O8" i="4" s="1"/>
  <c r="J7" i="1"/>
  <c r="J8" i="1"/>
  <c r="J5" i="1"/>
  <c r="J3" i="1"/>
  <c r="I7" i="1"/>
  <c r="I8" i="1"/>
  <c r="I5" i="1"/>
  <c r="H8" i="1"/>
  <c r="G8" i="1"/>
  <c r="H7" i="1"/>
  <c r="G7" i="1"/>
  <c r="H5" i="1"/>
  <c r="G5" i="1"/>
  <c r="F7" i="1"/>
  <c r="F5" i="1"/>
  <c r="L26" i="9" l="1"/>
  <c r="L34" i="9"/>
  <c r="L25" i="9"/>
  <c r="I25" i="9"/>
  <c r="J25" i="9" s="1"/>
  <c r="I26" i="9"/>
  <c r="J26" i="9" s="1"/>
  <c r="P20" i="9"/>
  <c r="N25" i="9"/>
  <c r="N26" i="9"/>
  <c r="N23" i="9"/>
  <c r="G31" i="9" s="1"/>
  <c r="L22" i="9"/>
  <c r="N22" i="9" s="1"/>
  <c r="G30" i="9" s="1"/>
  <c r="P12" i="7"/>
  <c r="P9" i="7"/>
  <c r="P15" i="7"/>
  <c r="P17" i="7" s="1"/>
  <c r="P20" i="7" s="1"/>
  <c r="P23" i="7" s="1"/>
  <c r="P11" i="7"/>
  <c r="P14" i="7" s="1"/>
  <c r="P16" i="7" s="1"/>
  <c r="P19" i="7" s="1"/>
  <c r="P22" i="7" s="1"/>
  <c r="F26" i="7"/>
  <c r="F28" i="7" s="1"/>
  <c r="O12" i="6"/>
  <c r="O15" i="6" s="1"/>
  <c r="O17" i="6" s="1"/>
  <c r="O20" i="6" s="1"/>
  <c r="O23" i="6" s="1"/>
  <c r="F27" i="6"/>
  <c r="O11" i="6"/>
  <c r="O14" i="6" s="1"/>
  <c r="O16" i="6" s="1"/>
  <c r="O19" i="6" s="1"/>
  <c r="O22" i="6" s="1"/>
  <c r="F26" i="6"/>
  <c r="L10" i="5"/>
  <c r="L14" i="5"/>
  <c r="K13" i="5"/>
  <c r="I16" i="5"/>
  <c r="K16" i="5" s="1"/>
  <c r="I15" i="5"/>
  <c r="K15" i="5" s="1"/>
  <c r="G32" i="9" l="1"/>
  <c r="O23" i="9"/>
  <c r="O26" i="9" s="1"/>
  <c r="O22" i="9"/>
  <c r="O25" i="9" s="1"/>
  <c r="F28" i="6"/>
  <c r="L13" i="5"/>
  <c r="L15" i="5" s="1"/>
  <c r="L16" i="5"/>
  <c r="I19" i="5"/>
  <c r="K19" i="5" s="1"/>
  <c r="I18" i="5"/>
  <c r="K18" i="5" s="1"/>
  <c r="P26" i="9" l="1"/>
  <c r="L19" i="5"/>
  <c r="E26" i="5"/>
  <c r="L18" i="5"/>
  <c r="I22" i="5"/>
  <c r="K22" i="5" s="1"/>
  <c r="I21" i="5"/>
  <c r="K21" i="5" s="1"/>
  <c r="E25" i="5" s="1"/>
  <c r="E27" i="5" l="1"/>
  <c r="L22" i="5"/>
  <c r="L21" i="5"/>
</calcChain>
</file>

<file path=xl/sharedStrings.xml><?xml version="1.0" encoding="utf-8"?>
<sst xmlns="http://schemas.openxmlformats.org/spreadsheetml/2006/main" count="252" uniqueCount="67">
  <si>
    <t>N stake 20</t>
  </si>
  <si>
    <t>J stake 40</t>
  </si>
  <si>
    <t>rewardRate</t>
  </si>
  <si>
    <t>lastUpdateTime</t>
  </si>
  <si>
    <t>rewardPerTokenStored</t>
  </si>
  <si>
    <t>userRewardperTokenPaid</t>
  </si>
  <si>
    <t>rewards</t>
  </si>
  <si>
    <t>_totalSupply</t>
  </si>
  <si>
    <t>_balances</t>
  </si>
  <si>
    <t>Notify (70)</t>
  </si>
  <si>
    <t>End N</t>
  </si>
  <si>
    <t>End J</t>
  </si>
  <si>
    <t>ID</t>
  </si>
  <si>
    <t>fees</t>
  </si>
  <si>
    <t>Total</t>
  </si>
  <si>
    <t>staker1</t>
  </si>
  <si>
    <t>staker2</t>
  </si>
  <si>
    <t>END</t>
  </si>
  <si>
    <t>staker 2 updates traderscore</t>
  </si>
  <si>
    <t>staker 2 stakes 20</t>
  </si>
  <si>
    <t>staker 1 stakes 40</t>
  </si>
  <si>
    <t>staker 1 withdraws 10</t>
  </si>
  <si>
    <t>staker 1 updates traderscore</t>
  </si>
  <si>
    <t>Event</t>
  </si>
  <si>
    <t>st1</t>
  </si>
  <si>
    <t>st2</t>
  </si>
  <si>
    <t>FeesPaid</t>
  </si>
  <si>
    <t>staked</t>
  </si>
  <si>
    <t>Amount</t>
  </si>
  <si>
    <t>Duration</t>
  </si>
  <si>
    <t>reward</t>
  </si>
  <si>
    <t>Total rewards</t>
  </si>
  <si>
    <t>Notify (300)</t>
  </si>
  <si>
    <t>J withdraws 40</t>
  </si>
  <si>
    <t>Notify (120)</t>
  </si>
  <si>
    <t>rewardTokens</t>
  </si>
  <si>
    <t>rewardFees</t>
  </si>
  <si>
    <t>Token</t>
  </si>
  <si>
    <t>Fee</t>
  </si>
  <si>
    <t>Time</t>
  </si>
  <si>
    <t>Accumulated rewards</t>
  </si>
  <si>
    <t>Account</t>
  </si>
  <si>
    <t>stakerScore</t>
  </si>
  <si>
    <t>traderScore</t>
  </si>
  <si>
    <t>weight stake</t>
  </si>
  <si>
    <t>weight trade</t>
  </si>
  <si>
    <t>stakingPart</t>
  </si>
  <si>
    <t>tradingPart</t>
  </si>
  <si>
    <t>rewScore</t>
  </si>
  <si>
    <t>%rewards</t>
  </si>
  <si>
    <t>Decay rate</t>
  </si>
  <si>
    <t>decayedFees</t>
  </si>
  <si>
    <t xml:space="preserve">staking % </t>
  </si>
  <si>
    <t xml:space="preserve">trading % </t>
  </si>
  <si>
    <t>alpha</t>
  </si>
  <si>
    <t>1-alpha</t>
  </si>
  <si>
    <t>staking Reward</t>
  </si>
  <si>
    <t>rewardScore</t>
  </si>
  <si>
    <t>trading Rewards</t>
  </si>
  <si>
    <t>Epoch</t>
  </si>
  <si>
    <t>Both Trade</t>
  </si>
  <si>
    <t>Set reward</t>
  </si>
  <si>
    <t>Staker 1 withdraws half</t>
  </si>
  <si>
    <t>Staker 2 trades</t>
  </si>
  <si>
    <t>Staker 2 withdraws all</t>
  </si>
  <si>
    <t>Staker 2 trades and stakes</t>
  </si>
  <si>
    <t>Staker 1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</si>
</sst>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(* #,##0.00_);_(* \(#,##0.00\);_(* &quot;-&quot;??_);_(@_)"/>
    <numFmt numFmtId="164" formatCode="0.0000000E+00"/>
    <numFmt numFmtId="165" formatCode="#,##0.0000"/>
    <numFmt numFmtId="166" formatCode="0.0000E+00"/>
    <numFmt numFmtId="167" formatCode="#,##0.000"/>
    <numFmt numFmtId="168" formatCode="0.000"/>
    <numFmt numFmtId="169" formatCode="0.0%"/>
    <numFmt numFmtId="170" formatCode="0.000000"/>
    <numFmt numFmtId="171" formatCode="_(* #,##0_);_(* \(#,##0\);_(* &quot;-&quot;??_);_(@_)"/>
    <numFmt numFmtId="172" formatCode="0.000E+00"/>
    <numFmt numFmtId="173" formatCode="#,##0.00000"/>
    <numFmt numFmtId="177" formatCode="#,##0.000000000"/>
    <numFmt numFmtId="190" formatCode="#,##0.0000000000000000000000"/>
    <numFmt numFmtId="200" formatCode="0.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3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Fill="1" applyBorder="1"/>
    <xf numFmtId="0" fontId="0" fillId="0" borderId="3" xfId="0" applyBorder="1"/>
    <xf numFmtId="4" fontId="0" fillId="0" borderId="3" xfId="0" applyNumberFormat="1" applyBorder="1"/>
    <xf numFmtId="0" fontId="1" fillId="0" borderId="3" xfId="0" applyFont="1" applyBorder="1"/>
    <xf numFmtId="164" fontId="0" fillId="0" borderId="0" xfId="0" applyNumberFormat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0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64" fontId="1" fillId="0" borderId="11" xfId="0" applyNumberFormat="1" applyFont="1" applyBorder="1"/>
    <xf numFmtId="0" fontId="1" fillId="0" borderId="12" xfId="0" applyFont="1" applyBorder="1"/>
    <xf numFmtId="0" fontId="0" fillId="0" borderId="0" xfId="0" applyBorder="1"/>
    <xf numFmtId="11" fontId="0" fillId="0" borderId="0" xfId="0" applyNumberFormat="1" applyBorder="1"/>
    <xf numFmtId="4" fontId="0" fillId="0" borderId="0" xfId="0" applyNumberFormat="1" applyBorder="1"/>
    <xf numFmtId="0" fontId="0" fillId="0" borderId="7" xfId="0" applyBorder="1"/>
    <xf numFmtId="0" fontId="0" fillId="0" borderId="9" xfId="0" applyBorder="1"/>
    <xf numFmtId="164" fontId="0" fillId="0" borderId="3" xfId="0" applyNumberFormat="1" applyBorder="1"/>
    <xf numFmtId="165" fontId="0" fillId="0" borderId="0" xfId="0" applyNumberFormat="1"/>
    <xf numFmtId="165" fontId="0" fillId="0" borderId="3" xfId="0" applyNumberFormat="1" applyBorder="1"/>
    <xf numFmtId="165" fontId="1" fillId="0" borderId="12" xfId="0" applyNumberFormat="1" applyFont="1" applyBorder="1"/>
    <xf numFmtId="165" fontId="0" fillId="0" borderId="7" xfId="0" applyNumberFormat="1" applyBorder="1"/>
    <xf numFmtId="166" fontId="0" fillId="0" borderId="0" xfId="0" applyNumberFormat="1"/>
    <xf numFmtId="3" fontId="0" fillId="0" borderId="7" xfId="0" applyNumberFormat="1" applyBorder="1"/>
    <xf numFmtId="3" fontId="0" fillId="0" borderId="9" xfId="0" applyNumberFormat="1" applyBorder="1"/>
    <xf numFmtId="1" fontId="0" fillId="0" borderId="7" xfId="0" applyNumberFormat="1" applyBorder="1"/>
    <xf numFmtId="1" fontId="0" fillId="0" borderId="9" xfId="0" applyNumberFormat="1" applyBorder="1"/>
    <xf numFmtId="4" fontId="0" fillId="0" borderId="7" xfId="0" applyNumberFormat="1" applyBorder="1"/>
    <xf numFmtId="165" fontId="0" fillId="0" borderId="0" xfId="0" applyNumberFormat="1" applyBorder="1"/>
    <xf numFmtId="167" fontId="0" fillId="0" borderId="7" xfId="0" applyNumberFormat="1" applyBorder="1"/>
    <xf numFmtId="167" fontId="0" fillId="0" borderId="9" xfId="0" applyNumberFormat="1" applyBorder="1"/>
    <xf numFmtId="165" fontId="1" fillId="0" borderId="11" xfId="0" applyNumberFormat="1" applyFont="1" applyBorder="1"/>
    <xf numFmtId="0" fontId="1" fillId="0" borderId="12" xfId="0" applyFont="1" applyFill="1" applyBorder="1"/>
    <xf numFmtId="168" fontId="0" fillId="0" borderId="7" xfId="0" applyNumberFormat="1" applyBorder="1"/>
    <xf numFmtId="168" fontId="0" fillId="0" borderId="9" xfId="0" applyNumberFormat="1" applyBorder="1"/>
    <xf numFmtId="168" fontId="1" fillId="0" borderId="9" xfId="0" applyNumberFormat="1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0" xfId="0" applyFont="1" applyFill="1" applyBorder="1"/>
    <xf numFmtId="169" fontId="0" fillId="0" borderId="0" xfId="0" applyNumberFormat="1"/>
    <xf numFmtId="11" fontId="0" fillId="0" borderId="3" xfId="0" applyNumberFormat="1" applyBorder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0" fontId="1" fillId="2" borderId="1" xfId="0" applyFont="1" applyFill="1" applyBorder="1"/>
    <xf numFmtId="0" fontId="1" fillId="2" borderId="0" xfId="0" applyFont="1" applyFill="1"/>
    <xf numFmtId="166" fontId="0" fillId="2" borderId="0" xfId="0" applyNumberFormat="1" applyFill="1"/>
    <xf numFmtId="0" fontId="1" fillId="2" borderId="3" xfId="0" applyFont="1" applyFill="1" applyBorder="1"/>
    <xf numFmtId="0" fontId="0" fillId="2" borderId="3" xfId="0" applyFill="1" applyBorder="1"/>
    <xf numFmtId="164" fontId="0" fillId="2" borderId="3" xfId="0" applyNumberFormat="1" applyFill="1" applyBorder="1"/>
    <xf numFmtId="165" fontId="0" fillId="2" borderId="3" xfId="0" applyNumberForma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164" fontId="1" fillId="2" borderId="11" xfId="0" applyNumberFormat="1" applyFont="1" applyFill="1" applyBorder="1"/>
    <xf numFmtId="165" fontId="1" fillId="2" borderId="11" xfId="0" applyNumberFormat="1" applyFont="1" applyFill="1" applyBorder="1"/>
    <xf numFmtId="0" fontId="1" fillId="2" borderId="12" xfId="0" applyFont="1" applyFill="1" applyBorder="1"/>
    <xf numFmtId="0" fontId="1" fillId="2" borderId="6" xfId="0" applyFont="1" applyFill="1" applyBorder="1"/>
    <xf numFmtId="0" fontId="0" fillId="2" borderId="0" xfId="0" applyFill="1" applyBorder="1"/>
    <xf numFmtId="0" fontId="0" fillId="2" borderId="6" xfId="0" applyFill="1" applyBorder="1"/>
    <xf numFmtId="11" fontId="0" fillId="2" borderId="0" xfId="0" applyNumberFormat="1" applyFill="1" applyBorder="1"/>
    <xf numFmtId="4" fontId="0" fillId="2" borderId="0" xfId="0" applyNumberFormat="1" applyFill="1" applyBorder="1"/>
    <xf numFmtId="165" fontId="0" fillId="2" borderId="0" xfId="0" applyNumberFormat="1" applyFill="1" applyBorder="1"/>
    <xf numFmtId="0" fontId="0" fillId="2" borderId="7" xfId="0" applyFill="1" applyBorder="1"/>
    <xf numFmtId="167" fontId="0" fillId="2" borderId="7" xfId="0" applyNumberFormat="1" applyFill="1" applyBorder="1"/>
    <xf numFmtId="0" fontId="1" fillId="2" borderId="8" xfId="0" applyFont="1" applyFill="1" applyBorder="1"/>
    <xf numFmtId="0" fontId="0" fillId="2" borderId="8" xfId="0" applyFill="1" applyBorder="1"/>
    <xf numFmtId="4" fontId="0" fillId="2" borderId="3" xfId="0" applyNumberFormat="1" applyFill="1" applyBorder="1"/>
    <xf numFmtId="167" fontId="0" fillId="2" borderId="9" xfId="0" applyNumberFormat="1" applyFill="1" applyBorder="1"/>
    <xf numFmtId="0" fontId="1" fillId="2" borderId="4" xfId="0" applyFont="1" applyFill="1" applyBorder="1"/>
    <xf numFmtId="0" fontId="0" fillId="2" borderId="5" xfId="0" applyFill="1" applyBorder="1"/>
    <xf numFmtId="168" fontId="0" fillId="2" borderId="7" xfId="0" applyNumberFormat="1" applyFill="1" applyBorder="1"/>
    <xf numFmtId="168" fontId="0" fillId="2" borderId="9" xfId="0" applyNumberFormat="1" applyFill="1" applyBorder="1"/>
    <xf numFmtId="168" fontId="1" fillId="2" borderId="9" xfId="0" applyNumberFormat="1" applyFont="1" applyFill="1" applyBorder="1"/>
    <xf numFmtId="170" fontId="0" fillId="2" borderId="0" xfId="0" applyNumberFormat="1" applyFill="1"/>
    <xf numFmtId="171" fontId="0" fillId="2" borderId="0" xfId="1" applyNumberFormat="1" applyFont="1" applyFill="1"/>
    <xf numFmtId="172" fontId="0" fillId="2" borderId="0" xfId="0" applyNumberFormat="1" applyFill="1"/>
    <xf numFmtId="173" fontId="0" fillId="2" borderId="7" xfId="0" applyNumberFormat="1" applyFill="1" applyBorder="1"/>
    <xf numFmtId="9" fontId="0" fillId="2" borderId="0" xfId="0" applyNumberFormat="1" applyFill="1"/>
    <xf numFmtId="173" fontId="0" fillId="2" borderId="0" xfId="0" applyNumberFormat="1" applyFill="1"/>
    <xf numFmtId="0" fontId="1" fillId="2" borderId="15" xfId="0" applyFont="1" applyFill="1" applyBorder="1"/>
    <xf numFmtId="0" fontId="1" fillId="2" borderId="16" xfId="0" applyFont="1" applyFill="1" applyBorder="1"/>
    <xf numFmtId="4" fontId="0" fillId="2" borderId="7" xfId="0" applyNumberFormat="1" applyFill="1" applyBorder="1"/>
    <xf numFmtId="4" fontId="0" fillId="2" borderId="9" xfId="0" applyNumberFormat="1" applyFill="1" applyBorder="1"/>
    <xf numFmtId="2" fontId="1" fillId="2" borderId="9" xfId="0" applyNumberFormat="1" applyFont="1" applyFill="1" applyBorder="1"/>
    <xf numFmtId="4" fontId="0" fillId="0" borderId="0" xfId="0" applyNumberFormat="1"/>
    <xf numFmtId="0" fontId="1" fillId="3" borderId="13" xfId="0" applyFont="1" applyFill="1" applyBorder="1"/>
    <xf numFmtId="0" fontId="1" fillId="3" borderId="14" xfId="0" applyFont="1" applyFill="1" applyBorder="1"/>
    <xf numFmtId="0" fontId="0" fillId="3" borderId="0" xfId="0" applyFill="1" applyBorder="1"/>
    <xf numFmtId="0" fontId="0" fillId="3" borderId="6" xfId="0" applyFill="1" applyBorder="1"/>
    <xf numFmtId="11" fontId="0" fillId="3" borderId="0" xfId="0" applyNumberFormat="1" applyFill="1" applyBorder="1"/>
    <xf numFmtId="4" fontId="0" fillId="3" borderId="0" xfId="0" applyNumberFormat="1" applyFill="1" applyBorder="1"/>
    <xf numFmtId="4" fontId="0" fillId="3" borderId="7" xfId="0" applyNumberFormat="1" applyFill="1" applyBorder="1"/>
    <xf numFmtId="0" fontId="1" fillId="3" borderId="6" xfId="0" applyFont="1" applyFill="1" applyBorder="1"/>
    <xf numFmtId="0" fontId="1" fillId="3" borderId="15" xfId="0" applyFont="1" applyFill="1" applyBorder="1"/>
    <xf numFmtId="0" fontId="1" fillId="4" borderId="6" xfId="0" applyFont="1" applyFill="1" applyBorder="1"/>
    <xf numFmtId="0" fontId="1" fillId="4" borderId="15" xfId="0" applyFont="1" applyFill="1" applyBorder="1"/>
    <xf numFmtId="0" fontId="0" fillId="4" borderId="0" xfId="0" applyFill="1" applyBorder="1"/>
    <xf numFmtId="0" fontId="0" fillId="4" borderId="6" xfId="0" applyFill="1" applyBorder="1"/>
    <xf numFmtId="4" fontId="0" fillId="4" borderId="0" xfId="0" applyNumberFormat="1" applyFill="1" applyBorder="1"/>
    <xf numFmtId="4" fontId="0" fillId="4" borderId="7" xfId="0" applyNumberFormat="1" applyFill="1" applyBorder="1"/>
    <xf numFmtId="190" fontId="0" fillId="3" borderId="0" xfId="0" applyNumberFormat="1" applyFill="1" applyBorder="1"/>
    <xf numFmtId="177" fontId="0" fillId="4" borderId="0" xfId="0" applyNumberFormat="1" applyFill="1" applyBorder="1"/>
    <xf numFmtId="177" fontId="0" fillId="0" borderId="0" xfId="0" applyNumberFormat="1"/>
    <xf numFmtId="200" fontId="0" fillId="2" borderId="7" xfId="0" applyNumberFormat="1" applyFill="1" applyBorder="1"/>
    <xf numFmtId="200" fontId="0" fillId="2" borderId="9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F14" sqref="F14"/>
    </sheetView>
  </sheetViews>
  <sheetFormatPr defaultRowHeight="14.75" x14ac:dyDescent="0.75"/>
  <cols>
    <col min="1" max="1" width="23.08984375" bestFit="1" customWidth="1"/>
    <col min="2" max="2" width="9.26953125" bestFit="1" customWidth="1"/>
    <col min="3" max="3" width="9.1796875" bestFit="1" customWidth="1"/>
  </cols>
  <sheetData>
    <row r="1" spans="1:10" ht="15.5" thickBot="1" x14ac:dyDescent="0.9">
      <c r="B1" s="1" t="s">
        <v>9</v>
      </c>
      <c r="C1" s="1" t="s">
        <v>0</v>
      </c>
      <c r="D1" s="1"/>
      <c r="E1" s="1"/>
      <c r="F1" s="1" t="s">
        <v>1</v>
      </c>
      <c r="G1" s="1"/>
      <c r="H1" s="1"/>
      <c r="I1" s="1" t="s">
        <v>10</v>
      </c>
      <c r="J1" t="s">
        <v>11</v>
      </c>
    </row>
    <row r="2" spans="1:10" ht="16.25" thickTop="1" thickBot="1" x14ac:dyDescent="0.9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7</v>
      </c>
    </row>
    <row r="3" spans="1:10" ht="15.5" thickTop="1" x14ac:dyDescent="0.75">
      <c r="A3" t="s">
        <v>2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f>+I3</f>
        <v>10</v>
      </c>
    </row>
    <row r="4" spans="1:10" x14ac:dyDescent="0.75">
      <c r="A4" t="s">
        <v>3</v>
      </c>
      <c r="B4">
        <v>0</v>
      </c>
      <c r="C4">
        <v>1</v>
      </c>
      <c r="D4">
        <v>1</v>
      </c>
      <c r="E4">
        <v>1</v>
      </c>
      <c r="F4">
        <v>4</v>
      </c>
      <c r="G4">
        <v>4</v>
      </c>
      <c r="H4">
        <v>4</v>
      </c>
      <c r="I4">
        <v>7</v>
      </c>
      <c r="J4">
        <v>7</v>
      </c>
    </row>
    <row r="5" spans="1:10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f>+E5+4*F3/E10</f>
        <v>4</v>
      </c>
      <c r="G5">
        <f>+F5</f>
        <v>4</v>
      </c>
      <c r="H5">
        <f>+G5</f>
        <v>4</v>
      </c>
      <c r="I5">
        <f>+H5+3*I3/H10</f>
        <v>4.5999999999999996</v>
      </c>
      <c r="J5">
        <f>+I5</f>
        <v>4.5999999999999996</v>
      </c>
    </row>
    <row r="7" spans="1:10" x14ac:dyDescent="0.75">
      <c r="A7" t="s">
        <v>5</v>
      </c>
      <c r="B7">
        <v>0</v>
      </c>
      <c r="C7">
        <v>0</v>
      </c>
      <c r="D7">
        <v>0</v>
      </c>
      <c r="E7">
        <v>0</v>
      </c>
      <c r="F7">
        <f>+F5</f>
        <v>4</v>
      </c>
      <c r="G7">
        <f>+F7</f>
        <v>4</v>
      </c>
      <c r="H7">
        <f>+G7</f>
        <v>4</v>
      </c>
      <c r="I7">
        <f>+I5</f>
        <v>4.5999999999999996</v>
      </c>
      <c r="J7">
        <f>+I7</f>
        <v>4.5999999999999996</v>
      </c>
    </row>
    <row r="8" spans="1:10" x14ac:dyDescent="0.7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f>+F8</f>
        <v>0</v>
      </c>
      <c r="H8">
        <f>+G8</f>
        <v>0</v>
      </c>
      <c r="I8">
        <f>+E10*(I5-E7)</f>
        <v>46</v>
      </c>
      <c r="J8">
        <f>+F11*(J5-F7)</f>
        <v>23.999999999999986</v>
      </c>
    </row>
    <row r="10" spans="1:10" x14ac:dyDescent="0.75">
      <c r="A10" t="s">
        <v>7</v>
      </c>
      <c r="B10">
        <v>0</v>
      </c>
      <c r="C10">
        <v>10</v>
      </c>
      <c r="D10">
        <v>10</v>
      </c>
      <c r="E10">
        <v>10</v>
      </c>
      <c r="F10">
        <v>50</v>
      </c>
      <c r="G10">
        <v>50</v>
      </c>
      <c r="H10">
        <v>50</v>
      </c>
    </row>
    <row r="11" spans="1:10" x14ac:dyDescent="0.75">
      <c r="A11" t="s">
        <v>8</v>
      </c>
      <c r="B11">
        <v>0</v>
      </c>
      <c r="C11">
        <v>10</v>
      </c>
      <c r="D11">
        <v>10</v>
      </c>
      <c r="E11">
        <v>10</v>
      </c>
      <c r="F11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"/>
  <sheetViews>
    <sheetView zoomScale="80" zoomScaleNormal="80" workbookViewId="0">
      <selection activeCell="B29" sqref="B29"/>
    </sheetView>
  </sheetViews>
  <sheetFormatPr defaultRowHeight="14.75" x14ac:dyDescent="0.75"/>
  <cols>
    <col min="1" max="1" width="23.08984375" bestFit="1" customWidth="1"/>
    <col min="2" max="2" width="14.453125" customWidth="1"/>
    <col min="3" max="3" width="9.1796875" bestFit="1" customWidth="1"/>
    <col min="9" max="9" width="13.26953125" bestFit="1" customWidth="1"/>
    <col min="12" max="12" width="12.7265625" bestFit="1" customWidth="1"/>
  </cols>
  <sheetData>
    <row r="1" spans="1:15" ht="15.5" thickBot="1" x14ac:dyDescent="0.9">
      <c r="B1" s="1" t="s">
        <v>34</v>
      </c>
      <c r="C1" s="1" t="s">
        <v>0</v>
      </c>
      <c r="D1" s="1"/>
      <c r="E1" s="1"/>
      <c r="F1" s="1" t="s">
        <v>1</v>
      </c>
      <c r="G1" s="1"/>
      <c r="H1" s="1"/>
      <c r="J1" s="1"/>
      <c r="K1" s="1"/>
      <c r="L1" s="1" t="s">
        <v>33</v>
      </c>
      <c r="M1" s="1"/>
      <c r="N1" s="1" t="s">
        <v>10</v>
      </c>
      <c r="O1" t="s">
        <v>11</v>
      </c>
    </row>
    <row r="2" spans="1:15" ht="16.25" thickTop="1" thickBot="1" x14ac:dyDescent="0.9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12</v>
      </c>
    </row>
    <row r="3" spans="1:15" ht="15.5" thickTop="1" x14ac:dyDescent="0.75">
      <c r="A3" t="s">
        <v>2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f>+N3</f>
        <v>10</v>
      </c>
    </row>
    <row r="4" spans="1:15" x14ac:dyDescent="0.75">
      <c r="A4" t="s">
        <v>3</v>
      </c>
      <c r="B4">
        <v>0</v>
      </c>
      <c r="C4">
        <v>1</v>
      </c>
      <c r="D4">
        <v>1</v>
      </c>
      <c r="E4">
        <v>1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10</v>
      </c>
      <c r="M4">
        <v>10</v>
      </c>
      <c r="N4">
        <v>12</v>
      </c>
      <c r="O4">
        <v>7</v>
      </c>
    </row>
    <row r="5" spans="1:15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f>+E5+4*F3/E10</f>
        <v>2</v>
      </c>
      <c r="G5">
        <f>+F5</f>
        <v>2</v>
      </c>
      <c r="H5">
        <f>+G5</f>
        <v>2</v>
      </c>
      <c r="I5">
        <f>+H5</f>
        <v>2</v>
      </c>
      <c r="J5">
        <f>+I5</f>
        <v>2</v>
      </c>
      <c r="K5">
        <f>+J5</f>
        <v>2</v>
      </c>
      <c r="L5">
        <f>+K5+(L2-K4)*L3/K10</f>
        <v>2.1428571428571428</v>
      </c>
      <c r="M5">
        <f>+L5</f>
        <v>2.1428571428571428</v>
      </c>
      <c r="N5">
        <f>+M5+(N2-M4)*N3/M10</f>
        <v>3.1428571428571428</v>
      </c>
      <c r="O5">
        <f>+N5</f>
        <v>3.1428571428571428</v>
      </c>
    </row>
    <row r="7" spans="1:15" x14ac:dyDescent="0.75">
      <c r="A7" t="s">
        <v>5</v>
      </c>
      <c r="B7">
        <v>0</v>
      </c>
      <c r="C7">
        <v>0</v>
      </c>
      <c r="D7">
        <v>0</v>
      </c>
      <c r="E7">
        <v>0</v>
      </c>
      <c r="F7">
        <f>+F5</f>
        <v>2</v>
      </c>
      <c r="G7">
        <f t="shared" ref="G7:L8" si="0">+F7</f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N7">
        <f>+N5</f>
        <v>3.1428571428571428</v>
      </c>
      <c r="O7">
        <f>+N7</f>
        <v>3.1428571428571428</v>
      </c>
    </row>
    <row r="8" spans="1:15" x14ac:dyDescent="0.7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N8">
        <f>+E10*(N5-E7)</f>
        <v>62.857142857142854</v>
      </c>
      <c r="O8">
        <f>+F11*(O5-F7)</f>
        <v>457.14285714285711</v>
      </c>
    </row>
    <row r="10" spans="1:15" x14ac:dyDescent="0.75">
      <c r="A10" t="s">
        <v>7</v>
      </c>
      <c r="B10">
        <v>0</v>
      </c>
      <c r="C10">
        <v>20</v>
      </c>
      <c r="D10">
        <v>20</v>
      </c>
      <c r="E10">
        <v>20</v>
      </c>
      <c r="F10">
        <v>420</v>
      </c>
      <c r="G10">
        <v>420</v>
      </c>
      <c r="H10">
        <v>420</v>
      </c>
      <c r="I10">
        <v>420</v>
      </c>
      <c r="J10">
        <v>420</v>
      </c>
      <c r="K10">
        <v>420</v>
      </c>
      <c r="L10">
        <v>20</v>
      </c>
      <c r="M10">
        <v>20</v>
      </c>
    </row>
    <row r="11" spans="1:15" x14ac:dyDescent="0.75">
      <c r="A11" t="s">
        <v>8</v>
      </c>
      <c r="B11">
        <v>0</v>
      </c>
      <c r="C11">
        <v>20</v>
      </c>
      <c r="F11">
        <v>400</v>
      </c>
      <c r="N11">
        <v>20</v>
      </c>
    </row>
    <row r="14" spans="1:15" x14ac:dyDescent="0.75">
      <c r="C14">
        <v>40</v>
      </c>
      <c r="K14">
        <f>60*400/420</f>
        <v>57.142857142857146</v>
      </c>
    </row>
    <row r="15" spans="1:15" x14ac:dyDescent="0.75">
      <c r="C15">
        <v>2.8</v>
      </c>
      <c r="G15">
        <f>60/420*20</f>
        <v>2.8571428571428568</v>
      </c>
    </row>
    <row r="16" spans="1:15" x14ac:dyDescent="0.75">
      <c r="C16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C2E69-E67B-45D9-BD33-D97282242B36}">
  <dimension ref="A1:M27"/>
  <sheetViews>
    <sheetView showGridLines="0" zoomScale="80" zoomScaleNormal="80" workbookViewId="0">
      <selection activeCell="F20" sqref="F20"/>
    </sheetView>
  </sheetViews>
  <sheetFormatPr defaultRowHeight="14.75" x14ac:dyDescent="0.75"/>
  <cols>
    <col min="1" max="1" width="6.86328125" bestFit="1" customWidth="1"/>
    <col min="2" max="2" width="24.1328125" bestFit="1" customWidth="1"/>
    <col min="3" max="3" width="12.1328125" bestFit="1" customWidth="1"/>
    <col min="4" max="4" width="12.26953125" bestFit="1" customWidth="1"/>
    <col min="5" max="5" width="8.40625" bestFit="1" customWidth="1"/>
    <col min="6" max="6" width="8.1328125" bestFit="1" customWidth="1"/>
    <col min="7" max="7" width="10.54296875" bestFit="1" customWidth="1"/>
    <col min="8" max="8" width="10.36328125" bestFit="1" customWidth="1"/>
    <col min="9" max="9" width="12.7265625" bestFit="1" customWidth="1"/>
    <col min="10" max="10" width="10.453125" style="9" bestFit="1" customWidth="1"/>
    <col min="11" max="11" width="6.7265625" bestFit="1" customWidth="1"/>
    <col min="12" max="12" width="23.31640625" style="26" customWidth="1"/>
    <col min="13" max="13" width="28.04296875" bestFit="1" customWidth="1"/>
  </cols>
  <sheetData>
    <row r="1" spans="1:13" ht="15.5" thickBot="1" x14ac:dyDescent="0.9">
      <c r="A1" s="4" t="s">
        <v>12</v>
      </c>
      <c r="B1" s="4" t="s">
        <v>26</v>
      </c>
      <c r="C1" s="4"/>
      <c r="E1" s="5" t="s">
        <v>28</v>
      </c>
      <c r="F1" s="5" t="s">
        <v>29</v>
      </c>
      <c r="G1" s="5" t="s">
        <v>2</v>
      </c>
      <c r="H1" s="5" t="s">
        <v>37</v>
      </c>
      <c r="I1" s="5" t="s">
        <v>38</v>
      </c>
    </row>
    <row r="2" spans="1:13" ht="15.5" thickTop="1" x14ac:dyDescent="0.75">
      <c r="A2" s="3" t="s">
        <v>15</v>
      </c>
      <c r="B2">
        <v>25</v>
      </c>
      <c r="E2">
        <v>300</v>
      </c>
      <c r="F2">
        <v>300</v>
      </c>
      <c r="G2">
        <f>+E2/F2</f>
        <v>1</v>
      </c>
      <c r="H2">
        <f>+G2*0.7</f>
        <v>0.7</v>
      </c>
      <c r="I2">
        <f>+G2*0.3</f>
        <v>0.3</v>
      </c>
      <c r="L2" s="30"/>
    </row>
    <row r="3" spans="1:13" x14ac:dyDescent="0.75">
      <c r="A3" s="3" t="s">
        <v>16</v>
      </c>
      <c r="B3">
        <v>50</v>
      </c>
      <c r="M3" s="9"/>
    </row>
    <row r="4" spans="1:13" x14ac:dyDescent="0.75">
      <c r="A4" s="8"/>
      <c r="B4" s="6"/>
      <c r="C4" s="6"/>
      <c r="D4" s="6"/>
      <c r="E4" s="6"/>
      <c r="F4" s="6"/>
      <c r="G4" s="6"/>
      <c r="H4" s="6"/>
      <c r="I4" s="6"/>
      <c r="J4" s="25"/>
      <c r="K4" s="6"/>
      <c r="L4" s="27"/>
    </row>
    <row r="6" spans="1:13" x14ac:dyDescent="0.75">
      <c r="A6" s="16" t="s">
        <v>39</v>
      </c>
      <c r="B6" s="19" t="s">
        <v>23</v>
      </c>
      <c r="D6" s="16" t="s">
        <v>41</v>
      </c>
      <c r="E6" s="17" t="s">
        <v>27</v>
      </c>
      <c r="F6" s="17"/>
      <c r="G6" s="17" t="s">
        <v>13</v>
      </c>
      <c r="H6" s="17"/>
      <c r="I6" s="17" t="s">
        <v>35</v>
      </c>
      <c r="J6" s="18" t="s">
        <v>36</v>
      </c>
      <c r="K6" s="17" t="s">
        <v>30</v>
      </c>
      <c r="L6" s="28" t="s">
        <v>40</v>
      </c>
    </row>
    <row r="7" spans="1:13" x14ac:dyDescent="0.75">
      <c r="A7" s="12">
        <v>0</v>
      </c>
      <c r="B7" s="23" t="s">
        <v>32</v>
      </c>
      <c r="C7" s="3"/>
      <c r="D7" s="12" t="s">
        <v>24</v>
      </c>
      <c r="E7" s="20">
        <v>10</v>
      </c>
      <c r="F7" s="20"/>
      <c r="G7" s="21">
        <v>2.5E+19</v>
      </c>
      <c r="H7" s="20"/>
      <c r="I7" s="22">
        <f>+IFERROR(E7/SUM(E7:E8)*$H$2*60, 0)</f>
        <v>21</v>
      </c>
      <c r="J7" s="22">
        <f>+$I$2*G7/SUM($G$7:$G$8)*60</f>
        <v>6</v>
      </c>
      <c r="K7" s="22">
        <f>+J7+I7</f>
        <v>27</v>
      </c>
      <c r="L7" s="29"/>
    </row>
    <row r="8" spans="1:13" x14ac:dyDescent="0.75">
      <c r="A8" s="12"/>
      <c r="B8" s="23"/>
      <c r="D8" s="12" t="s">
        <v>25</v>
      </c>
      <c r="E8" s="20">
        <v>10</v>
      </c>
      <c r="F8" s="20"/>
      <c r="G8" s="21">
        <v>5E+19</v>
      </c>
      <c r="H8" s="20"/>
      <c r="I8" s="22">
        <f>+IFERROR(E8/SUM(E7:E8)*$H$2*60, 0)</f>
        <v>21</v>
      </c>
      <c r="J8" s="22">
        <f>+$I$2*G8/SUM($G$7:$G$8)*60</f>
        <v>12</v>
      </c>
      <c r="K8" s="22">
        <f>+J8+I8</f>
        <v>33</v>
      </c>
      <c r="L8" s="29"/>
    </row>
    <row r="9" spans="1:13" x14ac:dyDescent="0.75">
      <c r="A9" s="12">
        <v>60</v>
      </c>
      <c r="B9" s="23" t="s">
        <v>20</v>
      </c>
      <c r="D9" s="12"/>
      <c r="E9" s="20"/>
      <c r="F9" s="20"/>
      <c r="G9" s="20"/>
      <c r="H9" s="20"/>
      <c r="I9" s="22"/>
      <c r="J9" s="22"/>
      <c r="K9" s="22"/>
      <c r="L9" s="29"/>
    </row>
    <row r="10" spans="1:13" x14ac:dyDescent="0.75">
      <c r="A10" s="12"/>
      <c r="B10" s="23"/>
      <c r="D10" s="12" t="s">
        <v>24</v>
      </c>
      <c r="E10" s="20">
        <v>50</v>
      </c>
      <c r="F10" s="20"/>
      <c r="G10" s="21">
        <v>2.5E+19</v>
      </c>
      <c r="H10" s="20"/>
      <c r="I10" s="22">
        <f>+E10/SUM(E10:E11)*$H$2*60</f>
        <v>35</v>
      </c>
      <c r="J10" s="22">
        <f>+$I$2*G10/SUM(G10:G11)*60</f>
        <v>6</v>
      </c>
      <c r="K10" s="22">
        <f>+J10+I10</f>
        <v>41</v>
      </c>
      <c r="L10" s="31">
        <f>+K10+K7</f>
        <v>68</v>
      </c>
    </row>
    <row r="11" spans="1:13" x14ac:dyDescent="0.75">
      <c r="A11" s="12"/>
      <c r="B11" s="23"/>
      <c r="D11" s="12" t="s">
        <v>25</v>
      </c>
      <c r="E11" s="20">
        <v>10</v>
      </c>
      <c r="F11" s="20"/>
      <c r="G11" s="21">
        <v>5E+19</v>
      </c>
      <c r="H11" s="20"/>
      <c r="I11" s="22">
        <f>+E11/SUM(E10:E11)*$H$2*60</f>
        <v>6.9999999999999991</v>
      </c>
      <c r="J11" s="22">
        <f>+$I$2*G11/SUM(G10:G11)*60</f>
        <v>12</v>
      </c>
      <c r="K11" s="22">
        <f>+J11+I11</f>
        <v>19</v>
      </c>
      <c r="L11" s="31">
        <f>+K11+K8</f>
        <v>52</v>
      </c>
    </row>
    <row r="12" spans="1:13" x14ac:dyDescent="0.75">
      <c r="A12" s="12">
        <v>120</v>
      </c>
      <c r="B12" s="23" t="s">
        <v>18</v>
      </c>
      <c r="D12" s="12"/>
      <c r="E12" s="20"/>
      <c r="F12" s="20"/>
      <c r="G12" s="20"/>
      <c r="H12" s="20"/>
      <c r="I12" s="22"/>
      <c r="J12" s="22"/>
      <c r="K12" s="22"/>
      <c r="L12" s="31"/>
    </row>
    <row r="13" spans="1:13" x14ac:dyDescent="0.75">
      <c r="A13" s="12"/>
      <c r="B13" s="23"/>
      <c r="D13" s="12" t="s">
        <v>24</v>
      </c>
      <c r="E13" s="20">
        <v>50</v>
      </c>
      <c r="F13" s="20"/>
      <c r="G13" s="21">
        <v>2.5E+19</v>
      </c>
      <c r="H13" s="20"/>
      <c r="I13" s="22">
        <f>+E13/SUM(E13:E14)*$H$2*30</f>
        <v>17.5</v>
      </c>
      <c r="J13" s="22">
        <f>+$I$2*G13/SUM(G13:G14)*30</f>
        <v>3.2142855994898003E-7</v>
      </c>
      <c r="K13" s="22">
        <f>+J13+I13</f>
        <v>17.500000321428558</v>
      </c>
      <c r="L13" s="31">
        <f>+L10+K13</f>
        <v>85.500000321428558</v>
      </c>
    </row>
    <row r="14" spans="1:13" x14ac:dyDescent="0.75">
      <c r="A14" s="12"/>
      <c r="B14" s="23"/>
      <c r="D14" s="12" t="s">
        <v>25</v>
      </c>
      <c r="E14" s="20">
        <v>10</v>
      </c>
      <c r="F14" s="20"/>
      <c r="G14" s="21">
        <v>6.9999999999999998E+26</v>
      </c>
      <c r="H14" s="20"/>
      <c r="I14" s="22">
        <f>+E14/SUM(E13:E14)*$H$2*30</f>
        <v>3.4999999999999996</v>
      </c>
      <c r="J14" s="22">
        <f>+$I$2*G14/SUM(G13:G14)*30</f>
        <v>8.9999996785714398</v>
      </c>
      <c r="K14" s="22">
        <f>+J14+I14</f>
        <v>12.49999967857144</v>
      </c>
      <c r="L14" s="31">
        <f>+L11+K14</f>
        <v>64.499999678571442</v>
      </c>
    </row>
    <row r="15" spans="1:13" x14ac:dyDescent="0.75">
      <c r="A15" s="12">
        <v>150</v>
      </c>
      <c r="B15" s="23" t="s">
        <v>19</v>
      </c>
      <c r="D15" s="12" t="s">
        <v>24</v>
      </c>
      <c r="E15" s="20">
        <v>50</v>
      </c>
      <c r="F15" s="20"/>
      <c r="G15" s="20">
        <v>2.5E+19</v>
      </c>
      <c r="H15" s="20"/>
      <c r="I15" s="22">
        <f>+E15/SUM(E15:E16)*$H$2*70</f>
        <v>30.625</v>
      </c>
      <c r="J15" s="22">
        <f>+$I$2*G15/SUM(G15:G16)*70</f>
        <v>5.5263157894736841</v>
      </c>
      <c r="K15" s="22">
        <f>+J15+I15</f>
        <v>36.151315789473685</v>
      </c>
      <c r="L15" s="31">
        <f>+L13+K15</f>
        <v>121.65131611090224</v>
      </c>
    </row>
    <row r="16" spans="1:13" x14ac:dyDescent="0.75">
      <c r="A16" s="12"/>
      <c r="B16" s="23"/>
      <c r="D16" s="12" t="s">
        <v>25</v>
      </c>
      <c r="E16" s="20">
        <v>30</v>
      </c>
      <c r="F16" s="20"/>
      <c r="G16" s="20">
        <v>7E+19</v>
      </c>
      <c r="H16" s="20"/>
      <c r="I16" s="22">
        <f>+E16/SUM(E15:E16)*$H$2*70</f>
        <v>18.374999999999996</v>
      </c>
      <c r="J16" s="22">
        <f>+$I$2*G16/SUM(G15:G16)*70</f>
        <v>15.473684210526315</v>
      </c>
      <c r="K16" s="22">
        <f>+J16+I16</f>
        <v>33.848684210526315</v>
      </c>
      <c r="L16" s="31">
        <f>+L14+K16</f>
        <v>98.348683889097757</v>
      </c>
    </row>
    <row r="17" spans="1:12" x14ac:dyDescent="0.75">
      <c r="A17" s="12">
        <v>220</v>
      </c>
      <c r="B17" s="23" t="s">
        <v>21</v>
      </c>
      <c r="D17" s="12"/>
      <c r="E17" s="20"/>
      <c r="F17" s="20"/>
      <c r="G17" s="20"/>
      <c r="H17" s="20"/>
      <c r="I17" s="22"/>
      <c r="J17" s="22"/>
      <c r="K17" s="22"/>
      <c r="L17" s="31"/>
    </row>
    <row r="18" spans="1:12" x14ac:dyDescent="0.75">
      <c r="A18" s="12"/>
      <c r="B18" s="23"/>
      <c r="D18" s="12" t="s">
        <v>24</v>
      </c>
      <c r="E18" s="20">
        <v>40</v>
      </c>
      <c r="F18" s="20"/>
      <c r="G18" s="20">
        <v>2.5E+19</v>
      </c>
      <c r="H18" s="20"/>
      <c r="I18" s="22">
        <f>+E18/SUM(E18:E19)*$H$2*30</f>
        <v>11.999999999999998</v>
      </c>
      <c r="J18" s="22">
        <f>+$I$2*G18/SUM(G18:G19)*30</f>
        <v>2.3684210526315788</v>
      </c>
      <c r="K18" s="22">
        <f>+J18+I18</f>
        <v>14.368421052631577</v>
      </c>
      <c r="L18" s="31">
        <f>+L15+K18</f>
        <v>136.01973716353382</v>
      </c>
    </row>
    <row r="19" spans="1:12" x14ac:dyDescent="0.75">
      <c r="A19" s="12"/>
      <c r="B19" s="23"/>
      <c r="D19" s="12" t="s">
        <v>25</v>
      </c>
      <c r="E19" s="20">
        <v>30</v>
      </c>
      <c r="F19" s="20"/>
      <c r="G19" s="20">
        <v>7E+19</v>
      </c>
      <c r="H19" s="20"/>
      <c r="I19" s="22">
        <f>+E19/SUM(E18:E19)*$H$2*30</f>
        <v>9</v>
      </c>
      <c r="J19" s="22">
        <f>+$I$2*G19/SUM(G18:G19)*30</f>
        <v>6.6315789473684212</v>
      </c>
      <c r="K19" s="22">
        <f>+J19+I19</f>
        <v>15.631578947368421</v>
      </c>
      <c r="L19" s="31">
        <f>+L16+K19</f>
        <v>113.98026283646618</v>
      </c>
    </row>
    <row r="20" spans="1:12" x14ac:dyDescent="0.75">
      <c r="A20" s="12">
        <v>250</v>
      </c>
      <c r="B20" s="23" t="s">
        <v>22</v>
      </c>
      <c r="D20" s="12"/>
      <c r="E20" s="20"/>
      <c r="F20" s="20"/>
      <c r="G20" s="20"/>
      <c r="H20" s="20"/>
      <c r="I20" s="22"/>
      <c r="J20" s="22"/>
      <c r="K20" s="22"/>
      <c r="L20" s="31"/>
    </row>
    <row r="21" spans="1:12" x14ac:dyDescent="0.75">
      <c r="A21" s="12"/>
      <c r="B21" s="23"/>
      <c r="D21" s="12" t="s">
        <v>24</v>
      </c>
      <c r="E21" s="20">
        <v>40</v>
      </c>
      <c r="F21" s="20"/>
      <c r="G21" s="20">
        <v>1.25E+20</v>
      </c>
      <c r="H21" s="20"/>
      <c r="I21" s="22">
        <f>+E21/SUM(E21:E22)*$H$2*50</f>
        <v>20</v>
      </c>
      <c r="J21" s="22">
        <f>+$I$2*G21/SUM(G21:G22)*50</f>
        <v>9.6153846153846168</v>
      </c>
      <c r="K21" s="22">
        <f>+J21+I21</f>
        <v>29.615384615384617</v>
      </c>
      <c r="L21" s="31">
        <f>+L18+K21</f>
        <v>165.63512177891843</v>
      </c>
    </row>
    <row r="22" spans="1:12" x14ac:dyDescent="0.75">
      <c r="A22" s="13">
        <v>300</v>
      </c>
      <c r="B22" s="24" t="s">
        <v>17</v>
      </c>
      <c r="D22" s="13" t="s">
        <v>25</v>
      </c>
      <c r="E22" s="6">
        <v>30</v>
      </c>
      <c r="F22" s="6"/>
      <c r="G22" s="6">
        <v>7E+19</v>
      </c>
      <c r="H22" s="6"/>
      <c r="I22" s="7">
        <f>+E22/SUM(E21:E22)*$H$2*50</f>
        <v>15</v>
      </c>
      <c r="J22" s="7">
        <f>+$I$2*G22/SUM(G21:G22)*50</f>
        <v>5.384615384615385</v>
      </c>
      <c r="K22" s="7">
        <f>+J22+I22</f>
        <v>20.384615384615387</v>
      </c>
      <c r="L22" s="32">
        <f>+L19+K22</f>
        <v>134.36487822108157</v>
      </c>
    </row>
    <row r="24" spans="1:12" ht="15.5" thickBot="1" x14ac:dyDescent="0.9">
      <c r="D24" s="10" t="s">
        <v>31</v>
      </c>
      <c r="E24" s="11"/>
    </row>
    <row r="25" spans="1:12" ht="15.5" thickTop="1" x14ac:dyDescent="0.75">
      <c r="D25" s="12" t="s">
        <v>24</v>
      </c>
      <c r="E25" s="33">
        <f>+SUM(K7,K10,K13,K15,K18,K21)</f>
        <v>165.63512177891843</v>
      </c>
    </row>
    <row r="26" spans="1:12" x14ac:dyDescent="0.75">
      <c r="D26" s="13" t="s">
        <v>25</v>
      </c>
      <c r="E26" s="34">
        <f>+SUM(K8,K11,K14,K16,K19,K22)</f>
        <v>134.36487822108157</v>
      </c>
    </row>
    <row r="27" spans="1:12" x14ac:dyDescent="0.75">
      <c r="D27" s="14" t="s">
        <v>14</v>
      </c>
      <c r="E27" s="15">
        <f>+SUM(E25:E26)</f>
        <v>300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B17B1-BE12-4310-9A3F-24B7422EA458}">
  <dimension ref="A1:T32"/>
  <sheetViews>
    <sheetView showGridLines="0" topLeftCell="D1" zoomScale="70" zoomScaleNormal="70" workbookViewId="0">
      <selection sqref="A1:T32"/>
    </sheetView>
  </sheetViews>
  <sheetFormatPr defaultRowHeight="14.75" x14ac:dyDescent="0.75"/>
  <cols>
    <col min="2" max="2" width="6.90625" bestFit="1" customWidth="1"/>
    <col min="3" max="3" width="24.1796875" bestFit="1" customWidth="1"/>
    <col min="4" max="4" width="2.1328125" customWidth="1"/>
    <col min="5" max="5" width="12.26953125" bestFit="1" customWidth="1"/>
    <col min="6" max="6" width="7.58984375" bestFit="1" customWidth="1"/>
    <col min="7" max="7" width="8.86328125" bestFit="1" customWidth="1"/>
    <col min="8" max="8" width="10.54296875" bestFit="1" customWidth="1"/>
    <col min="9" max="9" width="11.453125" bestFit="1" customWidth="1"/>
    <col min="10" max="10" width="11.54296875" bestFit="1" customWidth="1"/>
    <col min="11" max="11" width="13.6328125" style="9" bestFit="1" customWidth="1"/>
    <col min="12" max="12" width="26" bestFit="1" customWidth="1"/>
    <col min="13" max="13" width="9" bestFit="1" customWidth="1"/>
    <col min="14" max="14" width="7.54296875" style="26" bestFit="1" customWidth="1"/>
    <col min="15" max="15" width="19.1796875" bestFit="1" customWidth="1"/>
    <col min="17" max="17" width="13.2265625" bestFit="1" customWidth="1"/>
    <col min="18" max="18" width="15.6796875" bestFit="1" customWidth="1"/>
  </cols>
  <sheetData>
    <row r="1" spans="1:20" x14ac:dyDescent="0.75">
      <c r="A1" s="49"/>
      <c r="B1" s="49"/>
      <c r="C1" s="49"/>
      <c r="D1" s="49"/>
      <c r="E1" s="49"/>
      <c r="F1" s="49"/>
      <c r="G1" s="49"/>
      <c r="H1" s="49"/>
      <c r="I1" s="49"/>
      <c r="J1" s="49"/>
      <c r="K1" s="50"/>
      <c r="L1" s="49"/>
      <c r="M1" s="49"/>
      <c r="N1" s="51"/>
      <c r="O1" s="49"/>
      <c r="P1" s="49"/>
      <c r="Q1" s="49"/>
      <c r="R1" s="49"/>
      <c r="S1" s="49"/>
      <c r="T1" s="49"/>
    </row>
    <row r="2" spans="1:20" ht="15.5" thickBot="1" x14ac:dyDescent="0.9">
      <c r="A2" s="49"/>
      <c r="B2" s="52" t="s">
        <v>12</v>
      </c>
      <c r="C2" s="52" t="s">
        <v>26</v>
      </c>
      <c r="D2" s="52"/>
      <c r="E2" s="49"/>
      <c r="F2" s="52" t="s">
        <v>28</v>
      </c>
      <c r="G2" s="52" t="s">
        <v>29</v>
      </c>
      <c r="H2" s="52" t="s">
        <v>2</v>
      </c>
      <c r="I2" s="52" t="s">
        <v>44</v>
      </c>
      <c r="J2" s="52" t="s">
        <v>45</v>
      </c>
      <c r="K2" s="50"/>
      <c r="L2" s="49"/>
      <c r="M2" s="49"/>
      <c r="N2" s="51"/>
      <c r="O2" s="49"/>
      <c r="P2" s="49"/>
      <c r="Q2" s="49"/>
      <c r="R2" s="49"/>
      <c r="S2" s="49"/>
      <c r="T2" s="49"/>
    </row>
    <row r="3" spans="1:20" ht="15.5" thickTop="1" x14ac:dyDescent="0.75">
      <c r="A3" s="49"/>
      <c r="B3" s="53" t="s">
        <v>15</v>
      </c>
      <c r="C3" s="49">
        <v>25</v>
      </c>
      <c r="D3" s="49"/>
      <c r="E3" s="49"/>
      <c r="F3" s="49">
        <v>300</v>
      </c>
      <c r="G3" s="49">
        <v>300</v>
      </c>
      <c r="H3" s="49">
        <v>1</v>
      </c>
      <c r="I3" s="49">
        <v>0.7</v>
      </c>
      <c r="J3" s="49">
        <v>0.3</v>
      </c>
      <c r="K3" s="50"/>
      <c r="L3" s="49"/>
      <c r="M3" s="49"/>
      <c r="N3" s="54"/>
      <c r="O3" s="49"/>
      <c r="P3" s="49"/>
      <c r="Q3" s="49"/>
      <c r="R3" s="49"/>
      <c r="S3" s="49"/>
      <c r="T3" s="49"/>
    </row>
    <row r="4" spans="1:20" x14ac:dyDescent="0.75">
      <c r="A4" s="49"/>
      <c r="B4" s="53" t="s">
        <v>16</v>
      </c>
      <c r="C4" s="49">
        <v>50</v>
      </c>
      <c r="D4" s="49"/>
      <c r="E4" s="49"/>
      <c r="F4" s="49"/>
      <c r="G4" s="49"/>
      <c r="H4" s="49"/>
      <c r="I4" s="49"/>
      <c r="J4" s="49"/>
      <c r="K4" s="50"/>
      <c r="L4" s="49"/>
      <c r="M4" s="49"/>
      <c r="N4" s="51"/>
      <c r="O4" s="50"/>
      <c r="P4" s="49"/>
      <c r="Q4" s="49"/>
      <c r="R4" s="49"/>
      <c r="S4" s="49"/>
      <c r="T4" s="49"/>
    </row>
    <row r="5" spans="1:20" x14ac:dyDescent="0.75">
      <c r="A5" s="49"/>
      <c r="B5" s="55"/>
      <c r="C5" s="56"/>
      <c r="D5" s="56"/>
      <c r="E5" s="56"/>
      <c r="F5" s="56"/>
      <c r="G5" s="56"/>
      <c r="H5" s="56"/>
      <c r="I5" s="56"/>
      <c r="J5" s="56"/>
      <c r="K5" s="57"/>
      <c r="L5" s="56"/>
      <c r="M5" s="56"/>
      <c r="N5" s="58"/>
      <c r="O5" s="58"/>
      <c r="P5" s="49"/>
      <c r="Q5" s="49"/>
      <c r="R5" s="49"/>
      <c r="S5" s="49"/>
      <c r="T5" s="49"/>
    </row>
    <row r="6" spans="1:20" x14ac:dyDescent="0.75">
      <c r="A6" s="49"/>
      <c r="B6" s="49"/>
      <c r="C6" s="49"/>
      <c r="D6" s="49"/>
      <c r="E6" s="49"/>
      <c r="F6" s="49"/>
      <c r="G6" s="49"/>
      <c r="H6" s="49"/>
      <c r="I6" s="49"/>
      <c r="J6" s="49"/>
      <c r="K6" s="50"/>
      <c r="L6" s="49"/>
      <c r="M6" s="49"/>
      <c r="N6" s="51"/>
      <c r="O6" s="49"/>
      <c r="P6" s="49"/>
      <c r="Q6" s="49"/>
      <c r="R6" s="49"/>
      <c r="S6" s="49"/>
      <c r="T6" s="49"/>
    </row>
    <row r="7" spans="1:20" x14ac:dyDescent="0.75">
      <c r="A7" s="49"/>
      <c r="B7" s="59" t="s">
        <v>39</v>
      </c>
      <c r="C7" s="60" t="s">
        <v>23</v>
      </c>
      <c r="D7" s="60"/>
      <c r="E7" s="59" t="s">
        <v>41</v>
      </c>
      <c r="F7" s="60" t="s">
        <v>27</v>
      </c>
      <c r="G7" s="60" t="s">
        <v>13</v>
      </c>
      <c r="H7" s="60" t="s">
        <v>42</v>
      </c>
      <c r="I7" s="60" t="s">
        <v>43</v>
      </c>
      <c r="J7" s="60" t="s">
        <v>46</v>
      </c>
      <c r="K7" s="61" t="s">
        <v>47</v>
      </c>
      <c r="L7" s="60" t="s">
        <v>48</v>
      </c>
      <c r="M7" s="60" t="s">
        <v>49</v>
      </c>
      <c r="N7" s="62" t="s">
        <v>6</v>
      </c>
      <c r="O7" s="63" t="s">
        <v>40</v>
      </c>
      <c r="P7" s="49"/>
      <c r="Q7" s="49"/>
      <c r="R7" s="49"/>
      <c r="S7" s="49"/>
      <c r="T7" s="49"/>
    </row>
    <row r="8" spans="1:20" x14ac:dyDescent="0.75">
      <c r="A8" s="49"/>
      <c r="B8" s="64">
        <v>0</v>
      </c>
      <c r="C8" s="65" t="s">
        <v>32</v>
      </c>
      <c r="D8" s="65"/>
      <c r="E8" s="66" t="s">
        <v>24</v>
      </c>
      <c r="F8" s="65">
        <v>1E+19</v>
      </c>
      <c r="G8" s="67">
        <v>2.5E+19</v>
      </c>
      <c r="H8" s="68">
        <f>+F8/SUM(F8:F9)</f>
        <v>0.5</v>
      </c>
      <c r="I8" s="68">
        <f>+G8/SUM(G8:G9)</f>
        <v>0.33333333333333331</v>
      </c>
      <c r="J8" s="68">
        <f>+H8^$I$3</f>
        <v>0.61557220667245816</v>
      </c>
      <c r="K8" s="68">
        <f>+I8^$J$3</f>
        <v>0.71922309332486434</v>
      </c>
      <c r="L8" s="68">
        <f>+K8*J8</f>
        <v>0.44273374664777804</v>
      </c>
      <c r="M8" s="69">
        <f>+L8/SUM(L8:L9)</f>
        <v>0.44820048133989088</v>
      </c>
      <c r="N8" s="68">
        <f>+$H$3*60*M8</f>
        <v>26.892028880393454</v>
      </c>
      <c r="O8" s="84">
        <f>+N8</f>
        <v>26.892028880393454</v>
      </c>
      <c r="P8" s="49"/>
      <c r="Q8" s="49"/>
      <c r="R8" s="49">
        <f>10^0.7</f>
        <v>5.0118723362727229</v>
      </c>
      <c r="S8" s="49">
        <f>10^0.7</f>
        <v>5.0118723362727229</v>
      </c>
      <c r="T8" s="49"/>
    </row>
    <row r="9" spans="1:20" x14ac:dyDescent="0.75">
      <c r="A9" s="49"/>
      <c r="B9" s="64"/>
      <c r="C9" s="65"/>
      <c r="D9" s="65"/>
      <c r="E9" s="66" t="s">
        <v>25</v>
      </c>
      <c r="F9" s="65">
        <v>1E+19</v>
      </c>
      <c r="G9" s="67">
        <v>5E+19</v>
      </c>
      <c r="H9" s="68">
        <f>+F9/SUM(F8:F9)</f>
        <v>0.5</v>
      </c>
      <c r="I9" s="68">
        <f>+G9/SUM(G8:G9)</f>
        <v>0.66666666666666663</v>
      </c>
      <c r="J9" s="68">
        <f>+H9^$I$3</f>
        <v>0.61557220667245816</v>
      </c>
      <c r="K9" s="68">
        <f>+I9^$J$3</f>
        <v>0.88546749329555607</v>
      </c>
      <c r="L9" s="68">
        <f>+K9*J9</f>
        <v>0.54506917878467553</v>
      </c>
      <c r="M9" s="69">
        <f>+L9/SUM(L8:L9)</f>
        <v>0.55179951866010912</v>
      </c>
      <c r="N9" s="68">
        <f>+$H$3*60*M9</f>
        <v>33.107971119606546</v>
      </c>
      <c r="O9" s="84">
        <f>+N9</f>
        <v>33.107971119606546</v>
      </c>
      <c r="P9" s="49"/>
      <c r="Q9" s="49"/>
      <c r="R9" s="49">
        <f>25^0.3</f>
        <v>2.626527804403767</v>
      </c>
      <c r="S9" s="49">
        <f>50^0.3</f>
        <v>3.2336350328867871</v>
      </c>
      <c r="T9" s="49"/>
    </row>
    <row r="10" spans="1:20" x14ac:dyDescent="0.75">
      <c r="A10" s="49"/>
      <c r="B10" s="64">
        <v>60</v>
      </c>
      <c r="C10" s="65" t="s">
        <v>20</v>
      </c>
      <c r="D10" s="65"/>
      <c r="E10" s="66"/>
      <c r="F10" s="65"/>
      <c r="G10" s="65"/>
      <c r="H10" s="68"/>
      <c r="I10" s="68"/>
      <c r="J10" s="68"/>
      <c r="K10" s="68"/>
      <c r="L10" s="68"/>
      <c r="M10" s="68"/>
      <c r="N10" s="68"/>
      <c r="O10" s="70"/>
      <c r="P10" s="49"/>
      <c r="Q10" s="49"/>
      <c r="R10" s="49">
        <f>+R9*R8</f>
        <v>13.163822043342373</v>
      </c>
      <c r="S10" s="49">
        <f>+S9*S8</f>
        <v>16.206565966927624</v>
      </c>
      <c r="T10" s="49"/>
    </row>
    <row r="11" spans="1:20" x14ac:dyDescent="0.75">
      <c r="A11" s="49"/>
      <c r="B11" s="64"/>
      <c r="C11" s="65"/>
      <c r="D11" s="65"/>
      <c r="E11" s="66" t="s">
        <v>24</v>
      </c>
      <c r="F11" s="65">
        <v>5E+19</v>
      </c>
      <c r="G11" s="67">
        <v>2.5E+19</v>
      </c>
      <c r="H11" s="68">
        <f>+F11/SUM(F11:F12)</f>
        <v>0.83333333333333337</v>
      </c>
      <c r="I11" s="68">
        <f>+G11/SUM(G11:G12)</f>
        <v>0.33333333333333331</v>
      </c>
      <c r="J11" s="68">
        <f>+H11^$I$3</f>
        <v>0.88018330703271519</v>
      </c>
      <c r="K11" s="68">
        <f>+I11^$J$3</f>
        <v>0.71922309332486434</v>
      </c>
      <c r="L11" s="68">
        <f>+K11*J11</f>
        <v>0.63304816077697823</v>
      </c>
      <c r="M11" s="68">
        <f>+L11/SUM(L11:L12)</f>
        <v>0.71476947895159004</v>
      </c>
      <c r="N11" s="68">
        <f>+$H$3*60*M11</f>
        <v>42.886168737095403</v>
      </c>
      <c r="O11" s="71">
        <f>+N11+N8</f>
        <v>69.778197617488857</v>
      </c>
      <c r="P11" s="49"/>
      <c r="Q11" s="49"/>
      <c r="R11" s="49"/>
      <c r="S11" s="49"/>
      <c r="T11" s="49"/>
    </row>
    <row r="12" spans="1:20" x14ac:dyDescent="0.75">
      <c r="A12" s="49"/>
      <c r="B12" s="64"/>
      <c r="C12" s="65"/>
      <c r="D12" s="65"/>
      <c r="E12" s="66" t="s">
        <v>25</v>
      </c>
      <c r="F12" s="65">
        <v>1E+19</v>
      </c>
      <c r="G12" s="67">
        <v>5E+19</v>
      </c>
      <c r="H12" s="68">
        <f>+F12/SUM(F11:F12)</f>
        <v>0.16666666666666666</v>
      </c>
      <c r="I12" s="68">
        <f>+G12/SUM(G11:G12)</f>
        <v>0.66666666666666663</v>
      </c>
      <c r="J12" s="68">
        <f>+H12^$I$3</f>
        <v>0.28529497656828423</v>
      </c>
      <c r="K12" s="68">
        <f>+I12^$J$3</f>
        <v>0.88546749329555607</v>
      </c>
      <c r="L12" s="68">
        <f>+K12*J12</f>
        <v>0.25261942775173307</v>
      </c>
      <c r="M12" s="68">
        <f>+L12/SUM(L11:L12)</f>
        <v>0.28523052104840996</v>
      </c>
      <c r="N12" s="68">
        <f>+$H$3*60*M12</f>
        <v>17.113831262904597</v>
      </c>
      <c r="O12" s="71">
        <f>+N12+N9</f>
        <v>50.221802382511143</v>
      </c>
      <c r="P12" s="49"/>
      <c r="Q12" s="49"/>
      <c r="R12" s="49">
        <f>+R10+S10</f>
        <v>29.370388010269998</v>
      </c>
      <c r="S12" s="49"/>
      <c r="T12" s="49"/>
    </row>
    <row r="13" spans="1:20" x14ac:dyDescent="0.75">
      <c r="A13" s="49"/>
      <c r="B13" s="64">
        <v>120</v>
      </c>
      <c r="C13" s="65" t="s">
        <v>18</v>
      </c>
      <c r="D13" s="65"/>
      <c r="E13" s="66"/>
      <c r="F13" s="65"/>
      <c r="G13" s="65"/>
      <c r="H13" s="68"/>
      <c r="I13" s="68"/>
      <c r="J13" s="68"/>
      <c r="K13" s="68"/>
      <c r="L13" s="68"/>
      <c r="M13" s="68"/>
      <c r="N13" s="68"/>
      <c r="O13" s="70"/>
      <c r="P13" s="49"/>
      <c r="Q13" s="49"/>
      <c r="R13" s="49">
        <f>1/R12/60</f>
        <v>5.6746498074314853E-4</v>
      </c>
      <c r="S13" s="49"/>
      <c r="T13" s="49"/>
    </row>
    <row r="14" spans="1:20" x14ac:dyDescent="0.75">
      <c r="A14" s="49"/>
      <c r="B14" s="64"/>
      <c r="C14" s="65"/>
      <c r="D14" s="65"/>
      <c r="E14" s="66" t="s">
        <v>24</v>
      </c>
      <c r="F14" s="65">
        <v>5E+19</v>
      </c>
      <c r="G14" s="67">
        <v>2.5E+19</v>
      </c>
      <c r="H14" s="68">
        <f>+F14/SUM(F14:F15)</f>
        <v>0.83333333333333337</v>
      </c>
      <c r="I14" s="68">
        <f>+G14/SUM(G14:G15)</f>
        <v>0.26315789473684209</v>
      </c>
      <c r="J14" s="68">
        <f>+H14^$I$3</f>
        <v>0.88018330703271519</v>
      </c>
      <c r="K14" s="68">
        <f>+I14^$J$3</f>
        <v>0.66998475538030788</v>
      </c>
      <c r="L14" s="68">
        <f>+K14*J14</f>
        <v>0.58970939765214414</v>
      </c>
      <c r="M14" s="68">
        <f>+L14/SUM(L14:L15)</f>
        <v>0.69375229677182093</v>
      </c>
      <c r="N14" s="68">
        <f>+$H$3*30*M14</f>
        <v>20.812568903154627</v>
      </c>
      <c r="O14" s="71">
        <f>+O11+N14</f>
        <v>90.590766520643484</v>
      </c>
      <c r="P14" s="49"/>
      <c r="Q14" s="49"/>
      <c r="R14" s="49"/>
      <c r="S14" s="49"/>
      <c r="T14" s="49"/>
    </row>
    <row r="15" spans="1:20" x14ac:dyDescent="0.75">
      <c r="A15" s="49"/>
      <c r="B15" s="64"/>
      <c r="C15" s="65"/>
      <c r="D15" s="65"/>
      <c r="E15" s="66" t="s">
        <v>25</v>
      </c>
      <c r="F15" s="65">
        <v>1E+19</v>
      </c>
      <c r="G15" s="67">
        <v>7E+19</v>
      </c>
      <c r="H15" s="68">
        <f>+F15/SUM(F14:F15)</f>
        <v>0.16666666666666666</v>
      </c>
      <c r="I15" s="68">
        <f>+G15/SUM(G14:G15)</f>
        <v>0.73684210526315785</v>
      </c>
      <c r="J15" s="68">
        <f>+H15^$I$3</f>
        <v>0.28529497656828423</v>
      </c>
      <c r="K15" s="68">
        <f>+I15^$J$3</f>
        <v>0.91245683854817927</v>
      </c>
      <c r="L15" s="68">
        <f>+K15*J15</f>
        <v>0.2603193523731735</v>
      </c>
      <c r="M15" s="68">
        <f>+L15/SUM(L14:L15)</f>
        <v>0.30624770322817907</v>
      </c>
      <c r="N15" s="68">
        <f>+$H$3*30*M15</f>
        <v>9.1874310968453727</v>
      </c>
      <c r="O15" s="71">
        <f>+O12+N15</f>
        <v>59.409233479356516</v>
      </c>
      <c r="P15" s="49"/>
      <c r="Q15" s="49"/>
      <c r="R15" s="49"/>
      <c r="S15" s="49"/>
      <c r="T15" s="49"/>
    </row>
    <row r="16" spans="1:20" x14ac:dyDescent="0.75">
      <c r="A16" s="49"/>
      <c r="B16" s="64">
        <v>150</v>
      </c>
      <c r="C16" s="65" t="s">
        <v>19</v>
      </c>
      <c r="D16" s="65"/>
      <c r="E16" s="66" t="s">
        <v>24</v>
      </c>
      <c r="F16" s="65">
        <v>5E+19</v>
      </c>
      <c r="G16" s="65">
        <v>2.5E+19</v>
      </c>
      <c r="H16" s="68">
        <f>+F16/SUM(F16:F17)</f>
        <v>0.625</v>
      </c>
      <c r="I16" s="68">
        <f>+G16/SUM(G16:G17)</f>
        <v>0.26315789473684209</v>
      </c>
      <c r="J16" s="68">
        <f>+H16^$I$3</f>
        <v>0.71964118851645298</v>
      </c>
      <c r="K16" s="68">
        <f>+I16^$J$3</f>
        <v>0.66998475538030788</v>
      </c>
      <c r="L16" s="68">
        <f>+K16*J16</f>
        <v>0.48214862564978977</v>
      </c>
      <c r="M16" s="68">
        <f>+L16/SUM(L16:L17)</f>
        <v>0.51217062333254171</v>
      </c>
      <c r="N16" s="68">
        <f>+$H$3*70*M16</f>
        <v>35.851943633277919</v>
      </c>
      <c r="O16" s="71">
        <f>+O14+N16</f>
        <v>126.44271015392141</v>
      </c>
      <c r="P16" s="49"/>
      <c r="Q16" s="49"/>
      <c r="R16" s="49"/>
      <c r="S16" s="49"/>
      <c r="T16" s="49"/>
    </row>
    <row r="17" spans="1:20" x14ac:dyDescent="0.75">
      <c r="A17" s="49"/>
      <c r="B17" s="64"/>
      <c r="C17" s="65"/>
      <c r="D17" s="65"/>
      <c r="E17" s="66" t="s">
        <v>25</v>
      </c>
      <c r="F17" s="65">
        <v>3E+19</v>
      </c>
      <c r="G17" s="65">
        <v>7E+19</v>
      </c>
      <c r="H17" s="68">
        <f>+F17/SUM(F16:F17)</f>
        <v>0.375</v>
      </c>
      <c r="I17" s="68">
        <f>+G17/SUM(G16:G17)</f>
        <v>0.73684210526315785</v>
      </c>
      <c r="J17" s="68">
        <f>+H17^$I$3</f>
        <v>0.50329415576044101</v>
      </c>
      <c r="K17" s="68">
        <f>+I17^$J$3</f>
        <v>0.91245683854817927</v>
      </c>
      <c r="L17" s="68">
        <f>+K17*J17</f>
        <v>0.45923419422494693</v>
      </c>
      <c r="M17" s="68">
        <f>+L17/SUM(L16:L17)</f>
        <v>0.48782937666745824</v>
      </c>
      <c r="N17" s="68">
        <f>+$H$3*70*M17</f>
        <v>34.148056366722074</v>
      </c>
      <c r="O17" s="71">
        <f>+O15+N17</f>
        <v>93.557289846078589</v>
      </c>
      <c r="P17" s="49"/>
      <c r="Q17" s="49"/>
      <c r="R17" s="49">
        <f>60*1000000000000000000</f>
        <v>6E+19</v>
      </c>
      <c r="S17" s="49"/>
      <c r="T17" s="49"/>
    </row>
    <row r="18" spans="1:20" x14ac:dyDescent="0.75">
      <c r="A18" s="49"/>
      <c r="B18" s="64">
        <v>220</v>
      </c>
      <c r="C18" s="65" t="s">
        <v>21</v>
      </c>
      <c r="D18" s="65"/>
      <c r="E18" s="66"/>
      <c r="F18" s="65"/>
      <c r="G18" s="65"/>
      <c r="H18" s="68"/>
      <c r="I18" s="68"/>
      <c r="J18" s="68"/>
      <c r="K18" s="68"/>
      <c r="L18" s="68"/>
      <c r="M18" s="68"/>
      <c r="N18" s="68"/>
      <c r="O18" s="71"/>
      <c r="P18" s="49"/>
      <c r="Q18" s="49"/>
      <c r="R18" s="49">
        <f>+R17*10000</f>
        <v>6.0000000000000002E+23</v>
      </c>
      <c r="S18" s="49"/>
      <c r="T18" s="49"/>
    </row>
    <row r="19" spans="1:20" x14ac:dyDescent="0.75">
      <c r="A19" s="49"/>
      <c r="B19" s="64"/>
      <c r="C19" s="65"/>
      <c r="D19" s="65"/>
      <c r="E19" s="66" t="s">
        <v>24</v>
      </c>
      <c r="F19" s="65">
        <v>4E+19</v>
      </c>
      <c r="G19" s="65">
        <v>2.5E+19</v>
      </c>
      <c r="H19" s="68">
        <f>+F19/SUM(F19:F20)</f>
        <v>0.5714285714285714</v>
      </c>
      <c r="I19" s="68">
        <f>+G19/SUM(G19:G20)</f>
        <v>0.26315789473684209</v>
      </c>
      <c r="J19" s="68">
        <f>+H19^$I$3</f>
        <v>0.67588586797162753</v>
      </c>
      <c r="K19" s="68">
        <f>+I19^$J$3</f>
        <v>0.66998475538030788</v>
      </c>
      <c r="L19" s="68">
        <f>+K19*J19</f>
        <v>0.45283322791797792</v>
      </c>
      <c r="M19" s="68">
        <f>+L19/SUM(L19:L20)</f>
        <v>0.4731487637387678</v>
      </c>
      <c r="N19" s="68">
        <f>+$H$3*30*M19</f>
        <v>14.194462912163035</v>
      </c>
      <c r="O19" s="71">
        <f>+O16+N19</f>
        <v>140.63717306608444</v>
      </c>
      <c r="P19" s="49"/>
      <c r="Q19" s="49"/>
      <c r="R19" s="49">
        <f>+R18*1E+50</f>
        <v>6.0000000000000002E+73</v>
      </c>
      <c r="S19" s="49"/>
      <c r="T19" s="49"/>
    </row>
    <row r="20" spans="1:20" x14ac:dyDescent="0.75">
      <c r="A20" s="49"/>
      <c r="B20" s="64"/>
      <c r="C20" s="65"/>
      <c r="D20" s="65"/>
      <c r="E20" s="66" t="s">
        <v>25</v>
      </c>
      <c r="F20" s="65">
        <v>3E+19</v>
      </c>
      <c r="G20" s="65">
        <v>7E+19</v>
      </c>
      <c r="H20" s="68">
        <f>+F20/SUM(F19:F20)</f>
        <v>0.42857142857142855</v>
      </c>
      <c r="I20" s="68">
        <f>+G20/SUM(G19:G20)</f>
        <v>0.73684210526315785</v>
      </c>
      <c r="J20" s="68">
        <f>+H20^$I$3</f>
        <v>0.55260683251119402</v>
      </c>
      <c r="K20" s="68">
        <f>+I20^$J$3</f>
        <v>0.91245683854817927</v>
      </c>
      <c r="L20" s="68">
        <f>+K20*J20</f>
        <v>0.50422988335328733</v>
      </c>
      <c r="M20" s="68">
        <f>+L20/SUM(L19:L20)</f>
        <v>0.5268512362612322</v>
      </c>
      <c r="N20" s="68">
        <f>+$H$3*30*M20</f>
        <v>15.805537087836965</v>
      </c>
      <c r="O20" s="71">
        <f>+O17+N20</f>
        <v>109.36282693391556</v>
      </c>
      <c r="P20" s="49"/>
      <c r="Q20" s="50">
        <f>+K27</f>
        <v>0.999</v>
      </c>
      <c r="R20" s="49">
        <f>+R19/2.93703880102699E+37</f>
        <v>2.0428739306753418E+36</v>
      </c>
      <c r="S20" s="49"/>
      <c r="T20" s="49"/>
    </row>
    <row r="21" spans="1:20" x14ac:dyDescent="0.75">
      <c r="A21" s="49"/>
      <c r="B21" s="64">
        <v>250</v>
      </c>
      <c r="C21" s="65" t="s">
        <v>22</v>
      </c>
      <c r="D21" s="65"/>
      <c r="E21" s="66"/>
      <c r="F21" s="65"/>
      <c r="G21" s="65"/>
      <c r="H21" s="68"/>
      <c r="I21" s="68"/>
      <c r="J21" s="68"/>
      <c r="K21" s="68"/>
      <c r="L21" s="68"/>
      <c r="M21" s="68"/>
      <c r="N21" s="68"/>
      <c r="O21" s="71"/>
      <c r="P21" s="49"/>
      <c r="Q21" s="49">
        <f>+Q20^(0.3*60)</f>
        <v>0.98215218705145069</v>
      </c>
      <c r="R21" s="83">
        <f>+R20/(Q21*1000000000000000000)</f>
        <v>2.0799973340265288E+18</v>
      </c>
      <c r="S21" s="49"/>
      <c r="T21" s="49"/>
    </row>
    <row r="22" spans="1:20" x14ac:dyDescent="0.75">
      <c r="A22" s="49"/>
      <c r="B22" s="64"/>
      <c r="C22" s="65"/>
      <c r="D22" s="65"/>
      <c r="E22" s="66" t="s">
        <v>24</v>
      </c>
      <c r="F22" s="65">
        <v>4E+19</v>
      </c>
      <c r="G22" s="65">
        <v>1.25E+20</v>
      </c>
      <c r="H22" s="68">
        <f>+F22/SUM(F22:F23)</f>
        <v>0.5714285714285714</v>
      </c>
      <c r="I22" s="68">
        <f>+G22/SUM(G22:G23)</f>
        <v>0.64102564102564108</v>
      </c>
      <c r="J22" s="68">
        <f>+H22^$I$3</f>
        <v>0.67588586797162753</v>
      </c>
      <c r="K22" s="68">
        <f>+I22^$J$3</f>
        <v>0.87510994737242054</v>
      </c>
      <c r="L22" s="68">
        <f>+K22*J22</f>
        <v>0.5914744463504138</v>
      </c>
      <c r="M22" s="68">
        <f>+L22/SUM(L22:L23)</f>
        <v>0.59274457381575263</v>
      </c>
      <c r="N22" s="68">
        <f>+$H$3*50*M22</f>
        <v>29.63722869078763</v>
      </c>
      <c r="O22" s="71">
        <f>+O19+N22</f>
        <v>170.27440175687207</v>
      </c>
      <c r="P22" s="49"/>
      <c r="Q22" s="49"/>
      <c r="R22" s="49"/>
      <c r="S22" s="49"/>
      <c r="T22" s="49"/>
    </row>
    <row r="23" spans="1:20" x14ac:dyDescent="0.75">
      <c r="A23" s="49"/>
      <c r="B23" s="72">
        <v>300</v>
      </c>
      <c r="C23" s="56" t="s">
        <v>17</v>
      </c>
      <c r="D23" s="56"/>
      <c r="E23" s="73" t="s">
        <v>25</v>
      </c>
      <c r="F23" s="56">
        <v>3E+19</v>
      </c>
      <c r="G23" s="56">
        <v>7E+19</v>
      </c>
      <c r="H23" s="74">
        <f>+F23/SUM(F22:F23)</f>
        <v>0.42857142857142855</v>
      </c>
      <c r="I23" s="74">
        <f>+G23/SUM(G22:G23)</f>
        <v>0.35897435897435898</v>
      </c>
      <c r="J23" s="74">
        <f>+H23^$I$3</f>
        <v>0.55260683251119402</v>
      </c>
      <c r="K23" s="74">
        <f>+I23^$J$3</f>
        <v>0.73539221595033788</v>
      </c>
      <c r="L23" s="74">
        <f>+K23*J23</f>
        <v>0.40638276310970417</v>
      </c>
      <c r="M23" s="74">
        <f>+L23/SUM(L22:L23)</f>
        <v>0.40725542618424743</v>
      </c>
      <c r="N23" s="74">
        <f>+$H$3*50*M23</f>
        <v>20.36277130921237</v>
      </c>
      <c r="O23" s="75">
        <f>+O20+N23</f>
        <v>129.72559824312793</v>
      </c>
      <c r="P23" s="49"/>
      <c r="Q23" s="49"/>
      <c r="R23" s="49"/>
      <c r="S23" s="49"/>
      <c r="T23" s="49"/>
    </row>
    <row r="24" spans="1:20" x14ac:dyDescent="0.7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50"/>
      <c r="L24" s="49"/>
      <c r="M24" s="49"/>
      <c r="N24" s="51"/>
      <c r="O24" s="49"/>
      <c r="P24" s="49"/>
      <c r="Q24" s="49"/>
      <c r="R24" s="49"/>
      <c r="S24" s="49"/>
      <c r="T24" s="49"/>
    </row>
    <row r="25" spans="1:20" ht="15.5" thickBot="1" x14ac:dyDescent="0.9">
      <c r="A25" s="49"/>
      <c r="B25" s="49"/>
      <c r="C25" s="49"/>
      <c r="D25" s="49"/>
      <c r="E25" s="76" t="s">
        <v>31</v>
      </c>
      <c r="F25" s="77"/>
      <c r="G25" s="49"/>
      <c r="H25" s="49"/>
      <c r="I25" s="49"/>
      <c r="J25" s="49"/>
      <c r="K25" s="50"/>
      <c r="L25" s="49"/>
      <c r="M25" s="49"/>
      <c r="N25" s="51"/>
      <c r="O25" s="49"/>
      <c r="P25" s="49"/>
      <c r="Q25" s="49"/>
      <c r="R25" s="49"/>
      <c r="S25" s="49"/>
      <c r="T25" s="49"/>
    </row>
    <row r="26" spans="1:20" ht="15.5" thickTop="1" x14ac:dyDescent="0.75">
      <c r="A26" s="49"/>
      <c r="B26" s="49"/>
      <c r="C26" s="49"/>
      <c r="D26" s="49"/>
      <c r="E26" s="66" t="s">
        <v>24</v>
      </c>
      <c r="F26" s="78">
        <f>+SUM(N8,N11,N14,N16,N19,N22)</f>
        <v>170.27440175687207</v>
      </c>
      <c r="G26" s="49"/>
      <c r="H26" s="49"/>
      <c r="I26" s="49"/>
      <c r="J26" s="49"/>
      <c r="K26" s="50"/>
      <c r="L26" s="81"/>
      <c r="M26" s="49"/>
      <c r="N26" s="51"/>
      <c r="O26" s="49"/>
      <c r="P26" s="49"/>
      <c r="Q26" s="49"/>
      <c r="R26" s="49"/>
      <c r="S26" s="49"/>
      <c r="T26" s="49"/>
    </row>
    <row r="27" spans="1:20" x14ac:dyDescent="0.75">
      <c r="A27" s="49"/>
      <c r="B27" s="49"/>
      <c r="C27" s="49"/>
      <c r="D27" s="49"/>
      <c r="E27" s="73" t="s">
        <v>25</v>
      </c>
      <c r="F27" s="79">
        <f>+SUM(N9,N12,N15,N17,N20,N23)</f>
        <v>129.72559824312793</v>
      </c>
      <c r="G27" s="49"/>
      <c r="H27" s="49"/>
      <c r="I27" s="49"/>
      <c r="J27" s="49"/>
      <c r="K27" s="50">
        <v>0.999</v>
      </c>
      <c r="L27" s="82">
        <f>+K27*1000000000000000000</f>
        <v>9.99E+17</v>
      </c>
      <c r="M27" s="49"/>
      <c r="N27" s="51"/>
      <c r="O27" s="49"/>
      <c r="P27" s="49"/>
      <c r="Q27" s="49"/>
      <c r="R27" s="49"/>
      <c r="S27" s="49"/>
      <c r="T27" s="49"/>
    </row>
    <row r="28" spans="1:20" x14ac:dyDescent="0.75">
      <c r="A28" s="49"/>
      <c r="B28" s="49"/>
      <c r="C28" s="49"/>
      <c r="D28" s="49"/>
      <c r="E28" s="72" t="s">
        <v>14</v>
      </c>
      <c r="F28" s="80">
        <f>+SUM(F26:F27)</f>
        <v>300</v>
      </c>
      <c r="G28" s="49"/>
      <c r="H28" s="49"/>
      <c r="I28" s="49"/>
      <c r="J28" s="49"/>
      <c r="K28" s="50">
        <f>+K27^(0.3*60)</f>
        <v>0.98215218705145069</v>
      </c>
      <c r="L28" s="49">
        <f>60*0.3</f>
        <v>18</v>
      </c>
      <c r="M28" s="49"/>
      <c r="N28" s="51"/>
      <c r="O28" s="49"/>
      <c r="P28" s="49"/>
      <c r="Q28" s="49"/>
      <c r="R28" s="49"/>
      <c r="S28" s="49"/>
      <c r="T28" s="49"/>
    </row>
    <row r="29" spans="1:20" x14ac:dyDescent="0.7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50"/>
      <c r="L29" s="49"/>
      <c r="M29" s="49"/>
      <c r="N29" s="51"/>
      <c r="O29" s="49"/>
      <c r="P29" s="49"/>
      <c r="Q29" s="49"/>
      <c r="R29" s="49"/>
      <c r="S29" s="49"/>
      <c r="T29" s="49"/>
    </row>
    <row r="30" spans="1:20" x14ac:dyDescent="0.75">
      <c r="A30" s="49"/>
      <c r="B30" s="49"/>
      <c r="C30" s="49"/>
      <c r="D30" s="49"/>
      <c r="E30" s="49">
        <f>2^256-1</f>
        <v>1.157920892373162E+77</v>
      </c>
      <c r="F30" s="49"/>
      <c r="G30" s="49"/>
      <c r="H30" s="49"/>
      <c r="I30" s="49"/>
      <c r="J30" s="49"/>
      <c r="K30" s="50"/>
      <c r="L30" s="49"/>
      <c r="M30" s="49"/>
      <c r="N30" s="51"/>
      <c r="O30" s="49"/>
      <c r="P30" s="49"/>
      <c r="Q30" s="49"/>
      <c r="R30" s="49"/>
      <c r="S30" s="49"/>
      <c r="T30" s="49"/>
    </row>
    <row r="31" spans="1:20" x14ac:dyDescent="0.75">
      <c r="A31" s="49"/>
      <c r="B31" s="49"/>
      <c r="C31" s="49"/>
      <c r="D31" s="49"/>
      <c r="E31" s="49">
        <f>2^255-1</f>
        <v>5.7896044618658098E+76</v>
      </c>
      <c r="F31" s="49"/>
      <c r="G31" s="49"/>
      <c r="H31" s="49"/>
      <c r="I31" s="49"/>
      <c r="J31" s="49"/>
      <c r="K31" s="50"/>
      <c r="L31" s="49"/>
      <c r="M31" s="49"/>
      <c r="N31" s="51"/>
      <c r="O31" s="49"/>
      <c r="P31" s="49"/>
      <c r="Q31" s="49"/>
      <c r="R31" s="49"/>
      <c r="S31" s="49"/>
      <c r="T31" s="49"/>
    </row>
    <row r="32" spans="1:20" x14ac:dyDescent="0.7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50"/>
      <c r="L32" s="49"/>
      <c r="M32" s="49"/>
      <c r="N32" s="51"/>
      <c r="O32" s="49"/>
      <c r="P32" s="49"/>
      <c r="Q32" s="49"/>
      <c r="R32" s="49"/>
      <c r="S32" s="49"/>
      <c r="T32" s="4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5F85E-96B2-448C-B0D9-612FF5920724}">
  <dimension ref="B2:P28"/>
  <sheetViews>
    <sheetView showGridLines="0" zoomScale="70" zoomScaleNormal="70" workbookViewId="0">
      <selection activeCell="G32" sqref="G32"/>
    </sheetView>
  </sheetViews>
  <sheetFormatPr defaultRowHeight="14.75" x14ac:dyDescent="0.75"/>
  <cols>
    <col min="2" max="2" width="6.90625" bestFit="1" customWidth="1"/>
    <col min="3" max="3" width="24.1796875" bestFit="1" customWidth="1"/>
    <col min="4" max="4" width="2.1328125" customWidth="1"/>
    <col min="5" max="5" width="12.26953125" bestFit="1" customWidth="1"/>
    <col min="6" max="6" width="7.58984375" bestFit="1" customWidth="1"/>
    <col min="7" max="7" width="8.86328125" bestFit="1" customWidth="1"/>
    <col min="8" max="8" width="11.54296875" bestFit="1" customWidth="1"/>
    <col min="9" max="9" width="10.54296875" bestFit="1" customWidth="1"/>
    <col min="10" max="10" width="11.453125" bestFit="1" customWidth="1"/>
    <col min="11" max="11" width="11.54296875" bestFit="1" customWidth="1"/>
    <col min="12" max="12" width="10.31640625" style="9" bestFit="1" customWidth="1"/>
    <col min="13" max="13" width="9.7265625" bestFit="1" customWidth="1"/>
    <col min="14" max="14" width="12.90625" customWidth="1"/>
    <col min="15" max="15" width="7.54296875" style="26" bestFit="1" customWidth="1"/>
    <col min="16" max="16" width="19.1796875" bestFit="1" customWidth="1"/>
  </cols>
  <sheetData>
    <row r="2" spans="2:16" ht="15.5" thickBot="1" x14ac:dyDescent="0.9">
      <c r="B2" s="4" t="s">
        <v>12</v>
      </c>
      <c r="C2" s="4" t="s">
        <v>26</v>
      </c>
      <c r="D2" s="4"/>
      <c r="F2" s="5" t="s">
        <v>28</v>
      </c>
      <c r="G2" s="5" t="s">
        <v>29</v>
      </c>
      <c r="H2" s="5"/>
      <c r="I2" s="5" t="s">
        <v>2</v>
      </c>
      <c r="J2" s="5" t="s">
        <v>44</v>
      </c>
      <c r="K2" s="5" t="s">
        <v>45</v>
      </c>
      <c r="M2" s="46" t="s">
        <v>50</v>
      </c>
      <c r="N2" s="47">
        <v>0.999</v>
      </c>
    </row>
    <row r="3" spans="2:16" ht="15.5" thickTop="1" x14ac:dyDescent="0.75">
      <c r="B3" s="3" t="s">
        <v>15</v>
      </c>
      <c r="C3">
        <v>25</v>
      </c>
      <c r="F3">
        <v>300</v>
      </c>
      <c r="G3">
        <v>300</v>
      </c>
      <c r="I3">
        <v>1</v>
      </c>
      <c r="J3">
        <v>0.7</v>
      </c>
      <c r="K3">
        <v>0.3</v>
      </c>
      <c r="O3" s="30"/>
    </row>
    <row r="4" spans="2:16" x14ac:dyDescent="0.75">
      <c r="B4" s="3" t="s">
        <v>16</v>
      </c>
      <c r="C4">
        <v>50</v>
      </c>
      <c r="P4" s="9"/>
    </row>
    <row r="5" spans="2:16" x14ac:dyDescent="0.75">
      <c r="B5" s="8"/>
      <c r="C5" s="6"/>
      <c r="D5" s="6"/>
      <c r="E5" s="6"/>
      <c r="F5" s="6"/>
      <c r="G5" s="6"/>
      <c r="H5" s="6"/>
      <c r="I5" s="6"/>
      <c r="J5" s="6"/>
      <c r="K5" s="6"/>
      <c r="L5" s="25"/>
      <c r="M5" s="6"/>
      <c r="N5" s="6"/>
      <c r="O5" s="27"/>
      <c r="P5" s="27"/>
    </row>
    <row r="7" spans="2:16" x14ac:dyDescent="0.75">
      <c r="B7" s="16" t="s">
        <v>39</v>
      </c>
      <c r="C7" s="17" t="s">
        <v>23</v>
      </c>
      <c r="D7" s="17"/>
      <c r="E7" s="16" t="s">
        <v>41</v>
      </c>
      <c r="F7" s="17" t="s">
        <v>27</v>
      </c>
      <c r="G7" s="17" t="s">
        <v>13</v>
      </c>
      <c r="H7" s="17" t="s">
        <v>51</v>
      </c>
      <c r="I7" s="17" t="s">
        <v>42</v>
      </c>
      <c r="J7" s="17" t="s">
        <v>43</v>
      </c>
      <c r="K7" s="17" t="s">
        <v>46</v>
      </c>
      <c r="L7" s="18" t="s">
        <v>47</v>
      </c>
      <c r="M7" s="17" t="s">
        <v>48</v>
      </c>
      <c r="N7" s="17" t="s">
        <v>49</v>
      </c>
      <c r="O7" s="39" t="s">
        <v>6</v>
      </c>
      <c r="P7" s="40" t="s">
        <v>40</v>
      </c>
    </row>
    <row r="8" spans="2:16" x14ac:dyDescent="0.75">
      <c r="B8" s="44">
        <v>0</v>
      </c>
      <c r="C8" s="20" t="s">
        <v>32</v>
      </c>
      <c r="D8" s="20"/>
      <c r="E8" s="12" t="s">
        <v>24</v>
      </c>
      <c r="F8" s="20">
        <v>1E+19</v>
      </c>
      <c r="G8" s="21">
        <v>2.5E+19</v>
      </c>
      <c r="H8" s="21">
        <f>+((G8/1000000000000000000)*$N$2^60)*1000000000000000000</f>
        <v>2.3543406555579216E+19</v>
      </c>
      <c r="I8" s="22">
        <f>+F8/SUM(F8:F9)</f>
        <v>0.5</v>
      </c>
      <c r="J8" s="22">
        <f>+H8/SUM(H8:H9)</f>
        <v>0.33333333333333337</v>
      </c>
      <c r="K8" s="22">
        <f>+I8^$J$3</f>
        <v>0.61557220667245816</v>
      </c>
      <c r="L8" s="22">
        <f>+J8^$K$3</f>
        <v>0.71922309332486445</v>
      </c>
      <c r="M8" s="22">
        <f>+L8*K8</f>
        <v>0.44273374664777809</v>
      </c>
      <c r="N8" s="36">
        <f>+M8/SUM(M8:M9)</f>
        <v>0.44820048133989093</v>
      </c>
      <c r="O8" s="22">
        <f>+$I$3*60*N8</f>
        <v>26.892028880393458</v>
      </c>
      <c r="P8" s="35">
        <f>+O8</f>
        <v>26.892028880393458</v>
      </c>
    </row>
    <row r="9" spans="2:16" x14ac:dyDescent="0.75">
      <c r="B9" s="44"/>
      <c r="C9" s="20"/>
      <c r="D9" s="20"/>
      <c r="E9" s="12" t="s">
        <v>25</v>
      </c>
      <c r="F9" s="20">
        <v>1E+19</v>
      </c>
      <c r="G9" s="21">
        <v>5E+19</v>
      </c>
      <c r="H9" s="21">
        <f>+((G9/1000000000000000000)*$N$2^60)*1000000000000000000</f>
        <v>4.7086813111158432E+19</v>
      </c>
      <c r="I9" s="22">
        <f>+F9/SUM(F8:F9)</f>
        <v>0.5</v>
      </c>
      <c r="J9" s="22">
        <f>+H9/SUM(H8:H9)</f>
        <v>0.66666666666666674</v>
      </c>
      <c r="K9" s="22">
        <f>+I9^$J$3</f>
        <v>0.61557220667245816</v>
      </c>
      <c r="L9" s="22">
        <f>+J9^$K$3</f>
        <v>0.88546749329555619</v>
      </c>
      <c r="M9" s="22">
        <f>+L9*K9</f>
        <v>0.54506917878467553</v>
      </c>
      <c r="N9" s="36">
        <f>+M9/SUM(M8:M9)</f>
        <v>0.55179951866010912</v>
      </c>
      <c r="O9" s="22">
        <f>+$I$3*60*N9</f>
        <v>33.107971119606546</v>
      </c>
      <c r="P9" s="35">
        <f>+O9</f>
        <v>33.107971119606546</v>
      </c>
    </row>
    <row r="10" spans="2:16" x14ac:dyDescent="0.75">
      <c r="B10" s="44">
        <v>60</v>
      </c>
      <c r="C10" s="20" t="s">
        <v>20</v>
      </c>
      <c r="D10" s="20"/>
      <c r="E10" s="12"/>
      <c r="F10" s="20"/>
      <c r="G10" s="20"/>
      <c r="H10" s="20"/>
      <c r="I10" s="22"/>
      <c r="J10" s="22"/>
      <c r="K10" s="22"/>
      <c r="L10" s="22"/>
      <c r="M10" s="22"/>
      <c r="N10" s="22"/>
      <c r="O10" s="22"/>
      <c r="P10" s="23"/>
    </row>
    <row r="11" spans="2:16" x14ac:dyDescent="0.75">
      <c r="B11" s="44"/>
      <c r="C11" s="20"/>
      <c r="D11" s="20"/>
      <c r="E11" s="12" t="s">
        <v>24</v>
      </c>
      <c r="F11" s="20">
        <v>5E+19</v>
      </c>
      <c r="G11" s="21">
        <v>2.5E+19</v>
      </c>
      <c r="H11" s="21">
        <f>+((G11/1000000000000000000)*$N$2^120)*1000000000000000000</f>
        <v>2.2171679689651618E+19</v>
      </c>
      <c r="I11" s="22">
        <f>+F11/SUM(F11:F12)</f>
        <v>0.83333333333333337</v>
      </c>
      <c r="J11" s="22">
        <f>+H11/SUM(H11:H12)</f>
        <v>0.33333333333333331</v>
      </c>
      <c r="K11" s="22">
        <f>+I11^$J$3</f>
        <v>0.88018330703271519</v>
      </c>
      <c r="L11" s="22">
        <f>+J11^$K$3</f>
        <v>0.71922309332486434</v>
      </c>
      <c r="M11" s="22">
        <f>+L11*K11</f>
        <v>0.63304816077697823</v>
      </c>
      <c r="N11" s="22">
        <f>+M11/SUM(M11:M12)</f>
        <v>0.71476947895159004</v>
      </c>
      <c r="O11" s="22">
        <f>+$I$3*60*N11</f>
        <v>42.886168737095403</v>
      </c>
      <c r="P11" s="37">
        <f>+O11+O8</f>
        <v>69.778197617488857</v>
      </c>
    </row>
    <row r="12" spans="2:16" x14ac:dyDescent="0.75">
      <c r="B12" s="44"/>
      <c r="C12" s="20"/>
      <c r="D12" s="20"/>
      <c r="E12" s="12" t="s">
        <v>25</v>
      </c>
      <c r="F12" s="20">
        <v>1E+19</v>
      </c>
      <c r="G12" s="21">
        <v>5E+19</v>
      </c>
      <c r="H12" s="21">
        <f>+((G12/1000000000000000000)*$N$2^120)*1000000000000000000</f>
        <v>4.4343359379303236E+19</v>
      </c>
      <c r="I12" s="22">
        <f>+F12/SUM(F11:F12)</f>
        <v>0.16666666666666666</v>
      </c>
      <c r="J12" s="22">
        <f>+H12/SUM(H11:H12)</f>
        <v>0.66666666666666663</v>
      </c>
      <c r="K12" s="22">
        <f>+I12^$J$3</f>
        <v>0.28529497656828423</v>
      </c>
      <c r="L12" s="22">
        <f>+J12^$K$3</f>
        <v>0.88546749329555607</v>
      </c>
      <c r="M12" s="22">
        <f>+L12*K12</f>
        <v>0.25261942775173307</v>
      </c>
      <c r="N12" s="22">
        <f>+M12/SUM(M11:M12)</f>
        <v>0.28523052104840996</v>
      </c>
      <c r="O12" s="22">
        <f>+$I$3*60*N12</f>
        <v>17.113831262904597</v>
      </c>
      <c r="P12" s="37">
        <f>+O12+O9</f>
        <v>50.221802382511143</v>
      </c>
    </row>
    <row r="13" spans="2:16" x14ac:dyDescent="0.75">
      <c r="B13" s="44">
        <v>120</v>
      </c>
      <c r="C13" s="20" t="s">
        <v>18</v>
      </c>
      <c r="D13" s="20"/>
      <c r="E13" s="12"/>
      <c r="F13" s="20"/>
      <c r="G13" s="20"/>
      <c r="H13" s="20"/>
      <c r="I13" s="22"/>
      <c r="J13" s="22"/>
      <c r="K13" s="22"/>
      <c r="L13" s="22"/>
      <c r="M13" s="22"/>
      <c r="N13" s="22"/>
      <c r="O13" s="22"/>
      <c r="P13" s="23"/>
    </row>
    <row r="14" spans="2:16" x14ac:dyDescent="0.75">
      <c r="B14" s="44"/>
      <c r="C14" s="20"/>
      <c r="D14" s="20"/>
      <c r="E14" s="12" t="s">
        <v>24</v>
      </c>
      <c r="F14" s="20">
        <v>5E+19</v>
      </c>
      <c r="G14" s="21">
        <v>2.5E+19</v>
      </c>
      <c r="H14" s="21">
        <f>+((G14/1000000000000000000)*$N$2^150)*1000000000000000000</f>
        <v>2.1516084567075938E+19</v>
      </c>
      <c r="I14" s="22">
        <f>+F14/SUM(F14:F15)</f>
        <v>0.83333333333333337</v>
      </c>
      <c r="J14" s="22">
        <f>+H14/SUM(H14:H15)</f>
        <v>0.25448289734177543</v>
      </c>
      <c r="K14" s="22">
        <f>+I14^$J$3</f>
        <v>0.88018330703271519</v>
      </c>
      <c r="L14" s="22">
        <f>+J14^$K$3</f>
        <v>0.66328103557648221</v>
      </c>
      <c r="M14" s="22">
        <f>+L14*K14</f>
        <v>0.58380889538579217</v>
      </c>
      <c r="N14" s="22">
        <f>+M14/SUM(M14:M15)</f>
        <v>0.69086219047673991</v>
      </c>
      <c r="O14" s="22">
        <f>+$I$3*30*N14</f>
        <v>20.725865714302198</v>
      </c>
      <c r="P14" s="37">
        <f>+P11+O14</f>
        <v>90.504063331791059</v>
      </c>
    </row>
    <row r="15" spans="2:16" x14ac:dyDescent="0.75">
      <c r="B15" s="44"/>
      <c r="C15" s="20"/>
      <c r="D15" s="20"/>
      <c r="E15" s="12" t="s">
        <v>25</v>
      </c>
      <c r="F15" s="20">
        <v>1E+19</v>
      </c>
      <c r="G15" s="21">
        <v>7E+19</v>
      </c>
      <c r="H15" s="21">
        <f>+((G12/1000000000000000000)*$N$2^150)*1000000000000000000+20000000000000000000</f>
        <v>6.3032169134151877E+19</v>
      </c>
      <c r="I15" s="22">
        <f>+F15/SUM(F14:F15)</f>
        <v>0.16666666666666666</v>
      </c>
      <c r="J15" s="22">
        <f>+H15/SUM(H14:H15)</f>
        <v>0.74551710265822468</v>
      </c>
      <c r="K15" s="22">
        <f>+I15^$J$3</f>
        <v>0.28529497656828423</v>
      </c>
      <c r="L15" s="22">
        <f>+J15^$K$3</f>
        <v>0.91566641064654108</v>
      </c>
      <c r="M15" s="22">
        <f>+L15*K15</f>
        <v>0.26123502716976987</v>
      </c>
      <c r="N15" s="22">
        <f>+M15/SUM(M14:M15)</f>
        <v>0.30913780952326009</v>
      </c>
      <c r="O15" s="22">
        <f>+$I$3*30*N15</f>
        <v>9.2741342856978033</v>
      </c>
      <c r="P15" s="37">
        <f>+P12+O15</f>
        <v>59.495936668208948</v>
      </c>
    </row>
    <row r="16" spans="2:16" x14ac:dyDescent="0.75">
      <c r="B16" s="44">
        <v>150</v>
      </c>
      <c r="C16" s="20" t="s">
        <v>19</v>
      </c>
      <c r="D16" s="20"/>
      <c r="E16" s="12" t="s">
        <v>24</v>
      </c>
      <c r="F16" s="20">
        <v>5E+19</v>
      </c>
      <c r="G16" s="20">
        <v>2.5E+19</v>
      </c>
      <c r="H16" s="21">
        <f>+((G16/1000000000000000000)*$N$2^220)*1000000000000000000</f>
        <v>2.0060761671517315E+19</v>
      </c>
      <c r="I16" s="22">
        <f>+F16/SUM(F16:F17)</f>
        <v>0.625</v>
      </c>
      <c r="J16" s="22">
        <f>+H16/SUM(H16:H17)</f>
        <v>0.26315789473684209</v>
      </c>
      <c r="K16" s="22">
        <f>+I16^$J$3</f>
        <v>0.71964118851645298</v>
      </c>
      <c r="L16" s="22">
        <f>+J16^$K$3</f>
        <v>0.66998475538030788</v>
      </c>
      <c r="M16" s="22">
        <f>+L16*K16</f>
        <v>0.48214862564978977</v>
      </c>
      <c r="N16" s="22">
        <f>+M16/SUM(M16:M17)</f>
        <v>0.51217062333254171</v>
      </c>
      <c r="O16" s="22">
        <f>+$I$3*70*N16</f>
        <v>35.851943633277919</v>
      </c>
      <c r="P16" s="37">
        <f>+P14+O16</f>
        <v>126.35600696506899</v>
      </c>
    </row>
    <row r="17" spans="2:16" x14ac:dyDescent="0.75">
      <c r="B17" s="44"/>
      <c r="C17" s="20"/>
      <c r="D17" s="20"/>
      <c r="E17" s="12" t="s">
        <v>25</v>
      </c>
      <c r="F17" s="20">
        <v>3E+19</v>
      </c>
      <c r="G17" s="20">
        <v>7E+19</v>
      </c>
      <c r="H17" s="21">
        <f>+((G17/1000000000000000000)*$N$2^220)*1000000000000000000</f>
        <v>5.6170132680248484E+19</v>
      </c>
      <c r="I17" s="22">
        <f>+F17/SUM(F16:F17)</f>
        <v>0.375</v>
      </c>
      <c r="J17" s="22">
        <f>+H17/SUM(H16:H17)</f>
        <v>0.73684210526315785</v>
      </c>
      <c r="K17" s="22">
        <f>+I17^$J$3</f>
        <v>0.50329415576044101</v>
      </c>
      <c r="L17" s="22">
        <f>+J17^$K$3</f>
        <v>0.91245683854817927</v>
      </c>
      <c r="M17" s="22">
        <f>+L17*K17</f>
        <v>0.45923419422494693</v>
      </c>
      <c r="N17" s="22">
        <f>+M17/SUM(M16:M17)</f>
        <v>0.48782937666745824</v>
      </c>
      <c r="O17" s="22">
        <f>+$I$3*70*N17</f>
        <v>34.148056366722074</v>
      </c>
      <c r="P17" s="37">
        <f>+P15+O17</f>
        <v>93.643993034931015</v>
      </c>
    </row>
    <row r="18" spans="2:16" x14ac:dyDescent="0.75">
      <c r="B18" s="44">
        <v>220</v>
      </c>
      <c r="C18" s="20" t="s">
        <v>21</v>
      </c>
      <c r="D18" s="20"/>
      <c r="E18" s="12"/>
      <c r="F18" s="20"/>
      <c r="G18" s="20"/>
      <c r="H18" s="20"/>
      <c r="I18" s="22"/>
      <c r="J18" s="22"/>
      <c r="K18" s="22"/>
      <c r="L18" s="22"/>
      <c r="M18" s="22"/>
      <c r="N18" s="22"/>
      <c r="O18" s="22"/>
      <c r="P18" s="37"/>
    </row>
    <row r="19" spans="2:16" x14ac:dyDescent="0.75">
      <c r="B19" s="44"/>
      <c r="C19" s="20"/>
      <c r="D19" s="20"/>
      <c r="E19" s="12" t="s">
        <v>24</v>
      </c>
      <c r="F19" s="20">
        <v>4E+19</v>
      </c>
      <c r="G19" s="20">
        <v>2.5E+19</v>
      </c>
      <c r="H19" s="21">
        <f>+((G19/1000000000000000000)*$N$2^250)*1000000000000000000</f>
        <v>1.9467584352924791E+19</v>
      </c>
      <c r="I19" s="22">
        <f>+F19/SUM(F19:F20)</f>
        <v>0.5714285714285714</v>
      </c>
      <c r="J19" s="22">
        <f>+H19/SUM(H19:H20)</f>
        <v>0.26315789473684209</v>
      </c>
      <c r="K19" s="22">
        <f>+I19^$J$3</f>
        <v>0.67588586797162753</v>
      </c>
      <c r="L19" s="22">
        <f>+J19^$K$3</f>
        <v>0.66998475538030788</v>
      </c>
      <c r="M19" s="22">
        <f>+L19*K19</f>
        <v>0.45283322791797792</v>
      </c>
      <c r="N19" s="22">
        <f>+M19/SUM(M19:M20)</f>
        <v>0.4731487637387678</v>
      </c>
      <c r="O19" s="22">
        <f>+$I$3*30*N19</f>
        <v>14.194462912163035</v>
      </c>
      <c r="P19" s="37">
        <f>+P16+O19</f>
        <v>140.55046987723202</v>
      </c>
    </row>
    <row r="20" spans="2:16" x14ac:dyDescent="0.75">
      <c r="B20" s="44"/>
      <c r="C20" s="20"/>
      <c r="D20" s="20"/>
      <c r="E20" s="12" t="s">
        <v>25</v>
      </c>
      <c r="F20" s="20">
        <v>3E+19</v>
      </c>
      <c r="G20" s="20">
        <v>7E+19</v>
      </c>
      <c r="H20" s="21">
        <f>+((G20/1000000000000000000)*$N$2^250)*1000000000000000000</f>
        <v>5.4509236188189409E+19</v>
      </c>
      <c r="I20" s="22">
        <f>+F20/SUM(F19:F20)</f>
        <v>0.42857142857142855</v>
      </c>
      <c r="J20" s="22">
        <f>+H20/SUM(H19:H20)</f>
        <v>0.73684210526315785</v>
      </c>
      <c r="K20" s="22">
        <f>+I20^$J$3</f>
        <v>0.55260683251119402</v>
      </c>
      <c r="L20" s="22">
        <f>+J20^$K$3</f>
        <v>0.91245683854817927</v>
      </c>
      <c r="M20" s="22">
        <f>+L20*K20</f>
        <v>0.50422988335328733</v>
      </c>
      <c r="N20" s="22">
        <f>+M20/SUM(M19:M20)</f>
        <v>0.5268512362612322</v>
      </c>
      <c r="O20" s="22">
        <f>+$I$3*30*N20</f>
        <v>15.805537087836965</v>
      </c>
      <c r="P20" s="37">
        <f>+P17+O20</f>
        <v>109.44953012276798</v>
      </c>
    </row>
    <row r="21" spans="2:16" x14ac:dyDescent="0.75">
      <c r="B21" s="44">
        <v>250</v>
      </c>
      <c r="C21" s="20" t="s">
        <v>22</v>
      </c>
      <c r="D21" s="20"/>
      <c r="E21" s="12"/>
      <c r="F21" s="20"/>
      <c r="G21" s="20"/>
      <c r="H21" s="20"/>
      <c r="I21" s="22"/>
      <c r="J21" s="22"/>
      <c r="K21" s="22"/>
      <c r="L21" s="22"/>
      <c r="M21" s="22"/>
      <c r="N21" s="22"/>
      <c r="O21" s="22"/>
      <c r="P21" s="37"/>
    </row>
    <row r="22" spans="2:16" x14ac:dyDescent="0.75">
      <c r="B22" s="44"/>
      <c r="C22" s="20"/>
      <c r="D22" s="20"/>
      <c r="E22" s="12" t="s">
        <v>24</v>
      </c>
      <c r="F22" s="20">
        <v>4E+19</v>
      </c>
      <c r="G22" s="20">
        <v>1.25E+20</v>
      </c>
      <c r="H22" s="21">
        <f>+((G19/1000000000000000000)*$N$2^300)*1000000000000000000+100000000000000000000</f>
        <v>1.1851767580390253E+20</v>
      </c>
      <c r="I22" s="22">
        <f>+F22/SUM(F22:F23)</f>
        <v>0.5714285714285714</v>
      </c>
      <c r="J22" s="22">
        <f>+H22/SUM(H22:H23)</f>
        <v>0.69566030331477802</v>
      </c>
      <c r="K22" s="22">
        <f>+I22^$J$3</f>
        <v>0.67588586797162753</v>
      </c>
      <c r="L22" s="22">
        <f>+J22^$K$3</f>
        <v>0.89684866608398484</v>
      </c>
      <c r="M22" s="22">
        <f>+L22*K22</f>
        <v>0.60616733911537046</v>
      </c>
      <c r="N22" s="22">
        <f>+M22/SUM(M22:M23)</f>
        <v>0.61049479562347297</v>
      </c>
      <c r="O22" s="22">
        <f>+$I$3*50*N22</f>
        <v>30.52473978117365</v>
      </c>
      <c r="P22" s="37">
        <f>+P19+O22</f>
        <v>171.07520965840567</v>
      </c>
    </row>
    <row r="23" spans="2:16" x14ac:dyDescent="0.75">
      <c r="B23" s="45">
        <v>300</v>
      </c>
      <c r="C23" s="6" t="s">
        <v>17</v>
      </c>
      <c r="D23" s="6"/>
      <c r="E23" s="13" t="s">
        <v>25</v>
      </c>
      <c r="F23" s="6">
        <v>3E+19</v>
      </c>
      <c r="G23" s="6">
        <v>7E+19</v>
      </c>
      <c r="H23" s="48">
        <f>+((G23/1000000000000000000)*$N$2^300)*1000000000000000000</f>
        <v>5.1849492250927088E+19</v>
      </c>
      <c r="I23" s="7">
        <f>+F23/SUM(F22:F23)</f>
        <v>0.42857142857142855</v>
      </c>
      <c r="J23" s="7">
        <f>+H23/SUM(H22:H23)</f>
        <v>0.30433969668522198</v>
      </c>
      <c r="K23" s="7">
        <f>+I23^$J$3</f>
        <v>0.55260683251119402</v>
      </c>
      <c r="L23" s="7">
        <f>+J23^$K$3</f>
        <v>0.69985421253502034</v>
      </c>
      <c r="M23" s="7">
        <f>+L23*K23</f>
        <v>0.38674421960859356</v>
      </c>
      <c r="N23" s="7">
        <f>+M23/SUM(M22:M23)</f>
        <v>0.38950520437652697</v>
      </c>
      <c r="O23" s="7">
        <f>+$I$3*50*N23</f>
        <v>19.47526021882635</v>
      </c>
      <c r="P23" s="38">
        <f>+P20+O23</f>
        <v>128.92479034159433</v>
      </c>
    </row>
    <row r="25" spans="2:16" ht="15.5" thickBot="1" x14ac:dyDescent="0.9">
      <c r="E25" s="10" t="s">
        <v>31</v>
      </c>
      <c r="F25" s="11"/>
    </row>
    <row r="26" spans="2:16" ht="15.5" thickTop="1" x14ac:dyDescent="0.75">
      <c r="E26" s="12" t="s">
        <v>24</v>
      </c>
      <c r="F26" s="41">
        <f>+SUM(O8,O11,O14,O16,O19,O22)</f>
        <v>171.07520965840567</v>
      </c>
    </row>
    <row r="27" spans="2:16" x14ac:dyDescent="0.75">
      <c r="E27" s="13" t="s">
        <v>25</v>
      </c>
      <c r="F27" s="42">
        <f>+SUM(O9,O12,O15,O17,O20,O23)</f>
        <v>128.92479034159433</v>
      </c>
    </row>
    <row r="28" spans="2:16" x14ac:dyDescent="0.75">
      <c r="E28" s="14" t="s">
        <v>14</v>
      </c>
      <c r="F28" s="43">
        <f>+SUM(F26:F27)</f>
        <v>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DD5C9-D190-4388-8820-6AF1434A50B5}">
  <dimension ref="A1:S40"/>
  <sheetViews>
    <sheetView zoomScale="70" zoomScaleNormal="70" workbookViewId="0">
      <selection sqref="A1:N28"/>
    </sheetView>
  </sheetViews>
  <sheetFormatPr defaultRowHeight="14.75" x14ac:dyDescent="0.75"/>
  <cols>
    <col min="2" max="2" width="9.58984375" bestFit="1" customWidth="1"/>
    <col min="3" max="3" width="27.31640625" bestFit="1" customWidth="1"/>
    <col min="5" max="5" width="16.26953125" bestFit="1" customWidth="1"/>
    <col min="6" max="6" width="10.54296875" bestFit="1" customWidth="1"/>
    <col min="7" max="7" width="10.81640625" bestFit="1" customWidth="1"/>
    <col min="8" max="8" width="14.6328125" bestFit="1" customWidth="1"/>
    <col min="9" max="9" width="18.1796875" bestFit="1" customWidth="1"/>
    <col min="10" max="10" width="15.1796875" bestFit="1" customWidth="1"/>
    <col min="11" max="11" width="19.1328125" bestFit="1" customWidth="1"/>
    <col min="12" max="12" width="26.90625" bestFit="1" customWidth="1"/>
    <col min="13" max="13" width="10" bestFit="1" customWidth="1"/>
    <col min="14" max="14" width="25.40625" bestFit="1" customWidth="1"/>
    <col min="15" max="15" width="10" bestFit="1" customWidth="1"/>
    <col min="16" max="16" width="15.453125" bestFit="1" customWidth="1"/>
    <col min="17" max="18" width="14.08984375" bestFit="1" customWidth="1"/>
  </cols>
  <sheetData>
    <row r="1" spans="1:19" x14ac:dyDescent="0.75">
      <c r="A1" s="49"/>
      <c r="B1" s="49"/>
      <c r="C1" s="49"/>
      <c r="D1" s="49"/>
      <c r="E1" s="49"/>
      <c r="F1" s="49"/>
      <c r="G1" s="49"/>
      <c r="H1" s="49"/>
      <c r="I1" s="49"/>
      <c r="J1" s="49"/>
      <c r="K1" s="50"/>
      <c r="L1" s="49"/>
      <c r="M1" s="51"/>
      <c r="N1" s="49"/>
      <c r="O1" s="49"/>
      <c r="P1" s="49"/>
      <c r="Q1" s="49"/>
      <c r="R1" s="49"/>
      <c r="S1" s="49"/>
    </row>
    <row r="2" spans="1:19" ht="15.5" thickBot="1" x14ac:dyDescent="0.9">
      <c r="A2" s="49"/>
      <c r="B2" s="52" t="s">
        <v>12</v>
      </c>
      <c r="C2" s="52" t="s">
        <v>26</v>
      </c>
      <c r="D2" s="52"/>
      <c r="E2" s="49"/>
      <c r="F2" s="52" t="s">
        <v>28</v>
      </c>
      <c r="G2" s="52" t="s">
        <v>29</v>
      </c>
      <c r="H2" s="52" t="s">
        <v>2</v>
      </c>
      <c r="I2" s="52" t="s">
        <v>52</v>
      </c>
      <c r="J2" s="52" t="s">
        <v>53</v>
      </c>
      <c r="K2" s="52" t="s">
        <v>54</v>
      </c>
      <c r="L2" s="52" t="s">
        <v>55</v>
      </c>
      <c r="M2" s="51"/>
      <c r="N2" s="49"/>
      <c r="O2" s="49"/>
      <c r="P2" s="49"/>
      <c r="Q2" s="49"/>
      <c r="R2" s="49"/>
      <c r="S2" s="49"/>
    </row>
    <row r="3" spans="1:19" ht="15.5" thickTop="1" x14ac:dyDescent="0.75">
      <c r="A3" s="49"/>
      <c r="B3" s="53" t="s">
        <v>15</v>
      </c>
      <c r="C3" s="49">
        <v>25</v>
      </c>
      <c r="D3" s="49"/>
      <c r="E3" s="49"/>
      <c r="F3" s="49">
        <v>300</v>
      </c>
      <c r="G3" s="49">
        <v>300</v>
      </c>
      <c r="H3" s="49">
        <v>1</v>
      </c>
      <c r="I3" s="85">
        <v>0.8</v>
      </c>
      <c r="J3" s="85">
        <v>0.2</v>
      </c>
      <c r="K3" s="49">
        <v>0.7</v>
      </c>
      <c r="L3" s="49">
        <v>0.3</v>
      </c>
      <c r="M3" s="54"/>
      <c r="N3" s="49"/>
      <c r="O3" s="49"/>
      <c r="P3" s="49"/>
      <c r="Q3" s="49"/>
      <c r="R3" s="49"/>
      <c r="S3" s="49"/>
    </row>
    <row r="4" spans="1:19" x14ac:dyDescent="0.75">
      <c r="A4" s="49"/>
      <c r="B4" s="53" t="s">
        <v>16</v>
      </c>
      <c r="C4" s="49">
        <v>50</v>
      </c>
      <c r="D4" s="49"/>
      <c r="E4" s="49"/>
      <c r="F4" s="49"/>
      <c r="G4" s="49"/>
      <c r="H4" s="49"/>
      <c r="I4" s="49"/>
      <c r="J4" s="49"/>
      <c r="K4" s="50"/>
      <c r="L4" s="49"/>
      <c r="M4" s="51"/>
      <c r="N4" s="50"/>
      <c r="O4" s="49"/>
      <c r="P4" s="49"/>
      <c r="Q4" s="49"/>
      <c r="R4" s="49"/>
      <c r="S4" s="49"/>
    </row>
    <row r="5" spans="1:19" x14ac:dyDescent="0.75">
      <c r="A5" s="49"/>
      <c r="B5" s="55"/>
      <c r="C5" s="56"/>
      <c r="D5" s="56"/>
      <c r="E5" s="56"/>
      <c r="F5" s="56"/>
      <c r="G5" s="56"/>
      <c r="H5" s="56"/>
      <c r="I5" s="56"/>
      <c r="J5" s="56"/>
      <c r="K5" s="57"/>
      <c r="L5" s="56"/>
      <c r="M5" s="58"/>
      <c r="N5" s="58"/>
      <c r="O5" s="49"/>
      <c r="P5" s="49"/>
      <c r="Q5" s="49"/>
      <c r="R5" s="49"/>
      <c r="S5" s="49"/>
    </row>
    <row r="6" spans="1:19" x14ac:dyDescent="0.75">
      <c r="A6" s="49"/>
      <c r="B6" s="49"/>
      <c r="C6" s="49"/>
      <c r="D6" s="49"/>
      <c r="E6" s="49"/>
      <c r="F6" s="49"/>
      <c r="G6" s="49"/>
      <c r="H6" s="49"/>
      <c r="I6" s="49"/>
      <c r="J6" s="49"/>
      <c r="K6" s="50"/>
      <c r="L6" s="49"/>
      <c r="M6" s="51"/>
      <c r="N6" s="49"/>
      <c r="O6" s="49"/>
      <c r="P6" s="49"/>
      <c r="Q6" s="49"/>
      <c r="R6" s="49"/>
      <c r="S6" s="49"/>
    </row>
    <row r="7" spans="1:19" x14ac:dyDescent="0.75">
      <c r="A7" s="49"/>
      <c r="B7" s="59" t="s">
        <v>39</v>
      </c>
      <c r="C7" s="60" t="s">
        <v>23</v>
      </c>
      <c r="D7" s="60"/>
      <c r="E7" s="59" t="s">
        <v>41</v>
      </c>
      <c r="F7" s="60" t="s">
        <v>27</v>
      </c>
      <c r="G7" s="60" t="s">
        <v>13</v>
      </c>
      <c r="H7" s="60" t="s">
        <v>42</v>
      </c>
      <c r="I7" s="60" t="s">
        <v>56</v>
      </c>
      <c r="J7" s="60" t="s">
        <v>57</v>
      </c>
      <c r="K7" s="61" t="s">
        <v>58</v>
      </c>
      <c r="L7" s="60"/>
      <c r="M7" s="62" t="s">
        <v>6</v>
      </c>
      <c r="N7" s="63" t="s">
        <v>40</v>
      </c>
      <c r="O7" s="49"/>
      <c r="P7" s="49"/>
      <c r="Q7" s="49"/>
      <c r="R7" s="49"/>
      <c r="S7" s="49"/>
    </row>
    <row r="8" spans="1:19" x14ac:dyDescent="0.75">
      <c r="A8" s="49"/>
      <c r="B8" s="64">
        <v>0</v>
      </c>
      <c r="C8" s="65" t="s">
        <v>32</v>
      </c>
      <c r="D8" s="65"/>
      <c r="E8" s="66" t="s">
        <v>24</v>
      </c>
      <c r="F8" s="65">
        <v>1E+19</v>
      </c>
      <c r="G8" s="67">
        <v>2.5E+19</v>
      </c>
      <c r="H8" s="68">
        <f>+F8/SUM(F8:F9)</f>
        <v>0.5</v>
      </c>
      <c r="I8" s="68">
        <f>+$I$3*$H$3*H8*60</f>
        <v>24</v>
      </c>
      <c r="J8" s="68">
        <f>+((G8/1000000000000000000)^$K$3)*((F8/1000000000000000000)^$L$3)</f>
        <v>18.991444823309347</v>
      </c>
      <c r="K8" s="68">
        <f>+$J$3*$H$3*J8/SUM(J8:J9)*60</f>
        <v>4.5722911359585643</v>
      </c>
      <c r="L8" s="68"/>
      <c r="M8" s="68">
        <f>+K8+I8</f>
        <v>28.572291135958565</v>
      </c>
      <c r="N8" s="71">
        <f>+M8</f>
        <v>28.572291135958565</v>
      </c>
      <c r="O8" s="49"/>
      <c r="P8" s="49"/>
      <c r="Q8" s="49">
        <f>10^0.7</f>
        <v>5.0118723362727229</v>
      </c>
      <c r="R8" s="49">
        <f>10^0.7</f>
        <v>5.0118723362727229</v>
      </c>
      <c r="S8" s="49"/>
    </row>
    <row r="9" spans="1:19" x14ac:dyDescent="0.75">
      <c r="A9" s="49"/>
      <c r="B9" s="64"/>
      <c r="C9" s="65"/>
      <c r="D9" s="65"/>
      <c r="E9" s="66" t="s">
        <v>25</v>
      </c>
      <c r="F9" s="65">
        <v>1E+19</v>
      </c>
      <c r="G9" s="67">
        <v>5E+19</v>
      </c>
      <c r="H9" s="68">
        <f>+F9/SUM(F8:F9)</f>
        <v>0.5</v>
      </c>
      <c r="I9" s="68">
        <f>+$I$3*$H$3*H9*60</f>
        <v>24</v>
      </c>
      <c r="J9" s="68">
        <f>+((G9/1000000000000000000)^$K$3)*((F9/1000000000000000000)^$L$3)</f>
        <v>30.851693136000481</v>
      </c>
      <c r="K9" s="68">
        <f>+$J$3*$H$3*J9/SUM(J8:J9)*60</f>
        <v>7.4277088640414357</v>
      </c>
      <c r="L9" s="68"/>
      <c r="M9" s="68">
        <f>+K9+I9</f>
        <v>31.427708864041435</v>
      </c>
      <c r="N9" s="71">
        <f>+M9</f>
        <v>31.427708864041435</v>
      </c>
      <c r="O9" s="49"/>
      <c r="P9" s="49"/>
      <c r="Q9" s="49">
        <f>25^0.3</f>
        <v>2.626527804403767</v>
      </c>
      <c r="R9" s="49">
        <f>50^0.3</f>
        <v>3.2336350328867871</v>
      </c>
      <c r="S9" s="49"/>
    </row>
    <row r="10" spans="1:19" x14ac:dyDescent="0.75">
      <c r="A10" s="49"/>
      <c r="B10" s="64">
        <v>60</v>
      </c>
      <c r="C10" s="65" t="s">
        <v>20</v>
      </c>
      <c r="D10" s="65"/>
      <c r="E10" s="66"/>
      <c r="F10" s="65"/>
      <c r="G10" s="65"/>
      <c r="H10" s="68"/>
      <c r="I10" s="68"/>
      <c r="J10" s="68"/>
      <c r="K10" s="68"/>
      <c r="L10" s="68"/>
      <c r="M10" s="68"/>
      <c r="N10" s="71"/>
      <c r="O10" s="49"/>
      <c r="P10" s="49"/>
      <c r="Q10" s="49">
        <f>+Q9*Q8</f>
        <v>13.163822043342373</v>
      </c>
      <c r="R10" s="49">
        <f>+R9*R8</f>
        <v>16.206565966927624</v>
      </c>
      <c r="S10" s="49"/>
    </row>
    <row r="11" spans="1:19" x14ac:dyDescent="0.75">
      <c r="A11" s="49"/>
      <c r="B11" s="64"/>
      <c r="C11" s="65"/>
      <c r="D11" s="65"/>
      <c r="E11" s="66" t="s">
        <v>24</v>
      </c>
      <c r="F11" s="65">
        <v>5E+19</v>
      </c>
      <c r="G11" s="67">
        <v>2.5E+19</v>
      </c>
      <c r="H11" s="68">
        <f>+F11/SUM(F11:F12)</f>
        <v>0.83333333333333337</v>
      </c>
      <c r="I11" s="68">
        <f>+$I$3*$H$3*H11*60</f>
        <v>40.000000000000007</v>
      </c>
      <c r="J11" s="68">
        <f>+((G11/1000000000000000000)^$K$3)*((F11/1000000000000000000)^$L$3)</f>
        <v>30.778610333622904</v>
      </c>
      <c r="K11" s="68">
        <f>+$J$3*$H$3*J11/SUM(J11:J12)*60</f>
        <v>5.9928850453497837</v>
      </c>
      <c r="L11" s="68"/>
      <c r="M11" s="68">
        <f>+K11+I11</f>
        <v>45.992885045349794</v>
      </c>
      <c r="N11" s="71">
        <f>+M11+N8</f>
        <v>74.56517618130836</v>
      </c>
      <c r="O11" s="49"/>
      <c r="P11" s="49"/>
      <c r="Q11" s="49"/>
      <c r="R11" s="49"/>
      <c r="S11" s="49"/>
    </row>
    <row r="12" spans="1:19" x14ac:dyDescent="0.75">
      <c r="A12" s="49"/>
      <c r="B12" s="64"/>
      <c r="C12" s="65"/>
      <c r="D12" s="65"/>
      <c r="E12" s="66" t="s">
        <v>25</v>
      </c>
      <c r="F12" s="65">
        <v>1E+19</v>
      </c>
      <c r="G12" s="67">
        <v>5E+19</v>
      </c>
      <c r="H12" s="68">
        <f>+F12/SUM(F11:F12)</f>
        <v>0.16666666666666666</v>
      </c>
      <c r="I12" s="68">
        <f>+$I$3*$H$3*H12*60</f>
        <v>8</v>
      </c>
      <c r="J12" s="68">
        <f>+((G12/1000000000000000000)^$K$3)*((F12/1000000000000000000)^$L$3)</f>
        <v>30.851693136000481</v>
      </c>
      <c r="K12" s="68">
        <f>+$J$3*$H$3*J12/SUM(J11:J12)*60</f>
        <v>6.0071149546502163</v>
      </c>
      <c r="L12" s="68"/>
      <c r="M12" s="68">
        <f>+K12+I12</f>
        <v>14.007114954650216</v>
      </c>
      <c r="N12" s="71">
        <f>+M12+N9</f>
        <v>45.434823818691655</v>
      </c>
      <c r="O12" s="49"/>
      <c r="P12" s="49"/>
      <c r="Q12" s="49">
        <f>+Q10+R10</f>
        <v>29.370388010269998</v>
      </c>
      <c r="R12" s="49"/>
      <c r="S12" s="49"/>
    </row>
    <row r="13" spans="1:19" x14ac:dyDescent="0.75">
      <c r="A13" s="49"/>
      <c r="B13" s="64">
        <v>120</v>
      </c>
      <c r="C13" s="65" t="s">
        <v>18</v>
      </c>
      <c r="D13" s="65"/>
      <c r="E13" s="66"/>
      <c r="F13" s="65"/>
      <c r="G13" s="65"/>
      <c r="H13" s="68"/>
      <c r="I13" s="68"/>
      <c r="J13" s="68"/>
      <c r="K13" s="68"/>
      <c r="L13" s="68"/>
      <c r="M13" s="68"/>
      <c r="N13" s="71"/>
      <c r="O13" s="49"/>
      <c r="P13" s="49"/>
      <c r="Q13" s="49">
        <f>1/Q12/60</f>
        <v>5.6746498074314853E-4</v>
      </c>
      <c r="R13" s="49"/>
      <c r="S13" s="49"/>
    </row>
    <row r="14" spans="1:19" x14ac:dyDescent="0.75">
      <c r="A14" s="49"/>
      <c r="B14" s="64"/>
      <c r="C14" s="65"/>
      <c r="D14" s="65"/>
      <c r="E14" s="66" t="s">
        <v>24</v>
      </c>
      <c r="F14" s="65">
        <v>5E+19</v>
      </c>
      <c r="G14" s="67">
        <v>2.5E+19</v>
      </c>
      <c r="H14" s="68">
        <f>+F14/SUM(F14:F15)</f>
        <v>0.83333333333333337</v>
      </c>
      <c r="I14" s="68">
        <f>+$I$3*$H$3*H14*30</f>
        <v>20.000000000000004</v>
      </c>
      <c r="J14" s="68">
        <f>+((G14/1000000000000000000)^$K$3)*((F14/1000000000000000000)^$L$3)</f>
        <v>30.778610333622904</v>
      </c>
      <c r="K14" s="68">
        <f>+$J$3*$H$3*J14/SUM(J14:J15)*30</f>
        <v>2.6448202838006507</v>
      </c>
      <c r="L14" s="68"/>
      <c r="M14" s="68">
        <f>+K14+I14</f>
        <v>22.644820283800655</v>
      </c>
      <c r="N14" s="71">
        <f>+M14+N11</f>
        <v>97.209996465109015</v>
      </c>
      <c r="O14" s="49"/>
      <c r="P14" s="49"/>
      <c r="Q14" s="49"/>
      <c r="R14" s="49"/>
      <c r="S14" s="49"/>
    </row>
    <row r="15" spans="1:19" x14ac:dyDescent="0.75">
      <c r="A15" s="49"/>
      <c r="B15" s="64"/>
      <c r="C15" s="65"/>
      <c r="D15" s="65"/>
      <c r="E15" s="66" t="s">
        <v>25</v>
      </c>
      <c r="F15" s="65">
        <v>1E+19</v>
      </c>
      <c r="G15" s="67">
        <v>7E+19</v>
      </c>
      <c r="H15" s="68">
        <f>+F15/SUM(F14:F15)</f>
        <v>0.16666666666666666</v>
      </c>
      <c r="I15" s="68">
        <f>+$I$3*$H$3*H15*30</f>
        <v>4</v>
      </c>
      <c r="J15" s="68">
        <f>+((G15/1000000000000000000)^$K$3)*((F15/1000000000000000000)^$L$3)</f>
        <v>39.04528777122723</v>
      </c>
      <c r="K15" s="68">
        <f>+$J$3*$H$3*J15/SUM(J14:J15)*30</f>
        <v>3.3551797161993497</v>
      </c>
      <c r="L15" s="68"/>
      <c r="M15" s="68">
        <f>+K15+I15</f>
        <v>7.3551797161993502</v>
      </c>
      <c r="N15" s="71">
        <f>+M15+N12</f>
        <v>52.790003534891007</v>
      </c>
      <c r="O15" s="49"/>
      <c r="P15" s="49"/>
      <c r="Q15" s="49"/>
      <c r="R15" s="49"/>
      <c r="S15" s="49"/>
    </row>
    <row r="16" spans="1:19" x14ac:dyDescent="0.75">
      <c r="A16" s="49"/>
      <c r="B16" s="64">
        <v>150</v>
      </c>
      <c r="C16" s="65" t="s">
        <v>19</v>
      </c>
      <c r="D16" s="65"/>
      <c r="E16" s="66" t="s">
        <v>24</v>
      </c>
      <c r="F16" s="65">
        <v>5E+19</v>
      </c>
      <c r="G16" s="65">
        <v>2.5E+19</v>
      </c>
      <c r="H16" s="68">
        <f>+F16/SUM(F16:F17)</f>
        <v>0.625</v>
      </c>
      <c r="I16" s="68">
        <f>+$I$3*$H$3*H16*70</f>
        <v>35</v>
      </c>
      <c r="J16" s="68">
        <f>+((G16/1000000000000000000)^$K$3)*((F16/1000000000000000000)^$L$3)</f>
        <v>30.778610333622904</v>
      </c>
      <c r="K16" s="68">
        <f>+$J$3*$H$3*J16/SUM(J16:J17)*70</f>
        <v>5.0654399784999322</v>
      </c>
      <c r="L16" s="68"/>
      <c r="M16" s="68">
        <f>+K16+I16</f>
        <v>40.065439978499931</v>
      </c>
      <c r="N16" s="71">
        <f>+M16+N14</f>
        <v>137.27543644360895</v>
      </c>
      <c r="O16" s="49"/>
      <c r="P16" s="49"/>
      <c r="Q16" s="49"/>
      <c r="R16" s="49"/>
      <c r="S16" s="49"/>
    </row>
    <row r="17" spans="1:19" x14ac:dyDescent="0.75">
      <c r="A17" s="49"/>
      <c r="B17" s="64"/>
      <c r="C17" s="65"/>
      <c r="D17" s="65"/>
      <c r="E17" s="66" t="s">
        <v>25</v>
      </c>
      <c r="F17" s="65">
        <v>3E+19</v>
      </c>
      <c r="G17" s="65">
        <v>7E+19</v>
      </c>
      <c r="H17" s="68">
        <f>+F17/SUM(F16:F17)</f>
        <v>0.375</v>
      </c>
      <c r="I17" s="68">
        <f>+$I$3*$H$3*H17*70</f>
        <v>21.000000000000004</v>
      </c>
      <c r="J17" s="68">
        <f>+((G17/1000000000000000000)^$K$3)*((F17/1000000000000000000)^$L$3)</f>
        <v>54.288145268982554</v>
      </c>
      <c r="K17" s="68">
        <f>+$J$3*$H$3*J17/SUM(J16:J17)*70</f>
        <v>8.9345600215000704</v>
      </c>
      <c r="L17" s="68"/>
      <c r="M17" s="68">
        <f>+K17+I17</f>
        <v>29.934560021500076</v>
      </c>
      <c r="N17" s="71">
        <f>+M17+N15</f>
        <v>82.724563556391075</v>
      </c>
      <c r="O17" s="49"/>
      <c r="P17" s="49"/>
      <c r="Q17" s="49">
        <f>60*1000000000000000000</f>
        <v>6E+19</v>
      </c>
      <c r="R17" s="49"/>
      <c r="S17" s="49"/>
    </row>
    <row r="18" spans="1:19" x14ac:dyDescent="0.75">
      <c r="A18" s="49"/>
      <c r="B18" s="64">
        <v>220</v>
      </c>
      <c r="C18" s="65" t="s">
        <v>21</v>
      </c>
      <c r="D18" s="65"/>
      <c r="E18" s="66"/>
      <c r="F18" s="65"/>
      <c r="G18" s="65"/>
      <c r="H18" s="68"/>
      <c r="I18" s="68"/>
      <c r="J18" s="68"/>
      <c r="K18" s="68"/>
      <c r="L18" s="68"/>
      <c r="M18" s="68"/>
      <c r="N18" s="71"/>
      <c r="O18" s="49"/>
      <c r="P18" s="49"/>
      <c r="Q18" s="49">
        <f>+Q17*10000</f>
        <v>6.0000000000000002E+23</v>
      </c>
      <c r="R18" s="49"/>
      <c r="S18" s="49"/>
    </row>
    <row r="19" spans="1:19" x14ac:dyDescent="0.75">
      <c r="A19" s="49"/>
      <c r="B19" s="64"/>
      <c r="C19" s="65"/>
      <c r="D19" s="65"/>
      <c r="E19" s="66" t="s">
        <v>24</v>
      </c>
      <c r="F19" s="65">
        <v>4E+19</v>
      </c>
      <c r="G19" s="65">
        <v>2.5E+19</v>
      </c>
      <c r="H19" s="68">
        <f>+F19/SUM(F19:F20)</f>
        <v>0.5714285714285714</v>
      </c>
      <c r="I19" s="68">
        <f>+$I$3*$H$3*H19*30</f>
        <v>13.714285714285714</v>
      </c>
      <c r="J19" s="68">
        <f>+((G19/1000000000000000000)^$K$3)*((F19/1000000000000000000)^$L$3)</f>
        <v>28.785647540658108</v>
      </c>
      <c r="K19" s="68">
        <f>+$J$3*$H$3*J19/SUM(J19:J20)*30</f>
        <v>2.0790417700045754</v>
      </c>
      <c r="L19" s="68"/>
      <c r="M19" s="68">
        <f>+K19+I19</f>
        <v>15.793327484290289</v>
      </c>
      <c r="N19" s="71">
        <f>+M19+N16</f>
        <v>153.06876392789925</v>
      </c>
      <c r="O19" s="49"/>
      <c r="P19" s="49"/>
      <c r="Q19" s="49">
        <f>+Q18*1E+50</f>
        <v>6.0000000000000002E+73</v>
      </c>
      <c r="R19" s="49"/>
      <c r="S19" s="49"/>
    </row>
    <row r="20" spans="1:19" x14ac:dyDescent="0.75">
      <c r="A20" s="49"/>
      <c r="B20" s="64"/>
      <c r="C20" s="65"/>
      <c r="D20" s="65"/>
      <c r="E20" s="66" t="s">
        <v>25</v>
      </c>
      <c r="F20" s="65">
        <v>3E+19</v>
      </c>
      <c r="G20" s="65">
        <v>7E+19</v>
      </c>
      <c r="H20" s="68">
        <f>+F20/SUM(F19:F20)</f>
        <v>0.42857142857142855</v>
      </c>
      <c r="I20" s="68">
        <f>+$I$3*$H$3*H20*30</f>
        <v>10.285714285714286</v>
      </c>
      <c r="J20" s="68">
        <f>+((G20/1000000000000000000)^$K$3)*((F20/1000000000000000000)^$L$3)</f>
        <v>54.288145268982554</v>
      </c>
      <c r="K20" s="68">
        <f>+$J$3*$H$3*J20/SUM(J19:J20)*30</f>
        <v>3.9209582299954251</v>
      </c>
      <c r="L20" s="68"/>
      <c r="M20" s="68">
        <f>+K20+I20</f>
        <v>14.206672515709712</v>
      </c>
      <c r="N20" s="71">
        <f>+M20+N17</f>
        <v>96.931236072100788</v>
      </c>
      <c r="O20" s="49"/>
      <c r="P20" s="50">
        <f>+K27</f>
        <v>0.999</v>
      </c>
      <c r="Q20" s="49">
        <f>+Q19/2.93703880102699E+37</f>
        <v>2.0428739306753418E+36</v>
      </c>
      <c r="R20" s="49"/>
      <c r="S20" s="49"/>
    </row>
    <row r="21" spans="1:19" x14ac:dyDescent="0.75">
      <c r="A21" s="49"/>
      <c r="B21" s="64">
        <v>250</v>
      </c>
      <c r="C21" s="65" t="s">
        <v>22</v>
      </c>
      <c r="D21" s="65"/>
      <c r="E21" s="66"/>
      <c r="F21" s="65"/>
      <c r="G21" s="65"/>
      <c r="H21" s="68"/>
      <c r="I21" s="68"/>
      <c r="J21" s="68"/>
      <c r="K21" s="68"/>
      <c r="L21" s="68"/>
      <c r="M21" s="68"/>
      <c r="N21" s="71"/>
      <c r="O21" s="49"/>
      <c r="P21" s="49">
        <f>+P20^(0.3*60)</f>
        <v>0.98215218705145069</v>
      </c>
      <c r="Q21" s="83">
        <f>+Q20/(P21*1000000000000000000)</f>
        <v>2.0799973340265288E+18</v>
      </c>
      <c r="R21" s="49"/>
      <c r="S21" s="49"/>
    </row>
    <row r="22" spans="1:19" x14ac:dyDescent="0.75">
      <c r="A22" s="49"/>
      <c r="B22" s="64"/>
      <c r="C22" s="65"/>
      <c r="D22" s="65"/>
      <c r="E22" s="66" t="s">
        <v>24</v>
      </c>
      <c r="F22" s="65">
        <v>4E+19</v>
      </c>
      <c r="G22" s="65">
        <v>1.25E+20</v>
      </c>
      <c r="H22" s="68">
        <f>+F22/SUM(F22:F23)</f>
        <v>0.5714285714285714</v>
      </c>
      <c r="I22" s="68">
        <f>+$I$3*$H$3*H22*50</f>
        <v>22.857142857142858</v>
      </c>
      <c r="J22" s="68">
        <f>+((G22/1000000000000000000)^$K$3)*((F22/1000000000000000000)^$L$3)</f>
        <v>88.808596464545104</v>
      </c>
      <c r="K22" s="68">
        <f>+$J$3*$H$3*J22/SUM(J22:J23)*50</f>
        <v>6.2061927748098533</v>
      </c>
      <c r="L22" s="68"/>
      <c r="M22" s="68">
        <f>+K22+I22</f>
        <v>29.063335631952711</v>
      </c>
      <c r="N22" s="71">
        <f>+M22+N19</f>
        <v>182.13209955985195</v>
      </c>
      <c r="O22" s="49"/>
      <c r="P22" s="49"/>
      <c r="Q22" s="49"/>
      <c r="R22" s="49"/>
      <c r="S22" s="49"/>
    </row>
    <row r="23" spans="1:19" x14ac:dyDescent="0.75">
      <c r="A23" s="49"/>
      <c r="B23" s="72">
        <v>300</v>
      </c>
      <c r="C23" s="56" t="s">
        <v>17</v>
      </c>
      <c r="D23" s="56"/>
      <c r="E23" s="73" t="s">
        <v>25</v>
      </c>
      <c r="F23" s="56">
        <v>3E+19</v>
      </c>
      <c r="G23" s="56">
        <v>7E+19</v>
      </c>
      <c r="H23" s="74">
        <f>+F23/SUM(F22:F23)</f>
        <v>0.42857142857142855</v>
      </c>
      <c r="I23" s="74">
        <f>+$I$3*$H$3*H23*50</f>
        <v>17.142857142857142</v>
      </c>
      <c r="J23" s="74">
        <f>+((G23/1000000000000000000)^$K$3)*((F23/1000000000000000000)^$L$3)</f>
        <v>54.288145268982554</v>
      </c>
      <c r="K23" s="74">
        <f>+$J$3*$H$3*J23/SUM(J22:J23)*50</f>
        <v>3.7938072251901462</v>
      </c>
      <c r="L23" s="74"/>
      <c r="M23" s="74">
        <f>+K23+I23</f>
        <v>20.936664368047289</v>
      </c>
      <c r="N23" s="75">
        <f>+M23+N20</f>
        <v>117.86790044014808</v>
      </c>
      <c r="O23" s="49"/>
      <c r="P23" s="49"/>
      <c r="Q23" s="49"/>
      <c r="R23" s="49"/>
      <c r="S23" s="49"/>
    </row>
    <row r="24" spans="1:19" x14ac:dyDescent="0.7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50"/>
      <c r="L24" s="49"/>
      <c r="M24" s="51"/>
      <c r="N24" s="49"/>
      <c r="O24" s="49"/>
      <c r="P24" s="49"/>
      <c r="Q24" s="49"/>
      <c r="R24" s="49"/>
      <c r="S24" s="49"/>
    </row>
    <row r="25" spans="1:19" ht="15.5" thickBot="1" x14ac:dyDescent="0.9">
      <c r="A25" s="49"/>
      <c r="B25" s="49"/>
      <c r="C25" s="49"/>
      <c r="D25" s="49"/>
      <c r="E25" s="76" t="s">
        <v>31</v>
      </c>
      <c r="F25" s="77"/>
      <c r="G25" s="49"/>
      <c r="H25" s="49"/>
      <c r="I25" s="49"/>
      <c r="J25" s="49"/>
      <c r="K25" s="50"/>
      <c r="L25" s="49"/>
      <c r="M25" s="51"/>
      <c r="N25" s="49"/>
      <c r="O25" s="49"/>
      <c r="P25" s="49"/>
      <c r="Q25" s="49"/>
      <c r="R25" s="49"/>
      <c r="S25" s="49"/>
    </row>
    <row r="26" spans="1:19" ht="15.5" thickTop="1" x14ac:dyDescent="0.75">
      <c r="A26" s="49"/>
      <c r="B26" s="49"/>
      <c r="C26" s="49"/>
      <c r="D26" s="49"/>
      <c r="E26" s="66" t="s">
        <v>24</v>
      </c>
      <c r="F26" s="78">
        <f>+SUM(M8,M11,M14,M16,M19,M22)</f>
        <v>182.13209955985195</v>
      </c>
      <c r="G26" s="49"/>
      <c r="H26" s="49"/>
      <c r="I26" s="49"/>
      <c r="J26" s="49"/>
      <c r="K26" s="50"/>
      <c r="L26" s="81"/>
      <c r="M26" s="51"/>
      <c r="N26" s="49"/>
      <c r="O26" s="49"/>
      <c r="P26" s="49"/>
      <c r="Q26" s="49"/>
      <c r="R26" s="49"/>
      <c r="S26" s="49"/>
    </row>
    <row r="27" spans="1:19" x14ac:dyDescent="0.75">
      <c r="A27" s="49"/>
      <c r="B27" s="49"/>
      <c r="C27" s="49"/>
      <c r="D27" s="49"/>
      <c r="E27" s="73" t="s">
        <v>25</v>
      </c>
      <c r="F27" s="79">
        <f>+SUM(M9,M12,M15,M17,M20,M23)</f>
        <v>117.86790044014808</v>
      </c>
      <c r="G27" s="49"/>
      <c r="H27" s="49"/>
      <c r="I27" s="49"/>
      <c r="J27" s="49"/>
      <c r="K27" s="50">
        <v>0.999</v>
      </c>
      <c r="L27" s="82">
        <f>+K27*1000000000000000000</f>
        <v>9.99E+17</v>
      </c>
      <c r="M27" s="51"/>
      <c r="N27" s="49"/>
      <c r="O27" s="49"/>
      <c r="P27" s="49"/>
      <c r="Q27" s="49"/>
      <c r="R27" s="49"/>
      <c r="S27" s="49"/>
    </row>
    <row r="28" spans="1:19" x14ac:dyDescent="0.75">
      <c r="A28" s="49"/>
      <c r="B28" s="49"/>
      <c r="C28" s="49"/>
      <c r="D28" s="49"/>
      <c r="E28" s="72" t="s">
        <v>14</v>
      </c>
      <c r="F28" s="80">
        <f>+SUM(F26:F27)</f>
        <v>300</v>
      </c>
      <c r="G28" s="49"/>
      <c r="H28" s="49"/>
      <c r="I28" s="49"/>
      <c r="J28" s="49"/>
      <c r="K28" s="50">
        <f>+K27^(0.3*60)</f>
        <v>0.98215218705145069</v>
      </c>
      <c r="L28" s="49">
        <f>60*0.3</f>
        <v>18</v>
      </c>
      <c r="M28" s="51"/>
      <c r="N28" s="49"/>
      <c r="O28" s="49"/>
      <c r="P28" s="49"/>
      <c r="Q28" s="49"/>
      <c r="R28" s="49"/>
      <c r="S28" s="49"/>
    </row>
    <row r="29" spans="1:19" x14ac:dyDescent="0.7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50"/>
      <c r="L29" s="49"/>
      <c r="M29" s="51"/>
      <c r="N29" s="49"/>
      <c r="O29" s="49"/>
      <c r="P29" s="49"/>
      <c r="Q29" s="49"/>
      <c r="R29" s="49"/>
      <c r="S29" s="49"/>
    </row>
    <row r="30" spans="1:19" x14ac:dyDescent="0.75">
      <c r="A30" s="49"/>
      <c r="B30" s="49"/>
      <c r="C30" s="49"/>
      <c r="D30" s="49"/>
      <c r="E30" s="49">
        <f>2^256-1</f>
        <v>1.157920892373162E+77</v>
      </c>
      <c r="F30" s="49"/>
      <c r="G30" s="49"/>
      <c r="H30" s="49"/>
      <c r="I30" s="49"/>
      <c r="J30" s="49"/>
      <c r="K30" s="50"/>
      <c r="L30" s="49"/>
      <c r="M30" s="51"/>
      <c r="N30" s="49"/>
      <c r="O30" s="49"/>
      <c r="P30" s="49"/>
      <c r="Q30" s="49"/>
      <c r="R30" s="49"/>
      <c r="S30" s="49"/>
    </row>
    <row r="31" spans="1:19" x14ac:dyDescent="0.75">
      <c r="A31" s="49"/>
      <c r="B31" s="49"/>
      <c r="C31" s="49"/>
      <c r="D31" s="49"/>
      <c r="E31" s="49">
        <f>2^255-1</f>
        <v>5.7896044618658098E+76</v>
      </c>
      <c r="F31" s="49"/>
      <c r="G31" s="49"/>
      <c r="H31" s="49"/>
      <c r="I31" s="49"/>
      <c r="J31" s="49"/>
      <c r="K31" s="50"/>
      <c r="L31" s="49">
        <v>1.0313746731726601E+20</v>
      </c>
      <c r="M31" s="51"/>
      <c r="N31" s="49">
        <f>+L31/1000000000000000000</f>
        <v>103.137467317266</v>
      </c>
      <c r="O31" s="86">
        <f>+N31-N11</f>
        <v>28.572291135957641</v>
      </c>
      <c r="P31" s="49"/>
      <c r="Q31" s="49"/>
      <c r="R31" s="49"/>
      <c r="S31" s="49"/>
    </row>
    <row r="32" spans="1:19" x14ac:dyDescent="0.7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50"/>
      <c r="L32" s="49"/>
      <c r="M32" s="51"/>
      <c r="N32" s="49"/>
      <c r="O32" s="49"/>
      <c r="P32" s="49"/>
      <c r="Q32" s="49"/>
      <c r="R32" s="49"/>
      <c r="S32" s="49"/>
    </row>
    <row r="39" spans="7:9" x14ac:dyDescent="0.75">
      <c r="G39">
        <v>33</v>
      </c>
      <c r="I39">
        <f>80*G39*10000</f>
        <v>26400000</v>
      </c>
    </row>
    <row r="40" spans="7:9" x14ac:dyDescent="0.75">
      <c r="G40">
        <f>80%*G39</f>
        <v>26.400000000000002</v>
      </c>
      <c r="I40">
        <f>+I39/10000/100</f>
        <v>26.4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E162D-03F7-4BA4-B1C9-0B1FB7C23E32}">
  <dimension ref="B1:P34"/>
  <sheetViews>
    <sheetView tabSelected="1" workbookViewId="0"/>
  </sheetViews>
  <sheetFormatPr defaultRowHeight="14.75" x14ac:dyDescent="0.75"/>
  <cols>
    <col min="3" max="3" width="7" bestFit="1" customWidth="1"/>
    <col min="4" max="4" width="25.26953125" bestFit="1" customWidth="1"/>
    <col min="6" max="6" width="12.453125" bestFit="1" customWidth="1"/>
    <col min="7" max="7" width="18.26953125" bestFit="1" customWidth="1"/>
    <col min="8" max="8" width="8.6328125" bestFit="1" customWidth="1"/>
    <col min="9" max="9" width="10.6796875" bestFit="1" customWidth="1"/>
    <col min="10" max="10" width="13.81640625" bestFit="1" customWidth="1"/>
    <col min="11" max="11" width="12.1796875" bestFit="1" customWidth="1"/>
    <col min="12" max="12" width="24.31640625" bestFit="1" customWidth="1"/>
    <col min="13" max="13" width="22.54296875" bestFit="1" customWidth="1"/>
    <col min="14" max="14" width="7.6796875" bestFit="1" customWidth="1"/>
    <col min="15" max="15" width="19.40625" bestFit="1" customWidth="1"/>
  </cols>
  <sheetData>
    <row r="1" spans="2:16" x14ac:dyDescent="0.75">
      <c r="B1" s="49"/>
      <c r="C1" s="49"/>
      <c r="D1" s="49"/>
      <c r="E1" s="49"/>
      <c r="F1" s="49"/>
      <c r="G1" s="49"/>
      <c r="H1" s="49"/>
      <c r="I1" s="49"/>
      <c r="J1" s="49"/>
      <c r="K1" s="49"/>
      <c r="L1" s="50"/>
      <c r="M1" s="49"/>
      <c r="N1" s="51"/>
      <c r="O1" s="49"/>
    </row>
    <row r="2" spans="2:16" ht="15.5" thickBot="1" x14ac:dyDescent="0.9">
      <c r="B2" s="49"/>
      <c r="C2" s="52" t="s">
        <v>12</v>
      </c>
      <c r="D2" s="52" t="s">
        <v>26</v>
      </c>
      <c r="E2" s="52"/>
      <c r="F2" s="49"/>
      <c r="G2" s="52" t="s">
        <v>28</v>
      </c>
      <c r="H2" s="52" t="s">
        <v>29</v>
      </c>
      <c r="I2" s="52" t="s">
        <v>2</v>
      </c>
      <c r="J2" s="52" t="s">
        <v>52</v>
      </c>
      <c r="K2" s="52" t="s">
        <v>53</v>
      </c>
      <c r="L2" s="52" t="s">
        <v>54</v>
      </c>
      <c r="M2" s="52" t="s">
        <v>55</v>
      </c>
      <c r="N2" s="51"/>
      <c r="O2" s="49"/>
    </row>
    <row r="3" spans="2:16" ht="15.5" thickTop="1" x14ac:dyDescent="0.75">
      <c r="B3" s="49"/>
      <c r="C3" s="53" t="s">
        <v>15</v>
      </c>
      <c r="D3" s="49">
        <v>25</v>
      </c>
      <c r="E3" s="49"/>
      <c r="F3" s="49"/>
      <c r="G3" s="49">
        <v>100</v>
      </c>
      <c r="H3" s="49">
        <f>86400*7</f>
        <v>604800</v>
      </c>
      <c r="I3" s="49">
        <f>+G3/H3</f>
        <v>1.6534391534391533E-4</v>
      </c>
      <c r="J3" s="85">
        <v>0.8</v>
      </c>
      <c r="K3" s="85">
        <f>1-J3</f>
        <v>0.19999999999999996</v>
      </c>
      <c r="L3" s="49">
        <v>0.7</v>
      </c>
      <c r="M3" s="49">
        <v>0.3</v>
      </c>
      <c r="N3" s="54"/>
      <c r="O3" s="49"/>
    </row>
    <row r="4" spans="2:16" x14ac:dyDescent="0.75">
      <c r="B4" s="49"/>
      <c r="C4" s="53" t="s">
        <v>16</v>
      </c>
      <c r="D4" s="49">
        <v>50</v>
      </c>
      <c r="E4" s="49"/>
      <c r="F4" s="49"/>
      <c r="G4" s="49"/>
      <c r="H4" s="49"/>
      <c r="I4" s="49"/>
      <c r="J4" s="49"/>
      <c r="K4" s="49"/>
      <c r="L4" s="50"/>
      <c r="M4" s="49"/>
      <c r="N4" s="51"/>
      <c r="O4" s="50"/>
    </row>
    <row r="5" spans="2:16" x14ac:dyDescent="0.75">
      <c r="B5" s="49"/>
      <c r="C5" s="55"/>
      <c r="D5" s="56"/>
      <c r="E5" s="56"/>
      <c r="F5" s="56"/>
      <c r="G5" s="56"/>
      <c r="H5" s="56"/>
      <c r="I5" s="56"/>
      <c r="J5" s="56"/>
      <c r="K5" s="56"/>
      <c r="L5" s="57"/>
      <c r="M5" s="56"/>
      <c r="N5" s="58"/>
      <c r="O5" s="58"/>
    </row>
    <row r="6" spans="2:16" x14ac:dyDescent="0.75">
      <c r="B6" s="49"/>
      <c r="C6" s="49"/>
      <c r="D6" s="49"/>
      <c r="E6" s="49"/>
      <c r="F6" s="49"/>
      <c r="G6" s="49"/>
      <c r="H6" s="49"/>
      <c r="I6" s="49"/>
      <c r="J6" s="49"/>
      <c r="K6" s="49"/>
      <c r="L6" s="50"/>
      <c r="M6" s="49"/>
      <c r="N6" s="51"/>
      <c r="O6" s="49"/>
    </row>
    <row r="7" spans="2:16" x14ac:dyDescent="0.75">
      <c r="B7" s="59" t="s">
        <v>59</v>
      </c>
      <c r="C7" s="59" t="s">
        <v>39</v>
      </c>
      <c r="D7" s="60" t="s">
        <v>23</v>
      </c>
      <c r="E7" s="60"/>
      <c r="F7" s="59" t="s">
        <v>41</v>
      </c>
      <c r="G7" s="60" t="s">
        <v>27</v>
      </c>
      <c r="H7" s="60" t="s">
        <v>13</v>
      </c>
      <c r="I7" s="60" t="s">
        <v>42</v>
      </c>
      <c r="J7" s="60" t="s">
        <v>56</v>
      </c>
      <c r="K7" s="60" t="s">
        <v>57</v>
      </c>
      <c r="L7" s="61" t="s">
        <v>58</v>
      </c>
      <c r="M7" s="60"/>
      <c r="N7" s="62" t="s">
        <v>6</v>
      </c>
      <c r="O7" s="63" t="s">
        <v>40</v>
      </c>
    </row>
    <row r="8" spans="2:16" x14ac:dyDescent="0.75">
      <c r="B8" s="93">
        <v>1</v>
      </c>
      <c r="C8" s="94">
        <v>0</v>
      </c>
      <c r="D8" s="95" t="s">
        <v>61</v>
      </c>
      <c r="E8" s="95"/>
      <c r="F8" s="96" t="s">
        <v>24</v>
      </c>
      <c r="G8" s="95">
        <v>1E+19</v>
      </c>
      <c r="H8" s="97">
        <v>0</v>
      </c>
      <c r="I8" s="98">
        <f>+G8/SUM(G8:G9)</f>
        <v>0.5</v>
      </c>
      <c r="J8" s="98">
        <f>+$J$3*$I$3*I8*C10</f>
        <v>5.7142857142857144</v>
      </c>
      <c r="K8" s="98">
        <f>+((H8/1000000000000000000)^$L$3)*((G8/1000000000000000000)^$M$3)</f>
        <v>0</v>
      </c>
      <c r="L8" s="98">
        <v>0</v>
      </c>
      <c r="M8" s="98"/>
      <c r="N8" s="98">
        <f>+L8+J8</f>
        <v>5.7142857142857144</v>
      </c>
      <c r="O8" s="99">
        <f>+N8</f>
        <v>5.7142857142857144</v>
      </c>
    </row>
    <row r="9" spans="2:16" x14ac:dyDescent="0.75">
      <c r="B9" s="100"/>
      <c r="C9" s="101"/>
      <c r="D9" s="95"/>
      <c r="E9" s="95"/>
      <c r="F9" s="96" t="s">
        <v>25</v>
      </c>
      <c r="G9" s="95">
        <v>1E+19</v>
      </c>
      <c r="H9" s="97">
        <v>0</v>
      </c>
      <c r="I9" s="98">
        <f>+G9/SUM(G8:G9)</f>
        <v>0.5</v>
      </c>
      <c r="J9" s="98">
        <f>+$J$3*$I$3*I9*C10</f>
        <v>5.7142857142857144</v>
      </c>
      <c r="K9" s="98">
        <f>+((H9/1000000000000000000)^$L$3)*((G9/1000000000000000000)^$M$3)</f>
        <v>0</v>
      </c>
      <c r="L9" s="98">
        <v>0</v>
      </c>
      <c r="M9" s="98"/>
      <c r="N9" s="98">
        <f>+L9+J9</f>
        <v>5.7142857142857144</v>
      </c>
      <c r="O9" s="99">
        <f>+N9</f>
        <v>5.7142857142857144</v>
      </c>
    </row>
    <row r="10" spans="2:16" x14ac:dyDescent="0.75">
      <c r="B10" s="100"/>
      <c r="C10" s="101">
        <v>86400</v>
      </c>
      <c r="D10" s="95" t="s">
        <v>60</v>
      </c>
      <c r="E10" s="95"/>
      <c r="F10" s="96"/>
      <c r="G10" s="95"/>
      <c r="H10" s="95"/>
      <c r="I10" s="98"/>
      <c r="J10" s="98"/>
      <c r="K10" s="98"/>
      <c r="L10" s="98"/>
      <c r="M10" s="98"/>
      <c r="N10" s="98"/>
      <c r="O10" s="99"/>
    </row>
    <row r="11" spans="2:16" x14ac:dyDescent="0.75">
      <c r="B11" s="100"/>
      <c r="C11" s="101"/>
      <c r="D11" s="95"/>
      <c r="E11" s="95"/>
      <c r="F11" s="96" t="s">
        <v>24</v>
      </c>
      <c r="G11" s="95">
        <v>1E+19</v>
      </c>
      <c r="H11" s="97">
        <v>2.5E+19</v>
      </c>
      <c r="I11" s="98">
        <f>+G11/SUM(G11:G12)</f>
        <v>0.5</v>
      </c>
      <c r="J11" s="98">
        <f>+$J$3*$I$3*I11*(C13-C10)</f>
        <v>17.142857142857142</v>
      </c>
      <c r="K11" s="98">
        <f>+((H11/1000000000000000000)^$L$3)*((G11/1000000000000000000)^$M$3)</f>
        <v>18.991444823309347</v>
      </c>
      <c r="L11" s="98">
        <v>0</v>
      </c>
      <c r="M11" s="98"/>
      <c r="N11" s="98">
        <f>+L11+J11</f>
        <v>17.142857142857142</v>
      </c>
      <c r="O11" s="99">
        <f>+N11+O8</f>
        <v>22.857142857142858</v>
      </c>
    </row>
    <row r="12" spans="2:16" x14ac:dyDescent="0.75">
      <c r="B12" s="100"/>
      <c r="C12" s="101"/>
      <c r="D12" s="95"/>
      <c r="E12" s="95"/>
      <c r="F12" s="96" t="s">
        <v>25</v>
      </c>
      <c r="G12" s="95">
        <v>1E+19</v>
      </c>
      <c r="H12" s="97">
        <v>5E+19</v>
      </c>
      <c r="I12" s="98">
        <f>+G12/SUM(G11:G12)</f>
        <v>0.5</v>
      </c>
      <c r="J12" s="98">
        <f>+$J$3*$I$3*I12*(C13-C10)</f>
        <v>17.142857142857142</v>
      </c>
      <c r="K12" s="98">
        <f>+((H12/1000000000000000000)^$L$3)*((G12/1000000000000000000)^$M$3)</f>
        <v>30.851693136000481</v>
      </c>
      <c r="L12" s="98">
        <v>0</v>
      </c>
      <c r="M12" s="98"/>
      <c r="N12" s="98">
        <f>+L12+J12</f>
        <v>17.142857142857142</v>
      </c>
      <c r="O12" s="99">
        <f>+N12+O9</f>
        <v>22.857142857142858</v>
      </c>
    </row>
    <row r="13" spans="2:16" x14ac:dyDescent="0.75">
      <c r="B13" s="100"/>
      <c r="C13" s="101">
        <f>+C10+3*86400</f>
        <v>345600</v>
      </c>
      <c r="D13" s="95" t="s">
        <v>62</v>
      </c>
      <c r="E13" s="95"/>
      <c r="F13" s="96"/>
      <c r="G13" s="95"/>
      <c r="H13" s="95"/>
      <c r="I13" s="98"/>
      <c r="J13" s="98"/>
      <c r="K13" s="98"/>
      <c r="L13" s="98"/>
      <c r="M13" s="98"/>
      <c r="N13" s="98"/>
      <c r="O13" s="99"/>
    </row>
    <row r="14" spans="2:16" x14ac:dyDescent="0.75">
      <c r="B14" s="100"/>
      <c r="C14" s="101"/>
      <c r="D14" s="95"/>
      <c r="E14" s="95"/>
      <c r="F14" s="96" t="s">
        <v>24</v>
      </c>
      <c r="G14" s="95">
        <f>+G11/2</f>
        <v>5E+18</v>
      </c>
      <c r="H14" s="97">
        <v>2.5E+19</v>
      </c>
      <c r="I14" s="98">
        <f>+G14/SUM(G14:G15)</f>
        <v>0.33333333333333331</v>
      </c>
      <c r="J14" s="98">
        <f>+$J$3*$I$3*I14*(C16-C13)</f>
        <v>11.428571428571429</v>
      </c>
      <c r="K14" s="98">
        <f>+((H14/1000000000000000000)^$L$3)*((G14/1000000000000000000)^$M$3)</f>
        <v>15.425846568000239</v>
      </c>
      <c r="L14" s="108">
        <f>+K14/SUM(K14:K15)*$G$3*$K$3</f>
        <v>6.6666666666666643</v>
      </c>
      <c r="M14" s="98"/>
      <c r="N14" s="98">
        <f>+L14+J14</f>
        <v>18.095238095238095</v>
      </c>
      <c r="O14" s="99">
        <f>+N14+O11</f>
        <v>40.952380952380949</v>
      </c>
    </row>
    <row r="15" spans="2:16" x14ac:dyDescent="0.75">
      <c r="B15" s="100"/>
      <c r="C15" s="101"/>
      <c r="D15" s="95"/>
      <c r="E15" s="95"/>
      <c r="F15" s="96" t="s">
        <v>25</v>
      </c>
      <c r="G15" s="95">
        <v>1E+19</v>
      </c>
      <c r="H15" s="97">
        <v>5E+19</v>
      </c>
      <c r="I15" s="98">
        <f>+G15/SUM(G14:G15)</f>
        <v>0.66666666666666663</v>
      </c>
      <c r="J15" s="98">
        <f>+$J$3*$I$3*I15*(C16-C13)</f>
        <v>22.857142857142858</v>
      </c>
      <c r="K15" s="98">
        <f>+((H15/1000000000000000000)^$L$3)*((G15/1000000000000000000)^$M$3)</f>
        <v>30.851693136000481</v>
      </c>
      <c r="L15" s="108">
        <f>+K15/SUM(K14:K15)*$G$3*$K$3</f>
        <v>13.333333333333332</v>
      </c>
      <c r="M15" s="98"/>
      <c r="N15" s="98">
        <f>+L15+J15</f>
        <v>36.19047619047619</v>
      </c>
      <c r="O15" s="99">
        <f>+N15+O12</f>
        <v>59.047619047619051</v>
      </c>
      <c r="P15" s="92">
        <f>+SUM(O14:O15)</f>
        <v>100</v>
      </c>
    </row>
    <row r="16" spans="2:16" x14ac:dyDescent="0.75">
      <c r="B16" s="64">
        <v>2</v>
      </c>
      <c r="C16" s="87">
        <f>7*86400</f>
        <v>604800</v>
      </c>
      <c r="D16" s="65" t="s">
        <v>64</v>
      </c>
      <c r="E16" s="65"/>
      <c r="F16" s="66" t="s">
        <v>24</v>
      </c>
      <c r="G16" s="65">
        <f>+G14</f>
        <v>5E+18</v>
      </c>
      <c r="H16" s="65">
        <v>0</v>
      </c>
      <c r="I16" s="68">
        <f>+G16/SUM(G16:G17)</f>
        <v>1</v>
      </c>
      <c r="J16" s="68">
        <f>+$J$3*$I$3*I16*C18</f>
        <v>11.428571428571429</v>
      </c>
      <c r="K16" s="68">
        <f t="shared" ref="K16:K17" si="0">+((H16/1000000000000000000)^$L$3)*((G16/1000000000000000000)^$M$3)</f>
        <v>0</v>
      </c>
      <c r="L16" s="68">
        <v>0</v>
      </c>
      <c r="M16" s="68"/>
      <c r="N16" s="68">
        <f>+L16+J16</f>
        <v>11.428571428571429</v>
      </c>
      <c r="O16" s="89">
        <f>+N16+O14</f>
        <v>52.38095238095238</v>
      </c>
    </row>
    <row r="17" spans="2:16" x14ac:dyDescent="0.75">
      <c r="B17" s="64"/>
      <c r="C17" s="87"/>
      <c r="D17" s="65"/>
      <c r="E17" s="65"/>
      <c r="F17" s="66" t="s">
        <v>25</v>
      </c>
      <c r="G17" s="65">
        <v>0</v>
      </c>
      <c r="H17" s="67">
        <v>0</v>
      </c>
      <c r="I17" s="68">
        <f>+G17/SUM(G16:G17)</f>
        <v>0</v>
      </c>
      <c r="J17" s="68">
        <f>+$J$3*$I$3*I17*70</f>
        <v>0</v>
      </c>
      <c r="K17" s="68">
        <f t="shared" si="0"/>
        <v>0</v>
      </c>
      <c r="L17" s="68">
        <v>0</v>
      </c>
      <c r="M17" s="68"/>
      <c r="N17" s="68">
        <f>+L17+J17</f>
        <v>0</v>
      </c>
      <c r="O17" s="89">
        <f>+N17+O15</f>
        <v>59.047619047619051</v>
      </c>
    </row>
    <row r="18" spans="2:16" x14ac:dyDescent="0.75">
      <c r="B18" s="64"/>
      <c r="C18" s="87">
        <f>+C10</f>
        <v>86400</v>
      </c>
      <c r="D18" s="65" t="s">
        <v>63</v>
      </c>
      <c r="E18" s="65"/>
      <c r="F18" s="66"/>
      <c r="G18" s="65"/>
      <c r="H18" s="65"/>
      <c r="I18" s="68"/>
      <c r="J18" s="68"/>
      <c r="K18" s="68"/>
      <c r="L18" s="68"/>
      <c r="M18" s="68"/>
      <c r="N18" s="68"/>
      <c r="O18" s="89"/>
    </row>
    <row r="19" spans="2:16" x14ac:dyDescent="0.75">
      <c r="B19" s="64"/>
      <c r="C19" s="87"/>
      <c r="D19" s="65"/>
      <c r="E19" s="65"/>
      <c r="F19" s="66" t="s">
        <v>24</v>
      </c>
      <c r="G19" s="65">
        <f>+G16</f>
        <v>5E+18</v>
      </c>
      <c r="H19" s="65">
        <v>0</v>
      </c>
      <c r="I19" s="68">
        <f>+G19/SUM(G19:G20)</f>
        <v>1</v>
      </c>
      <c r="J19" s="68">
        <f>+$J$3*$I$3*I19*(C21-C18)</f>
        <v>68.571428571428569</v>
      </c>
      <c r="K19" s="68">
        <f t="shared" ref="K19:K20" si="1">+((H19/1000000000000000000)^$L$3)*((G19/1000000000000000000)^$M$3)</f>
        <v>0</v>
      </c>
      <c r="L19" s="68">
        <v>0</v>
      </c>
      <c r="M19" s="68"/>
      <c r="N19" s="68">
        <f>+L19+J19</f>
        <v>68.571428571428569</v>
      </c>
      <c r="O19" s="89">
        <f>+N19+O16</f>
        <v>120.95238095238095</v>
      </c>
    </row>
    <row r="20" spans="2:16" x14ac:dyDescent="0.75">
      <c r="B20" s="64"/>
      <c r="C20" s="87"/>
      <c r="D20" s="65"/>
      <c r="E20" s="65"/>
      <c r="F20" s="66" t="s">
        <v>25</v>
      </c>
      <c r="G20" s="65">
        <v>0</v>
      </c>
      <c r="H20" s="65">
        <v>7E+19</v>
      </c>
      <c r="I20" s="68">
        <f>+G20/SUM(G19:G20)</f>
        <v>0</v>
      </c>
      <c r="J20" s="68">
        <f>+$J$3*$I$3*I20*30</f>
        <v>0</v>
      </c>
      <c r="K20" s="68">
        <f t="shared" si="1"/>
        <v>0</v>
      </c>
      <c r="L20" s="68">
        <v>0</v>
      </c>
      <c r="M20" s="68"/>
      <c r="N20" s="68">
        <f>+L20+J20</f>
        <v>0</v>
      </c>
      <c r="O20" s="89">
        <f>+N20+O17</f>
        <v>59.047619047619051</v>
      </c>
      <c r="P20" s="92">
        <f>+SUM(O19:O20)</f>
        <v>180</v>
      </c>
    </row>
    <row r="21" spans="2:16" x14ac:dyDescent="0.75">
      <c r="B21" s="102">
        <v>3</v>
      </c>
      <c r="C21" s="103">
        <f>+C16</f>
        <v>604800</v>
      </c>
      <c r="D21" s="104" t="s">
        <v>65</v>
      </c>
      <c r="E21" s="104"/>
      <c r="F21" s="105"/>
      <c r="G21" s="104"/>
      <c r="H21" s="104"/>
      <c r="I21" s="106"/>
      <c r="J21" s="106"/>
      <c r="K21" s="106"/>
      <c r="L21" s="106"/>
      <c r="M21" s="106"/>
      <c r="N21" s="106"/>
      <c r="O21" s="107"/>
    </row>
    <row r="22" spans="2:16" x14ac:dyDescent="0.75">
      <c r="B22" s="102"/>
      <c r="C22" s="103"/>
      <c r="D22" s="104"/>
      <c r="E22" s="104"/>
      <c r="F22" s="105" t="s">
        <v>24</v>
      </c>
      <c r="G22" s="104">
        <f>+G19</f>
        <v>5E+18</v>
      </c>
      <c r="H22" s="104">
        <f>+H19</f>
        <v>0</v>
      </c>
      <c r="I22" s="106">
        <f>+G22/SUM(G22:G23)</f>
        <v>0.14285714285714285</v>
      </c>
      <c r="J22" s="106">
        <f>+$J$3*$I$3*I22*(C25)</f>
        <v>6.5306122448979593</v>
      </c>
      <c r="K22" s="106">
        <f>+((H22/1000000000000000000)^$L$3)*((G22/1000000000000000000)^$M$3)</f>
        <v>0</v>
      </c>
      <c r="L22" s="106">
        <f>+$K$3*$I$3*K22/SUM(K22:K26)*50</f>
        <v>0</v>
      </c>
      <c r="M22" s="106"/>
      <c r="N22" s="106">
        <f>+L22+J22</f>
        <v>6.5306122448979593</v>
      </c>
      <c r="O22" s="107">
        <f>+N22+O19</f>
        <v>127.48299319727892</v>
      </c>
    </row>
    <row r="23" spans="2:16" x14ac:dyDescent="0.75">
      <c r="B23" s="102"/>
      <c r="C23" s="103"/>
      <c r="D23" s="104"/>
      <c r="E23" s="104"/>
      <c r="F23" s="105" t="s">
        <v>25</v>
      </c>
      <c r="G23" s="104">
        <v>3E+19</v>
      </c>
      <c r="H23" s="104">
        <v>9E+19</v>
      </c>
      <c r="I23" s="106">
        <f>+G23/SUM(G22:G23)</f>
        <v>0.8571428571428571</v>
      </c>
      <c r="J23" s="106">
        <f>+$J$3*$I$3*I23*C25</f>
        <v>39.183673469387756</v>
      </c>
      <c r="K23" s="106">
        <f>+((H23/1000000000000000000)^$L$3)*((G23/1000000000000000000)^$M$3)</f>
        <v>64.730078399237783</v>
      </c>
      <c r="L23" s="106">
        <v>0</v>
      </c>
      <c r="M23" s="106"/>
      <c r="N23" s="106">
        <f>+L23+J23</f>
        <v>39.183673469387756</v>
      </c>
      <c r="O23" s="107">
        <f>+N23+O20</f>
        <v>98.231292517006807</v>
      </c>
    </row>
    <row r="24" spans="2:16" x14ac:dyDescent="0.75">
      <c r="B24" s="102"/>
      <c r="C24" s="103"/>
      <c r="D24" s="104"/>
      <c r="E24" s="104"/>
      <c r="F24" s="105"/>
      <c r="G24" s="104"/>
      <c r="H24" s="104"/>
      <c r="I24" s="106"/>
      <c r="J24" s="106"/>
      <c r="K24" s="106"/>
      <c r="L24" s="106"/>
      <c r="M24" s="106"/>
      <c r="N24" s="106"/>
      <c r="O24" s="107"/>
    </row>
    <row r="25" spans="2:16" x14ac:dyDescent="0.75">
      <c r="B25" s="102"/>
      <c r="C25" s="103">
        <f>+C13</f>
        <v>345600</v>
      </c>
      <c r="D25" s="104" t="s">
        <v>66</v>
      </c>
      <c r="E25" s="104"/>
      <c r="F25" s="105" t="s">
        <v>24</v>
      </c>
      <c r="G25" s="104">
        <f>+G22</f>
        <v>5E+18</v>
      </c>
      <c r="H25" s="104">
        <v>1E+20</v>
      </c>
      <c r="I25" s="106">
        <f>+G25/SUM(G25:G26)</f>
        <v>0.14285714285714285</v>
      </c>
      <c r="J25" s="106">
        <f>+$J$3*$I$3*I25*(C27-C25)</f>
        <v>4.8979591836734695</v>
      </c>
      <c r="K25" s="109">
        <f>+((H25/1000000000000000000)^$L$3)*((G25/1000000000000000000)^$M$3)</f>
        <v>40.709053153690434</v>
      </c>
      <c r="L25" s="106">
        <f>+K25/SUM(K25:K26)*$G$3*$K$3</f>
        <v>7.7218111632976303</v>
      </c>
      <c r="M25" s="106"/>
      <c r="N25" s="106">
        <f>+L25+J25</f>
        <v>12.6197703469711</v>
      </c>
      <c r="O25" s="107">
        <f>+N25+O22</f>
        <v>140.10276354425002</v>
      </c>
    </row>
    <row r="26" spans="2:16" x14ac:dyDescent="0.75">
      <c r="B26" s="102"/>
      <c r="C26" s="103"/>
      <c r="D26" s="104"/>
      <c r="E26" s="104"/>
      <c r="F26" s="105" t="s">
        <v>25</v>
      </c>
      <c r="G26" s="104">
        <v>3E+19</v>
      </c>
      <c r="H26" s="104">
        <v>9E+19</v>
      </c>
      <c r="I26" s="106">
        <f>+G26/SUM(G25:G26)</f>
        <v>0.8571428571428571</v>
      </c>
      <c r="J26" s="106">
        <f>+$J$3*$I$3*I26*(C27-C25)</f>
        <v>29.387755102040817</v>
      </c>
      <c r="K26" s="109">
        <f>+((H26/1000000000000000000)^$L$3)*((G26/1000000000000000000)^$M$3)</f>
        <v>64.730078399237783</v>
      </c>
      <c r="L26" s="106">
        <f>+K26/SUM(K25:K26)*$G$3*$K$3</f>
        <v>12.278188836702366</v>
      </c>
      <c r="M26" s="106"/>
      <c r="N26" s="106">
        <f>+L26+J26</f>
        <v>41.665943938743183</v>
      </c>
      <c r="O26" s="107">
        <f>+N26+O23</f>
        <v>139.89723645574998</v>
      </c>
      <c r="P26" s="92">
        <f>+SUM(O25:O26)</f>
        <v>280</v>
      </c>
    </row>
    <row r="27" spans="2:16" x14ac:dyDescent="0.75">
      <c r="B27" s="72"/>
      <c r="C27" s="88">
        <f>+C21</f>
        <v>604800</v>
      </c>
      <c r="D27" s="56" t="s">
        <v>17</v>
      </c>
      <c r="E27" s="56"/>
      <c r="F27" s="73"/>
      <c r="G27" s="56"/>
      <c r="H27" s="56"/>
      <c r="I27" s="74"/>
      <c r="J27" s="74"/>
      <c r="K27" s="74"/>
      <c r="L27" s="74"/>
      <c r="M27" s="74"/>
      <c r="N27" s="74"/>
      <c r="O27" s="90"/>
    </row>
    <row r="28" spans="2:16" x14ac:dyDescent="0.75"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50"/>
      <c r="M28" s="49"/>
      <c r="N28" s="51"/>
      <c r="O28" s="49"/>
    </row>
    <row r="29" spans="2:16" ht="15.5" thickBot="1" x14ac:dyDescent="0.9">
      <c r="B29" s="49"/>
      <c r="C29" s="49"/>
      <c r="D29" s="49"/>
      <c r="E29" s="49"/>
      <c r="F29" s="76" t="s">
        <v>31</v>
      </c>
      <c r="G29" s="77"/>
      <c r="H29" s="49"/>
      <c r="I29" s="49"/>
      <c r="J29" s="49"/>
      <c r="K29" s="49"/>
      <c r="L29" s="50"/>
      <c r="M29" s="49"/>
      <c r="N29" s="51"/>
      <c r="O29" s="49"/>
    </row>
    <row r="30" spans="2:16" ht="15.5" thickTop="1" x14ac:dyDescent="0.75">
      <c r="B30" s="49"/>
      <c r="C30" s="49"/>
      <c r="D30" s="49"/>
      <c r="E30" s="49"/>
      <c r="F30" s="66" t="s">
        <v>24</v>
      </c>
      <c r="G30" s="111">
        <f>+SUM(N8,N11,N14,N16,N19,N22,N25)</f>
        <v>140.10276354425002</v>
      </c>
      <c r="H30" s="49"/>
      <c r="I30" s="49"/>
      <c r="J30" s="49"/>
      <c r="K30" s="49"/>
      <c r="L30" s="50"/>
      <c r="M30" s="81"/>
      <c r="N30" s="51"/>
      <c r="O30" s="49"/>
    </row>
    <row r="31" spans="2:16" x14ac:dyDescent="0.75">
      <c r="B31" s="49"/>
      <c r="C31" s="49"/>
      <c r="D31" s="49"/>
      <c r="E31" s="49"/>
      <c r="F31" s="73" t="s">
        <v>25</v>
      </c>
      <c r="G31" s="112">
        <f>+SUM(N9,N12,N15,N17,N20,N23,N26)</f>
        <v>139.89723645574998</v>
      </c>
      <c r="H31" s="49"/>
      <c r="I31" s="49"/>
      <c r="J31" s="49"/>
      <c r="K31" s="49"/>
      <c r="L31" s="50"/>
      <c r="M31" s="82"/>
      <c r="N31" s="51"/>
      <c r="O31" s="49"/>
    </row>
    <row r="32" spans="2:16" x14ac:dyDescent="0.75">
      <c r="B32" s="49"/>
      <c r="C32" s="49"/>
      <c r="D32" s="49"/>
      <c r="E32" s="49"/>
      <c r="F32" s="72" t="s">
        <v>14</v>
      </c>
      <c r="G32" s="91">
        <f>+SUM(G30:G31)</f>
        <v>280</v>
      </c>
      <c r="H32" s="49"/>
      <c r="I32" s="49"/>
      <c r="J32" s="49"/>
      <c r="K32" s="49"/>
      <c r="L32" s="50"/>
      <c r="M32" s="49"/>
      <c r="N32" s="51"/>
      <c r="O32" s="49"/>
    </row>
    <row r="34" spans="12:12" x14ac:dyDescent="0.75">
      <c r="L34" s="110">
        <f>+K26+K25-K14</f>
        <v>90.013284984927978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SNX</vt:lpstr>
      <vt:lpstr>SNX - Detail</vt:lpstr>
      <vt:lpstr>KWENTA</vt:lpstr>
      <vt:lpstr>KWENTA - power</vt:lpstr>
      <vt:lpstr>KWENTA - Decay</vt:lpstr>
      <vt:lpstr>KWENTA - Final</vt:lpstr>
      <vt:lpstr>KWENTA - Epochs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Rosario</dc:creator>
  <cp:lastModifiedBy>Ignacio Rosario</cp:lastModifiedBy>
  <dcterms:created xsi:type="dcterms:W3CDTF">2021-09-21T11:43:56Z</dcterms:created>
  <dcterms:modified xsi:type="dcterms:W3CDTF">2021-11-29T23:56:20Z</dcterms:modified>
</cp:coreProperties>
</file>