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089AC7A1-7081-42C5-BAFE-4E36110D076D}" xr6:coauthVersionLast="47" xr6:coauthVersionMax="47" xr10:uidLastSave="{00000000-0000-0000-0000-000000000000}"/>
  <bookViews>
    <workbookView xWindow="880" yWindow="-90" windowWidth="16490" windowHeight="10980" firstSheet="3" activeTab="5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r:id="rId4"/>
    <sheet name="KWENTA - Decay" sheetId="7" r:id="rId5"/>
    <sheet name="KWENTA - Fin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8" l="1"/>
  <c r="N31" i="8"/>
  <c r="N23" i="8"/>
  <c r="N22" i="8"/>
  <c r="N20" i="8"/>
  <c r="N19" i="8"/>
  <c r="N17" i="8"/>
  <c r="N16" i="8"/>
  <c r="N14" i="8"/>
  <c r="N15" i="8"/>
  <c r="N12" i="8"/>
  <c r="N11" i="8"/>
  <c r="I40" i="8"/>
  <c r="I39" i="8"/>
  <c r="G40" i="8"/>
  <c r="K23" i="8"/>
  <c r="K22" i="8"/>
  <c r="I23" i="8"/>
  <c r="I22" i="8"/>
  <c r="K20" i="8"/>
  <c r="M20" i="8" s="1"/>
  <c r="K19" i="8"/>
  <c r="I20" i="8"/>
  <c r="I19" i="8"/>
  <c r="K17" i="8"/>
  <c r="K16" i="8"/>
  <c r="I17" i="8"/>
  <c r="I16" i="8"/>
  <c r="K15" i="8"/>
  <c r="K14" i="8"/>
  <c r="I15" i="8"/>
  <c r="I14" i="8"/>
  <c r="J23" i="8"/>
  <c r="J22" i="8"/>
  <c r="J20" i="8"/>
  <c r="J19" i="8"/>
  <c r="J17" i="8"/>
  <c r="M17" i="8" s="1"/>
  <c r="J16" i="8"/>
  <c r="J15" i="8"/>
  <c r="J14" i="8"/>
  <c r="I11" i="8"/>
  <c r="J12" i="8"/>
  <c r="K12" i="8" s="1"/>
  <c r="M12" i="8" s="1"/>
  <c r="I12" i="8"/>
  <c r="J11" i="8"/>
  <c r="K11" i="8" s="1"/>
  <c r="M11" i="8" s="1"/>
  <c r="M9" i="8"/>
  <c r="M8" i="8"/>
  <c r="J9" i="8"/>
  <c r="K9" i="8" s="1"/>
  <c r="J8" i="8"/>
  <c r="K8" i="8" s="1"/>
  <c r="I8" i="8"/>
  <c r="E31" i="8"/>
  <c r="E30" i="8"/>
  <c r="L28" i="8"/>
  <c r="K28" i="8"/>
  <c r="L27" i="8"/>
  <c r="H23" i="8"/>
  <c r="H22" i="8"/>
  <c r="P20" i="8"/>
  <c r="P21" i="8" s="1"/>
  <c r="H20" i="8"/>
  <c r="H19" i="8"/>
  <c r="Q17" i="8"/>
  <c r="Q18" i="8" s="1"/>
  <c r="Q19" i="8" s="1"/>
  <c r="Q20" i="8" s="1"/>
  <c r="H17" i="8"/>
  <c r="H16" i="8"/>
  <c r="H15" i="8"/>
  <c r="H14" i="8"/>
  <c r="H12" i="8"/>
  <c r="H11" i="8"/>
  <c r="R9" i="8"/>
  <c r="R10" i="8" s="1"/>
  <c r="Q9" i="8"/>
  <c r="H9" i="8"/>
  <c r="I9" i="8" s="1"/>
  <c r="R8" i="8"/>
  <c r="Q8" i="8"/>
  <c r="H8" i="8"/>
  <c r="M23" i="8" l="1"/>
  <c r="M22" i="8"/>
  <c r="M19" i="8"/>
  <c r="M16" i="8"/>
  <c r="M15" i="8"/>
  <c r="M14" i="8"/>
  <c r="Q10" i="8"/>
  <c r="Q12" i="8" s="1"/>
  <c r="Q13" i="8" s="1"/>
  <c r="Q21" i="8"/>
  <c r="E31" i="6"/>
  <c r="E30" i="6"/>
  <c r="N8" i="8" l="1"/>
  <c r="Q21" i="6"/>
  <c r="R21" i="6" s="1"/>
  <c r="R20" i="6"/>
  <c r="Q20" i="6"/>
  <c r="R19" i="6"/>
  <c r="R18" i="6"/>
  <c r="R17" i="6"/>
  <c r="R13" i="6"/>
  <c r="L28" i="6"/>
  <c r="L27" i="6"/>
  <c r="K28" i="6"/>
  <c r="J8" i="7"/>
  <c r="L8" i="7" s="1"/>
  <c r="M8" i="7" s="1"/>
  <c r="N8" i="7" s="1"/>
  <c r="O8" i="7" s="1"/>
  <c r="R12" i="6"/>
  <c r="S9" i="6"/>
  <c r="S10" i="6" s="1"/>
  <c r="S8" i="6"/>
  <c r="R10" i="6"/>
  <c r="R9" i="6"/>
  <c r="R8" i="6"/>
  <c r="H22" i="7"/>
  <c r="J22" i="7" s="1"/>
  <c r="L22" i="7" s="1"/>
  <c r="H15" i="7"/>
  <c r="H23" i="7"/>
  <c r="H20" i="7"/>
  <c r="H19" i="7"/>
  <c r="H17" i="7"/>
  <c r="J17" i="7" s="1"/>
  <c r="L17" i="7" s="1"/>
  <c r="H16" i="7"/>
  <c r="J16" i="7" s="1"/>
  <c r="L16" i="7" s="1"/>
  <c r="H14" i="7"/>
  <c r="H12" i="7"/>
  <c r="H11" i="7"/>
  <c r="J11" i="7" s="1"/>
  <c r="L11" i="7" s="1"/>
  <c r="H9" i="7"/>
  <c r="H8" i="7"/>
  <c r="I23" i="7"/>
  <c r="K23" i="7" s="1"/>
  <c r="I22" i="7"/>
  <c r="K22" i="7" s="1"/>
  <c r="I20" i="7"/>
  <c r="K20" i="7" s="1"/>
  <c r="I19" i="7"/>
  <c r="K19" i="7" s="1"/>
  <c r="I17" i="7"/>
  <c r="K17" i="7" s="1"/>
  <c r="I16" i="7"/>
  <c r="K16" i="7" s="1"/>
  <c r="I15" i="7"/>
  <c r="K15" i="7" s="1"/>
  <c r="I14" i="7"/>
  <c r="K14" i="7" s="1"/>
  <c r="I12" i="7"/>
  <c r="K12" i="7" s="1"/>
  <c r="I11" i="7"/>
  <c r="K11" i="7" s="1"/>
  <c r="I9" i="7"/>
  <c r="K9" i="7" s="1"/>
  <c r="I8" i="7"/>
  <c r="K8" i="7" s="1"/>
  <c r="I14" i="6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N9" i="8" l="1"/>
  <c r="F27" i="8"/>
  <c r="F26" i="8"/>
  <c r="J14" i="7"/>
  <c r="L14" i="7" s="1"/>
  <c r="M14" i="7" s="1"/>
  <c r="J20" i="7"/>
  <c r="L20" i="7" s="1"/>
  <c r="J9" i="7"/>
  <c r="L9" i="7" s="1"/>
  <c r="J23" i="7"/>
  <c r="L23" i="7" s="1"/>
  <c r="M23" i="7" s="1"/>
  <c r="J12" i="7"/>
  <c r="L12" i="7" s="1"/>
  <c r="M12" i="7" s="1"/>
  <c r="J19" i="7"/>
  <c r="L19" i="7" s="1"/>
  <c r="M19" i="7" s="1"/>
  <c r="J15" i="7"/>
  <c r="L15" i="7" s="1"/>
  <c r="M15" i="7" s="1"/>
  <c r="M22" i="7"/>
  <c r="M17" i="7"/>
  <c r="N17" i="7" s="1"/>
  <c r="O17" i="7" s="1"/>
  <c r="M9" i="7"/>
  <c r="M20" i="7"/>
  <c r="M11" i="7"/>
  <c r="M16" i="7"/>
  <c r="L12" i="6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F28" i="8" l="1"/>
  <c r="N9" i="7"/>
  <c r="O9" i="7" s="1"/>
  <c r="F27" i="7" s="1"/>
  <c r="N14" i="7"/>
  <c r="O14" i="7" s="1"/>
  <c r="N23" i="7"/>
  <c r="O23" i="7" s="1"/>
  <c r="N15" i="7"/>
  <c r="O15" i="7" s="1"/>
  <c r="P8" i="7"/>
  <c r="N16" i="7"/>
  <c r="O16" i="7" s="1"/>
  <c r="N11" i="7"/>
  <c r="O11" i="7" s="1"/>
  <c r="N20" i="7"/>
  <c r="O20" i="7" s="1"/>
  <c r="N22" i="7"/>
  <c r="O22" i="7" s="1"/>
  <c r="N12" i="7"/>
  <c r="O12" i="7" s="1"/>
  <c r="N19" i="7"/>
  <c r="O19" i="7" s="1"/>
  <c r="M15" i="6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P12" i="7" l="1"/>
  <c r="P9" i="7"/>
  <c r="P15" i="7"/>
  <c r="P17" i="7" s="1"/>
  <c r="P20" i="7" s="1"/>
  <c r="P23" i="7" s="1"/>
  <c r="P11" i="7"/>
  <c r="P14" i="7" s="1"/>
  <c r="P16" i="7" s="1"/>
  <c r="P19" i="7" s="1"/>
  <c r="P22" i="7" s="1"/>
  <c r="F26" i="7"/>
  <c r="F28" i="7" s="1"/>
  <c r="O12" i="6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F28" i="6" l="1"/>
  <c r="L13" i="5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<sst xmlns="http://schemas.openxmlformats.org/spreadsheetml/2006/main" count="203" uniqueCount="59">
  <si>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</si>
  <si>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</si>
  <si>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</si>
  <si>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</si>
  <si>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</si>
  <si>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</si>
  <si>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</si>
  <si>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</si>
  <si>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</si>
  <si>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</si>
  <si>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</si>
  <si>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</si>
  <si>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</si>
  <si>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</si>
  <si>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</si>
  <si>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</si>
  <si>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</si>
  <si>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</si>
  <si>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</si>
  <si>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</si>
  <si>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</si>
  <si>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</si>
  <si>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</si>
  <si>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</si>
  <si>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</si>
  <si>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</si>
  <si>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</si>
  <si>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</si>
  <si>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</si>
  <si>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</si>
  <si>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</si>
  <si>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</si>
  <si>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</si>
  <si>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</si>
  <si>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</si>
  <si>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</si>
  <si>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</si>
  <si>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</si>
  <si>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</si>
  <si>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</si>
  <si>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</si>
  <si>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</si>
  <si>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</si>
  <si>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</si>
  <si>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</si>
  <si>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</si>
  <si>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</si>
  <si>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</si>
  <si>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</si>
  <si>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</si>
  <si>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Decay rate</t>
  </si>
  <si>
    <t>decayedFees</t>
  </si>
  <si>
    <t xml:space="preserve">staking % </t>
  </si>
  <si>
    <t xml:space="preserve">trading % </t>
  </si>
  <si>
    <t>alpha</t>
  </si>
  <si>
    <t>1-alpha</t>
  </si>
  <si>
    <t>staking Reward</t>
  </si>
  <si>
    <t>rewardScore</t>
  </si>
  <si>
    <t>trading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</si>
</sst>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000000E+00"/>
    <numFmt numFmtId="165" formatCode="#,##0.0000"/>
    <numFmt numFmtId="166" formatCode="0.0000E+00"/>
    <numFmt numFmtId="167" formatCode="#,##0.000"/>
    <numFmt numFmtId="168" formatCode="0.000"/>
    <numFmt numFmtId="169" formatCode="0.0%"/>
    <numFmt numFmtId="170" formatCode="0.000000"/>
    <numFmt numFmtId="171" formatCode="_(* #,##0_);_(* \(#,##0\);_(* &quot;-&quot;??_);_(@_)"/>
    <numFmt numFmtId="172" formatCode="0.000E+00"/>
    <numFmt numFmtId="173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7" xfId="0" applyNumberFormat="1" applyBorder="1"/>
    <xf numFmtId="168" fontId="0" fillId="0" borderId="9" xfId="0" applyNumberFormat="1" applyBorder="1"/>
    <xf numFmtId="168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Fill="1" applyBorder="1"/>
    <xf numFmtId="169" fontId="0" fillId="0" borderId="0" xfId="0" applyNumberFormat="1"/>
    <xf numFmtId="11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1" fillId="2" borderId="3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11" fontId="0" fillId="2" borderId="0" xfId="0" applyNumberFormat="1" applyFill="1" applyBorder="1"/>
    <xf numFmtId="4" fontId="0" fillId="2" borderId="0" xfId="0" applyNumberFormat="1" applyFill="1" applyBorder="1"/>
    <xf numFmtId="165" fontId="0" fillId="2" borderId="0" xfId="0" applyNumberFormat="1" applyFill="1" applyBorder="1"/>
    <xf numFmtId="0" fontId="0" fillId="2" borderId="7" xfId="0" applyFill="1" applyBorder="1"/>
    <xf numFmtId="167" fontId="0" fillId="2" borderId="7" xfId="0" applyNumberFormat="1" applyFill="1" applyBorder="1"/>
    <xf numFmtId="0" fontId="1" fillId="2" borderId="8" xfId="0" applyFont="1" applyFill="1" applyBorder="1"/>
    <xf numFmtId="0" fontId="0" fillId="2" borderId="8" xfId="0" applyFill="1" applyBorder="1"/>
    <xf numFmtId="4" fontId="0" fillId="2" borderId="3" xfId="0" applyNumberFormat="1" applyFill="1" applyBorder="1"/>
    <xf numFmtId="167" fontId="0" fillId="2" borderId="9" xfId="0" applyNumberFormat="1" applyFill="1" applyBorder="1"/>
    <xf numFmtId="0" fontId="1" fillId="2" borderId="4" xfId="0" applyFont="1" applyFill="1" applyBorder="1"/>
    <xf numFmtId="0" fontId="0" fillId="2" borderId="5" xfId="0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1" fillId="2" borderId="9" xfId="0" applyNumberFormat="1" applyFont="1" applyFill="1" applyBorder="1"/>
    <xf numFmtId="170" fontId="0" fillId="2" borderId="0" xfId="0" applyNumberFormat="1" applyFill="1"/>
    <xf numFmtId="171" fontId="0" fillId="2" borderId="0" xfId="1" applyNumberFormat="1" applyFont="1" applyFill="1"/>
    <xf numFmtId="172" fontId="0" fillId="2" borderId="0" xfId="0" applyNumberFormat="1" applyFill="1"/>
    <xf numFmtId="173" fontId="0" fillId="2" borderId="7" xfId="0" applyNumberFormat="1" applyFill="1" applyBorder="1"/>
    <xf numFmtId="9" fontId="0" fillId="2" borderId="0" xfId="0" applyNumberFormat="1" applyFill="1"/>
    <xf numFmtId="17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T32"/>
  <sheetViews>
    <sheetView showGridLines="0" topLeftCell="D1" zoomScale="70" zoomScaleNormal="70" workbookViewId="0">
      <selection sqref="A1:T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3.6328125" style="9" bestFit="1" customWidth="1"/>
    <col min="12" max="12" width="26" bestFit="1" customWidth="1"/>
    <col min="13" max="13" width="9" bestFit="1" customWidth="1"/>
    <col min="14" max="14" width="7.54296875" style="26" bestFit="1" customWidth="1"/>
    <col min="15" max="15" width="19.1796875" bestFit="1" customWidth="1"/>
    <col min="17" max="17" width="13.2265625" bestFit="1" customWidth="1"/>
    <col min="18" max="18" width="15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84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84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0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1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1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0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1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1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1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1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1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1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1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1"/>
      <c r="P21" s="49"/>
      <c r="Q21" s="49">
        <f>+Q20^(0.3*60)</f>
        <v>0.98215218705145069</v>
      </c>
      <c r="R21" s="83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1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+G23/SUM(G22:G23)</f>
        <v>0.35897435897435898</v>
      </c>
      <c r="J23" s="74">
        <f>+H23^$I$3</f>
        <v>0.55260683251119402</v>
      </c>
      <c r="K23" s="74">
        <f>+I23^$J$3</f>
        <v>0.73539221595033788</v>
      </c>
      <c r="L23" s="74">
        <f>+K23*J23</f>
        <v>0.40638276310970417</v>
      </c>
      <c r="M23" s="74">
        <f>+L23/SUM(L22:L23)</f>
        <v>0.40725542618424743</v>
      </c>
      <c r="N23" s="74">
        <f>+$H$3*50*M23</f>
        <v>20.36277130921237</v>
      </c>
      <c r="O23" s="75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8">
        <f>+SUM(N8,N11,N14,N16,N19,N22)</f>
        <v>170.27440175687207</v>
      </c>
      <c r="G26" s="49"/>
      <c r="H26" s="49"/>
      <c r="I26" s="49"/>
      <c r="J26" s="49"/>
      <c r="K26" s="50"/>
      <c r="L26" s="81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3" t="s">
        <v>25</v>
      </c>
      <c r="F27" s="79">
        <f>+SUM(N9,N12,N15,N17,N20,N23)</f>
        <v>129.72559824312793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85E-96B2-448C-B0D9-612FF5920724}">
  <dimension ref="B2:P28"/>
  <sheetViews>
    <sheetView showGridLines="0" zoomScale="70" zoomScaleNormal="70" workbookViewId="0">
      <selection activeCell="G32" sqref="G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1.54296875" bestFit="1" customWidth="1"/>
    <col min="9" max="9" width="10.54296875" bestFit="1" customWidth="1"/>
    <col min="10" max="10" width="11.453125" bestFit="1" customWidth="1"/>
    <col min="11" max="11" width="11.54296875" bestFit="1" customWidth="1"/>
    <col min="12" max="12" width="10.31640625" style="9" bestFit="1" customWidth="1"/>
    <col min="13" max="13" width="9.7265625" bestFit="1" customWidth="1"/>
    <col min="14" max="14" width="12.90625" customWidth="1"/>
    <col min="15" max="15" width="7.54296875" style="26" bestFit="1" customWidth="1"/>
    <col min="16" max="16" width="19.1796875" bestFit="1" customWidth="1"/>
  </cols>
  <sheetData>
    <row r="2" spans="2:16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/>
      <c r="I2" s="5" t="s">
        <v>2</v>
      </c>
      <c r="J2" s="5" t="s">
        <v>44</v>
      </c>
      <c r="K2" s="5" t="s">
        <v>45</v>
      </c>
      <c r="M2" s="46" t="s">
        <v>50</v>
      </c>
      <c r="N2" s="47">
        <v>0.999</v>
      </c>
    </row>
    <row r="3" spans="2:16" ht="15.5" thickTop="1" x14ac:dyDescent="0.75">
      <c r="B3" s="3" t="s">
        <v>15</v>
      </c>
      <c r="C3">
        <v>25</v>
      </c>
      <c r="F3">
        <v>300</v>
      </c>
      <c r="G3">
        <v>300</v>
      </c>
      <c r="I3">
        <v>1</v>
      </c>
      <c r="J3">
        <v>0.7</v>
      </c>
      <c r="K3">
        <v>0.3</v>
      </c>
      <c r="O3" s="30"/>
    </row>
    <row r="4" spans="2:16" x14ac:dyDescent="0.75">
      <c r="B4" s="3" t="s">
        <v>16</v>
      </c>
      <c r="C4">
        <v>50</v>
      </c>
      <c r="P4" s="9"/>
    </row>
    <row r="5" spans="2:16" x14ac:dyDescent="0.75">
      <c r="B5" s="8"/>
      <c r="C5" s="6"/>
      <c r="D5" s="6"/>
      <c r="E5" s="6"/>
      <c r="F5" s="6"/>
      <c r="G5" s="6"/>
      <c r="H5" s="6"/>
      <c r="I5" s="6"/>
      <c r="J5" s="6"/>
      <c r="K5" s="6"/>
      <c r="L5" s="25"/>
      <c r="M5" s="6"/>
      <c r="N5" s="6"/>
      <c r="O5" s="27"/>
      <c r="P5" s="27"/>
    </row>
    <row r="7" spans="2:16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51</v>
      </c>
      <c r="I7" s="17" t="s">
        <v>42</v>
      </c>
      <c r="J7" s="17" t="s">
        <v>43</v>
      </c>
      <c r="K7" s="17" t="s">
        <v>46</v>
      </c>
      <c r="L7" s="18" t="s">
        <v>47</v>
      </c>
      <c r="M7" s="17" t="s">
        <v>48</v>
      </c>
      <c r="N7" s="17" t="s">
        <v>49</v>
      </c>
      <c r="O7" s="39" t="s">
        <v>6</v>
      </c>
      <c r="P7" s="40" t="s">
        <v>40</v>
      </c>
    </row>
    <row r="8" spans="2:16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1">
        <f>+((G8/1000000000000000000)*$N$2^60)*1000000000000000000</f>
        <v>2.3543406555579216E+19</v>
      </c>
      <c r="I8" s="22">
        <f>+F8/SUM(F8:F9)</f>
        <v>0.5</v>
      </c>
      <c r="J8" s="22">
        <f>+H8/SUM(H8:H9)</f>
        <v>0.33333333333333337</v>
      </c>
      <c r="K8" s="22">
        <f>+I8^$J$3</f>
        <v>0.61557220667245816</v>
      </c>
      <c r="L8" s="22">
        <f>+J8^$K$3</f>
        <v>0.71922309332486445</v>
      </c>
      <c r="M8" s="22">
        <f>+L8*K8</f>
        <v>0.44273374664777809</v>
      </c>
      <c r="N8" s="36">
        <f>+M8/SUM(M8:M9)</f>
        <v>0.44820048133989093</v>
      </c>
      <c r="O8" s="22">
        <f>+$I$3*60*N8</f>
        <v>26.892028880393458</v>
      </c>
      <c r="P8" s="35">
        <f>+O8</f>
        <v>26.892028880393458</v>
      </c>
    </row>
    <row r="9" spans="2:16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1">
        <f>+((G9/1000000000000000000)*$N$2^60)*1000000000000000000</f>
        <v>4.7086813111158432E+19</v>
      </c>
      <c r="I9" s="22">
        <f>+F9/SUM(F8:F9)</f>
        <v>0.5</v>
      </c>
      <c r="J9" s="22">
        <f>+H9/SUM(H8:H9)</f>
        <v>0.66666666666666674</v>
      </c>
      <c r="K9" s="22">
        <f>+I9^$J$3</f>
        <v>0.61557220667245816</v>
      </c>
      <c r="L9" s="22">
        <f>+J9^$K$3</f>
        <v>0.88546749329555619</v>
      </c>
      <c r="M9" s="22">
        <f>+L9*K9</f>
        <v>0.54506917878467553</v>
      </c>
      <c r="N9" s="36">
        <f>+M9/SUM(M8:M9)</f>
        <v>0.55179951866010912</v>
      </c>
      <c r="O9" s="22">
        <f>+$I$3*60*N9</f>
        <v>33.107971119606546</v>
      </c>
      <c r="P9" s="35">
        <f>+O9</f>
        <v>33.107971119606546</v>
      </c>
    </row>
    <row r="10" spans="2:16" x14ac:dyDescent="0.75">
      <c r="B10" s="44">
        <v>60</v>
      </c>
      <c r="C10" s="20" t="s">
        <v>20</v>
      </c>
      <c r="D10" s="20"/>
      <c r="E10" s="12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2:16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1">
        <f>+((G11/1000000000000000000)*$N$2^120)*1000000000000000000</f>
        <v>2.2171679689651618E+19</v>
      </c>
      <c r="I11" s="22">
        <f>+F11/SUM(F11:F12)</f>
        <v>0.83333333333333337</v>
      </c>
      <c r="J11" s="22">
        <f>+H11/SUM(H11:H12)</f>
        <v>0.33333333333333331</v>
      </c>
      <c r="K11" s="22">
        <f>+I11^$J$3</f>
        <v>0.88018330703271519</v>
      </c>
      <c r="L11" s="22">
        <f>+J11^$K$3</f>
        <v>0.71922309332486434</v>
      </c>
      <c r="M11" s="22">
        <f>+L11*K11</f>
        <v>0.63304816077697823</v>
      </c>
      <c r="N11" s="22">
        <f>+M11/SUM(M11:M12)</f>
        <v>0.71476947895159004</v>
      </c>
      <c r="O11" s="22">
        <f>+$I$3*60*N11</f>
        <v>42.886168737095403</v>
      </c>
      <c r="P11" s="37">
        <f>+O11+O8</f>
        <v>69.778197617488857</v>
      </c>
    </row>
    <row r="12" spans="2:16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1">
        <f>+((G12/1000000000000000000)*$N$2^120)*1000000000000000000</f>
        <v>4.4343359379303236E+19</v>
      </c>
      <c r="I12" s="22">
        <f>+F12/SUM(F11:F12)</f>
        <v>0.16666666666666666</v>
      </c>
      <c r="J12" s="22">
        <f>+H12/SUM(H11:H12)</f>
        <v>0.66666666666666663</v>
      </c>
      <c r="K12" s="22">
        <f>+I12^$J$3</f>
        <v>0.28529497656828423</v>
      </c>
      <c r="L12" s="22">
        <f>+J12^$K$3</f>
        <v>0.88546749329555607</v>
      </c>
      <c r="M12" s="22">
        <f>+L12*K12</f>
        <v>0.25261942775173307</v>
      </c>
      <c r="N12" s="22">
        <f>+M12/SUM(M11:M12)</f>
        <v>0.28523052104840996</v>
      </c>
      <c r="O12" s="22">
        <f>+$I$3*60*N12</f>
        <v>17.113831262904597</v>
      </c>
      <c r="P12" s="37">
        <f>+O12+O9</f>
        <v>50.221802382511143</v>
      </c>
    </row>
    <row r="13" spans="2:16" x14ac:dyDescent="0.75">
      <c r="B13" s="44">
        <v>120</v>
      </c>
      <c r="C13" s="20" t="s">
        <v>18</v>
      </c>
      <c r="D13" s="20"/>
      <c r="E13" s="12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2:16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1">
        <f>+((G14/1000000000000000000)*$N$2^150)*1000000000000000000</f>
        <v>2.1516084567075938E+19</v>
      </c>
      <c r="I14" s="22">
        <f>+F14/SUM(F14:F15)</f>
        <v>0.83333333333333337</v>
      </c>
      <c r="J14" s="22">
        <f>+H14/SUM(H14:H15)</f>
        <v>0.25448289734177543</v>
      </c>
      <c r="K14" s="22">
        <f>+I14^$J$3</f>
        <v>0.88018330703271519</v>
      </c>
      <c r="L14" s="22">
        <f>+J14^$K$3</f>
        <v>0.66328103557648221</v>
      </c>
      <c r="M14" s="22">
        <f>+L14*K14</f>
        <v>0.58380889538579217</v>
      </c>
      <c r="N14" s="22">
        <f>+M14/SUM(M14:M15)</f>
        <v>0.69086219047673991</v>
      </c>
      <c r="O14" s="22">
        <f>+$I$3*30*N14</f>
        <v>20.725865714302198</v>
      </c>
      <c r="P14" s="37">
        <f>+P11+O14</f>
        <v>90.504063331791059</v>
      </c>
    </row>
    <row r="15" spans="2:16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1">
        <f>+((G12/1000000000000000000)*$N$2^150)*1000000000000000000+20000000000000000000</f>
        <v>6.3032169134151877E+19</v>
      </c>
      <c r="I15" s="22">
        <f>+F15/SUM(F14:F15)</f>
        <v>0.16666666666666666</v>
      </c>
      <c r="J15" s="22">
        <f>+H15/SUM(H14:H15)</f>
        <v>0.74551710265822468</v>
      </c>
      <c r="K15" s="22">
        <f>+I15^$J$3</f>
        <v>0.28529497656828423</v>
      </c>
      <c r="L15" s="22">
        <f>+J15^$K$3</f>
        <v>0.91566641064654108</v>
      </c>
      <c r="M15" s="22">
        <f>+L15*K15</f>
        <v>0.26123502716976987</v>
      </c>
      <c r="N15" s="22">
        <f>+M15/SUM(M14:M15)</f>
        <v>0.30913780952326009</v>
      </c>
      <c r="O15" s="22">
        <f>+$I$3*30*N15</f>
        <v>9.2741342856978033</v>
      </c>
      <c r="P15" s="37">
        <f>+P12+O15</f>
        <v>59.495936668208948</v>
      </c>
    </row>
    <row r="16" spans="2:16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1">
        <f>+((G16/1000000000000000000)*$N$2^220)*1000000000000000000</f>
        <v>2.0060761671517315E+19</v>
      </c>
      <c r="I16" s="22">
        <f>+F16/SUM(F16:F17)</f>
        <v>0.625</v>
      </c>
      <c r="J16" s="22">
        <f>+H16/SUM(H16:H17)</f>
        <v>0.26315789473684209</v>
      </c>
      <c r="K16" s="22">
        <f>+I16^$J$3</f>
        <v>0.71964118851645298</v>
      </c>
      <c r="L16" s="22">
        <f>+J16^$K$3</f>
        <v>0.66998475538030788</v>
      </c>
      <c r="M16" s="22">
        <f>+L16*K16</f>
        <v>0.48214862564978977</v>
      </c>
      <c r="N16" s="22">
        <f>+M16/SUM(M16:M17)</f>
        <v>0.51217062333254171</v>
      </c>
      <c r="O16" s="22">
        <f>+$I$3*70*N16</f>
        <v>35.851943633277919</v>
      </c>
      <c r="P16" s="37">
        <f>+P14+O16</f>
        <v>126.35600696506899</v>
      </c>
    </row>
    <row r="17" spans="2:16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1">
        <f>+((G17/1000000000000000000)*$N$2^220)*1000000000000000000</f>
        <v>5.6170132680248484E+19</v>
      </c>
      <c r="I17" s="22">
        <f>+F17/SUM(F16:F17)</f>
        <v>0.375</v>
      </c>
      <c r="J17" s="22">
        <f>+H17/SUM(H16:H17)</f>
        <v>0.73684210526315785</v>
      </c>
      <c r="K17" s="22">
        <f>+I17^$J$3</f>
        <v>0.50329415576044101</v>
      </c>
      <c r="L17" s="22">
        <f>+J17^$K$3</f>
        <v>0.91245683854817927</v>
      </c>
      <c r="M17" s="22">
        <f>+L17*K17</f>
        <v>0.45923419422494693</v>
      </c>
      <c r="N17" s="22">
        <f>+M17/SUM(M16:M17)</f>
        <v>0.48782937666745824</v>
      </c>
      <c r="O17" s="22">
        <f>+$I$3*70*N17</f>
        <v>34.148056366722074</v>
      </c>
      <c r="P17" s="37">
        <f>+P15+O17</f>
        <v>93.643993034931015</v>
      </c>
    </row>
    <row r="18" spans="2:16" x14ac:dyDescent="0.75">
      <c r="B18" s="44">
        <v>220</v>
      </c>
      <c r="C18" s="20" t="s">
        <v>21</v>
      </c>
      <c r="D18" s="20"/>
      <c r="E18" s="12"/>
      <c r="F18" s="20"/>
      <c r="G18" s="20"/>
      <c r="H18" s="20"/>
      <c r="I18" s="22"/>
      <c r="J18" s="22"/>
      <c r="K18" s="22"/>
      <c r="L18" s="22"/>
      <c r="M18" s="22"/>
      <c r="N18" s="22"/>
      <c r="O18" s="22"/>
      <c r="P18" s="37"/>
    </row>
    <row r="19" spans="2:16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1">
        <f>+((G19/1000000000000000000)*$N$2^250)*1000000000000000000</f>
        <v>1.9467584352924791E+19</v>
      </c>
      <c r="I19" s="22">
        <f>+F19/SUM(F19:F20)</f>
        <v>0.5714285714285714</v>
      </c>
      <c r="J19" s="22">
        <f>+H19/SUM(H19:H20)</f>
        <v>0.26315789473684209</v>
      </c>
      <c r="K19" s="22">
        <f>+I19^$J$3</f>
        <v>0.67588586797162753</v>
      </c>
      <c r="L19" s="22">
        <f>+J19^$K$3</f>
        <v>0.66998475538030788</v>
      </c>
      <c r="M19" s="22">
        <f>+L19*K19</f>
        <v>0.45283322791797792</v>
      </c>
      <c r="N19" s="22">
        <f>+M19/SUM(M19:M20)</f>
        <v>0.4731487637387678</v>
      </c>
      <c r="O19" s="22">
        <f>+$I$3*30*N19</f>
        <v>14.194462912163035</v>
      </c>
      <c r="P19" s="37">
        <f>+P16+O19</f>
        <v>140.55046987723202</v>
      </c>
    </row>
    <row r="20" spans="2:16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1">
        <f>+((G20/1000000000000000000)*$N$2^250)*1000000000000000000</f>
        <v>5.4509236188189409E+19</v>
      </c>
      <c r="I20" s="22">
        <f>+F20/SUM(F19:F20)</f>
        <v>0.42857142857142855</v>
      </c>
      <c r="J20" s="22">
        <f>+H20/SUM(H19:H20)</f>
        <v>0.73684210526315785</v>
      </c>
      <c r="K20" s="22">
        <f>+I20^$J$3</f>
        <v>0.55260683251119402</v>
      </c>
      <c r="L20" s="22">
        <f>+J20^$K$3</f>
        <v>0.91245683854817927</v>
      </c>
      <c r="M20" s="22">
        <f>+L20*K20</f>
        <v>0.50422988335328733</v>
      </c>
      <c r="N20" s="22">
        <f>+M20/SUM(M19:M20)</f>
        <v>0.5268512362612322</v>
      </c>
      <c r="O20" s="22">
        <f>+$I$3*30*N20</f>
        <v>15.805537087836965</v>
      </c>
      <c r="P20" s="37">
        <f>+P17+O20</f>
        <v>109.44953012276798</v>
      </c>
    </row>
    <row r="21" spans="2:16" x14ac:dyDescent="0.75">
      <c r="B21" s="44">
        <v>250</v>
      </c>
      <c r="C21" s="20" t="s">
        <v>22</v>
      </c>
      <c r="D21" s="20"/>
      <c r="E21" s="12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37"/>
    </row>
    <row r="22" spans="2:16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1">
        <f>+((G19/1000000000000000000)*$N$2^300)*1000000000000000000+100000000000000000000</f>
        <v>1.1851767580390253E+20</v>
      </c>
      <c r="I22" s="22">
        <f>+F22/SUM(F22:F23)</f>
        <v>0.5714285714285714</v>
      </c>
      <c r="J22" s="22">
        <f>+H22/SUM(H22:H23)</f>
        <v>0.69566030331477802</v>
      </c>
      <c r="K22" s="22">
        <f>+I22^$J$3</f>
        <v>0.67588586797162753</v>
      </c>
      <c r="L22" s="22">
        <f>+J22^$K$3</f>
        <v>0.89684866608398484</v>
      </c>
      <c r="M22" s="22">
        <f>+L22*K22</f>
        <v>0.60616733911537046</v>
      </c>
      <c r="N22" s="22">
        <f>+M22/SUM(M22:M23)</f>
        <v>0.61049479562347297</v>
      </c>
      <c r="O22" s="22">
        <f>+$I$3*50*N22</f>
        <v>30.52473978117365</v>
      </c>
      <c r="P22" s="37">
        <f>+P19+O22</f>
        <v>171.07520965840567</v>
      </c>
    </row>
    <row r="23" spans="2:16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48">
        <f>+((G23/1000000000000000000)*$N$2^300)*1000000000000000000</f>
        <v>5.1849492250927088E+19</v>
      </c>
      <c r="I23" s="7">
        <f>+F23/SUM(F22:F23)</f>
        <v>0.42857142857142855</v>
      </c>
      <c r="J23" s="7">
        <f>+H23/SUM(H22:H23)</f>
        <v>0.30433969668522198</v>
      </c>
      <c r="K23" s="7">
        <f>+I23^$J$3</f>
        <v>0.55260683251119402</v>
      </c>
      <c r="L23" s="7">
        <f>+J23^$K$3</f>
        <v>0.69985421253502034</v>
      </c>
      <c r="M23" s="7">
        <f>+L23*K23</f>
        <v>0.38674421960859356</v>
      </c>
      <c r="N23" s="7">
        <f>+M23/SUM(M22:M23)</f>
        <v>0.38950520437652697</v>
      </c>
      <c r="O23" s="7">
        <f>+$I$3*50*N23</f>
        <v>19.47526021882635</v>
      </c>
      <c r="P23" s="38">
        <f>+P20+O23</f>
        <v>128.92479034159433</v>
      </c>
    </row>
    <row r="25" spans="2:16" ht="15.5" thickBot="1" x14ac:dyDescent="0.9">
      <c r="E25" s="10" t="s">
        <v>31</v>
      </c>
      <c r="F25" s="11"/>
    </row>
    <row r="26" spans="2:16" ht="15.5" thickTop="1" x14ac:dyDescent="0.75">
      <c r="E26" s="12" t="s">
        <v>24</v>
      </c>
      <c r="F26" s="41">
        <f>+SUM(O8,O11,O14,O16,O19,O22)</f>
        <v>171.07520965840567</v>
      </c>
    </row>
    <row r="27" spans="2:16" x14ac:dyDescent="0.75">
      <c r="E27" s="13" t="s">
        <v>25</v>
      </c>
      <c r="F27" s="42">
        <f>+SUM(O9,O12,O15,O17,O20,O23)</f>
        <v>128.92479034159433</v>
      </c>
    </row>
    <row r="28" spans="2:16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D5C9-D190-4388-8820-6AF1434A50B5}">
  <dimension ref="A1:S40"/>
  <sheetViews>
    <sheetView tabSelected="1" zoomScale="70" zoomScaleNormal="70" workbookViewId="0">
      <selection activeCell="H31" sqref="H31"/>
    </sheetView>
  </sheetViews>
  <sheetFormatPr defaultRowHeight="14.75" x14ac:dyDescent="0.75"/>
  <cols>
    <col min="2" max="2" width="6.90625" bestFit="1" customWidth="1"/>
    <col min="3" max="3" width="24.1796875" bestFit="1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3.6796875" bestFit="1" customWidth="1"/>
    <col min="10" max="10" width="11.40625" bestFit="1" customWidth="1"/>
    <col min="11" max="11" width="13.2265625" bestFit="1" customWidth="1"/>
    <col min="12" max="12" width="23.36328125" bestFit="1" customWidth="1"/>
    <col min="13" max="13" width="7.54296875" bestFit="1" customWidth="1"/>
    <col min="14" max="14" width="19.1796875" bestFit="1" customWidth="1"/>
    <col min="16" max="16" width="13.2265625" bestFit="1" customWidth="1"/>
    <col min="17" max="18" width="12.1328125" bestFit="1" customWidth="1"/>
  </cols>
  <sheetData>
    <row r="1" spans="1:19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51"/>
      <c r="N1" s="49"/>
      <c r="O1" s="49"/>
      <c r="P1" s="49"/>
      <c r="Q1" s="49"/>
      <c r="R1" s="49"/>
      <c r="S1" s="49"/>
    </row>
    <row r="2" spans="1:19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52</v>
      </c>
      <c r="J2" s="52" t="s">
        <v>53</v>
      </c>
      <c r="K2" s="52" t="s">
        <v>54</v>
      </c>
      <c r="L2" s="52" t="s">
        <v>55</v>
      </c>
      <c r="M2" s="51"/>
      <c r="N2" s="49"/>
      <c r="O2" s="49"/>
      <c r="P2" s="49"/>
      <c r="Q2" s="49"/>
      <c r="R2" s="49"/>
      <c r="S2" s="49"/>
    </row>
    <row r="3" spans="1:19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85">
        <v>0.8</v>
      </c>
      <c r="J3" s="85">
        <v>0.2</v>
      </c>
      <c r="K3" s="49">
        <v>0.7</v>
      </c>
      <c r="L3" s="49">
        <v>0.3</v>
      </c>
      <c r="M3" s="54"/>
      <c r="N3" s="49"/>
      <c r="O3" s="49"/>
      <c r="P3" s="49"/>
      <c r="Q3" s="49"/>
      <c r="R3" s="49"/>
      <c r="S3" s="49"/>
    </row>
    <row r="4" spans="1:19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51"/>
      <c r="N4" s="50"/>
      <c r="O4" s="49"/>
      <c r="P4" s="49"/>
      <c r="Q4" s="49"/>
      <c r="R4" s="49"/>
      <c r="S4" s="49"/>
    </row>
    <row r="5" spans="1:19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8"/>
      <c r="N5" s="58"/>
      <c r="O5" s="49"/>
      <c r="P5" s="49"/>
      <c r="Q5" s="49"/>
      <c r="R5" s="49"/>
      <c r="S5" s="49"/>
    </row>
    <row r="6" spans="1:19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51"/>
      <c r="N6" s="49"/>
      <c r="O6" s="49"/>
      <c r="P6" s="49"/>
      <c r="Q6" s="49"/>
      <c r="R6" s="49"/>
      <c r="S6" s="49"/>
    </row>
    <row r="7" spans="1:19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56</v>
      </c>
      <c r="J7" s="60" t="s">
        <v>57</v>
      </c>
      <c r="K7" s="61" t="s">
        <v>58</v>
      </c>
      <c r="L7" s="60"/>
      <c r="M7" s="62" t="s">
        <v>6</v>
      </c>
      <c r="N7" s="63" t="s">
        <v>40</v>
      </c>
      <c r="O7" s="49"/>
      <c r="P7" s="49"/>
      <c r="Q7" s="49"/>
      <c r="R7" s="49"/>
      <c r="S7" s="49"/>
    </row>
    <row r="8" spans="1:19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+$I$3*$H$3*H8*60</f>
        <v>24</v>
      </c>
      <c r="J8" s="68">
        <f>+((G8/1000000000000000000)^$K$3)*((F8/1000000000000000000)^$L$3)</f>
        <v>18.991444823309347</v>
      </c>
      <c r="K8" s="68">
        <f>+$J$3*$H$3*J8/SUM(J8:J9)*60</f>
        <v>4.5722911359585643</v>
      </c>
      <c r="L8" s="68"/>
      <c r="M8" s="68">
        <f>+K8+I8</f>
        <v>28.572291135958565</v>
      </c>
      <c r="N8" s="71">
        <f>+M8</f>
        <v>28.572291135958565</v>
      </c>
      <c r="O8" s="49"/>
      <c r="P8" s="49"/>
      <c r="Q8" s="49">
        <f>10^0.7</f>
        <v>5.0118723362727229</v>
      </c>
      <c r="R8" s="49">
        <f>10^0.7</f>
        <v>5.0118723362727229</v>
      </c>
      <c r="S8" s="49"/>
    </row>
    <row r="9" spans="1:19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+$I$3*$H$3*H9*60</f>
        <v>24</v>
      </c>
      <c r="J9" s="68">
        <f>+((G9/1000000000000000000)^$K$3)*((F9/1000000000000000000)^$L$3)</f>
        <v>30.851693136000481</v>
      </c>
      <c r="K9" s="68">
        <f>+$J$3*$H$3*J9/SUM(J8:J9)*60</f>
        <v>7.4277088640414357</v>
      </c>
      <c r="L9" s="68"/>
      <c r="M9" s="68">
        <f>+K9+I9</f>
        <v>31.427708864041435</v>
      </c>
      <c r="N9" s="71">
        <f>+M9</f>
        <v>31.427708864041435</v>
      </c>
      <c r="O9" s="49"/>
      <c r="P9" s="49"/>
      <c r="Q9" s="49">
        <f>25^0.3</f>
        <v>2.626527804403767</v>
      </c>
      <c r="R9" s="49">
        <f>50^0.3</f>
        <v>3.2336350328867871</v>
      </c>
      <c r="S9" s="49"/>
    </row>
    <row r="10" spans="1:19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71"/>
      <c r="O10" s="49"/>
      <c r="P10" s="49"/>
      <c r="Q10" s="49">
        <f>+Q9*Q8</f>
        <v>13.163822043342373</v>
      </c>
      <c r="R10" s="49">
        <f>+R9*R8</f>
        <v>16.206565966927624</v>
      </c>
      <c r="S10" s="49"/>
    </row>
    <row r="11" spans="1:19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+$I$3*$H$3*H11*60</f>
        <v>40.000000000000007</v>
      </c>
      <c r="J11" s="68">
        <f>+((G11/1000000000000000000)^$K$3)*((F11/1000000000000000000)^$L$3)</f>
        <v>30.778610333622904</v>
      </c>
      <c r="K11" s="68">
        <f>+$J$3*$H$3*J11/SUM(J11:J12)*60</f>
        <v>5.9928850453497837</v>
      </c>
      <c r="L11" s="68"/>
      <c r="M11" s="68">
        <f>+K11+I11</f>
        <v>45.992885045349794</v>
      </c>
      <c r="N11" s="71">
        <f>+M11+N8</f>
        <v>74.56517618130836</v>
      </c>
      <c r="O11" s="49"/>
      <c r="P11" s="49"/>
      <c r="Q11" s="49"/>
      <c r="R11" s="49"/>
      <c r="S11" s="49"/>
    </row>
    <row r="12" spans="1:19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+$I$3*$H$3*H12*60</f>
        <v>8</v>
      </c>
      <c r="J12" s="68">
        <f>+((G12/1000000000000000000)^$K$3)*((F12/1000000000000000000)^$L$3)</f>
        <v>30.851693136000481</v>
      </c>
      <c r="K12" s="68">
        <f>+$J$3*$H$3*J12/SUM(J11:J12)*60</f>
        <v>6.0071149546502163</v>
      </c>
      <c r="L12" s="68"/>
      <c r="M12" s="68">
        <f>+K12+I12</f>
        <v>14.007114954650216</v>
      </c>
      <c r="N12" s="71">
        <f>+M12+N9</f>
        <v>45.434823818691655</v>
      </c>
      <c r="O12" s="49"/>
      <c r="P12" s="49"/>
      <c r="Q12" s="49">
        <f>+Q10+R10</f>
        <v>29.370388010269998</v>
      </c>
      <c r="R12" s="49"/>
      <c r="S12" s="49"/>
    </row>
    <row r="13" spans="1:19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71"/>
      <c r="O13" s="49"/>
      <c r="P13" s="49"/>
      <c r="Q13" s="49">
        <f>1/Q12/60</f>
        <v>5.6746498074314853E-4</v>
      </c>
      <c r="R13" s="49"/>
      <c r="S13" s="49"/>
    </row>
    <row r="14" spans="1:19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+$I$3*$H$3*H14*30</f>
        <v>20.000000000000004</v>
      </c>
      <c r="J14" s="68">
        <f>+((G14/1000000000000000000)^$K$3)*((F14/1000000000000000000)^$L$3)</f>
        <v>30.778610333622904</v>
      </c>
      <c r="K14" s="68">
        <f>+$J$3*$H$3*J14/SUM(J14:J15)*30</f>
        <v>2.6448202838006507</v>
      </c>
      <c r="L14" s="68"/>
      <c r="M14" s="68">
        <f>+K14+I14</f>
        <v>22.644820283800655</v>
      </c>
      <c r="N14" s="71">
        <f>+M14+N11</f>
        <v>97.209996465109015</v>
      </c>
      <c r="O14" s="49"/>
      <c r="P14" s="49"/>
      <c r="Q14" s="49"/>
      <c r="R14" s="49"/>
      <c r="S14" s="49"/>
    </row>
    <row r="15" spans="1:19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+$I$3*$H$3*H15*30</f>
        <v>4</v>
      </c>
      <c r="J15" s="68">
        <f>+((G15/1000000000000000000)^$K$3)*((F15/1000000000000000000)^$L$3)</f>
        <v>39.04528777122723</v>
      </c>
      <c r="K15" s="68">
        <f>+$J$3*$H$3*J15/SUM(J14:J15)*30</f>
        <v>3.3551797161993497</v>
      </c>
      <c r="L15" s="68"/>
      <c r="M15" s="68">
        <f>+K15+I15</f>
        <v>7.3551797161993502</v>
      </c>
      <c r="N15" s="71">
        <f>+M15+N12</f>
        <v>52.790003534891007</v>
      </c>
      <c r="O15" s="49"/>
      <c r="P15" s="49"/>
      <c r="Q15" s="49"/>
      <c r="R15" s="49"/>
      <c r="S15" s="49"/>
    </row>
    <row r="16" spans="1:19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+$I$3*$H$3*H16*70</f>
        <v>35</v>
      </c>
      <c r="J16" s="68">
        <f>+((G16/1000000000000000000)^$K$3)*((F16/1000000000000000000)^$L$3)</f>
        <v>30.778610333622904</v>
      </c>
      <c r="K16" s="68">
        <f>+$J$3*$H$3*J16/SUM(J16:J17)*70</f>
        <v>5.0654399784999322</v>
      </c>
      <c r="L16" s="68"/>
      <c r="M16" s="68">
        <f>+K16+I16</f>
        <v>40.065439978499931</v>
      </c>
      <c r="N16" s="71">
        <f>+M16+N14</f>
        <v>137.27543644360895</v>
      </c>
      <c r="O16" s="49"/>
      <c r="P16" s="49"/>
      <c r="Q16" s="49"/>
      <c r="R16" s="49"/>
      <c r="S16" s="49"/>
    </row>
    <row r="17" spans="1:19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+$I$3*$H$3*H17*70</f>
        <v>21.000000000000004</v>
      </c>
      <c r="J17" s="68">
        <f>+((G17/1000000000000000000)^$K$3)*((F17/1000000000000000000)^$L$3)</f>
        <v>54.288145268982554</v>
      </c>
      <c r="K17" s="68">
        <f>+$J$3*$H$3*J17/SUM(J16:J17)*70</f>
        <v>8.9345600215000704</v>
      </c>
      <c r="L17" s="68"/>
      <c r="M17" s="68">
        <f>+K17+I17</f>
        <v>29.934560021500076</v>
      </c>
      <c r="N17" s="71">
        <f>+M17+N15</f>
        <v>82.724563556391075</v>
      </c>
      <c r="O17" s="49"/>
      <c r="P17" s="49"/>
      <c r="Q17" s="49">
        <f>60*1000000000000000000</f>
        <v>6E+19</v>
      </c>
      <c r="R17" s="49"/>
      <c r="S17" s="49"/>
    </row>
    <row r="18" spans="1:19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71"/>
      <c r="O18" s="49"/>
      <c r="P18" s="49"/>
      <c r="Q18" s="49">
        <f>+Q17*10000</f>
        <v>6.0000000000000002E+23</v>
      </c>
      <c r="R18" s="49"/>
      <c r="S18" s="49"/>
    </row>
    <row r="19" spans="1:19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+$I$3*$H$3*H19*30</f>
        <v>13.714285714285714</v>
      </c>
      <c r="J19" s="68">
        <f>+((G19/1000000000000000000)^$K$3)*((F19/1000000000000000000)^$L$3)</f>
        <v>28.785647540658108</v>
      </c>
      <c r="K19" s="68">
        <f>+$J$3*$H$3*J19/SUM(J19:J20)*30</f>
        <v>2.0790417700045754</v>
      </c>
      <c r="L19" s="68"/>
      <c r="M19" s="68">
        <f>+K19+I19</f>
        <v>15.793327484290289</v>
      </c>
      <c r="N19" s="71">
        <f>+M19+N16</f>
        <v>153.06876392789925</v>
      </c>
      <c r="O19" s="49"/>
      <c r="P19" s="49"/>
      <c r="Q19" s="49">
        <f>+Q18*1E+50</f>
        <v>6.0000000000000002E+73</v>
      </c>
      <c r="R19" s="49"/>
      <c r="S19" s="49"/>
    </row>
    <row r="20" spans="1:19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+$I$3*$H$3*H20*30</f>
        <v>10.285714285714286</v>
      </c>
      <c r="J20" s="68">
        <f>+((G20/1000000000000000000)^$K$3)*((F20/1000000000000000000)^$L$3)</f>
        <v>54.288145268982554</v>
      </c>
      <c r="K20" s="68">
        <f>+$J$3*$H$3*J20/SUM(J19:J20)*30</f>
        <v>3.9209582299954251</v>
      </c>
      <c r="L20" s="68"/>
      <c r="M20" s="68">
        <f>+K20+I20</f>
        <v>14.206672515709712</v>
      </c>
      <c r="N20" s="71">
        <f>+M20+N17</f>
        <v>96.931236072100788</v>
      </c>
      <c r="O20" s="49"/>
      <c r="P20" s="50">
        <f>+K27</f>
        <v>0.999</v>
      </c>
      <c r="Q20" s="49">
        <f>+Q19/2.93703880102699E+37</f>
        <v>2.0428739306753418E+36</v>
      </c>
      <c r="R20" s="49"/>
      <c r="S20" s="49"/>
    </row>
    <row r="21" spans="1:19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71"/>
      <c r="O21" s="49"/>
      <c r="P21" s="49">
        <f>+P20^(0.3*60)</f>
        <v>0.98215218705145069</v>
      </c>
      <c r="Q21" s="83">
        <f>+Q20/(P21*1000000000000000000)</f>
        <v>2.0799973340265288E+18</v>
      </c>
      <c r="R21" s="49"/>
      <c r="S21" s="49"/>
    </row>
    <row r="22" spans="1:19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+$I$3*$H$3*H22*50</f>
        <v>22.857142857142858</v>
      </c>
      <c r="J22" s="68">
        <f>+((G22/1000000000000000000)^$K$3)*((F22/1000000000000000000)^$L$3)</f>
        <v>88.808596464545104</v>
      </c>
      <c r="K22" s="68">
        <f>+$J$3*$H$3*J22/SUM(J22:J23)*50</f>
        <v>6.2061927748098533</v>
      </c>
      <c r="L22" s="68"/>
      <c r="M22" s="68">
        <f>+K22+I22</f>
        <v>29.063335631952711</v>
      </c>
      <c r="N22" s="71">
        <f>+M22+N19</f>
        <v>182.13209955985195</v>
      </c>
      <c r="O22" s="49"/>
      <c r="P22" s="49"/>
      <c r="Q22" s="49"/>
      <c r="R22" s="49"/>
      <c r="S22" s="49"/>
    </row>
    <row r="23" spans="1:19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+$I$3*$H$3*H23*50</f>
        <v>17.142857142857142</v>
      </c>
      <c r="J23" s="74">
        <f>+((G23/1000000000000000000)^$K$3)*((F23/1000000000000000000)^$L$3)</f>
        <v>54.288145268982554</v>
      </c>
      <c r="K23" s="74">
        <f>+$J$3*$H$3*J23/SUM(J22:J23)*50</f>
        <v>3.7938072251901462</v>
      </c>
      <c r="L23" s="74"/>
      <c r="M23" s="74">
        <f>+K23+I23</f>
        <v>20.936664368047289</v>
      </c>
      <c r="N23" s="75">
        <f>+M23+N20</f>
        <v>117.86790044014808</v>
      </c>
      <c r="O23" s="49"/>
      <c r="P23" s="49"/>
      <c r="Q23" s="49"/>
      <c r="R23" s="49"/>
      <c r="S23" s="49"/>
    </row>
    <row r="24" spans="1:19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51"/>
      <c r="N24" s="49"/>
      <c r="O24" s="49"/>
      <c r="P24" s="49"/>
      <c r="Q24" s="49"/>
      <c r="R24" s="49"/>
      <c r="S24" s="49"/>
    </row>
    <row r="25" spans="1:19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51"/>
      <c r="N25" s="49"/>
      <c r="O25" s="49"/>
      <c r="P25" s="49"/>
      <c r="Q25" s="49"/>
      <c r="R25" s="49"/>
      <c r="S25" s="49"/>
    </row>
    <row r="26" spans="1:19" ht="15.5" thickTop="1" x14ac:dyDescent="0.75">
      <c r="A26" s="49"/>
      <c r="B26" s="49"/>
      <c r="C26" s="49"/>
      <c r="D26" s="49"/>
      <c r="E26" s="66" t="s">
        <v>24</v>
      </c>
      <c r="F26" s="78">
        <f>+SUM(M8,M11,M14,M16,M19,M22)</f>
        <v>182.13209955985195</v>
      </c>
      <c r="G26" s="49"/>
      <c r="H26" s="49"/>
      <c r="I26" s="49"/>
      <c r="J26" s="49"/>
      <c r="K26" s="50"/>
      <c r="L26" s="81"/>
      <c r="M26" s="51"/>
      <c r="N26" s="49"/>
      <c r="O26" s="49"/>
      <c r="P26" s="49"/>
      <c r="Q26" s="49"/>
      <c r="R26" s="49"/>
      <c r="S26" s="49"/>
    </row>
    <row r="27" spans="1:19" x14ac:dyDescent="0.75">
      <c r="A27" s="49"/>
      <c r="B27" s="49"/>
      <c r="C27" s="49"/>
      <c r="D27" s="49"/>
      <c r="E27" s="73" t="s">
        <v>25</v>
      </c>
      <c r="F27" s="79">
        <f>+SUM(M9,M12,M15,M17,M20,M23)</f>
        <v>117.86790044014808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51"/>
      <c r="N27" s="49"/>
      <c r="O27" s="49"/>
      <c r="P27" s="49"/>
      <c r="Q27" s="49"/>
      <c r="R27" s="49"/>
      <c r="S27" s="49"/>
    </row>
    <row r="28" spans="1:19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51"/>
      <c r="N28" s="49"/>
      <c r="O28" s="49"/>
      <c r="P28" s="49"/>
      <c r="Q28" s="49"/>
      <c r="R28" s="49"/>
      <c r="S28" s="49"/>
    </row>
    <row r="29" spans="1:19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51"/>
      <c r="N29" s="49"/>
      <c r="O29" s="49"/>
      <c r="P29" s="49"/>
      <c r="Q29" s="49"/>
      <c r="R29" s="49"/>
      <c r="S29" s="49"/>
    </row>
    <row r="30" spans="1:19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51"/>
      <c r="N30" s="49"/>
      <c r="O30" s="49"/>
      <c r="P30" s="49"/>
      <c r="Q30" s="49"/>
      <c r="R30" s="49"/>
      <c r="S30" s="49"/>
    </row>
    <row r="31" spans="1:19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>
        <v>1.0313746731726601E+20</v>
      </c>
      <c r="M31" s="51"/>
      <c r="N31" s="49">
        <f>+L31/1000000000000000000</f>
        <v>103.137467317266</v>
      </c>
      <c r="O31" s="86">
        <f>+N31-N11</f>
        <v>28.572291135957641</v>
      </c>
      <c r="P31" s="49"/>
      <c r="Q31" s="49"/>
      <c r="R31" s="49"/>
      <c r="S31" s="49"/>
    </row>
    <row r="32" spans="1:19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51"/>
      <c r="N32" s="49"/>
      <c r="O32" s="49"/>
      <c r="P32" s="49"/>
      <c r="Q32" s="49"/>
      <c r="R32" s="49"/>
      <c r="S32" s="49"/>
    </row>
    <row r="39" spans="7:9" x14ac:dyDescent="0.75">
      <c r="G39">
        <v>33</v>
      </c>
      <c r="I39">
        <f>80*G39*10000</f>
        <v>26400000</v>
      </c>
    </row>
    <row r="40" spans="7:9" x14ac:dyDescent="0.75">
      <c r="G40">
        <f>80%*G39</f>
        <v>26.400000000000002</v>
      </c>
      <c r="I40">
        <f>+I39/10000/100</f>
        <v>26.4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SNX</vt:lpstr>
      <vt:lpstr>SNX - Detail</vt:lpstr>
      <vt:lpstr>KWENTA</vt:lpstr>
      <vt:lpstr>KWENTA - power</vt:lpstr>
      <vt:lpstr>KWENTA - Decay</vt:lpstr>
      <vt:lpstr>KWENTA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2021-10-30T22:17:07Z</dcterms:modified>
</cp:coreProperties>
</file>