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ocuments\16slimchance16\token\"/>
    </mc:Choice>
  </mc:AlternateContent>
  <xr:revisionPtr revIDLastSave="0" documentId="13_ncr:1_{E9DC6639-44DE-4582-B168-FCC9BCC97F18}" xr6:coauthVersionLast="47" xr6:coauthVersionMax="47" xr10:uidLastSave="{00000000-0000-0000-0000-000000000000}"/>
  <bookViews>
    <workbookView xWindow="840" yWindow="-90" windowWidth="16530" windowHeight="10980" activeTab="3" xr2:uid="{00000000-000D-0000-FFFF-FFFF00000000}"/>
  </bookViews>
  <sheets>
    <sheet name="SNX" sheetId="1" r:id="rId1"/>
    <sheet name="SNX - Detail" sheetId="4" r:id="rId2"/>
    <sheet name="KWENTA" sheetId="5" r:id="rId3"/>
    <sheet name="KWENTA - power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6" l="1"/>
  <c r="H13" i="6"/>
  <c r="J13" i="6" s="1"/>
  <c r="H22" i="6"/>
  <c r="J22" i="6" s="1"/>
  <c r="H21" i="6"/>
  <c r="J21" i="6" s="1"/>
  <c r="H19" i="6"/>
  <c r="J19" i="6" s="1"/>
  <c r="H18" i="6"/>
  <c r="J18" i="6" s="1"/>
  <c r="H16" i="6"/>
  <c r="J16" i="6" s="1"/>
  <c r="H15" i="6"/>
  <c r="J15" i="6" s="1"/>
  <c r="H14" i="6"/>
  <c r="J14" i="6" s="1"/>
  <c r="H11" i="6"/>
  <c r="J11" i="6" s="1"/>
  <c r="H10" i="6"/>
  <c r="J10" i="6" s="1"/>
  <c r="H8" i="6"/>
  <c r="H7" i="6"/>
  <c r="J7" i="6" s="1"/>
  <c r="G22" i="6"/>
  <c r="I22" i="6" s="1"/>
  <c r="G21" i="6"/>
  <c r="I21" i="6" s="1"/>
  <c r="G19" i="6"/>
  <c r="I19" i="6" s="1"/>
  <c r="G18" i="6"/>
  <c r="I18" i="6" s="1"/>
  <c r="G16" i="6"/>
  <c r="I16" i="6" s="1"/>
  <c r="G15" i="6"/>
  <c r="I15" i="6" s="1"/>
  <c r="G14" i="6"/>
  <c r="I14" i="6" s="1"/>
  <c r="G13" i="6"/>
  <c r="I13" i="6" s="1"/>
  <c r="G11" i="6"/>
  <c r="I11" i="6" s="1"/>
  <c r="G10" i="6"/>
  <c r="I10" i="6" s="1"/>
  <c r="G8" i="6"/>
  <c r="I8" i="6" s="1"/>
  <c r="G7" i="6"/>
  <c r="I7" i="6" s="1"/>
  <c r="G2" i="6"/>
  <c r="I14" i="5"/>
  <c r="I10" i="5"/>
  <c r="I8" i="5"/>
  <c r="I7" i="5"/>
  <c r="I11" i="5"/>
  <c r="J13" i="5"/>
  <c r="G2" i="5"/>
  <c r="I2" i="5" s="1"/>
  <c r="F5" i="4"/>
  <c r="F7" i="4" s="1"/>
  <c r="G7" i="4" s="1"/>
  <c r="H7" i="4" s="1"/>
  <c r="I7" i="4" s="1"/>
  <c r="J7" i="4" s="1"/>
  <c r="K7" i="4" s="1"/>
  <c r="L7" i="4" s="1"/>
  <c r="K14" i="4"/>
  <c r="G15" i="4"/>
  <c r="G8" i="4"/>
  <c r="H8" i="4" s="1"/>
  <c r="I8" i="4" s="1"/>
  <c r="J8" i="4" s="1"/>
  <c r="K8" i="4" s="1"/>
  <c r="L8" i="4" s="1"/>
  <c r="O3" i="4"/>
  <c r="K11" i="6" l="1"/>
  <c r="K21" i="6"/>
  <c r="K22" i="6"/>
  <c r="K19" i="6"/>
  <c r="K15" i="6"/>
  <c r="K13" i="6"/>
  <c r="K14" i="6"/>
  <c r="K10" i="6"/>
  <c r="K7" i="6"/>
  <c r="K8" i="6"/>
  <c r="K16" i="6"/>
  <c r="K18" i="6"/>
  <c r="L18" i="6" s="1"/>
  <c r="M18" i="6" s="1"/>
  <c r="J14" i="5"/>
  <c r="H2" i="5"/>
  <c r="J10" i="5"/>
  <c r="J15" i="5"/>
  <c r="J11" i="5"/>
  <c r="K11" i="5" s="1"/>
  <c r="J16" i="5"/>
  <c r="J18" i="5"/>
  <c r="J7" i="5"/>
  <c r="J21" i="5"/>
  <c r="J19" i="5"/>
  <c r="J8" i="5"/>
  <c r="J22" i="5"/>
  <c r="G5" i="4"/>
  <c r="H5" i="4" s="1"/>
  <c r="I5" i="4" s="1"/>
  <c r="J5" i="4" s="1"/>
  <c r="K5" i="4" s="1"/>
  <c r="L5" i="4" s="1"/>
  <c r="M5" i="4" s="1"/>
  <c r="N5" i="4" s="1"/>
  <c r="N8" i="4" s="1"/>
  <c r="L8" i="6" l="1"/>
  <c r="M8" i="6" s="1"/>
  <c r="L21" i="6"/>
  <c r="M21" i="6" s="1"/>
  <c r="L15" i="6"/>
  <c r="M15" i="6" s="1"/>
  <c r="L10" i="6"/>
  <c r="M10" i="6" s="1"/>
  <c r="L14" i="6"/>
  <c r="M14" i="6" s="1"/>
  <c r="L13" i="6"/>
  <c r="M13" i="6" s="1"/>
  <c r="L22" i="6"/>
  <c r="M22" i="6" s="1"/>
  <c r="L19" i="6"/>
  <c r="M19" i="6" s="1"/>
  <c r="L16" i="6"/>
  <c r="M16" i="6" s="1"/>
  <c r="L11" i="6"/>
  <c r="M11" i="6" s="1"/>
  <c r="E26" i="6"/>
  <c r="L7" i="6"/>
  <c r="M7" i="6" s="1"/>
  <c r="K8" i="5"/>
  <c r="L11" i="5" s="1"/>
  <c r="K10" i="5"/>
  <c r="K7" i="5"/>
  <c r="K14" i="5"/>
  <c r="I13" i="5"/>
  <c r="N7" i="4"/>
  <c r="O7" i="4" s="1"/>
  <c r="O5" i="4"/>
  <c r="O8" i="4" s="1"/>
  <c r="J7" i="1"/>
  <c r="J8" i="1"/>
  <c r="J5" i="1"/>
  <c r="J3" i="1"/>
  <c r="I7" i="1"/>
  <c r="I8" i="1"/>
  <c r="I5" i="1"/>
  <c r="H8" i="1"/>
  <c r="G8" i="1"/>
  <c r="H7" i="1"/>
  <c r="G7" i="1"/>
  <c r="H5" i="1"/>
  <c r="G5" i="1"/>
  <c r="F7" i="1"/>
  <c r="F5" i="1"/>
  <c r="E25" i="6" l="1"/>
  <c r="E27" i="6" s="1"/>
  <c r="L10" i="5"/>
  <c r="L14" i="5"/>
  <c r="K13" i="5"/>
  <c r="I16" i="5"/>
  <c r="K16" i="5" s="1"/>
  <c r="I15" i="5"/>
  <c r="K15" i="5" s="1"/>
  <c r="L13" i="5" l="1"/>
  <c r="L15" i="5" s="1"/>
  <c r="L16" i="5"/>
  <c r="I19" i="5"/>
  <c r="K19" i="5" s="1"/>
  <c r="I18" i="5"/>
  <c r="K18" i="5" s="1"/>
  <c r="L19" i="5" l="1"/>
  <c r="E26" i="5"/>
  <c r="L18" i="5"/>
  <c r="I22" i="5"/>
  <c r="K22" i="5" s="1"/>
  <c r="I21" i="5"/>
  <c r="K21" i="5" s="1"/>
  <c r="E25" i="5" s="1"/>
  <c r="E27" i="5" l="1"/>
  <c r="L22" i="5"/>
  <c r="L21" i="5"/>
</calcChain>
</file>

<file path=xl/sharedStrings.xml><?xml version="1.0" encoding="utf-8"?>
<sst xmlns="http://schemas.openxmlformats.org/spreadsheetml/2006/main" count="110" uniqueCount="50">
  <si>
    <t>N stake 20</t>
  </si>
  <si>
    <t>J stake 40</t>
  </si>
  <si>
    <t>rewardRate</t>
  </si>
  <si>
    <t>lastUpdateTime</t>
  </si>
  <si>
    <t>rewardPerTokenStored</t>
  </si>
  <si>
    <t>userRewardperTokenPaid</t>
  </si>
  <si>
    <t>rewards</t>
  </si>
  <si>
    <t>_totalSupply</t>
  </si>
  <si>
    <t>_balances</t>
  </si>
  <si>
    <t>Notify (70)</t>
  </si>
  <si>
    <t>End N</t>
  </si>
  <si>
    <t>End J</t>
  </si>
  <si>
    <t>ID</t>
  </si>
  <si>
    <t>fees</t>
  </si>
  <si>
    <t>Total</t>
  </si>
  <si>
    <t>staker1</t>
  </si>
  <si>
    <t>staker2</t>
  </si>
  <si>
    <t>END</t>
  </si>
  <si>
    <t>staker 2 updates traderscore</t>
  </si>
  <si>
    <t>staker 2 stakes 20</t>
  </si>
  <si>
    <t>staker 1 stakes 40</t>
  </si>
  <si>
    <t>staker 1 withdraws 10</t>
  </si>
  <si>
    <t>staker 1 updates traderscore</t>
  </si>
  <si>
    <t>Event</t>
  </si>
  <si>
    <t>st1</t>
  </si>
  <si>
    <t>st2</t>
  </si>
  <si>
    <t>FeesPaid</t>
  </si>
  <si>
    <t>staked</t>
  </si>
  <si>
    <t>Amount</t>
  </si>
  <si>
    <t>Duration</t>
  </si>
  <si>
    <t>reward</t>
  </si>
  <si>
    <t>Total rewards</t>
  </si>
  <si>
    <t>Notify (300)</t>
  </si>
  <si>
    <t>J withdraws 40</t>
  </si>
  <si>
    <t>Notify (120)</t>
  </si>
  <si>
    <t>rewardTokens</t>
  </si>
  <si>
    <t>rewardFees</t>
  </si>
  <si>
    <t>Token</t>
  </si>
  <si>
    <t>Fee</t>
  </si>
  <si>
    <t>Time</t>
  </si>
  <si>
    <t>Accumulated rewards</t>
  </si>
  <si>
    <t>Account</t>
  </si>
  <si>
    <t>stakerScore</t>
  </si>
  <si>
    <t>traderScore</t>
  </si>
  <si>
    <t>weight stake</t>
  </si>
  <si>
    <t>weight trade</t>
  </si>
  <si>
    <t>stakingPart</t>
  </si>
  <si>
    <t>tradingPart</t>
  </si>
  <si>
    <t>rewScore</t>
  </si>
  <si>
    <t>%rewards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</si>
</sst>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E+00"/>
    <numFmt numFmtId="165" formatCode="#,##0.0000"/>
    <numFmt numFmtId="166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0" fillId="0" borderId="3" xfId="0" applyBorder="1"/>
    <xf numFmtId="4" fontId="0" fillId="0" borderId="3" xfId="0" applyNumberFormat="1" applyBorder="1"/>
    <xf numFmtId="0" fontId="1" fillId="0" borderId="3" xfId="0" applyFont="1" applyBorder="1"/>
    <xf numFmtId="164" fontId="0" fillId="0" borderId="0" xfId="0" applyNumberFormat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4" fontId="1" fillId="0" borderId="11" xfId="0" applyNumberFormat="1" applyFont="1" applyBorder="1"/>
    <xf numFmtId="0" fontId="1" fillId="0" borderId="12" xfId="0" applyFont="1" applyBorder="1"/>
    <xf numFmtId="0" fontId="0" fillId="0" borderId="0" xfId="0" applyBorder="1"/>
    <xf numFmtId="11" fontId="0" fillId="0" borderId="0" xfId="0" applyNumberFormat="1" applyBorder="1"/>
    <xf numFmtId="4" fontId="0" fillId="0" borderId="0" xfId="0" applyNumberFormat="1" applyBorder="1"/>
    <xf numFmtId="0" fontId="0" fillId="0" borderId="7" xfId="0" applyBorder="1"/>
    <xf numFmtId="0" fontId="0" fillId="0" borderId="9" xfId="0" applyBorder="1"/>
    <xf numFmtId="164" fontId="0" fillId="0" borderId="3" xfId="0" applyNumberFormat="1" applyBorder="1"/>
    <xf numFmtId="165" fontId="0" fillId="0" borderId="0" xfId="0" applyNumberFormat="1"/>
    <xf numFmtId="165" fontId="0" fillId="0" borderId="3" xfId="0" applyNumberFormat="1" applyBorder="1"/>
    <xf numFmtId="165" fontId="1" fillId="0" borderId="12" xfId="0" applyNumberFormat="1" applyFont="1" applyBorder="1"/>
    <xf numFmtId="165" fontId="0" fillId="0" borderId="7" xfId="0" applyNumberFormat="1" applyBorder="1"/>
    <xf numFmtId="166" fontId="0" fillId="0" borderId="0" xfId="0" applyNumberFormat="1"/>
    <xf numFmtId="3" fontId="0" fillId="0" borderId="7" xfId="0" applyNumberFormat="1" applyBorder="1"/>
    <xf numFmtId="3" fontId="0" fillId="0" borderId="9" xfId="0" applyNumberFormat="1" applyBorder="1"/>
    <xf numFmtId="1" fontId="0" fillId="0" borderId="7" xfId="0" applyNumberFormat="1" applyBorder="1"/>
    <xf numFmtId="1" fontId="0" fillId="0" borderId="9" xfId="0" applyNumberFormat="1" applyBorder="1"/>
    <xf numFmtId="4" fontId="0" fillId="0" borderId="7" xfId="0" applyNumberFormat="1" applyBorder="1"/>
    <xf numFmtId="4" fontId="0" fillId="0" borderId="9" xfId="0" applyNumberFormat="1" applyBorder="1"/>
    <xf numFmtId="165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F14" sqref="F14"/>
    </sheetView>
  </sheetViews>
  <sheetFormatPr defaultRowHeight="14.75" x14ac:dyDescent="0.75"/>
  <cols>
    <col min="1" max="1" width="23.08984375" bestFit="1" customWidth="1"/>
    <col min="2" max="2" width="9.26953125" bestFit="1" customWidth="1"/>
    <col min="3" max="3" width="9.1796875" bestFit="1" customWidth="1"/>
  </cols>
  <sheetData>
    <row r="1" spans="1:10" ht="15.5" thickBot="1" x14ac:dyDescent="0.9">
      <c r="B1" s="1" t="s">
        <v>9</v>
      </c>
      <c r="C1" s="1" t="s">
        <v>0</v>
      </c>
      <c r="D1" s="1"/>
      <c r="E1" s="1"/>
      <c r="F1" s="1" t="s">
        <v>1</v>
      </c>
      <c r="G1" s="1"/>
      <c r="H1" s="1"/>
      <c r="I1" s="1" t="s">
        <v>10</v>
      </c>
      <c r="J1" t="s">
        <v>11</v>
      </c>
    </row>
    <row r="2" spans="1:10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7</v>
      </c>
    </row>
    <row r="3" spans="1:10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f>+I3</f>
        <v>10</v>
      </c>
    </row>
    <row r="4" spans="1:10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7</v>
      </c>
      <c r="J4">
        <v>7</v>
      </c>
    </row>
    <row r="5" spans="1:10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4</v>
      </c>
      <c r="G5">
        <f>+F5</f>
        <v>4</v>
      </c>
      <c r="H5">
        <f>+G5</f>
        <v>4</v>
      </c>
      <c r="I5">
        <f>+H5+3*I3/H10</f>
        <v>4.5999999999999996</v>
      </c>
      <c r="J5">
        <f>+I5</f>
        <v>4.5999999999999996</v>
      </c>
    </row>
    <row r="7" spans="1:10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4</v>
      </c>
      <c r="G7">
        <f>+F7</f>
        <v>4</v>
      </c>
      <c r="H7">
        <f>+G7</f>
        <v>4</v>
      </c>
      <c r="I7">
        <f>+I5</f>
        <v>4.5999999999999996</v>
      </c>
      <c r="J7">
        <f>+I7</f>
        <v>4.5999999999999996</v>
      </c>
    </row>
    <row r="8" spans="1:10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>+F8</f>
        <v>0</v>
      </c>
      <c r="H8">
        <f>+G8</f>
        <v>0</v>
      </c>
      <c r="I8">
        <f>+E10*(I5-E7)</f>
        <v>46</v>
      </c>
      <c r="J8">
        <f>+F11*(J5-F7)</f>
        <v>23.999999999999986</v>
      </c>
    </row>
    <row r="10" spans="1:10" x14ac:dyDescent="0.75">
      <c r="A10" t="s">
        <v>7</v>
      </c>
      <c r="B10">
        <v>0</v>
      </c>
      <c r="C10">
        <v>10</v>
      </c>
      <c r="D10">
        <v>10</v>
      </c>
      <c r="E10">
        <v>10</v>
      </c>
      <c r="F10">
        <v>50</v>
      </c>
      <c r="G10">
        <v>50</v>
      </c>
      <c r="H10">
        <v>50</v>
      </c>
    </row>
    <row r="11" spans="1:10" x14ac:dyDescent="0.75">
      <c r="A11" t="s">
        <v>8</v>
      </c>
      <c r="B11">
        <v>0</v>
      </c>
      <c r="C11">
        <v>10</v>
      </c>
      <c r="D11">
        <v>10</v>
      </c>
      <c r="E11">
        <v>10</v>
      </c>
      <c r="F1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zoomScale="80" zoomScaleNormal="80" workbookViewId="0">
      <selection activeCell="B29" sqref="B29"/>
    </sheetView>
  </sheetViews>
  <sheetFormatPr defaultRowHeight="14.75" x14ac:dyDescent="0.75"/>
  <cols>
    <col min="1" max="1" width="23.08984375" bestFit="1" customWidth="1"/>
    <col min="2" max="2" width="14.453125" customWidth="1"/>
    <col min="3" max="3" width="9.1796875" bestFit="1" customWidth="1"/>
    <col min="9" max="9" width="13.26953125" bestFit="1" customWidth="1"/>
    <col min="12" max="12" width="12.7265625" bestFit="1" customWidth="1"/>
  </cols>
  <sheetData>
    <row r="1" spans="1:15" ht="15.5" thickBot="1" x14ac:dyDescent="0.9">
      <c r="B1" s="1" t="s">
        <v>34</v>
      </c>
      <c r="C1" s="1" t="s">
        <v>0</v>
      </c>
      <c r="D1" s="1"/>
      <c r="E1" s="1"/>
      <c r="F1" s="1" t="s">
        <v>1</v>
      </c>
      <c r="G1" s="1"/>
      <c r="H1" s="1"/>
      <c r="J1" s="1"/>
      <c r="K1" s="1"/>
      <c r="L1" s="1" t="s">
        <v>33</v>
      </c>
      <c r="M1" s="1"/>
      <c r="N1" s="1" t="s">
        <v>10</v>
      </c>
      <c r="O1" t="s">
        <v>11</v>
      </c>
    </row>
    <row r="2" spans="1:15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12</v>
      </c>
    </row>
    <row r="3" spans="1:15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f>+N3</f>
        <v>10</v>
      </c>
    </row>
    <row r="4" spans="1:15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10</v>
      </c>
      <c r="M4">
        <v>10</v>
      </c>
      <c r="N4">
        <v>12</v>
      </c>
      <c r="O4">
        <v>7</v>
      </c>
    </row>
    <row r="5" spans="1:15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2</v>
      </c>
      <c r="G5">
        <f>+F5</f>
        <v>2</v>
      </c>
      <c r="H5">
        <f>+G5</f>
        <v>2</v>
      </c>
      <c r="I5">
        <f>+H5</f>
        <v>2</v>
      </c>
      <c r="J5">
        <f>+I5</f>
        <v>2</v>
      </c>
      <c r="K5">
        <f>+J5</f>
        <v>2</v>
      </c>
      <c r="L5">
        <f>+K5+(L2-K4)*L3/K10</f>
        <v>2.1428571428571428</v>
      </c>
      <c r="M5">
        <f>+L5</f>
        <v>2.1428571428571428</v>
      </c>
      <c r="N5">
        <f>+M5+(N2-M4)*N3/M10</f>
        <v>3.1428571428571428</v>
      </c>
      <c r="O5">
        <f>+N5</f>
        <v>3.1428571428571428</v>
      </c>
    </row>
    <row r="7" spans="1:15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2</v>
      </c>
      <c r="G7">
        <f t="shared" ref="G7:L8" si="0">+F7</f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N7">
        <f>+N5</f>
        <v>3.1428571428571428</v>
      </c>
      <c r="O7">
        <f>+N7</f>
        <v>3.1428571428571428</v>
      </c>
    </row>
    <row r="8" spans="1:15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N8">
        <f>+E10*(N5-E7)</f>
        <v>62.857142857142854</v>
      </c>
      <c r="O8">
        <f>+F11*(O5-F7)</f>
        <v>457.14285714285711</v>
      </c>
    </row>
    <row r="10" spans="1:15" x14ac:dyDescent="0.75">
      <c r="A10" t="s">
        <v>7</v>
      </c>
      <c r="B10">
        <v>0</v>
      </c>
      <c r="C10">
        <v>20</v>
      </c>
      <c r="D10">
        <v>20</v>
      </c>
      <c r="E10">
        <v>20</v>
      </c>
      <c r="F10">
        <v>420</v>
      </c>
      <c r="G10">
        <v>420</v>
      </c>
      <c r="H10">
        <v>420</v>
      </c>
      <c r="I10">
        <v>420</v>
      </c>
      <c r="J10">
        <v>420</v>
      </c>
      <c r="K10">
        <v>420</v>
      </c>
      <c r="L10">
        <v>20</v>
      </c>
      <c r="M10">
        <v>20</v>
      </c>
    </row>
    <row r="11" spans="1:15" x14ac:dyDescent="0.75">
      <c r="A11" t="s">
        <v>8</v>
      </c>
      <c r="B11">
        <v>0</v>
      </c>
      <c r="C11">
        <v>20</v>
      </c>
      <c r="F11">
        <v>400</v>
      </c>
      <c r="N11">
        <v>20</v>
      </c>
    </row>
    <row r="14" spans="1:15" x14ac:dyDescent="0.75">
      <c r="C14">
        <v>40</v>
      </c>
      <c r="K14">
        <f>60*400/420</f>
        <v>57.142857142857146</v>
      </c>
    </row>
    <row r="15" spans="1:15" x14ac:dyDescent="0.75">
      <c r="C15">
        <v>2.8</v>
      </c>
      <c r="G15">
        <f>60/420*20</f>
        <v>2.8571428571428568</v>
      </c>
    </row>
    <row r="16" spans="1:15" x14ac:dyDescent="0.75">
      <c r="C1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2E69-E67B-45D9-BD33-D97282242B36}">
  <dimension ref="A1:M27"/>
  <sheetViews>
    <sheetView showGridLines="0" zoomScale="80" zoomScaleNormal="80" workbookViewId="0">
      <selection activeCell="C10" sqref="A1:XFD1048576"/>
    </sheetView>
  </sheetViews>
  <sheetFormatPr defaultRowHeight="14.75" x14ac:dyDescent="0.75"/>
  <cols>
    <col min="1" max="1" width="6.86328125" bestFit="1" customWidth="1"/>
    <col min="2" max="2" width="24.1328125" bestFit="1" customWidth="1"/>
    <col min="3" max="3" width="12.1328125" bestFit="1" customWidth="1"/>
    <col min="4" max="4" width="12.26953125" bestFit="1" customWidth="1"/>
    <col min="5" max="5" width="8.40625" bestFit="1" customWidth="1"/>
    <col min="6" max="6" width="8.1328125" bestFit="1" customWidth="1"/>
    <col min="7" max="7" width="10.54296875" bestFit="1" customWidth="1"/>
    <col min="8" max="8" width="10.36328125" bestFit="1" customWidth="1"/>
    <col min="9" max="9" width="12.7265625" bestFit="1" customWidth="1"/>
    <col min="10" max="10" width="10.453125" style="9" bestFit="1" customWidth="1"/>
    <col min="11" max="11" width="6.7265625" bestFit="1" customWidth="1"/>
    <col min="12" max="12" width="23.31640625" style="26" customWidth="1"/>
    <col min="13" max="13" width="28.04296875" bestFit="1" customWidth="1"/>
  </cols>
  <sheetData>
    <row r="1" spans="1:13" ht="15.5" thickBot="1" x14ac:dyDescent="0.9">
      <c r="A1" s="4" t="s">
        <v>12</v>
      </c>
      <c r="B1" s="4" t="s">
        <v>26</v>
      </c>
      <c r="C1" s="4"/>
      <c r="E1" s="5" t="s">
        <v>28</v>
      </c>
      <c r="F1" s="5" t="s">
        <v>29</v>
      </c>
      <c r="G1" s="5" t="s">
        <v>2</v>
      </c>
      <c r="H1" s="5" t="s">
        <v>37</v>
      </c>
      <c r="I1" s="5" t="s">
        <v>38</v>
      </c>
    </row>
    <row r="2" spans="1:13" ht="15.5" thickTop="1" x14ac:dyDescent="0.75">
      <c r="A2" s="3" t="s">
        <v>15</v>
      </c>
      <c r="B2">
        <v>25</v>
      </c>
      <c r="E2">
        <v>300</v>
      </c>
      <c r="F2">
        <v>300</v>
      </c>
      <c r="G2">
        <f>+E2/F2</f>
        <v>1</v>
      </c>
      <c r="H2">
        <f>+G2*0.7</f>
        <v>0.7</v>
      </c>
      <c r="I2">
        <f>+G2*0.3</f>
        <v>0.3</v>
      </c>
      <c r="L2" s="30"/>
    </row>
    <row r="3" spans="1:13" x14ac:dyDescent="0.75">
      <c r="A3" s="3" t="s">
        <v>16</v>
      </c>
      <c r="B3">
        <v>50</v>
      </c>
      <c r="M3" s="9"/>
    </row>
    <row r="4" spans="1:13" x14ac:dyDescent="0.75">
      <c r="A4" s="8"/>
      <c r="B4" s="6"/>
      <c r="C4" s="6"/>
      <c r="D4" s="6"/>
      <c r="E4" s="6"/>
      <c r="F4" s="6"/>
      <c r="G4" s="6"/>
      <c r="H4" s="6"/>
      <c r="I4" s="6"/>
      <c r="J4" s="25"/>
      <c r="K4" s="6"/>
      <c r="L4" s="27"/>
    </row>
    <row r="6" spans="1:13" x14ac:dyDescent="0.75">
      <c r="A6" s="16" t="s">
        <v>39</v>
      </c>
      <c r="B6" s="19" t="s">
        <v>23</v>
      </c>
      <c r="D6" s="16" t="s">
        <v>41</v>
      </c>
      <c r="E6" s="17" t="s">
        <v>27</v>
      </c>
      <c r="F6" s="17"/>
      <c r="G6" s="17" t="s">
        <v>13</v>
      </c>
      <c r="H6" s="17"/>
      <c r="I6" s="17" t="s">
        <v>35</v>
      </c>
      <c r="J6" s="18" t="s">
        <v>36</v>
      </c>
      <c r="K6" s="17" t="s">
        <v>30</v>
      </c>
      <c r="L6" s="28" t="s">
        <v>40</v>
      </c>
    </row>
    <row r="7" spans="1:13" x14ac:dyDescent="0.75">
      <c r="A7" s="12">
        <v>0</v>
      </c>
      <c r="B7" s="23" t="s">
        <v>32</v>
      </c>
      <c r="C7" s="3"/>
      <c r="D7" s="12" t="s">
        <v>24</v>
      </c>
      <c r="E7" s="20">
        <v>10</v>
      </c>
      <c r="F7" s="20"/>
      <c r="G7" s="21">
        <v>2.5E+19</v>
      </c>
      <c r="H7" s="20"/>
      <c r="I7" s="22">
        <f>+IFERROR(E7/SUM(E7:E8)*$H$2*60, 0)</f>
        <v>21</v>
      </c>
      <c r="J7" s="22">
        <f>+$I$2*G7/SUM($G$7:$G$8)*60</f>
        <v>6</v>
      </c>
      <c r="K7" s="22">
        <f>+J7+I7</f>
        <v>27</v>
      </c>
      <c r="L7" s="29"/>
    </row>
    <row r="8" spans="1:13" x14ac:dyDescent="0.75">
      <c r="A8" s="12"/>
      <c r="B8" s="23"/>
      <c r="D8" s="12" t="s">
        <v>25</v>
      </c>
      <c r="E8" s="20">
        <v>10</v>
      </c>
      <c r="F8" s="20"/>
      <c r="G8" s="21">
        <v>5E+19</v>
      </c>
      <c r="H8" s="20"/>
      <c r="I8" s="22">
        <f>+IFERROR(E8/SUM(E7:E8)*$H$2*60, 0)</f>
        <v>21</v>
      </c>
      <c r="J8" s="22">
        <f>+$I$2*G8/SUM($G$7:$G$8)*60</f>
        <v>12</v>
      </c>
      <c r="K8" s="22">
        <f>+J8+I8</f>
        <v>33</v>
      </c>
      <c r="L8" s="29"/>
    </row>
    <row r="9" spans="1:13" x14ac:dyDescent="0.75">
      <c r="A9" s="12">
        <v>60</v>
      </c>
      <c r="B9" s="23" t="s">
        <v>20</v>
      </c>
      <c r="D9" s="12"/>
      <c r="E9" s="20"/>
      <c r="F9" s="20"/>
      <c r="G9" s="20"/>
      <c r="H9" s="20"/>
      <c r="I9" s="22"/>
      <c r="J9" s="22"/>
      <c r="K9" s="22"/>
      <c r="L9" s="29"/>
    </row>
    <row r="10" spans="1:13" x14ac:dyDescent="0.75">
      <c r="A10" s="12"/>
      <c r="B10" s="23"/>
      <c r="D10" s="12" t="s">
        <v>24</v>
      </c>
      <c r="E10" s="20">
        <v>50</v>
      </c>
      <c r="F10" s="20"/>
      <c r="G10" s="21">
        <v>2.5E+19</v>
      </c>
      <c r="H10" s="20"/>
      <c r="I10" s="22">
        <f>+E10/SUM(E10:E11)*$H$2*60</f>
        <v>35</v>
      </c>
      <c r="J10" s="22">
        <f>+$I$2*G10/SUM(G10:G11)*60</f>
        <v>6</v>
      </c>
      <c r="K10" s="22">
        <f>+J10+I10</f>
        <v>41</v>
      </c>
      <c r="L10" s="31">
        <f>+K10+K7</f>
        <v>68</v>
      </c>
    </row>
    <row r="11" spans="1:13" x14ac:dyDescent="0.75">
      <c r="A11" s="12"/>
      <c r="B11" s="23"/>
      <c r="D11" s="12" t="s">
        <v>25</v>
      </c>
      <c r="E11" s="20">
        <v>10</v>
      </c>
      <c r="F11" s="20"/>
      <c r="G11" s="21">
        <v>5E+19</v>
      </c>
      <c r="H11" s="20"/>
      <c r="I11" s="22">
        <f>+E11/SUM(E10:E11)*$H$2*60</f>
        <v>6.9999999999999991</v>
      </c>
      <c r="J11" s="22">
        <f>+$I$2*G11/SUM(G10:G11)*60</f>
        <v>12</v>
      </c>
      <c r="K11" s="22">
        <f>+J11+I11</f>
        <v>19</v>
      </c>
      <c r="L11" s="31">
        <f>+K11+K8</f>
        <v>52</v>
      </c>
    </row>
    <row r="12" spans="1:13" x14ac:dyDescent="0.75">
      <c r="A12" s="12">
        <v>120</v>
      </c>
      <c r="B12" s="23" t="s">
        <v>18</v>
      </c>
      <c r="D12" s="12"/>
      <c r="E12" s="20"/>
      <c r="F12" s="20"/>
      <c r="G12" s="20"/>
      <c r="H12" s="20"/>
      <c r="I12" s="22"/>
      <c r="J12" s="22"/>
      <c r="K12" s="22"/>
      <c r="L12" s="31"/>
    </row>
    <row r="13" spans="1:13" x14ac:dyDescent="0.75">
      <c r="A13" s="12"/>
      <c r="B13" s="23"/>
      <c r="D13" s="12" t="s">
        <v>24</v>
      </c>
      <c r="E13" s="20">
        <v>50</v>
      </c>
      <c r="F13" s="20"/>
      <c r="G13" s="21">
        <v>2.5E+19</v>
      </c>
      <c r="H13" s="20"/>
      <c r="I13" s="22">
        <f>+E13/SUM(E13:E14)*$H$2*30</f>
        <v>17.5</v>
      </c>
      <c r="J13" s="22">
        <f>+$I$2*G13/SUM(G13:G14)*30</f>
        <v>3.2142855994898003E-7</v>
      </c>
      <c r="K13" s="22">
        <f>+J13+I13</f>
        <v>17.500000321428558</v>
      </c>
      <c r="L13" s="31">
        <f>+L10+K13</f>
        <v>85.500000321428558</v>
      </c>
    </row>
    <row r="14" spans="1:13" x14ac:dyDescent="0.75">
      <c r="A14" s="12"/>
      <c r="B14" s="23"/>
      <c r="D14" s="12" t="s">
        <v>25</v>
      </c>
      <c r="E14" s="20">
        <v>10</v>
      </c>
      <c r="F14" s="20"/>
      <c r="G14" s="21">
        <v>6.9999999999999998E+26</v>
      </c>
      <c r="H14" s="20"/>
      <c r="I14" s="22">
        <f>+E14/SUM(E13:E14)*$H$2*30</f>
        <v>3.4999999999999996</v>
      </c>
      <c r="J14" s="22">
        <f>+$I$2*G14/SUM(G13:G14)*30</f>
        <v>8.9999996785714398</v>
      </c>
      <c r="K14" s="22">
        <f>+J14+I14</f>
        <v>12.49999967857144</v>
      </c>
      <c r="L14" s="31">
        <f>+L11+K14</f>
        <v>64.499999678571442</v>
      </c>
    </row>
    <row r="15" spans="1:13" x14ac:dyDescent="0.75">
      <c r="A15" s="12">
        <v>150</v>
      </c>
      <c r="B15" s="23" t="s">
        <v>19</v>
      </c>
      <c r="D15" s="12" t="s">
        <v>24</v>
      </c>
      <c r="E15" s="20">
        <v>50</v>
      </c>
      <c r="F15" s="20"/>
      <c r="G15" s="20">
        <v>2.5E+19</v>
      </c>
      <c r="H15" s="20"/>
      <c r="I15" s="22">
        <f>+E15/SUM(E15:E16)*$H$2*70</f>
        <v>30.625</v>
      </c>
      <c r="J15" s="22">
        <f>+$I$2*G15/SUM(G15:G16)*70</f>
        <v>5.5263157894736841</v>
      </c>
      <c r="K15" s="22">
        <f>+J15+I15</f>
        <v>36.151315789473685</v>
      </c>
      <c r="L15" s="31">
        <f>+L13+K15</f>
        <v>121.65131611090224</v>
      </c>
    </row>
    <row r="16" spans="1:13" x14ac:dyDescent="0.75">
      <c r="A16" s="12"/>
      <c r="B16" s="23"/>
      <c r="D16" s="12" t="s">
        <v>25</v>
      </c>
      <c r="E16" s="20">
        <v>30</v>
      </c>
      <c r="F16" s="20"/>
      <c r="G16" s="20">
        <v>7E+19</v>
      </c>
      <c r="H16" s="20"/>
      <c r="I16" s="22">
        <f>+E16/SUM(E15:E16)*$H$2*70</f>
        <v>18.374999999999996</v>
      </c>
      <c r="J16" s="22">
        <f>+$I$2*G16/SUM(G15:G16)*70</f>
        <v>15.473684210526315</v>
      </c>
      <c r="K16" s="22">
        <f>+J16+I16</f>
        <v>33.848684210526315</v>
      </c>
      <c r="L16" s="31">
        <f>+L14+K16</f>
        <v>98.348683889097757</v>
      </c>
    </row>
    <row r="17" spans="1:12" x14ac:dyDescent="0.75">
      <c r="A17" s="12">
        <v>220</v>
      </c>
      <c r="B17" s="23" t="s">
        <v>21</v>
      </c>
      <c r="D17" s="12"/>
      <c r="E17" s="20"/>
      <c r="F17" s="20"/>
      <c r="G17" s="20"/>
      <c r="H17" s="20"/>
      <c r="I17" s="22"/>
      <c r="J17" s="22"/>
      <c r="K17" s="22"/>
      <c r="L17" s="31"/>
    </row>
    <row r="18" spans="1:12" x14ac:dyDescent="0.75">
      <c r="A18" s="12"/>
      <c r="B18" s="23"/>
      <c r="D18" s="12" t="s">
        <v>24</v>
      </c>
      <c r="E18" s="20">
        <v>40</v>
      </c>
      <c r="F18" s="20"/>
      <c r="G18" s="20">
        <v>2.5E+19</v>
      </c>
      <c r="H18" s="20"/>
      <c r="I18" s="22">
        <f>+E18/SUM(E18:E19)*$H$2*30</f>
        <v>11.999999999999998</v>
      </c>
      <c r="J18" s="22">
        <f>+$I$2*G18/SUM(G18:G19)*30</f>
        <v>2.3684210526315788</v>
      </c>
      <c r="K18" s="22">
        <f>+J18+I18</f>
        <v>14.368421052631577</v>
      </c>
      <c r="L18" s="31">
        <f>+L15+K18</f>
        <v>136.01973716353382</v>
      </c>
    </row>
    <row r="19" spans="1:12" x14ac:dyDescent="0.75">
      <c r="A19" s="12"/>
      <c r="B19" s="23"/>
      <c r="D19" s="12" t="s">
        <v>25</v>
      </c>
      <c r="E19" s="20">
        <v>30</v>
      </c>
      <c r="F19" s="20"/>
      <c r="G19" s="20">
        <v>7E+19</v>
      </c>
      <c r="H19" s="20"/>
      <c r="I19" s="22">
        <f>+E19/SUM(E18:E19)*$H$2*30</f>
        <v>9</v>
      </c>
      <c r="J19" s="22">
        <f>+$I$2*G19/SUM(G18:G19)*30</f>
        <v>6.6315789473684212</v>
      </c>
      <c r="K19" s="22">
        <f>+J19+I19</f>
        <v>15.631578947368421</v>
      </c>
      <c r="L19" s="31">
        <f>+L16+K19</f>
        <v>113.98026283646618</v>
      </c>
    </row>
    <row r="20" spans="1:12" x14ac:dyDescent="0.75">
      <c r="A20" s="12">
        <v>250</v>
      </c>
      <c r="B20" s="23" t="s">
        <v>22</v>
      </c>
      <c r="D20" s="12"/>
      <c r="E20" s="20"/>
      <c r="F20" s="20"/>
      <c r="G20" s="20"/>
      <c r="H20" s="20"/>
      <c r="I20" s="22"/>
      <c r="J20" s="22"/>
      <c r="K20" s="22"/>
      <c r="L20" s="31"/>
    </row>
    <row r="21" spans="1:12" x14ac:dyDescent="0.75">
      <c r="A21" s="12"/>
      <c r="B21" s="23"/>
      <c r="D21" s="12" t="s">
        <v>24</v>
      </c>
      <c r="E21" s="20">
        <v>40</v>
      </c>
      <c r="F21" s="20"/>
      <c r="G21" s="20">
        <v>1.25E+20</v>
      </c>
      <c r="H21" s="20"/>
      <c r="I21" s="22">
        <f>+E21/SUM(E21:E22)*$H$2*50</f>
        <v>20</v>
      </c>
      <c r="J21" s="22">
        <f>+$I$2*G21/SUM(G21:G22)*50</f>
        <v>9.6153846153846168</v>
      </c>
      <c r="K21" s="22">
        <f>+J21+I21</f>
        <v>29.615384615384617</v>
      </c>
      <c r="L21" s="31">
        <f>+L18+K21</f>
        <v>165.63512177891843</v>
      </c>
    </row>
    <row r="22" spans="1:12" x14ac:dyDescent="0.75">
      <c r="A22" s="13">
        <v>300</v>
      </c>
      <c r="B22" s="24" t="s">
        <v>17</v>
      </c>
      <c r="D22" s="13" t="s">
        <v>25</v>
      </c>
      <c r="E22" s="6">
        <v>30</v>
      </c>
      <c r="F22" s="6"/>
      <c r="G22" s="6">
        <v>7E+19</v>
      </c>
      <c r="H22" s="6"/>
      <c r="I22" s="7">
        <f>+E22/SUM(E21:E22)*$H$2*50</f>
        <v>15</v>
      </c>
      <c r="J22" s="7">
        <f>+$I$2*G22/SUM(G21:G22)*50</f>
        <v>5.384615384615385</v>
      </c>
      <c r="K22" s="7">
        <f>+J22+I22</f>
        <v>20.384615384615387</v>
      </c>
      <c r="L22" s="32">
        <f>+L19+K22</f>
        <v>134.36487822108157</v>
      </c>
    </row>
    <row r="24" spans="1:12" ht="15.5" thickBot="1" x14ac:dyDescent="0.9">
      <c r="D24" s="10" t="s">
        <v>31</v>
      </c>
      <c r="E24" s="11"/>
    </row>
    <row r="25" spans="1:12" ht="15.5" thickTop="1" x14ac:dyDescent="0.75">
      <c r="D25" s="12" t="s">
        <v>24</v>
      </c>
      <c r="E25" s="33">
        <f>+SUM(K7,K10,K13,K15,K18,K21)</f>
        <v>165.63512177891843</v>
      </c>
    </row>
    <row r="26" spans="1:12" x14ac:dyDescent="0.75">
      <c r="D26" s="13" t="s">
        <v>25</v>
      </c>
      <c r="E26" s="34">
        <f>+SUM(K8,K11,K14,K16,K19,K22)</f>
        <v>134.36487822108157</v>
      </c>
    </row>
    <row r="27" spans="1:12" x14ac:dyDescent="0.75">
      <c r="D27" s="14" t="s">
        <v>14</v>
      </c>
      <c r="E27" s="15">
        <f>+SUM(E25:E26)</f>
        <v>300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17B1-BE12-4310-9A3F-24B7422EA458}">
  <dimension ref="A1:N27"/>
  <sheetViews>
    <sheetView tabSelected="1" topLeftCell="B1" zoomScale="70" zoomScaleNormal="70" workbookViewId="0">
      <selection activeCell="O1" sqref="O1:R1048576"/>
    </sheetView>
  </sheetViews>
  <sheetFormatPr defaultRowHeight="14.75" x14ac:dyDescent="0.75"/>
  <cols>
    <col min="1" max="1" width="6.86328125" bestFit="1" customWidth="1"/>
    <col min="2" max="2" width="24.1328125" bestFit="1" customWidth="1"/>
    <col min="3" max="3" width="12.1328125" bestFit="1" customWidth="1"/>
    <col min="4" max="4" width="12.26953125" bestFit="1" customWidth="1"/>
    <col min="5" max="5" width="8.40625" bestFit="1" customWidth="1"/>
    <col min="6" max="6" width="8.86328125" bestFit="1" customWidth="1"/>
    <col min="7" max="8" width="12.1328125" bestFit="1" customWidth="1"/>
    <col min="9" max="9" width="12.7265625" bestFit="1" customWidth="1"/>
    <col min="10" max="10" width="10.31640625" style="9" bestFit="1" customWidth="1"/>
    <col min="11" max="11" width="8.6328125" bestFit="1" customWidth="1"/>
    <col min="12" max="12" width="9" bestFit="1" customWidth="1"/>
    <col min="13" max="13" width="7.54296875" style="26" bestFit="1" customWidth="1"/>
    <col min="14" max="14" width="28.04296875" bestFit="1" customWidth="1"/>
  </cols>
  <sheetData>
    <row r="1" spans="1:14" ht="15.5" thickBot="1" x14ac:dyDescent="0.9">
      <c r="A1" s="4" t="s">
        <v>12</v>
      </c>
      <c r="B1" s="4" t="s">
        <v>26</v>
      </c>
      <c r="C1" s="4"/>
      <c r="E1" s="5" t="s">
        <v>28</v>
      </c>
      <c r="F1" s="5" t="s">
        <v>29</v>
      </c>
      <c r="G1" s="5" t="s">
        <v>2</v>
      </c>
      <c r="H1" s="5" t="s">
        <v>44</v>
      </c>
      <c r="I1" s="5" t="s">
        <v>45</v>
      </c>
    </row>
    <row r="2" spans="1:14" ht="15.5" thickTop="1" x14ac:dyDescent="0.75">
      <c r="A2" s="3" t="s">
        <v>15</v>
      </c>
      <c r="B2">
        <v>25</v>
      </c>
      <c r="E2">
        <v>300</v>
      </c>
      <c r="F2">
        <v>300</v>
      </c>
      <c r="G2">
        <f>+E2/F2</f>
        <v>1</v>
      </c>
      <c r="H2">
        <v>3</v>
      </c>
      <c r="I2">
        <v>1</v>
      </c>
      <c r="M2" s="30"/>
    </row>
    <row r="3" spans="1:14" x14ac:dyDescent="0.75">
      <c r="A3" s="3" t="s">
        <v>16</v>
      </c>
      <c r="B3">
        <v>50</v>
      </c>
      <c r="N3" s="9"/>
    </row>
    <row r="4" spans="1:14" x14ac:dyDescent="0.75">
      <c r="A4" s="8"/>
      <c r="B4" s="6"/>
      <c r="C4" s="6"/>
      <c r="D4" s="6"/>
      <c r="E4" s="6"/>
      <c r="F4" s="6"/>
      <c r="G4" s="6"/>
      <c r="H4" s="6"/>
      <c r="I4" s="6"/>
      <c r="J4" s="25"/>
      <c r="K4" s="6"/>
      <c r="L4" s="6"/>
      <c r="M4" s="27"/>
    </row>
    <row r="6" spans="1:14" x14ac:dyDescent="0.75">
      <c r="A6" s="16" t="s">
        <v>39</v>
      </c>
      <c r="B6" s="19" t="s">
        <v>23</v>
      </c>
      <c r="D6" s="16" t="s">
        <v>41</v>
      </c>
      <c r="E6" s="17" t="s">
        <v>27</v>
      </c>
      <c r="F6" s="17" t="s">
        <v>13</v>
      </c>
      <c r="G6" s="17" t="s">
        <v>42</v>
      </c>
      <c r="H6" s="17" t="s">
        <v>43</v>
      </c>
      <c r="I6" s="17" t="s">
        <v>46</v>
      </c>
      <c r="J6" s="18" t="s">
        <v>47</v>
      </c>
      <c r="K6" s="17" t="s">
        <v>48</v>
      </c>
      <c r="L6" s="17" t="s">
        <v>49</v>
      </c>
      <c r="M6" s="28" t="s">
        <v>6</v>
      </c>
    </row>
    <row r="7" spans="1:14" x14ac:dyDescent="0.75">
      <c r="A7" s="12">
        <v>0</v>
      </c>
      <c r="B7" s="23" t="s">
        <v>32</v>
      </c>
      <c r="C7" s="3"/>
      <c r="D7" s="12" t="s">
        <v>24</v>
      </c>
      <c r="E7" s="20">
        <v>10</v>
      </c>
      <c r="F7" s="21">
        <v>2.5E+19</v>
      </c>
      <c r="G7" s="22">
        <f>+E7/SUM(E7:E8)</f>
        <v>0.5</v>
      </c>
      <c r="H7" s="22">
        <f>+F7/SUM(F7:F8)</f>
        <v>0.33333333333333331</v>
      </c>
      <c r="I7" s="22">
        <f>+G7^$H$2</f>
        <v>0.125</v>
      </c>
      <c r="J7" s="22">
        <f>+H7^$I$2</f>
        <v>0.33333333333333331</v>
      </c>
      <c r="K7" s="22">
        <f>+J7*I7</f>
        <v>4.1666666666666664E-2</v>
      </c>
      <c r="L7" s="37">
        <f>+K7/SUM(K7:K8)</f>
        <v>0.33333333333333331</v>
      </c>
      <c r="M7" s="35">
        <f>+$G$2*60*L7</f>
        <v>20</v>
      </c>
    </row>
    <row r="8" spans="1:14" x14ac:dyDescent="0.75">
      <c r="A8" s="12"/>
      <c r="B8" s="23"/>
      <c r="D8" s="12" t="s">
        <v>25</v>
      </c>
      <c r="E8" s="20">
        <v>10</v>
      </c>
      <c r="F8" s="21">
        <v>5E+19</v>
      </c>
      <c r="G8" s="22">
        <f>+E8/SUM(E7:E8)</f>
        <v>0.5</v>
      </c>
      <c r="H8" s="22">
        <f>+F8/SUM(F7:F8)</f>
        <v>0.66666666666666663</v>
      </c>
      <c r="I8" s="22">
        <f>+G8^$H$2</f>
        <v>0.125</v>
      </c>
      <c r="J8" s="22">
        <f>+H8^$I$2</f>
        <v>0.66666666666666663</v>
      </c>
      <c r="K8" s="22">
        <f>+J8*I8</f>
        <v>8.3333333333333329E-2</v>
      </c>
      <c r="L8" s="37">
        <f>+K8/SUM(K7:K8)</f>
        <v>0.66666666666666663</v>
      </c>
      <c r="M8" s="35">
        <f>+$G$2*60*L8</f>
        <v>40</v>
      </c>
    </row>
    <row r="9" spans="1:14" x14ac:dyDescent="0.75">
      <c r="A9" s="12">
        <v>60</v>
      </c>
      <c r="B9" s="23" t="s">
        <v>20</v>
      </c>
      <c r="D9" s="12"/>
      <c r="E9" s="20"/>
      <c r="F9" s="20"/>
      <c r="G9" s="22"/>
      <c r="H9" s="22"/>
      <c r="I9" s="22"/>
      <c r="J9" s="22"/>
      <c r="K9" s="22"/>
      <c r="L9" s="22"/>
      <c r="M9" s="35"/>
    </row>
    <row r="10" spans="1:14" x14ac:dyDescent="0.75">
      <c r="A10" s="12"/>
      <c r="B10" s="23"/>
      <c r="D10" s="12" t="s">
        <v>24</v>
      </c>
      <c r="E10" s="20">
        <v>50</v>
      </c>
      <c r="F10" s="21">
        <v>2.5E+19</v>
      </c>
      <c r="G10" s="22">
        <f>+E10/SUM(E10:E11)</f>
        <v>0.83333333333333337</v>
      </c>
      <c r="H10" s="22">
        <f>+F10/SUM(F10:F11)</f>
        <v>0.33333333333333331</v>
      </c>
      <c r="I10" s="22">
        <f>+G10^$H$2</f>
        <v>0.57870370370370383</v>
      </c>
      <c r="J10" s="22">
        <f>+H10^$I$2</f>
        <v>0.33333333333333331</v>
      </c>
      <c r="K10" s="22">
        <f>+J10*I10</f>
        <v>0.19290123456790126</v>
      </c>
      <c r="L10" s="22">
        <f>+K10/SUM(K10:K11)</f>
        <v>0.98425196850393692</v>
      </c>
      <c r="M10" s="35">
        <f>+$G$2*60*L10</f>
        <v>59.055118110236215</v>
      </c>
    </row>
    <row r="11" spans="1:14" x14ac:dyDescent="0.75">
      <c r="A11" s="12"/>
      <c r="B11" s="23"/>
      <c r="D11" s="12" t="s">
        <v>25</v>
      </c>
      <c r="E11" s="20">
        <v>10</v>
      </c>
      <c r="F11" s="21">
        <v>5E+19</v>
      </c>
      <c r="G11" s="22">
        <f>+E11/SUM(E10:E11)</f>
        <v>0.16666666666666666</v>
      </c>
      <c r="H11" s="22">
        <f>+F11/SUM(F10:F11)</f>
        <v>0.66666666666666663</v>
      </c>
      <c r="I11" s="22">
        <f>+G11^$H$2</f>
        <v>4.6296296296296294E-3</v>
      </c>
      <c r="J11" s="22">
        <f>+H11^$I$2</f>
        <v>0.66666666666666663</v>
      </c>
      <c r="K11" s="22">
        <f>+J11*I11</f>
        <v>3.0864197530864196E-3</v>
      </c>
      <c r="L11" s="22">
        <f>+K11/SUM(K10:K11)</f>
        <v>1.5748031496062988E-2</v>
      </c>
      <c r="M11" s="35">
        <f>+$G$2*60*L11</f>
        <v>0.94488188976377929</v>
      </c>
    </row>
    <row r="12" spans="1:14" x14ac:dyDescent="0.75">
      <c r="A12" s="12">
        <v>120</v>
      </c>
      <c r="B12" s="23" t="s">
        <v>18</v>
      </c>
      <c r="D12" s="12"/>
      <c r="E12" s="20"/>
      <c r="F12" s="20"/>
      <c r="G12" s="22"/>
      <c r="H12" s="22"/>
      <c r="I12" s="22"/>
      <c r="J12" s="22"/>
      <c r="K12" s="22"/>
      <c r="L12" s="22"/>
      <c r="M12" s="35"/>
    </row>
    <row r="13" spans="1:14" x14ac:dyDescent="0.75">
      <c r="A13" s="12"/>
      <c r="B13" s="23"/>
      <c r="D13" s="12" t="s">
        <v>24</v>
      </c>
      <c r="E13" s="20">
        <v>50</v>
      </c>
      <c r="F13" s="21">
        <v>2.5E+19</v>
      </c>
      <c r="G13" s="22">
        <f>+E13/SUM(E13:E14)</f>
        <v>0.83333333333333337</v>
      </c>
      <c r="H13" s="22">
        <f>+F13/SUM(F13:F14)</f>
        <v>0.26315789473684209</v>
      </c>
      <c r="I13" s="22">
        <f>+G13^$H$2</f>
        <v>0.57870370370370383</v>
      </c>
      <c r="J13" s="22">
        <f>+H13^$I$2</f>
        <v>0.26315789473684209</v>
      </c>
      <c r="K13" s="22">
        <f>+J13*I13</f>
        <v>0.15229044834307995</v>
      </c>
      <c r="L13" s="22">
        <f>+K13/SUM(K13:K14)</f>
        <v>0.9780907668231611</v>
      </c>
      <c r="M13" s="35">
        <f>+$G$2*30*L13</f>
        <v>29.342723004694832</v>
      </c>
    </row>
    <row r="14" spans="1:14" x14ac:dyDescent="0.75">
      <c r="A14" s="12"/>
      <c r="B14" s="23"/>
      <c r="D14" s="12" t="s">
        <v>25</v>
      </c>
      <c r="E14" s="20">
        <v>10</v>
      </c>
      <c r="F14" s="21">
        <v>7E+19</v>
      </c>
      <c r="G14" s="22">
        <f>+E14/SUM(E13:E14)</f>
        <v>0.16666666666666666</v>
      </c>
      <c r="H14" s="22">
        <f>+F14/SUM(F13:F14)</f>
        <v>0.73684210526315785</v>
      </c>
      <c r="I14" s="22">
        <f>+G14^$H$2</f>
        <v>4.6296296296296294E-3</v>
      </c>
      <c r="J14" s="22">
        <f>+H14^$I$2</f>
        <v>0.73684210526315785</v>
      </c>
      <c r="K14" s="22">
        <f>+J14*I14</f>
        <v>3.4113060428849901E-3</v>
      </c>
      <c r="L14" s="22">
        <f>+K14/SUM(K13:K14)</f>
        <v>2.1909233176838804E-2</v>
      </c>
      <c r="M14" s="35">
        <f>+$G$2*30*L14</f>
        <v>0.65727699530516415</v>
      </c>
    </row>
    <row r="15" spans="1:14" x14ac:dyDescent="0.75">
      <c r="A15" s="12">
        <v>150</v>
      </c>
      <c r="B15" s="23" t="s">
        <v>19</v>
      </c>
      <c r="D15" s="12" t="s">
        <v>24</v>
      </c>
      <c r="E15" s="20">
        <v>50</v>
      </c>
      <c r="F15" s="20">
        <v>2.5E+19</v>
      </c>
      <c r="G15" s="22">
        <f>+E15/SUM(E15:E16)</f>
        <v>0.625</v>
      </c>
      <c r="H15" s="22">
        <f>+F15/SUM(F15:F16)</f>
        <v>0.26315789473684209</v>
      </c>
      <c r="I15" s="22">
        <f>+G15^$H$2</f>
        <v>0.244140625</v>
      </c>
      <c r="J15" s="22">
        <f>+H15^$I$2</f>
        <v>0.26315789473684209</v>
      </c>
      <c r="K15" s="22">
        <f>+J15*I15</f>
        <v>6.4247532894736836E-2</v>
      </c>
      <c r="L15" s="22">
        <f>+K15/SUM(K15:K16)</f>
        <v>0.62313060817547361</v>
      </c>
      <c r="M15" s="35">
        <f>+$G$2*70*L15</f>
        <v>43.619142572283153</v>
      </c>
    </row>
    <row r="16" spans="1:14" x14ac:dyDescent="0.75">
      <c r="A16" s="12"/>
      <c r="B16" s="23"/>
      <c r="D16" s="12" t="s">
        <v>25</v>
      </c>
      <c r="E16" s="20">
        <v>30</v>
      </c>
      <c r="F16" s="20">
        <v>7E+19</v>
      </c>
      <c r="G16" s="22">
        <f>+E16/SUM(E15:E16)</f>
        <v>0.375</v>
      </c>
      <c r="H16" s="22">
        <f>+F16/SUM(F15:F16)</f>
        <v>0.73684210526315785</v>
      </c>
      <c r="I16" s="22">
        <f>+G16^$H$2</f>
        <v>5.2734375E-2</v>
      </c>
      <c r="J16" s="22">
        <f>+H16^$I$2</f>
        <v>0.73684210526315785</v>
      </c>
      <c r="K16" s="22">
        <f>+J16*I16</f>
        <v>3.8856907894736843E-2</v>
      </c>
      <c r="L16" s="22">
        <f>+K16/SUM(K15:K16)</f>
        <v>0.3768693918245265</v>
      </c>
      <c r="M16" s="35">
        <f>+$G$2*70*L16</f>
        <v>26.380857427716855</v>
      </c>
    </row>
    <row r="17" spans="1:13" x14ac:dyDescent="0.75">
      <c r="A17" s="12">
        <v>220</v>
      </c>
      <c r="B17" s="23" t="s">
        <v>21</v>
      </c>
      <c r="D17" s="12"/>
      <c r="E17" s="20"/>
      <c r="F17" s="20"/>
      <c r="G17" s="22"/>
      <c r="H17" s="22"/>
      <c r="I17" s="22"/>
      <c r="J17" s="22"/>
      <c r="K17" s="22"/>
      <c r="L17" s="22"/>
      <c r="M17" s="35"/>
    </row>
    <row r="18" spans="1:13" x14ac:dyDescent="0.75">
      <c r="A18" s="12"/>
      <c r="B18" s="23"/>
      <c r="D18" s="12" t="s">
        <v>24</v>
      </c>
      <c r="E18" s="20">
        <v>40</v>
      </c>
      <c r="F18" s="20">
        <v>2.5E+19</v>
      </c>
      <c r="G18" s="22">
        <f>+E18/SUM(E18:E19)</f>
        <v>0.5714285714285714</v>
      </c>
      <c r="H18" s="22">
        <f>+F18/SUM(F18:F19)</f>
        <v>0.26315789473684209</v>
      </c>
      <c r="I18" s="22">
        <f>+G18^$H$2</f>
        <v>0.1865889212827988</v>
      </c>
      <c r="J18" s="22">
        <f>+H18^$I$2</f>
        <v>0.26315789473684209</v>
      </c>
      <c r="K18" s="22">
        <f>+J18*I18</f>
        <v>4.910234770599968E-2</v>
      </c>
      <c r="L18" s="22">
        <f>+K18/SUM(K18:K19)</f>
        <v>0.45845272206303722</v>
      </c>
      <c r="M18" s="35">
        <f>+$G$2*30*L18</f>
        <v>13.753581661891117</v>
      </c>
    </row>
    <row r="19" spans="1:13" x14ac:dyDescent="0.75">
      <c r="A19" s="12"/>
      <c r="B19" s="23"/>
      <c r="D19" s="12" t="s">
        <v>25</v>
      </c>
      <c r="E19" s="20">
        <v>30</v>
      </c>
      <c r="F19" s="20">
        <v>7E+19</v>
      </c>
      <c r="G19" s="22">
        <f>+E19/SUM(E18:E19)</f>
        <v>0.42857142857142855</v>
      </c>
      <c r="H19" s="22">
        <f>+F19/SUM(F18:F19)</f>
        <v>0.73684210526315785</v>
      </c>
      <c r="I19" s="22">
        <f>+G19^$H$2</f>
        <v>7.871720116618075E-2</v>
      </c>
      <c r="J19" s="22">
        <f>+H19^$I$2</f>
        <v>0.73684210526315785</v>
      </c>
      <c r="K19" s="22">
        <f>+J19*I19</f>
        <v>5.800214822771213E-2</v>
      </c>
      <c r="L19" s="22">
        <f>+K19/SUM(K18:K19)</f>
        <v>0.54154727793696278</v>
      </c>
      <c r="M19" s="35">
        <f>+$G$2*30*L19</f>
        <v>16.246418338108882</v>
      </c>
    </row>
    <row r="20" spans="1:13" x14ac:dyDescent="0.75">
      <c r="A20" s="12">
        <v>250</v>
      </c>
      <c r="B20" s="23" t="s">
        <v>22</v>
      </c>
      <c r="D20" s="12"/>
      <c r="E20" s="20"/>
      <c r="F20" s="20"/>
      <c r="G20" s="22"/>
      <c r="H20" s="22"/>
      <c r="I20" s="22"/>
      <c r="J20" s="22"/>
      <c r="K20" s="22"/>
      <c r="L20" s="22"/>
      <c r="M20" s="35"/>
    </row>
    <row r="21" spans="1:13" x14ac:dyDescent="0.75">
      <c r="A21" s="12"/>
      <c r="B21" s="23"/>
      <c r="D21" s="12" t="s">
        <v>24</v>
      </c>
      <c r="E21" s="20">
        <v>40</v>
      </c>
      <c r="F21" s="20">
        <v>1.25E+20</v>
      </c>
      <c r="G21" s="22">
        <f>+E21/SUM(E21:E22)</f>
        <v>0.5714285714285714</v>
      </c>
      <c r="H21" s="22">
        <f>+F21/SUM(F21:F22)</f>
        <v>0.64102564102564108</v>
      </c>
      <c r="I21" s="22">
        <f>+G21^$H$2</f>
        <v>0.1865889212827988</v>
      </c>
      <c r="J21" s="22">
        <f>+H21^$I$2</f>
        <v>0.64102564102564108</v>
      </c>
      <c r="K21" s="22">
        <f>+J21*I21</f>
        <v>0.11960828287358899</v>
      </c>
      <c r="L21" s="22">
        <f>+K21/SUM(K21:K22)</f>
        <v>0.80889787664307389</v>
      </c>
      <c r="M21" s="35">
        <f>+$G$2*50*L21</f>
        <v>40.444893832153696</v>
      </c>
    </row>
    <row r="22" spans="1:13" x14ac:dyDescent="0.75">
      <c r="A22" s="13">
        <v>300</v>
      </c>
      <c r="B22" s="24" t="s">
        <v>17</v>
      </c>
      <c r="D22" s="13" t="s">
        <v>25</v>
      </c>
      <c r="E22" s="6">
        <v>30</v>
      </c>
      <c r="F22" s="6">
        <v>7E+19</v>
      </c>
      <c r="G22" s="7">
        <f>+E22/SUM(E21:E22)</f>
        <v>0.42857142857142855</v>
      </c>
      <c r="H22" s="7">
        <f>+F22/SUM(F21:F22)</f>
        <v>0.35897435897435898</v>
      </c>
      <c r="I22" s="7">
        <f>+G22^$H$2</f>
        <v>7.871720116618075E-2</v>
      </c>
      <c r="J22" s="22">
        <f>+H22^$I$2</f>
        <v>0.35897435897435898</v>
      </c>
      <c r="K22" s="7">
        <f>+J22*I22</f>
        <v>2.8257456828885398E-2</v>
      </c>
      <c r="L22" s="7">
        <f>+K22/SUM(K21:K22)</f>
        <v>0.1911021233569262</v>
      </c>
      <c r="M22" s="36">
        <f>+$G$2*50*L22</f>
        <v>9.5551061678463096</v>
      </c>
    </row>
    <row r="24" spans="1:13" ht="15.5" thickBot="1" x14ac:dyDescent="0.9">
      <c r="D24" s="10" t="s">
        <v>31</v>
      </c>
      <c r="E24" s="11"/>
    </row>
    <row r="25" spans="1:13" ht="15.5" thickTop="1" x14ac:dyDescent="0.75">
      <c r="D25" s="12" t="s">
        <v>24</v>
      </c>
      <c r="E25" s="33">
        <f>+SUM(M7,M10,M13,M15,M18,M21)</f>
        <v>206.21545918125898</v>
      </c>
    </row>
    <row r="26" spans="1:13" x14ac:dyDescent="0.75">
      <c r="D26" s="13" t="s">
        <v>25</v>
      </c>
      <c r="E26" s="34">
        <f>+SUM(M8,M11,M14,M16,M19,M22)</f>
        <v>93.784540818740979</v>
      </c>
    </row>
    <row r="27" spans="1:13" x14ac:dyDescent="0.75">
      <c r="D27" s="14" t="s">
        <v>14</v>
      </c>
      <c r="E27" s="15">
        <f>+SUM(E25:E26)</f>
        <v>299.99999999999994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SNX</vt:lpstr>
      <vt:lpstr>SNX - Detail</vt:lpstr>
      <vt:lpstr>KWENTA</vt:lpstr>
      <vt:lpstr>KWENTA -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Rosario</dc:creator>
  <cp:lastModifiedBy>Ignacio Rosario</cp:lastModifiedBy>
  <dcterms:created xsi:type="dcterms:W3CDTF">2021-09-21T11:43:56Z</dcterms:created>
  <dcterms:modified xsi:type="dcterms:W3CDTF">2021-09-28T21:38:06Z</dcterms:modified>
</cp:coreProperties>
</file>