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16455B87-3B48-4925-A208-F325ABB3D7C2}" xr6:coauthVersionLast="47" xr6:coauthVersionMax="47" xr10:uidLastSave="{00000000-0000-0000-0000-000000000000}"/>
  <bookViews>
    <workbookView xWindow="840" yWindow="-90" windowWidth="16530" windowHeight="10980" firstSheet="1" activeTab="4" xr2:uid="{00000000-000D-0000-FFFF-FFFF00000000}"/>
  </bookViews>
  <sheets>
    <sheet name="SNX" sheetId="1" r:id="rId1"/>
    <sheet name="SNX - Detail" sheetId="4" r:id="rId2"/>
    <sheet name="Rewards Score" sheetId="2" r:id="rId3"/>
    <sheet name="KWENTA" sheetId="3" r:id="rId4"/>
    <sheet name="KWENTA - v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5" l="1"/>
  <c r="I18" i="5"/>
  <c r="I15" i="5"/>
  <c r="I13" i="5"/>
  <c r="J12" i="5"/>
  <c r="I10" i="5"/>
  <c r="J9" i="5"/>
  <c r="I2" i="5"/>
  <c r="J13" i="5" s="1"/>
  <c r="K13" i="5" s="1"/>
  <c r="H2" i="5"/>
  <c r="I20" i="5" s="1"/>
  <c r="H21" i="5"/>
  <c r="H20" i="5"/>
  <c r="H18" i="5"/>
  <c r="H17" i="5"/>
  <c r="H15" i="5"/>
  <c r="H14" i="5"/>
  <c r="H13" i="5"/>
  <c r="H12" i="5"/>
  <c r="H10" i="5"/>
  <c r="H9" i="5"/>
  <c r="H7" i="5"/>
  <c r="H6" i="5"/>
  <c r="G2" i="5"/>
  <c r="J9" i="3"/>
  <c r="J6" i="3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Q9" i="3"/>
  <c r="K2" i="3"/>
  <c r="J2" i="3"/>
  <c r="I2" i="3"/>
  <c r="D34" i="3"/>
  <c r="D33" i="3"/>
  <c r="C34" i="3"/>
  <c r="C33" i="3"/>
  <c r="C30" i="3"/>
  <c r="B39" i="3"/>
  <c r="B37" i="3"/>
  <c r="H6" i="3"/>
  <c r="J14" i="5" l="1"/>
  <c r="K14" i="5" s="1"/>
  <c r="I12" i="5"/>
  <c r="K12" i="5" s="1"/>
  <c r="J10" i="5"/>
  <c r="K10" i="5" s="1"/>
  <c r="L10" i="5" s="1"/>
  <c r="L13" i="5" s="1"/>
  <c r="J15" i="5"/>
  <c r="I9" i="5"/>
  <c r="K9" i="5" s="1"/>
  <c r="L9" i="5" s="1"/>
  <c r="J17" i="5"/>
  <c r="I14" i="5"/>
  <c r="J6" i="5"/>
  <c r="K6" i="5" s="1"/>
  <c r="J20" i="5"/>
  <c r="K20" i="5" s="1"/>
  <c r="I17" i="5"/>
  <c r="J18" i="5"/>
  <c r="K18" i="5" s="1"/>
  <c r="J7" i="5"/>
  <c r="K7" i="5" s="1"/>
  <c r="J21" i="5"/>
  <c r="K21" i="5"/>
  <c r="K17" i="5"/>
  <c r="K15" i="5"/>
  <c r="G5" i="4"/>
  <c r="H5" i="4" s="1"/>
  <c r="I5" i="4" s="1"/>
  <c r="J5" i="4" s="1"/>
  <c r="K5" i="4" s="1"/>
  <c r="L5" i="4" s="1"/>
  <c r="M5" i="4" s="1"/>
  <c r="N5" i="4" s="1"/>
  <c r="N8" i="4" s="1"/>
  <c r="C37" i="3"/>
  <c r="D30" i="3" s="1"/>
  <c r="D37" i="3" s="1"/>
  <c r="F17" i="3"/>
  <c r="I17" i="3" s="1"/>
  <c r="H14" i="3"/>
  <c r="F14" i="3"/>
  <c r="I14" i="3" s="1"/>
  <c r="F21" i="3"/>
  <c r="F20" i="3"/>
  <c r="H21" i="3"/>
  <c r="H20" i="3"/>
  <c r="F18" i="3"/>
  <c r="I18" i="3" s="1"/>
  <c r="H18" i="3"/>
  <c r="H17" i="3"/>
  <c r="F15" i="3"/>
  <c r="I15" i="3" s="1"/>
  <c r="H15" i="3"/>
  <c r="F13" i="3"/>
  <c r="H12" i="3"/>
  <c r="F12" i="3"/>
  <c r="I12" i="3" s="1"/>
  <c r="H13" i="3"/>
  <c r="F10" i="3"/>
  <c r="F9" i="3"/>
  <c r="H10" i="3"/>
  <c r="H9" i="3"/>
  <c r="G2" i="3"/>
  <c r="F7" i="3"/>
  <c r="F6" i="3"/>
  <c r="H7" i="3"/>
  <c r="C3" i="3"/>
  <c r="C2" i="3"/>
  <c r="E2" i="2"/>
  <c r="E25" i="5" l="1"/>
  <c r="L15" i="5"/>
  <c r="E24" i="5"/>
  <c r="L12" i="5"/>
  <c r="L14" i="5" s="1"/>
  <c r="L17" i="5" s="1"/>
  <c r="L20" i="5" s="1"/>
  <c r="L18" i="5"/>
  <c r="L21" i="5" s="1"/>
  <c r="N7" i="4"/>
  <c r="O7" i="4" s="1"/>
  <c r="O5" i="4"/>
  <c r="O8" i="4" s="1"/>
  <c r="J15" i="3"/>
  <c r="K15" i="3" s="1"/>
  <c r="J12" i="3"/>
  <c r="K12" i="3" s="1"/>
  <c r="I20" i="3"/>
  <c r="I21" i="3"/>
  <c r="I7" i="3"/>
  <c r="I13" i="3"/>
  <c r="J13" i="3" s="1"/>
  <c r="K13" i="3" s="1"/>
  <c r="I9" i="3"/>
  <c r="I10" i="3"/>
  <c r="I6" i="3"/>
  <c r="J21" i="3"/>
  <c r="K21" i="3" s="1"/>
  <c r="J18" i="3"/>
  <c r="K18" i="3" s="1"/>
  <c r="J17" i="3"/>
  <c r="K17" i="3" s="1"/>
  <c r="J14" i="3"/>
  <c r="K14" i="3" s="1"/>
  <c r="E3" i="2"/>
  <c r="E4" i="2"/>
  <c r="E5" i="2"/>
  <c r="C6" i="2"/>
  <c r="B6" i="2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E26" i="5" l="1"/>
  <c r="J7" i="3"/>
  <c r="K7" i="3" s="1"/>
  <c r="E25" i="3" s="1"/>
  <c r="J20" i="3"/>
  <c r="K20" i="3" s="1"/>
  <c r="J10" i="3"/>
  <c r="K10" i="3" s="1"/>
  <c r="K9" i="3"/>
  <c r="K6" i="3"/>
  <c r="Q11" i="3" s="1"/>
  <c r="D4" i="2"/>
  <c r="D2" i="2"/>
  <c r="D3" i="2"/>
  <c r="D5" i="2"/>
  <c r="E6" i="2"/>
  <c r="F2" i="2" s="1"/>
  <c r="L10" i="3" l="1"/>
  <c r="L13" i="3" s="1"/>
  <c r="L15" i="3" s="1"/>
  <c r="L18" i="3" s="1"/>
  <c r="L21" i="3" s="1"/>
  <c r="E24" i="3"/>
  <c r="E26" i="3" s="1"/>
  <c r="L9" i="3"/>
  <c r="L12" i="3" s="1"/>
  <c r="L14" i="3" s="1"/>
  <c r="L17" i="3" s="1"/>
  <c r="L20" i="3" s="1"/>
  <c r="G2" i="2"/>
  <c r="H3" i="2"/>
  <c r="H5" i="2"/>
  <c r="H4" i="2"/>
  <c r="F3" i="2"/>
  <c r="G3" i="2" s="1"/>
  <c r="F5" i="2"/>
  <c r="G5" i="2" s="1"/>
  <c r="F4" i="2"/>
  <c r="G4" i="2" s="1"/>
  <c r="D6" i="2"/>
  <c r="E7" i="2"/>
  <c r="H2" i="2"/>
  <c r="H6" i="2" l="1"/>
  <c r="I2" i="2" s="1"/>
  <c r="I4" i="2" l="1"/>
  <c r="I5" i="2"/>
  <c r="I3" i="2"/>
</calcChain>
</file>

<file path=xl/sharedStrings.xml><?xml version="1.0" encoding="utf-8"?>
<sst xmlns="http://schemas.openxmlformats.org/spreadsheetml/2006/main" count="124" uniqueCount="61">
  <si>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</si>
  <si>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</si>
  <si>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</si>
  <si>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</si>
  <si>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</si>
  <si>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</si>
  <si>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</si>
  <si>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</si>
  <si>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</si>
  <si>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</si>
  <si>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</si>
  <si>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</si>
  <si>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</si>
  <si>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Staked</t>
  </si>
  <si>
    <t>fees</t>
  </si>
  <si>
    <t>J</t>
  </si>
  <si>
    <t>N</t>
  </si>
  <si>
    <t>A</t>
  </si>
  <si>
    <t>Z</t>
  </si>
  <si>
    <t>stakerScore</t>
  </si>
  <si>
    <t>traderScore</t>
  </si>
  <si>
    <t>Total</t>
  </si>
  <si>
    <t>rewardsScore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</si>
  <si>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</si>
  <si>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</si>
  <si>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</si>
  <si>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</si>
  <si>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</si>
  <si>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</si>
  <si>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</si>
  <si>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</si>
  <si>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T</t>
  </si>
  <si>
    <t>Event</t>
  </si>
  <si>
    <t>rewardScores</t>
  </si>
  <si>
    <t>st1</t>
  </si>
  <si>
    <t>st2</t>
  </si>
  <si>
    <t>FeesPaid</t>
  </si>
  <si>
    <t>staked</t>
  </si>
  <si>
    <t>stakerscore</t>
  </si>
  <si>
    <t>traderscore</t>
  </si>
  <si>
    <t>rewardscore</t>
  </si>
  <si>
    <t>% rewards</t>
  </si>
  <si>
    <t>Amount</t>
  </si>
  <si>
    <t>Duration</t>
  </si>
  <si>
    <t>reward</t>
  </si>
  <si>
    <t>Total rewards</t>
  </si>
  <si>
    <t>Notify (300)</t>
  </si>
  <si>
    <t>lastTimeRew</t>
  </si>
  <si>
    <t>lastUpdated</t>
  </si>
  <si>
    <t>rewRate</t>
  </si>
  <si>
    <t>MAX_BPS</t>
  </si>
  <si>
    <t>TotalReward</t>
  </si>
  <si>
    <t>prerewardPerRewardScoreStored</t>
  </si>
  <si>
    <t>expected</t>
  </si>
  <si>
    <t>real</t>
  </si>
  <si>
    <t>J withdraws 40</t>
  </si>
  <si>
    <t>Notify (120)</t>
  </si>
  <si>
    <t>rewardTokens</t>
  </si>
  <si>
    <t>rewardFees</t>
  </si>
  <si>
    <t>Token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</si>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</sst>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"/>
    <numFmt numFmtId="165" formatCode="0.00000"/>
    <numFmt numFmtId="166" formatCode="0.0000"/>
    <numFmt numFmtId="167" formatCode="0.0000000000000"/>
    <numFmt numFmtId="168" formatCode="0.0000000%"/>
    <numFmt numFmtId="173" formatCode="0.0000000E+00"/>
    <numFmt numFmtId="190" formatCode="#,##0.000000000000000000"/>
    <numFmt numFmtId="191" formatCode="#,##0.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3" xfId="0" applyBorder="1"/>
    <xf numFmtId="9" fontId="0" fillId="0" borderId="0" xfId="0" applyNumberFormat="1"/>
    <xf numFmtId="4" fontId="0" fillId="0" borderId="0" xfId="0" applyNumberFormat="1"/>
    <xf numFmtId="4" fontId="0" fillId="0" borderId="3" xfId="0" applyNumberFormat="1" applyBorder="1"/>
    <xf numFmtId="4" fontId="1" fillId="0" borderId="0" xfId="0" applyNumberFormat="1" applyFont="1"/>
    <xf numFmtId="4" fontId="1" fillId="0" borderId="0" xfId="0" applyNumberFormat="1" applyFont="1" applyFill="1" applyBorder="1"/>
    <xf numFmtId="0" fontId="1" fillId="0" borderId="3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0" fillId="0" borderId="0" xfId="0" applyNumberFormat="1"/>
    <xf numFmtId="168" fontId="0" fillId="0" borderId="0" xfId="0" applyNumberFormat="1"/>
    <xf numFmtId="173" fontId="0" fillId="0" borderId="0" xfId="0" applyNumberFormat="1"/>
    <xf numFmtId="190" fontId="0" fillId="0" borderId="0" xfId="0" applyNumberFormat="1"/>
    <xf numFmtId="19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56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55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D10" sqref="D10"/>
    </sheetView>
  </sheetViews>
  <sheetFormatPr defaultRowHeight="14.75" x14ac:dyDescent="0.75"/>
  <cols>
    <col min="4" max="4" width="10.453125" bestFit="1" customWidth="1"/>
    <col min="5" max="5" width="10.5" bestFit="1" customWidth="1"/>
    <col min="6" max="7" width="10.5" hidden="1" customWidth="1"/>
    <col min="8" max="8" width="12.1328125" bestFit="1" customWidth="1"/>
  </cols>
  <sheetData>
    <row r="1" spans="1:9" ht="15.5" thickBot="1" x14ac:dyDescent="0.9">
      <c r="A1" s="4" t="s">
        <v>12</v>
      </c>
      <c r="B1" s="4" t="s">
        <v>13</v>
      </c>
      <c r="C1" s="4" t="s">
        <v>14</v>
      </c>
      <c r="D1" s="4" t="s">
        <v>19</v>
      </c>
      <c r="E1" s="6" t="s">
        <v>20</v>
      </c>
      <c r="F1" s="6"/>
      <c r="G1" s="6"/>
      <c r="H1" s="6" t="s">
        <v>22</v>
      </c>
    </row>
    <row r="2" spans="1:9" ht="15.5" thickTop="1" x14ac:dyDescent="0.75">
      <c r="A2" t="s">
        <v>15</v>
      </c>
      <c r="B2">
        <v>10</v>
      </c>
      <c r="C2">
        <v>200</v>
      </c>
      <c r="D2" s="9">
        <f>+B2/$B$6*0.7</f>
        <v>6.9867252220780511E-4</v>
      </c>
      <c r="E2">
        <f>+C2*0.7*0.3</f>
        <v>42</v>
      </c>
      <c r="F2">
        <f>+E2/$E$6</f>
        <v>0.68965517241379315</v>
      </c>
      <c r="G2" s="9">
        <f>+D2+0.3*F2</f>
        <v>0.20759522424634574</v>
      </c>
      <c r="H2" s="9">
        <f>+D2+E2</f>
        <v>42.000698672522205</v>
      </c>
      <c r="I2" s="8">
        <f>+H2/$H$6</f>
        <v>0.68182952390458129</v>
      </c>
    </row>
    <row r="3" spans="1:9" x14ac:dyDescent="0.75">
      <c r="A3" t="s">
        <v>16</v>
      </c>
      <c r="B3">
        <v>5</v>
      </c>
      <c r="C3">
        <v>50</v>
      </c>
      <c r="D3" s="9">
        <f t="shared" ref="D3:D5" si="0">+B3/$B$6*0.7</f>
        <v>3.4933626110390255E-4</v>
      </c>
      <c r="E3">
        <f t="shared" ref="E3:E5" si="1">+C3*0.7*0.3</f>
        <v>10.5</v>
      </c>
      <c r="F3">
        <f t="shared" ref="F3:F5" si="2">+E3/$E$6</f>
        <v>0.17241379310344829</v>
      </c>
      <c r="G3" s="9">
        <f t="shared" ref="G3:G5" si="3">+D3+0.3*F3</f>
        <v>5.2073474192138383E-2</v>
      </c>
      <c r="H3" s="9">
        <f t="shared" ref="H3:H5" si="4">+D3+E3</f>
        <v>10.500349336261104</v>
      </c>
      <c r="I3" s="8">
        <f t="shared" ref="I3:I5" si="5">+H3/$H$6</f>
        <v>0.1704602164977452</v>
      </c>
    </row>
    <row r="4" spans="1:9" x14ac:dyDescent="0.75">
      <c r="A4" t="s">
        <v>17</v>
      </c>
      <c r="B4">
        <v>10000</v>
      </c>
      <c r="C4">
        <v>0</v>
      </c>
      <c r="D4" s="9">
        <f t="shared" si="0"/>
        <v>0.69867252220780507</v>
      </c>
      <c r="E4">
        <f t="shared" si="1"/>
        <v>0</v>
      </c>
      <c r="F4">
        <f t="shared" si="2"/>
        <v>0</v>
      </c>
      <c r="G4" s="9">
        <f t="shared" si="3"/>
        <v>0.69867252220780507</v>
      </c>
      <c r="H4" s="9">
        <f t="shared" si="4"/>
        <v>0.69867252220780507</v>
      </c>
      <c r="I4" s="8">
        <f t="shared" si="5"/>
        <v>1.1342086399477355E-2</v>
      </c>
    </row>
    <row r="5" spans="1:9" x14ac:dyDescent="0.75">
      <c r="A5" s="7" t="s">
        <v>18</v>
      </c>
      <c r="B5" s="7">
        <v>4</v>
      </c>
      <c r="C5" s="7">
        <v>40</v>
      </c>
      <c r="D5" s="10">
        <f t="shared" si="0"/>
        <v>2.7946900888312201E-4</v>
      </c>
      <c r="E5" s="7">
        <f t="shared" si="1"/>
        <v>8.4</v>
      </c>
      <c r="F5">
        <f t="shared" si="2"/>
        <v>0.13793103448275862</v>
      </c>
      <c r="G5" s="9">
        <f t="shared" si="3"/>
        <v>4.1658779353710707E-2</v>
      </c>
      <c r="H5" s="10">
        <f t="shared" si="4"/>
        <v>8.4002794690088827</v>
      </c>
      <c r="I5" s="8">
        <f t="shared" si="5"/>
        <v>0.13636817319819616</v>
      </c>
    </row>
    <row r="6" spans="1:9" x14ac:dyDescent="0.75">
      <c r="A6" s="5" t="s">
        <v>21</v>
      </c>
      <c r="B6" s="3">
        <f>+SUM(B2:B5)</f>
        <v>10019</v>
      </c>
      <c r="C6" s="3">
        <f>+SUM(C2:C5)</f>
        <v>290</v>
      </c>
      <c r="D6" s="11">
        <f>+SUM(D2:D5)</f>
        <v>0.69999999999999984</v>
      </c>
      <c r="E6" s="3">
        <f>+SUM(E2:E5)</f>
        <v>60.9</v>
      </c>
      <c r="F6" s="3"/>
      <c r="G6" s="3"/>
      <c r="H6" s="3">
        <f>+SUM(H2:H5)</f>
        <v>61.599999999999994</v>
      </c>
    </row>
    <row r="7" spans="1:9" x14ac:dyDescent="0.75">
      <c r="E7" s="12">
        <f>+E6+D6</f>
        <v>61.6</v>
      </c>
      <c r="F7" s="12"/>
      <c r="G7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zoomScale="80" zoomScaleNormal="80" workbookViewId="0">
      <selection sqref="A1:K26"/>
    </sheetView>
  </sheetViews>
  <sheetFormatPr defaultRowHeight="14.75" x14ac:dyDescent="0.75"/>
  <cols>
    <col min="1" max="1" width="32.2265625" bestFit="1" customWidth="1"/>
    <col min="2" max="2" width="24.40625" bestFit="1" customWidth="1"/>
    <col min="3" max="3" width="11.90625" bestFit="1" customWidth="1"/>
    <col min="4" max="4" width="12.31640625" bestFit="1" customWidth="1"/>
    <col min="5" max="5" width="11" bestFit="1" customWidth="1"/>
    <col min="6" max="6" width="10.1328125" bestFit="1" customWidth="1"/>
    <col min="7" max="7" width="10.54296875" bestFit="1" customWidth="1"/>
    <col min="8" max="8" width="11.6328125" bestFit="1" customWidth="1"/>
    <col min="9" max="9" width="14.5" customWidth="1"/>
    <col min="10" max="11" width="12.31640625" bestFit="1" customWidth="1"/>
    <col min="12" max="12" width="26.76953125" bestFit="1" customWidth="1"/>
    <col min="17" max="17" width="20.76953125" bestFit="1" customWidth="1"/>
  </cols>
  <sheetData>
    <row r="1" spans="1:17" ht="15.5" thickBot="1" x14ac:dyDescent="0.9">
      <c r="A1" s="4" t="s">
        <v>12</v>
      </c>
      <c r="B1" s="4" t="s">
        <v>36</v>
      </c>
      <c r="C1" s="4" t="s">
        <v>20</v>
      </c>
      <c r="E1" s="5" t="s">
        <v>42</v>
      </c>
      <c r="F1" s="5" t="s">
        <v>43</v>
      </c>
      <c r="G1" s="5" t="s">
        <v>2</v>
      </c>
    </row>
    <row r="2" spans="1:17" ht="15.5" thickTop="1" x14ac:dyDescent="0.75">
      <c r="A2" s="3" t="s">
        <v>23</v>
      </c>
      <c r="B2">
        <v>25</v>
      </c>
      <c r="C2">
        <f>+B2*70%</f>
        <v>17.5</v>
      </c>
      <c r="E2">
        <v>300</v>
      </c>
      <c r="F2">
        <v>300</v>
      </c>
      <c r="G2">
        <f>+E2/F2</f>
        <v>1</v>
      </c>
      <c r="I2">
        <f>60/0.3</f>
        <v>200</v>
      </c>
      <c r="J2">
        <f>60/1</f>
        <v>60</v>
      </c>
      <c r="K2">
        <f>30/1</f>
        <v>30</v>
      </c>
    </row>
    <row r="3" spans="1:17" x14ac:dyDescent="0.75">
      <c r="A3" s="3" t="s">
        <v>24</v>
      </c>
      <c r="B3">
        <v>50</v>
      </c>
      <c r="C3">
        <f>+B3*70%</f>
        <v>35</v>
      </c>
      <c r="L3" s="15"/>
    </row>
    <row r="5" spans="1:17" x14ac:dyDescent="0.75">
      <c r="A5" s="13" t="s">
        <v>31</v>
      </c>
      <c r="B5" s="13" t="s">
        <v>32</v>
      </c>
      <c r="E5" t="s">
        <v>37</v>
      </c>
      <c r="F5" t="s">
        <v>38</v>
      </c>
      <c r="G5" t="s">
        <v>14</v>
      </c>
      <c r="H5" t="s">
        <v>39</v>
      </c>
      <c r="I5" t="s">
        <v>40</v>
      </c>
      <c r="J5" t="s">
        <v>41</v>
      </c>
      <c r="K5" t="s">
        <v>44</v>
      </c>
    </row>
    <row r="6" spans="1:17" x14ac:dyDescent="0.75">
      <c r="A6">
        <v>0</v>
      </c>
      <c r="B6" t="s">
        <v>46</v>
      </c>
      <c r="C6" s="3" t="s">
        <v>33</v>
      </c>
      <c r="D6" t="s">
        <v>34</v>
      </c>
      <c r="E6">
        <v>0</v>
      </c>
      <c r="F6">
        <f>+IFERROR(E6/SUM($E$6:$E$7), 0)</f>
        <v>0</v>
      </c>
      <c r="G6" s="18">
        <v>2.5E+19</v>
      </c>
      <c r="H6">
        <f>+G6*70%</f>
        <v>1.7499999999999998E+19</v>
      </c>
      <c r="I6">
        <f>+F6*70%+H6/SUM($H$6:$H$7)*30%</f>
        <v>0.1</v>
      </c>
      <c r="J6" s="8">
        <f>+I6/SUM($I$6:$I$7)</f>
        <v>0.33333333333333331</v>
      </c>
      <c r="K6" s="16">
        <f>+J6*$G$2*60</f>
        <v>20</v>
      </c>
      <c r="L6" s="16"/>
    </row>
    <row r="7" spans="1:17" x14ac:dyDescent="0.75">
      <c r="D7" t="s">
        <v>35</v>
      </c>
      <c r="E7">
        <v>0</v>
      </c>
      <c r="F7">
        <f>+IFERROR(E7/SUM($E$6:$E$7), 0)</f>
        <v>0</v>
      </c>
      <c r="G7" s="18">
        <v>5E+19</v>
      </c>
      <c r="H7">
        <f>+G7*70%</f>
        <v>3.4999999999999996E+19</v>
      </c>
      <c r="I7">
        <f>+F7*70%+H7/SUM($H$6:$H$7)*30%</f>
        <v>0.2</v>
      </c>
      <c r="J7" s="8">
        <f>+I7/SUM($I$6:$I$7)</f>
        <v>0.66666666666666663</v>
      </c>
      <c r="K7" s="16">
        <f>+J7*$G$2*60</f>
        <v>40</v>
      </c>
      <c r="L7" s="16"/>
    </row>
    <row r="8" spans="1:17" x14ac:dyDescent="0.75">
      <c r="A8">
        <v>60</v>
      </c>
      <c r="B8" t="s">
        <v>28</v>
      </c>
      <c r="K8" s="16"/>
      <c r="L8" s="16"/>
    </row>
    <row r="9" spans="1:17" x14ac:dyDescent="0.75">
      <c r="D9" t="s">
        <v>34</v>
      </c>
      <c r="E9">
        <v>40</v>
      </c>
      <c r="F9">
        <f>+IFERROR(E9/SUM($E$9:$E$10), 0)</f>
        <v>1</v>
      </c>
      <c r="G9" s="18">
        <v>2.5E+19</v>
      </c>
      <c r="H9">
        <f>+G9*70%</f>
        <v>1.7499999999999998E+19</v>
      </c>
      <c r="I9" s="14">
        <f>+F9*70%+H9/SUM($H$9:$H$10)*30%</f>
        <v>0.79999999999999993</v>
      </c>
      <c r="J9" s="8">
        <f>+I9/SUM($I$9:$I$10)</f>
        <v>0.79999999999999993</v>
      </c>
      <c r="K9" s="16">
        <f>+J9*$G$2*60</f>
        <v>47.999999999999993</v>
      </c>
      <c r="L9" s="16">
        <f>+K9+K6</f>
        <v>68</v>
      </c>
      <c r="P9">
        <v>0.77894736842105261</v>
      </c>
      <c r="Q9" s="16">
        <f>+P9*$G$2*60</f>
        <v>46.736842105263158</v>
      </c>
    </row>
    <row r="10" spans="1:17" x14ac:dyDescent="0.75">
      <c r="D10" t="s">
        <v>35</v>
      </c>
      <c r="E10">
        <v>0</v>
      </c>
      <c r="F10">
        <f>+IFERROR(E10/SUM($E$9:$E$10), 0)</f>
        <v>0</v>
      </c>
      <c r="G10" s="18">
        <v>5E+19</v>
      </c>
      <c r="H10">
        <f>+G10*70%</f>
        <v>3.4999999999999996E+19</v>
      </c>
      <c r="I10">
        <f>+F10*70%+H10/SUM($H$9:$H$10)*30%</f>
        <v>0.2</v>
      </c>
      <c r="J10" s="8">
        <f>+I10/SUM($I$9:$I$10)</f>
        <v>0.2</v>
      </c>
      <c r="K10" s="16">
        <f>+J10*$G$2*60</f>
        <v>12</v>
      </c>
      <c r="L10" s="16">
        <f>+K10+K7</f>
        <v>52</v>
      </c>
    </row>
    <row r="11" spans="1:17" x14ac:dyDescent="0.75">
      <c r="A11">
        <v>120</v>
      </c>
      <c r="B11" t="s">
        <v>26</v>
      </c>
      <c r="Q11" s="17">
        <f>+K12+Q9+K6</f>
        <v>90.10526315789474</v>
      </c>
    </row>
    <row r="12" spans="1:17" x14ac:dyDescent="0.75">
      <c r="D12" t="s">
        <v>34</v>
      </c>
      <c r="E12">
        <v>40</v>
      </c>
      <c r="F12">
        <f>+IFERROR(E12/SUM($E$12:$E$13), 0)</f>
        <v>1</v>
      </c>
      <c r="G12" s="18">
        <v>2.5E+19</v>
      </c>
      <c r="H12">
        <f>+G12*70%</f>
        <v>1.7499999999999998E+19</v>
      </c>
      <c r="I12">
        <f>+F12*70%+H12/SUM($H$12:$H$13)*30%</f>
        <v>0.77894736842105261</v>
      </c>
      <c r="J12" s="19">
        <f>+I12/SUM($I$12:$I$13)</f>
        <v>0.77894736842105261</v>
      </c>
      <c r="K12">
        <f>+J12*$G$2*30</f>
        <v>23.368421052631579</v>
      </c>
      <c r="L12">
        <f>+L9+K12</f>
        <v>91.368421052631575</v>
      </c>
    </row>
    <row r="13" spans="1:17" x14ac:dyDescent="0.75">
      <c r="D13" t="s">
        <v>35</v>
      </c>
      <c r="E13">
        <v>0</v>
      </c>
      <c r="F13">
        <f>+IFERROR(E13/SUM($E$12:$E$13), 0)</f>
        <v>0</v>
      </c>
      <c r="G13" s="18">
        <v>7E+19</v>
      </c>
      <c r="H13">
        <f>+G13*70%</f>
        <v>4.9E+19</v>
      </c>
      <c r="I13">
        <f>+F13*70%+H13/SUM($H$12:$H$13)*30%</f>
        <v>0.22105263157894736</v>
      </c>
      <c r="J13" s="8">
        <f>+I13/SUM($I$12:$I$13)</f>
        <v>0.22105263157894736</v>
      </c>
      <c r="K13">
        <f>+J13*$G$2*30</f>
        <v>6.6315789473684212</v>
      </c>
      <c r="L13">
        <f>+L10+K13</f>
        <v>58.631578947368425</v>
      </c>
    </row>
    <row r="14" spans="1:17" x14ac:dyDescent="0.75">
      <c r="A14">
        <v>150</v>
      </c>
      <c r="B14" t="s">
        <v>27</v>
      </c>
      <c r="D14" t="s">
        <v>34</v>
      </c>
      <c r="E14">
        <v>40</v>
      </c>
      <c r="F14">
        <f>+IFERROR(E14/SUM($E$14:$E$15), 0)</f>
        <v>0.66666666666666663</v>
      </c>
      <c r="G14">
        <v>25</v>
      </c>
      <c r="H14">
        <f>+G14*70%</f>
        <v>17.5</v>
      </c>
      <c r="I14">
        <f>+F14*70%+H14/SUM($H$14:$H$15)*30%</f>
        <v>0.54561403508771922</v>
      </c>
      <c r="J14" s="8">
        <f>+I14/SUM($I$14:$I$15)</f>
        <v>0.54561403508771933</v>
      </c>
      <c r="K14">
        <f>+J14*$G$2*70</f>
        <v>38.192982456140356</v>
      </c>
      <c r="L14">
        <f>+K14+L12</f>
        <v>129.56140350877195</v>
      </c>
    </row>
    <row r="15" spans="1:17" x14ac:dyDescent="0.75">
      <c r="D15" t="s">
        <v>35</v>
      </c>
      <c r="E15">
        <v>20</v>
      </c>
      <c r="F15">
        <f>+IFERROR(E15/SUM($E$14:$E$15), 0)</f>
        <v>0.33333333333333331</v>
      </c>
      <c r="G15">
        <v>70</v>
      </c>
      <c r="H15">
        <f>+G15*70%</f>
        <v>49</v>
      </c>
      <c r="I15">
        <f>+F15*70%+H15/SUM($H$14:$H$15)*30%</f>
        <v>0.45438596491228067</v>
      </c>
      <c r="J15" s="8">
        <f>+I15/SUM($I$14:$I$15)</f>
        <v>0.45438596491228073</v>
      </c>
      <c r="K15">
        <f>+J15*$G$2*70</f>
        <v>31.807017543859651</v>
      </c>
      <c r="L15">
        <f>+K15+L13</f>
        <v>90.438596491228083</v>
      </c>
    </row>
    <row r="16" spans="1:17" x14ac:dyDescent="0.75">
      <c r="A16">
        <v>220</v>
      </c>
      <c r="B16" t="s">
        <v>29</v>
      </c>
    </row>
    <row r="17" spans="1:12" x14ac:dyDescent="0.75">
      <c r="D17" t="s">
        <v>34</v>
      </c>
      <c r="E17">
        <v>30</v>
      </c>
      <c r="F17">
        <f>+IFERROR(E17/SUM($E$17:$E$18), 0)</f>
        <v>0.6</v>
      </c>
      <c r="G17">
        <v>25</v>
      </c>
      <c r="H17">
        <f>+G17*70%</f>
        <v>17.5</v>
      </c>
      <c r="I17">
        <f>+F17*70%+H17/SUM($H$17:$H$18)*30%</f>
        <v>0.49894736842105258</v>
      </c>
      <c r="J17" s="8">
        <f>+I17/SUM($I$17:$I$18)</f>
        <v>0.49894736842105264</v>
      </c>
      <c r="K17">
        <f>+J17*$G$2*30</f>
        <v>14.968421052631578</v>
      </c>
      <c r="L17">
        <f>+L14+K17</f>
        <v>144.52982456140353</v>
      </c>
    </row>
    <row r="18" spans="1:12" x14ac:dyDescent="0.75">
      <c r="D18" t="s">
        <v>35</v>
      </c>
      <c r="E18">
        <v>20</v>
      </c>
      <c r="F18">
        <f>+IFERROR(E18/SUM($E$17:$E$18), 0)</f>
        <v>0.4</v>
      </c>
      <c r="G18">
        <v>70</v>
      </c>
      <c r="H18">
        <f>+G18*70%</f>
        <v>49</v>
      </c>
      <c r="I18">
        <f>+F18*70%+H18/SUM($H$17:$H$18)*30%</f>
        <v>0.50105263157894731</v>
      </c>
      <c r="J18" s="8">
        <f>+I18/SUM($I$17:$I$18)</f>
        <v>0.50105263157894742</v>
      </c>
      <c r="K18">
        <f>+J18*$G$2*30</f>
        <v>15.031578947368423</v>
      </c>
      <c r="L18">
        <f>+L15+K18</f>
        <v>105.4701754385965</v>
      </c>
    </row>
    <row r="19" spans="1:12" x14ac:dyDescent="0.75">
      <c r="A19">
        <v>250</v>
      </c>
      <c r="B19" t="s">
        <v>30</v>
      </c>
    </row>
    <row r="20" spans="1:12" x14ac:dyDescent="0.75">
      <c r="D20" t="s">
        <v>34</v>
      </c>
      <c r="E20">
        <v>30</v>
      </c>
      <c r="F20">
        <f>+IFERROR(E20/SUM($E$20:$E$21), 0)</f>
        <v>0.6</v>
      </c>
      <c r="G20">
        <v>125</v>
      </c>
      <c r="H20">
        <f>+G20*70%</f>
        <v>87.5</v>
      </c>
      <c r="I20">
        <f>+F20*70%+H20/SUM($H$20:$H$21)*30%</f>
        <v>0.61230769230769233</v>
      </c>
      <c r="J20" s="8">
        <f>+I20/SUM($I$20:$I$21)</f>
        <v>0.61230769230769233</v>
      </c>
      <c r="K20">
        <f>+J20*$G$2*50</f>
        <v>30.615384615384617</v>
      </c>
      <c r="L20">
        <f>+L17+K20</f>
        <v>175.14520917678814</v>
      </c>
    </row>
    <row r="21" spans="1:12" x14ac:dyDescent="0.75">
      <c r="A21">
        <v>300</v>
      </c>
      <c r="B21" t="s">
        <v>25</v>
      </c>
      <c r="D21" t="s">
        <v>35</v>
      </c>
      <c r="E21">
        <v>20</v>
      </c>
      <c r="F21">
        <f>+IFERROR(E21/SUM($E$20:$E$21), 0)</f>
        <v>0.4</v>
      </c>
      <c r="G21">
        <v>70</v>
      </c>
      <c r="H21">
        <f>+G21*70%</f>
        <v>49</v>
      </c>
      <c r="I21">
        <f>+F21*70%+H21/SUM($H$20:$H$21)*30%</f>
        <v>0.38769230769230767</v>
      </c>
      <c r="J21" s="8">
        <f>+I21/SUM($I$20:$I$21)</f>
        <v>0.38769230769230767</v>
      </c>
      <c r="K21">
        <f>+J21*$G$2*50</f>
        <v>19.384615384615383</v>
      </c>
      <c r="L21">
        <f>+L18+K21</f>
        <v>124.85479082321189</v>
      </c>
    </row>
    <row r="23" spans="1:12" x14ac:dyDescent="0.75">
      <c r="D23" t="s">
        <v>45</v>
      </c>
    </row>
    <row r="24" spans="1:12" x14ac:dyDescent="0.75">
      <c r="D24" t="s">
        <v>34</v>
      </c>
      <c r="E24" s="16">
        <f>+K6+K9+K12+K14+K17+K20</f>
        <v>175.14520917678814</v>
      </c>
    </row>
    <row r="25" spans="1:12" x14ac:dyDescent="0.75">
      <c r="D25" t="s">
        <v>35</v>
      </c>
      <c r="E25" s="16">
        <f>+K7+K10+K13+K15+K18+K21</f>
        <v>124.85479082321189</v>
      </c>
    </row>
    <row r="26" spans="1:12" x14ac:dyDescent="0.75">
      <c r="E26">
        <f>+SUM(E24:E25)</f>
        <v>300</v>
      </c>
    </row>
    <row r="30" spans="1:12" x14ac:dyDescent="0.75">
      <c r="A30" t="s">
        <v>52</v>
      </c>
      <c r="B30">
        <v>0</v>
      </c>
      <c r="C30">
        <f>+B37</f>
        <v>2E+20</v>
      </c>
      <c r="D30">
        <f>+C37</f>
        <v>2.6E+20</v>
      </c>
    </row>
    <row r="31" spans="1:12" x14ac:dyDescent="0.75">
      <c r="A31" t="s">
        <v>47</v>
      </c>
      <c r="B31">
        <v>1632506681</v>
      </c>
      <c r="C31">
        <v>1632506744</v>
      </c>
      <c r="D31">
        <v>1632506778</v>
      </c>
    </row>
    <row r="32" spans="1:12" x14ac:dyDescent="0.75">
      <c r="A32" t="s">
        <v>48</v>
      </c>
      <c r="B32">
        <v>1632506621</v>
      </c>
      <c r="C32">
        <v>1632506684</v>
      </c>
      <c r="D32">
        <v>1632506748</v>
      </c>
    </row>
    <row r="33" spans="1:4" x14ac:dyDescent="0.75">
      <c r="A33" t="s">
        <v>49</v>
      </c>
      <c r="B33">
        <v>1E+18</v>
      </c>
      <c r="C33">
        <f>+B33</f>
        <v>1E+18</v>
      </c>
      <c r="D33">
        <f>+C33</f>
        <v>1E+18</v>
      </c>
    </row>
    <row r="34" spans="1:4" x14ac:dyDescent="0.75">
      <c r="A34" t="s">
        <v>50</v>
      </c>
      <c r="B34">
        <v>10000</v>
      </c>
      <c r="C34">
        <f>+B34</f>
        <v>10000</v>
      </c>
      <c r="D34">
        <f>+C34</f>
        <v>10000</v>
      </c>
    </row>
    <row r="35" spans="1:4" x14ac:dyDescent="0.75">
      <c r="A35" t="s">
        <v>51</v>
      </c>
      <c r="B35">
        <v>3000</v>
      </c>
      <c r="C35">
        <v>10000</v>
      </c>
      <c r="D35">
        <v>10000</v>
      </c>
    </row>
    <row r="37" spans="1:4" x14ac:dyDescent="0.75">
      <c r="A37" t="s">
        <v>53</v>
      </c>
      <c r="B37">
        <f>+B30+((B31-B32)*B33*B34/B35)</f>
        <v>2E+20</v>
      </c>
      <c r="C37">
        <f>+C30+((C31-C32)*C33*C34/C35)</f>
        <v>2.6E+20</v>
      </c>
      <c r="D37">
        <f>+D30+((D31-D32)*D33*D34/D35)</f>
        <v>2.9E+20</v>
      </c>
    </row>
    <row r="38" spans="1:4" x14ac:dyDescent="0.75">
      <c r="A38" t="s">
        <v>54</v>
      </c>
      <c r="B38">
        <v>2E+20</v>
      </c>
      <c r="C38">
        <v>2.6E+20</v>
      </c>
      <c r="D38">
        <v>2.9E+20</v>
      </c>
    </row>
    <row r="39" spans="1:4" x14ac:dyDescent="0.75">
      <c r="B39" t="b">
        <f>+B37=B38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L26"/>
  <sheetViews>
    <sheetView tabSelected="1" zoomScale="80" zoomScaleNormal="80" workbookViewId="0">
      <selection activeCell="I22" sqref="I22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1.81640625" bestFit="1" customWidth="1"/>
    <col min="5" max="5" width="8.40625" bestFit="1" customWidth="1"/>
    <col min="6" max="6" width="12" bestFit="1" customWidth="1"/>
    <col min="7" max="7" width="16.2265625" customWidth="1"/>
    <col min="8" max="8" width="10.08984375" bestFit="1" customWidth="1"/>
    <col min="9" max="9" width="12.1796875" bestFit="1" customWidth="1"/>
    <col min="10" max="10" width="20.76953125" style="20" bestFit="1" customWidth="1"/>
    <col min="11" max="11" width="6.453125" customWidth="1"/>
    <col min="12" max="12" width="23.90625" style="22" bestFit="1" customWidth="1"/>
  </cols>
  <sheetData>
    <row r="1" spans="1:12" ht="15.5" thickBot="1" x14ac:dyDescent="0.9">
      <c r="A1" s="4" t="s">
        <v>12</v>
      </c>
      <c r="B1" s="4" t="s">
        <v>36</v>
      </c>
      <c r="C1" s="4"/>
      <c r="E1" s="5" t="s">
        <v>42</v>
      </c>
      <c r="F1" s="5" t="s">
        <v>43</v>
      </c>
      <c r="G1" s="5" t="s">
        <v>2</v>
      </c>
      <c r="H1" s="5" t="s">
        <v>59</v>
      </c>
      <c r="I1" s="5" t="s">
        <v>60</v>
      </c>
    </row>
    <row r="2" spans="1:12" ht="15.5" thickTop="1" x14ac:dyDescent="0.75">
      <c r="A2" s="3" t="s">
        <v>23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</row>
    <row r="3" spans="1:12" x14ac:dyDescent="0.75">
      <c r="A3" s="3" t="s">
        <v>24</v>
      </c>
      <c r="B3">
        <v>50</v>
      </c>
    </row>
    <row r="5" spans="1:12" x14ac:dyDescent="0.75">
      <c r="A5" s="13" t="s">
        <v>31</v>
      </c>
      <c r="B5" s="13" t="s">
        <v>32</v>
      </c>
      <c r="E5" t="s">
        <v>37</v>
      </c>
      <c r="G5" t="s">
        <v>14</v>
      </c>
      <c r="H5" t="s">
        <v>39</v>
      </c>
      <c r="I5" t="s">
        <v>57</v>
      </c>
      <c r="J5" s="20" t="s">
        <v>58</v>
      </c>
      <c r="K5" t="s">
        <v>44</v>
      </c>
    </row>
    <row r="6" spans="1:12" x14ac:dyDescent="0.75">
      <c r="A6">
        <v>0</v>
      </c>
      <c r="B6" t="s">
        <v>46</v>
      </c>
      <c r="C6" s="3" t="s">
        <v>33</v>
      </c>
      <c r="D6" t="s">
        <v>34</v>
      </c>
      <c r="E6">
        <v>0</v>
      </c>
      <c r="G6" s="18">
        <v>2.5E+19</v>
      </c>
      <c r="H6">
        <f>+G6*70%</f>
        <v>1.7499999999999998E+19</v>
      </c>
      <c r="I6">
        <v>0</v>
      </c>
      <c r="J6" s="9">
        <f>+$I$2*G6/SUM($G$6:$G$7)*60</f>
        <v>6</v>
      </c>
      <c r="K6" s="9">
        <f>+J6+I6</f>
        <v>6</v>
      </c>
    </row>
    <row r="7" spans="1:12" x14ac:dyDescent="0.75">
      <c r="D7" t="s">
        <v>35</v>
      </c>
      <c r="E7">
        <v>0</v>
      </c>
      <c r="G7" s="18">
        <v>5E+19</v>
      </c>
      <c r="H7">
        <f>+G7*70%</f>
        <v>3.4999999999999996E+19</v>
      </c>
      <c r="I7">
        <v>0</v>
      </c>
      <c r="J7" s="9">
        <f>+$I$2*G7/SUM($G$6:$G$7)*60</f>
        <v>12</v>
      </c>
      <c r="K7" s="9">
        <f>+J7+I7</f>
        <v>12</v>
      </c>
    </row>
    <row r="8" spans="1:12" x14ac:dyDescent="0.75">
      <c r="A8">
        <v>60</v>
      </c>
      <c r="B8" t="s">
        <v>28</v>
      </c>
    </row>
    <row r="9" spans="1:12" x14ac:dyDescent="0.75">
      <c r="D9" t="s">
        <v>34</v>
      </c>
      <c r="E9">
        <v>40</v>
      </c>
      <c r="G9" s="18">
        <v>2.5E+19</v>
      </c>
      <c r="H9">
        <f>+G9*70%</f>
        <v>1.7499999999999998E+19</v>
      </c>
      <c r="I9">
        <f>+E9/SUM(E9:E10)*$H$2*60</f>
        <v>42</v>
      </c>
      <c r="J9" s="9">
        <f>+$I$2*G9/SUM(G9:G10)*60</f>
        <v>6</v>
      </c>
      <c r="K9" s="9">
        <f>+J9+I9</f>
        <v>48</v>
      </c>
      <c r="L9" s="22">
        <f>+K9+K6</f>
        <v>54</v>
      </c>
    </row>
    <row r="10" spans="1:12" x14ac:dyDescent="0.75">
      <c r="D10" t="s">
        <v>35</v>
      </c>
      <c r="E10">
        <v>0</v>
      </c>
      <c r="G10" s="18">
        <v>5E+19</v>
      </c>
      <c r="H10">
        <f>+G10*70%</f>
        <v>3.4999999999999996E+19</v>
      </c>
      <c r="I10">
        <f>+E10/SUM(E9:E10)*$H$3*60</f>
        <v>0</v>
      </c>
      <c r="J10" s="9">
        <f>+$I$2*G10/SUM(G9:G10)*60</f>
        <v>12</v>
      </c>
      <c r="K10" s="9">
        <f>+J10+I10</f>
        <v>12</v>
      </c>
      <c r="L10" s="22">
        <f>+K10+K7</f>
        <v>24</v>
      </c>
    </row>
    <row r="11" spans="1:12" x14ac:dyDescent="0.75">
      <c r="A11">
        <v>120</v>
      </c>
      <c r="B11" t="s">
        <v>26</v>
      </c>
    </row>
    <row r="12" spans="1:12" x14ac:dyDescent="0.75">
      <c r="D12" t="s">
        <v>34</v>
      </c>
      <c r="E12">
        <v>40</v>
      </c>
      <c r="G12" s="18">
        <v>2.5E+19</v>
      </c>
      <c r="H12">
        <f>+G12*70%</f>
        <v>1.7499999999999998E+19</v>
      </c>
      <c r="I12">
        <f>+E12/SUM(E12:E13)*$H$2*30</f>
        <v>21</v>
      </c>
      <c r="J12" s="21">
        <f>+$I$2*G12/SUM(G12:G13)*30</f>
        <v>2.3684210526315788</v>
      </c>
      <c r="K12" s="9">
        <f>+J12+I12</f>
        <v>23.368421052631579</v>
      </c>
      <c r="L12" s="22">
        <f>+L9+K12</f>
        <v>77.368421052631575</v>
      </c>
    </row>
    <row r="13" spans="1:12" x14ac:dyDescent="0.75">
      <c r="D13" t="s">
        <v>35</v>
      </c>
      <c r="E13">
        <v>0</v>
      </c>
      <c r="G13" s="18">
        <v>7E+19</v>
      </c>
      <c r="H13">
        <f>+G13*70%</f>
        <v>4.9E+19</v>
      </c>
      <c r="I13">
        <f>+E13/SUM(E12:E13)*$H$3*30</f>
        <v>0</v>
      </c>
      <c r="J13" s="9">
        <f>+$I$2*G13/SUM(G12:G13)*30</f>
        <v>6.6315789473684212</v>
      </c>
      <c r="K13" s="9">
        <f>+J13+I13</f>
        <v>6.6315789473684212</v>
      </c>
      <c r="L13" s="22">
        <f>+L10+K13</f>
        <v>30.631578947368421</v>
      </c>
    </row>
    <row r="14" spans="1:12" x14ac:dyDescent="0.75">
      <c r="A14">
        <v>150</v>
      </c>
      <c r="B14" t="s">
        <v>27</v>
      </c>
      <c r="D14" t="s">
        <v>34</v>
      </c>
      <c r="E14">
        <v>40</v>
      </c>
      <c r="G14">
        <v>25</v>
      </c>
      <c r="H14">
        <f>+G14*70%</f>
        <v>17.5</v>
      </c>
      <c r="I14">
        <f>+E14/SUM(E14:E15)*$H$2*70</f>
        <v>32.666666666666664</v>
      </c>
      <c r="J14" s="9">
        <f>+$I$2*G14/SUM(G14:G15)*70</f>
        <v>5.5263157894736841</v>
      </c>
      <c r="K14" s="9">
        <f>+J14+I14</f>
        <v>38.192982456140349</v>
      </c>
      <c r="L14" s="22">
        <f>+L12+K14</f>
        <v>115.56140350877192</v>
      </c>
    </row>
    <row r="15" spans="1:12" x14ac:dyDescent="0.75">
      <c r="D15" t="s">
        <v>35</v>
      </c>
      <c r="E15">
        <v>20</v>
      </c>
      <c r="G15">
        <v>70</v>
      </c>
      <c r="H15">
        <f>+G15*70%</f>
        <v>49</v>
      </c>
      <c r="I15">
        <f>+E15/SUM(E14:E15)*$H$2*70</f>
        <v>16.333333333333332</v>
      </c>
      <c r="J15" s="9">
        <f>+$I$2*G15/SUM(G14:G15)*70</f>
        <v>15.473684210526315</v>
      </c>
      <c r="K15" s="9">
        <f>+J15+I15</f>
        <v>31.807017543859647</v>
      </c>
      <c r="L15" s="22">
        <f>+L13+K15</f>
        <v>62.438596491228068</v>
      </c>
    </row>
    <row r="16" spans="1:12" x14ac:dyDescent="0.75">
      <c r="A16">
        <v>220</v>
      </c>
      <c r="B16" t="s">
        <v>29</v>
      </c>
    </row>
    <row r="17" spans="1:12" x14ac:dyDescent="0.75">
      <c r="D17" t="s">
        <v>34</v>
      </c>
      <c r="E17">
        <v>30</v>
      </c>
      <c r="G17">
        <v>25</v>
      </c>
      <c r="H17">
        <f>+G17*70%</f>
        <v>17.5</v>
      </c>
      <c r="I17">
        <f>+E17/SUM(E17:E18)*$H$2*30</f>
        <v>12.6</v>
      </c>
      <c r="J17" s="9">
        <f>+$I$2*G17/SUM(G17:G18)*30</f>
        <v>2.3684210526315788</v>
      </c>
      <c r="K17" s="9">
        <f>+J17+I17</f>
        <v>14.968421052631578</v>
      </c>
      <c r="L17" s="22">
        <f>+L14+K17</f>
        <v>130.5298245614035</v>
      </c>
    </row>
    <row r="18" spans="1:12" x14ac:dyDescent="0.75">
      <c r="D18" t="s">
        <v>35</v>
      </c>
      <c r="E18">
        <v>20</v>
      </c>
      <c r="G18">
        <v>70</v>
      </c>
      <c r="H18">
        <f>+G18*70%</f>
        <v>49</v>
      </c>
      <c r="I18">
        <f>+E18/SUM(E17:E18)*$H$2*30</f>
        <v>8.3999999999999986</v>
      </c>
      <c r="J18" s="9">
        <f>+$I$2*G18/SUM(G17:G18)*30</f>
        <v>6.6315789473684212</v>
      </c>
      <c r="K18" s="9">
        <f>+J18+I18</f>
        <v>15.03157894736842</v>
      </c>
      <c r="L18" s="22">
        <f>+L15+K18</f>
        <v>77.470175438596485</v>
      </c>
    </row>
    <row r="19" spans="1:12" x14ac:dyDescent="0.75">
      <c r="A19">
        <v>250</v>
      </c>
      <c r="B19" t="s">
        <v>30</v>
      </c>
    </row>
    <row r="20" spans="1:12" x14ac:dyDescent="0.75">
      <c r="D20" t="s">
        <v>34</v>
      </c>
      <c r="E20">
        <v>30</v>
      </c>
      <c r="G20">
        <v>125</v>
      </c>
      <c r="H20">
        <f>+G20*70%</f>
        <v>87.5</v>
      </c>
      <c r="I20">
        <f>+E20/SUM(E20:E21)*$H$2*50</f>
        <v>21</v>
      </c>
      <c r="J20" s="9">
        <f>+$I$2*G20/SUM(G20:G21)*50</f>
        <v>9.6153846153846168</v>
      </c>
      <c r="K20" s="9">
        <f>+J20+I20</f>
        <v>30.615384615384617</v>
      </c>
      <c r="L20" s="22">
        <f>+L17+K20</f>
        <v>161.14520917678811</v>
      </c>
    </row>
    <row r="21" spans="1:12" x14ac:dyDescent="0.75">
      <c r="A21">
        <v>300</v>
      </c>
      <c r="B21" t="s">
        <v>25</v>
      </c>
      <c r="D21" t="s">
        <v>35</v>
      </c>
      <c r="E21">
        <v>20</v>
      </c>
      <c r="G21">
        <v>70</v>
      </c>
      <c r="H21">
        <f>+G21*70%</f>
        <v>49</v>
      </c>
      <c r="I21">
        <f>+E21/SUM(E20:E21)*$H$2*50</f>
        <v>13.999999999999998</v>
      </c>
      <c r="J21" s="9">
        <f>+$I$2*G21/SUM(G20:G21)*50</f>
        <v>5.384615384615385</v>
      </c>
      <c r="K21" s="9">
        <f>+J21+I21</f>
        <v>19.384615384615383</v>
      </c>
      <c r="L21" s="22">
        <f>+L18+K21</f>
        <v>96.854790823211871</v>
      </c>
    </row>
    <row r="23" spans="1:12" x14ac:dyDescent="0.75">
      <c r="D23" t="s">
        <v>45</v>
      </c>
    </row>
    <row r="24" spans="1:12" x14ac:dyDescent="0.75">
      <c r="D24" t="s">
        <v>34</v>
      </c>
      <c r="E24" s="16">
        <f>+SUM(K6,K9,K12,K14,K17,K20)</f>
        <v>161.14520917678811</v>
      </c>
    </row>
    <row r="25" spans="1:12" x14ac:dyDescent="0.75">
      <c r="D25" t="s">
        <v>35</v>
      </c>
      <c r="E25" s="16">
        <f>+SUM(K7,K10,K13,K15,K18,K21)</f>
        <v>96.854790823211871</v>
      </c>
    </row>
    <row r="26" spans="1:12" x14ac:dyDescent="0.75">
      <c r="E26">
        <f>+SUM(E24:E25)</f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SNX</vt:lpstr>
      <vt:lpstr>SNX - Detail</vt:lpstr>
      <vt:lpstr>Rewards Score</vt:lpstr>
      <vt:lpstr>KWENTA</vt:lpstr>
      <vt:lpstr>KWENTA -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2021-09-23T11:29:36Z</dcterms:modified>
</cp:coreProperties>
</file>