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kycinnamond/Desktop/PrinCap/Boeing Forecast /"/>
    </mc:Choice>
  </mc:AlternateContent>
  <xr:revisionPtr revIDLastSave="0" documentId="13_ncr:1_{A52C9C24-571A-2F45-85E0-70095167260D}" xr6:coauthVersionLast="47" xr6:coauthVersionMax="47" xr10:uidLastSave="{00000000-0000-0000-0000-000000000000}"/>
  <bookViews>
    <workbookView xWindow="0" yWindow="500" windowWidth="28800" windowHeight="16120" activeTab="1" xr2:uid="{AA1F2470-F1E1-A64B-A6F0-BB57217F0A7C}"/>
  </bookViews>
  <sheets>
    <sheet name="full forecast" sheetId="3" r:id="rId1"/>
    <sheet name="Record Year Compariso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17" i="3" l="1"/>
  <c r="L17" i="3" s="1"/>
  <c r="M17" i="3" s="1"/>
  <c r="J15" i="3"/>
  <c r="J10" i="3"/>
  <c r="I10" i="3"/>
  <c r="J7" i="3"/>
  <c r="B15" i="3"/>
  <c r="C15" i="3"/>
  <c r="D15" i="3"/>
  <c r="E15" i="3"/>
  <c r="F15" i="3"/>
  <c r="G15" i="3"/>
  <c r="H15" i="3"/>
  <c r="I15" i="3"/>
  <c r="L3" i="3"/>
  <c r="L2" i="3" s="1"/>
  <c r="L13" i="3" s="1"/>
  <c r="M3" i="3"/>
  <c r="M2" i="3" s="1"/>
  <c r="M13" i="3" s="1"/>
  <c r="N3" i="3"/>
  <c r="N2" i="3" s="1"/>
  <c r="N13" i="3" s="1"/>
  <c r="O3" i="3"/>
  <c r="O2" i="3" s="1"/>
  <c r="O13" i="3" s="1"/>
  <c r="P3" i="3"/>
  <c r="P2" i="3" s="1"/>
  <c r="K3" i="3"/>
  <c r="K2" i="3" s="1"/>
  <c r="K16" i="3" s="1"/>
  <c r="I7" i="3"/>
  <c r="H10" i="3"/>
  <c r="G10" i="3"/>
  <c r="F10" i="3"/>
  <c r="E10" i="3"/>
  <c r="D10" i="3"/>
  <c r="C10" i="3"/>
  <c r="B10" i="3"/>
  <c r="H7" i="3"/>
  <c r="G7" i="3"/>
  <c r="F7" i="3"/>
  <c r="E7" i="3"/>
  <c r="D7" i="3"/>
  <c r="C7" i="3"/>
  <c r="B7" i="3"/>
  <c r="I2" i="3"/>
  <c r="H2" i="3"/>
  <c r="G2" i="3"/>
  <c r="F2" i="3"/>
  <c r="E2" i="3"/>
  <c r="D2" i="3"/>
  <c r="C2" i="3"/>
  <c r="B2" i="3"/>
  <c r="P10" i="3" l="1"/>
  <c r="L10" i="3"/>
  <c r="O10" i="3"/>
  <c r="K10" i="3"/>
  <c r="N10" i="3"/>
  <c r="M10" i="3"/>
  <c r="N17" i="3"/>
  <c r="O17" i="3" s="1"/>
  <c r="P17" i="3" s="1"/>
  <c r="P15" i="3" s="1"/>
  <c r="L16" i="3"/>
  <c r="L15" i="3"/>
  <c r="K15" i="3"/>
  <c r="N15" i="3"/>
  <c r="M15" i="3"/>
  <c r="M16" i="3"/>
  <c r="K13" i="3"/>
  <c r="P13" i="3"/>
  <c r="O16" i="3" l="1"/>
  <c r="P16" i="3"/>
  <c r="O15" i="3"/>
  <c r="N16" i="3"/>
</calcChain>
</file>

<file path=xl/sharedStrings.xml><?xml version="1.0" encoding="utf-8"?>
<sst xmlns="http://schemas.openxmlformats.org/spreadsheetml/2006/main" count="77" uniqueCount="73">
  <si>
    <t>Revenue</t>
  </si>
  <si>
    <t>Operating Margin</t>
  </si>
  <si>
    <t>EBITDA</t>
  </si>
  <si>
    <t>P/E Ratio</t>
  </si>
  <si>
    <t>Market Cap</t>
  </si>
  <si>
    <t>Peak Stock $</t>
  </si>
  <si>
    <t>Record Year (2018)</t>
  </si>
  <si>
    <t>$101.1 billion</t>
  </si>
  <si>
    <t>Earnings Per Share</t>
  </si>
  <si>
    <t>Operating Cash Flow</t>
  </si>
  <si>
    <t>$15.3 billion</t>
  </si>
  <si>
    <t>$14.193 billion</t>
  </si>
  <si>
    <t>Enterprise Value</t>
  </si>
  <si>
    <t>$187.5 billion</t>
  </si>
  <si>
    <t>$181 billion</t>
  </si>
  <si>
    <t>17.98x</t>
  </si>
  <si>
    <t>Revenue Breakdown</t>
  </si>
  <si>
    <t>Commercial Planes</t>
  </si>
  <si>
    <t>$60.715 Billion (60%)</t>
  </si>
  <si>
    <t>Defense &amp; Security</t>
  </si>
  <si>
    <t>Global Services</t>
  </si>
  <si>
    <t>$23.195 Billion (23%)</t>
  </si>
  <si>
    <t>$17.02 Billion (17%)</t>
  </si>
  <si>
    <t>Margin</t>
  </si>
  <si>
    <t>N/A</t>
  </si>
  <si>
    <t>$66.5 billion</t>
  </si>
  <si>
    <t>$132.6 Billion</t>
  </si>
  <si>
    <t>$160.5 Billion</t>
  </si>
  <si>
    <t>-$8.87 Billion</t>
  </si>
  <si>
    <t>-$15.73</t>
  </si>
  <si>
    <t>-$12.1 Billion</t>
  </si>
  <si>
    <t>$22.861 Billion (34%)</t>
  </si>
  <si>
    <t>$23.918 Billion (36%)</t>
  </si>
  <si>
    <t>$19.954 Billion (30%)</t>
  </si>
  <si>
    <t>FY '22</t>
  </si>
  <si>
    <t>FY '23</t>
  </si>
  <si>
    <t>FY '21</t>
  </si>
  <si>
    <t>FY '20</t>
  </si>
  <si>
    <t>FY '19</t>
  </si>
  <si>
    <t>FY '18</t>
  </si>
  <si>
    <t>FY '17</t>
  </si>
  <si>
    <t>FY '24</t>
  </si>
  <si>
    <t>Backlog Units</t>
  </si>
  <si>
    <t>Backlog Conversion Rate (%)</t>
  </si>
  <si>
    <t>2025E</t>
  </si>
  <si>
    <t>2026E</t>
  </si>
  <si>
    <t>2027E</t>
  </si>
  <si>
    <t>2028E</t>
  </si>
  <si>
    <t>2029E</t>
  </si>
  <si>
    <t>2030E</t>
  </si>
  <si>
    <t>Metric</t>
  </si>
  <si>
    <t>Total Revenue ($B)</t>
  </si>
  <si>
    <t>Commercial Airplanes</t>
  </si>
  <si>
    <t>Defense &amp; Secuirty</t>
  </si>
  <si>
    <t>Commercial Deliveries</t>
  </si>
  <si>
    <t>Revenue per Jet ($M)</t>
  </si>
  <si>
    <t>Commercial Backlog ($B)</t>
  </si>
  <si>
    <t>Operating Cash Flow ($B)</t>
  </si>
  <si>
    <t>Operating Margin (%)</t>
  </si>
  <si>
    <t>EBITDA ($B)</t>
  </si>
  <si>
    <t>EPS ($)</t>
  </si>
  <si>
    <t>Shares Outstanding</t>
  </si>
  <si>
    <t>FCF per share ($)</t>
  </si>
  <si>
    <t>Free Cash Flow ($B)</t>
  </si>
  <si>
    <t>Commercial Plane Production Estimations</t>
  </si>
  <si>
    <t>FY '25</t>
  </si>
  <si>
    <t>FY '26</t>
  </si>
  <si>
    <t>FY '27</t>
  </si>
  <si>
    <t>FY '28</t>
  </si>
  <si>
    <t>FY '29</t>
  </si>
  <si>
    <t>FY '30</t>
  </si>
  <si>
    <t>2025 Q1</t>
  </si>
  <si>
    <t>Most Recent Year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</si>
</sst>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0.0"/>
  </numFmts>
  <fonts count="9" x14ac:knownFonts="1">
    <font>
      <sz val="12"/>
      <color theme="1"/>
      <name val="Calibri"/>
      <family val="2"/>
      <scheme val="minor"/>
    </font>
    <font>
      <b/>
      <sz val="12"/>
      <color theme="1"/>
      <name val="Calibri"/>
      <family val="2"/>
      <scheme val="minor"/>
    </font>
    <font>
      <b/>
      <sz val="12"/>
      <color theme="1"/>
      <name val="Georgia"/>
      <family val="1"/>
    </font>
    <font>
      <sz val="12"/>
      <color theme="1"/>
      <name val="Georgia"/>
      <family val="1"/>
    </font>
    <font>
      <b/>
      <sz val="13"/>
      <color theme="1"/>
      <name val="Georgia"/>
      <family val="1"/>
    </font>
    <font>
      <sz val="13"/>
      <color theme="1"/>
      <name val="Georgia"/>
      <family val="1"/>
    </font>
    <font>
      <sz val="13"/>
      <color theme="1"/>
      <name val="Calibri"/>
      <family val="2"/>
      <scheme val="minor"/>
    </font>
    <font>
      <sz val="8"/>
      <name val="Calibri"/>
      <family val="2"/>
      <scheme val="minor"/>
    </font>
    <font>
      <b/>
      <sz val="13"/>
      <name val="Georgia"/>
      <family val="1"/>
    </font>
  </fonts>
  <fills count="4">
    <fill>
      <patternFill patternType="none"/>
    </fill>
    <fill>
      <patternFill patternType="gray125"/>
    </fill>
    <fill>
      <patternFill patternType="solid">
        <fgColor theme="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0" fillId="2" borderId="0" xfId="0" applyFill="1"/>
    <xf numFmtId="0" fontId="1" fillId="2" borderId="0" xfId="0" applyFont="1" applyFill="1"/>
    <xf numFmtId="0" fontId="2" fillId="0" borderId="0" xfId="0" applyFont="1" applyAlignment="1">
      <alignment vertical="center"/>
    </xf>
    <xf numFmtId="0" fontId="2" fillId="0" borderId="0" xfId="0" applyFont="1" applyAlignment="1">
      <alignment horizontal="center" vertical="center"/>
    </xf>
    <xf numFmtId="0" fontId="2" fillId="2" borderId="0" xfId="0" applyFont="1" applyFill="1" applyAlignment="1">
      <alignment vertical="center"/>
    </xf>
    <xf numFmtId="0" fontId="3" fillId="0" borderId="0" xfId="0" applyFont="1" applyAlignment="1">
      <alignment horizontal="right" vertical="center"/>
    </xf>
    <xf numFmtId="0" fontId="0" fillId="2" borderId="0" xfId="0" applyFill="1" applyAlignment="1">
      <alignment vertical="center"/>
    </xf>
    <xf numFmtId="0" fontId="0" fillId="0" borderId="0" xfId="0" applyAlignment="1">
      <alignment horizontal="right" vertical="center"/>
    </xf>
    <xf numFmtId="10" fontId="0" fillId="0" borderId="0" xfId="0" applyNumberFormat="1" applyAlignment="1">
      <alignment horizontal="right" vertical="center"/>
    </xf>
    <xf numFmtId="10" fontId="0" fillId="0" borderId="0" xfId="0" applyNumberFormat="1" applyAlignment="1">
      <alignment vertical="center"/>
    </xf>
    <xf numFmtId="2" fontId="0" fillId="0" borderId="0" xfId="0" quotePrefix="1" applyNumberFormat="1" applyAlignment="1">
      <alignment horizontal="right" vertical="center"/>
    </xf>
    <xf numFmtId="8" fontId="0" fillId="0" borderId="0" xfId="0" applyNumberFormat="1" applyAlignment="1">
      <alignment horizontal="right" vertical="center"/>
    </xf>
    <xf numFmtId="8" fontId="3" fillId="0" borderId="0" xfId="0" applyNumberFormat="1" applyFont="1" applyAlignment="1">
      <alignment horizontal="right" vertical="center"/>
    </xf>
    <xf numFmtId="0" fontId="0" fillId="0" borderId="0" xfId="0" quotePrefix="1" applyAlignment="1">
      <alignment horizontal="right" vertical="center"/>
    </xf>
    <xf numFmtId="0" fontId="0" fillId="0" borderId="0" xfId="0" applyAlignment="1">
      <alignment vertical="center"/>
    </xf>
    <xf numFmtId="0" fontId="0" fillId="0" borderId="0" xfId="0" applyAlignment="1">
      <alignment horizontal="left" vertical="center"/>
    </xf>
    <xf numFmtId="9" fontId="0" fillId="0" borderId="0" xfId="0" applyNumberFormat="1" applyAlignment="1">
      <alignment vertical="center"/>
    </xf>
    <xf numFmtId="0" fontId="2" fillId="0" borderId="0" xfId="0" applyFont="1" applyAlignment="1">
      <alignment horizontal="center"/>
    </xf>
    <xf numFmtId="0" fontId="2" fillId="0" borderId="0" xfId="0" applyFont="1"/>
    <xf numFmtId="0" fontId="4" fillId="0" borderId="0" xfId="0" applyFont="1" applyAlignment="1">
      <alignment horizontal="lef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0" borderId="0" xfId="0" applyFont="1" applyAlignment="1">
      <alignment vertical="center"/>
    </xf>
    <xf numFmtId="165" fontId="5" fillId="0" borderId="0" xfId="0" applyNumberFormat="1" applyFont="1" applyAlignment="1">
      <alignment vertical="center"/>
    </xf>
    <xf numFmtId="0" fontId="5" fillId="0" borderId="0" xfId="0" applyFont="1" applyAlignment="1">
      <alignment horizontal="right" vertical="center"/>
    </xf>
    <xf numFmtId="2" fontId="5" fillId="0" borderId="0" xfId="0" applyNumberFormat="1" applyFont="1" applyAlignment="1">
      <alignment vertical="center"/>
    </xf>
    <xf numFmtId="164" fontId="5" fillId="0" borderId="0" xfId="0" applyNumberFormat="1" applyFont="1" applyAlignment="1">
      <alignment vertical="center"/>
    </xf>
    <xf numFmtId="1" fontId="5" fillId="0" borderId="0" xfId="0" applyNumberFormat="1" applyFont="1" applyAlignment="1">
      <alignment vertical="center"/>
    </xf>
    <xf numFmtId="0" fontId="6" fillId="0" borderId="0" xfId="0" applyFont="1" applyAlignment="1">
      <alignment vertical="center"/>
    </xf>
    <xf numFmtId="165" fontId="0" fillId="0" borderId="0" xfId="0" applyNumberFormat="1" applyAlignment="1">
      <alignment vertical="center"/>
    </xf>
    <xf numFmtId="0" fontId="2" fillId="0" borderId="0" xfId="0" applyFont="1" applyAlignment="1">
      <alignment horizontal="left" vertical="center" indent="1"/>
    </xf>
    <xf numFmtId="165" fontId="2" fillId="0" borderId="0" xfId="0" applyNumberFormat="1" applyFont="1" applyAlignment="1">
      <alignment horizontal="left" vertical="center" indent="1"/>
    </xf>
    <xf numFmtId="0" fontId="2" fillId="0" borderId="0" xfId="0" applyFont="1" applyAlignment="1">
      <alignment horizontal="center"/>
    </xf>
    <xf numFmtId="0" fontId="8"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38100" cap="rnd">
              <a:solidFill>
                <a:srgbClr val="00B0F0"/>
              </a:solidFill>
              <a:round/>
            </a:ln>
            <a:effectLst>
              <a:outerShdw blurRad="57150" dist="19050" dir="5400000" algn="ctr" rotWithShape="0">
                <a:srgbClr val="000000">
                  <a:alpha val="63000"/>
                </a:srgbClr>
              </a:outerShdw>
            </a:effectLst>
          </c:spPr>
          <c:marker>
            <c:symbol val="none"/>
          </c:marker>
          <c:cat>
            <c:strRef>
              <c:f>'Record Year Comparison'!$H$4:$H$17</c:f>
              <c:strCache>
                <c:ptCount val="14"/>
                <c:pt idx="0">
                  <c:v>FY '17</c:v>
                </c:pt>
                <c:pt idx="1">
                  <c:v>FY '18</c:v>
                </c:pt>
                <c:pt idx="2">
                  <c:v>FY '19</c:v>
                </c:pt>
                <c:pt idx="3">
                  <c:v>FY '20</c:v>
                </c:pt>
                <c:pt idx="4">
                  <c:v>FY '21</c:v>
                </c:pt>
                <c:pt idx="5">
                  <c:v>FY '22</c:v>
                </c:pt>
                <c:pt idx="6">
                  <c:v>FY '23</c:v>
                </c:pt>
                <c:pt idx="7">
                  <c:v>FY '24</c:v>
                </c:pt>
                <c:pt idx="8">
                  <c:v>FY '25</c:v>
                </c:pt>
                <c:pt idx="9">
                  <c:v>FY '26</c:v>
                </c:pt>
                <c:pt idx="10">
                  <c:v>FY '27</c:v>
                </c:pt>
                <c:pt idx="11">
                  <c:v>FY '28</c:v>
                </c:pt>
                <c:pt idx="12">
                  <c:v>FY '29</c:v>
                </c:pt>
                <c:pt idx="13">
                  <c:v>FY '30</c:v>
                </c:pt>
              </c:strCache>
            </c:strRef>
          </c:cat>
          <c:val>
            <c:numRef>
              <c:f>'Record Year Comparison'!$I$4:$I$17</c:f>
              <c:numCache>
                <c:formatCode>General</c:formatCode>
                <c:ptCount val="14"/>
                <c:pt idx="0">
                  <c:v>763</c:v>
                </c:pt>
                <c:pt idx="1">
                  <c:v>806</c:v>
                </c:pt>
                <c:pt idx="2">
                  <c:v>380</c:v>
                </c:pt>
                <c:pt idx="3">
                  <c:v>157</c:v>
                </c:pt>
                <c:pt idx="4">
                  <c:v>340</c:v>
                </c:pt>
                <c:pt idx="5">
                  <c:v>480</c:v>
                </c:pt>
                <c:pt idx="6">
                  <c:v>528</c:v>
                </c:pt>
                <c:pt idx="7">
                  <c:v>348</c:v>
                </c:pt>
                <c:pt idx="8">
                  <c:v>537</c:v>
                </c:pt>
                <c:pt idx="9">
                  <c:v>683</c:v>
                </c:pt>
                <c:pt idx="10">
                  <c:v>755</c:v>
                </c:pt>
                <c:pt idx="11">
                  <c:v>801</c:v>
                </c:pt>
                <c:pt idx="12">
                  <c:v>817</c:v>
                </c:pt>
                <c:pt idx="13">
                  <c:v>830</c:v>
                </c:pt>
              </c:numCache>
            </c:numRef>
          </c:val>
          <c:smooth val="0"/>
          <c:extLst>
            <c:ext xmlns:c16="http://schemas.microsoft.com/office/drawing/2014/chart" uri="{C3380CC4-5D6E-409C-BE32-E72D297353CC}">
              <c16:uniqueId val="{00000000-4676-C84A-8E44-F49B96CEA1C3}"/>
            </c:ext>
          </c:extLst>
        </c:ser>
        <c:dLbls>
          <c:showLegendKey val="0"/>
          <c:showVal val="0"/>
          <c:showCatName val="0"/>
          <c:showSerName val="0"/>
          <c:showPercent val="0"/>
          <c:showBubbleSize val="0"/>
        </c:dLbls>
        <c:smooth val="0"/>
        <c:axId val="20908304"/>
        <c:axId val="21937744"/>
      </c:lineChart>
      <c:catAx>
        <c:axId val="20908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2100000" spcFirstLastPara="1" vertOverflow="ellipsis" wrap="square" anchor="ctr" anchorCtr="1"/>
          <a:lstStyle/>
          <a:p>
            <a:pPr>
              <a:defRPr sz="1100" b="0" i="0" u="none" strike="noStrike" kern="1200" baseline="0">
                <a:solidFill>
                  <a:schemeClr val="lt1">
                    <a:lumMod val="85000"/>
                  </a:schemeClr>
                </a:solidFill>
                <a:latin typeface="Georgia" panose="02040502050405020303" pitchFamily="18" charset="0"/>
                <a:ea typeface="+mn-ea"/>
                <a:cs typeface="+mn-cs"/>
              </a:defRPr>
            </a:pPr>
            <a:endParaRPr lang="en-US"/>
          </a:p>
        </c:txPr>
        <c:crossAx val="21937744"/>
        <c:crosses val="autoZero"/>
        <c:auto val="1"/>
        <c:lblAlgn val="ctr"/>
        <c:lblOffset val="100"/>
        <c:noMultiLvlLbl val="0"/>
      </c:catAx>
      <c:valAx>
        <c:axId val="21937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Georgia" panose="02040502050405020303" pitchFamily="18" charset="0"/>
                <a:ea typeface="+mn-ea"/>
                <a:cs typeface="+mn-cs"/>
              </a:defRPr>
            </a:pPr>
            <a:endParaRPr lang="en-US"/>
          </a:p>
        </c:txPr>
        <c:crossAx val="2090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498040</xdr:colOff>
      <xdr:row>20</xdr:row>
      <xdr:rowOff>124509</xdr:rowOff>
    </xdr:from>
    <xdr:to>
      <xdr:col>3</xdr:col>
      <xdr:colOff>410882</xdr:colOff>
      <xdr:row>45</xdr:row>
      <xdr:rowOff>0</xdr:rowOff>
    </xdr:to>
    <xdr:sp macro="" textlink="">
      <xdr:nvSpPr>
        <xdr:cNvPr id="4" name="TextBox 3">
          <a:extLst>
            <a:ext uri="{FF2B5EF4-FFF2-40B4-BE49-F238E27FC236}">
              <a16:creationId xmlns:a16="http://schemas.microsoft.com/office/drawing/2014/main" id="{EBC45462-C885-4AD6-1CEC-7C0A102B3DF4}"/>
            </a:ext>
          </a:extLst>
        </xdr:cNvPr>
        <xdr:cNvSpPr txBox="1"/>
      </xdr:nvSpPr>
      <xdr:spPr>
        <a:xfrm>
          <a:off x="498040" y="6237940"/>
          <a:ext cx="4557058" cy="48558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737 MAX</a:t>
          </a:r>
        </a:p>
        <a:p>
          <a:r>
            <a:rPr lang="en-US" b="1">
              <a:latin typeface="Georgia" panose="02040502050405020303" pitchFamily="18" charset="0"/>
            </a:rPr>
            <a:t>- 2025:</a:t>
          </a:r>
          <a:r>
            <a:rPr lang="en-US">
              <a:latin typeface="Georgia" panose="02040502050405020303" pitchFamily="18" charset="0"/>
            </a:rPr>
            <a:t> 420 deliveries (~35/month). Matches current production (~31/month) and Boeing’s guidance to hit 38/month mid-2025 (Barclays).</a:t>
          </a:r>
        </a:p>
        <a:p>
          <a:r>
            <a:rPr lang="en-US" b="1">
              <a:latin typeface="Georgia" panose="02040502050405020303" pitchFamily="18" charset="0"/>
            </a:rPr>
            <a:t>- 2026–2030:</a:t>
          </a:r>
          <a:r>
            <a:rPr lang="en-US">
              <a:latin typeface="Georgia" panose="02040502050405020303" pitchFamily="18" charset="0"/>
            </a:rPr>
            <a:t> Ramps to ~52–57/month (600–640/year). Supported by JPMorgan and Bernstein. Assumes certification of MAX-7/10 and easing of supply constraints.</a:t>
          </a:r>
        </a:p>
        <a:p>
          <a:r>
            <a:rPr lang="en-US" sz="1200" b="1">
              <a:latin typeface="Georgia" panose="02040502050405020303" pitchFamily="18" charset="0"/>
            </a:rPr>
            <a:t>787</a:t>
          </a:r>
        </a:p>
        <a:p>
          <a:r>
            <a:rPr lang="en-US" b="1">
              <a:latin typeface="Georgia" panose="02040502050405020303" pitchFamily="18" charset="0"/>
            </a:rPr>
            <a:t>- 2025:</a:t>
          </a:r>
          <a:r>
            <a:rPr lang="en-US">
              <a:latin typeface="Georgia" panose="02040502050405020303" pitchFamily="18" charset="0"/>
            </a:rPr>
            <a:t> 78 deliveries (~6.5/month). Current rate is 5/month; Boeing targeting 7/month in 2026. Estimate assumes mid-year ramp (Bernstein, Wells).</a:t>
          </a:r>
        </a:p>
        <a:p>
          <a:r>
            <a:rPr lang="en-US" b="1">
              <a:latin typeface="Georgia" panose="02040502050405020303" pitchFamily="18" charset="0"/>
            </a:rPr>
            <a:t>- 2026–2030:</a:t>
          </a:r>
          <a:r>
            <a:rPr lang="en-US">
              <a:latin typeface="Georgia" panose="02040502050405020303" pitchFamily="18" charset="0"/>
            </a:rPr>
            <a:t> Stabilizes around 10/month (120–125/year) as international widebody demand recovers and backlogs clear.</a:t>
          </a:r>
        </a:p>
        <a:p>
          <a:r>
            <a:rPr lang="en-US" sz="1200" b="1">
              <a:latin typeface="Georgia" panose="02040502050405020303" pitchFamily="18" charset="0"/>
            </a:rPr>
            <a:t>777 / 777X</a:t>
          </a:r>
        </a:p>
        <a:p>
          <a:r>
            <a:rPr lang="en-US" b="1">
              <a:latin typeface="Georgia" panose="02040502050405020303" pitchFamily="18" charset="0"/>
            </a:rPr>
            <a:t>- 2025:</a:t>
          </a:r>
          <a:r>
            <a:rPr lang="en-US">
              <a:latin typeface="Georgia" panose="02040502050405020303" pitchFamily="18" charset="0"/>
            </a:rPr>
            <a:t> 14 freighters (777F only). 777X still in flight testing — only 7% complete (Wells Fargo).</a:t>
          </a:r>
        </a:p>
        <a:p>
          <a:r>
            <a:rPr lang="en-US" b="1">
              <a:latin typeface="Georgia" panose="02040502050405020303" pitchFamily="18" charset="0"/>
            </a:rPr>
            <a:t>- 2026–2030:</a:t>
          </a:r>
          <a:r>
            <a:rPr lang="en-US">
              <a:latin typeface="Georgia" panose="02040502050405020303" pitchFamily="18" charset="0"/>
            </a:rPr>
            <a:t> Enters service in 2026. Gradual ramp to 4–5/month (50–55/year) by 2030. Based on historical 777 rates and JPMorgan forecasts.</a:t>
          </a:r>
        </a:p>
        <a:p>
          <a:r>
            <a:rPr lang="en-US" sz="1200" b="1">
              <a:latin typeface="Georgia" panose="02040502050405020303" pitchFamily="18" charset="0"/>
            </a:rPr>
            <a:t>767</a:t>
          </a:r>
        </a:p>
        <a:p>
          <a:r>
            <a:rPr lang="en-US" b="1">
              <a:latin typeface="Georgia" panose="02040502050405020303" pitchFamily="18" charset="0"/>
            </a:rPr>
            <a:t>- 2025:</a:t>
          </a:r>
          <a:r>
            <a:rPr lang="en-US">
              <a:latin typeface="Georgia" panose="02040502050405020303" pitchFamily="18" charset="0"/>
            </a:rPr>
            <a:t> 25 deliveries (freighters + KC-46A tankers). Stable line.</a:t>
          </a:r>
        </a:p>
        <a:p>
          <a:r>
            <a:rPr lang="en-US" b="1">
              <a:latin typeface="Georgia" panose="02040502050405020303" pitchFamily="18" charset="0"/>
            </a:rPr>
            <a:t>- 2026–2030:</a:t>
          </a:r>
          <a:r>
            <a:rPr lang="en-US">
              <a:latin typeface="Georgia" panose="02040502050405020303" pitchFamily="18" charset="0"/>
            </a:rPr>
            <a:t> Declines as 767F production ends (2027) due to emissions rules (ICAO compliance). Tanker production slows post-USAF batch.</a:t>
          </a:r>
        </a:p>
        <a:p>
          <a:endParaRPr lang="en-US" sz="1100">
            <a:latin typeface="Georgia" panose="02040502050405020303" pitchFamily="18" charset="0"/>
          </a:endParaRPr>
        </a:p>
        <a:p>
          <a:r>
            <a:rPr lang="en-US" sz="1100">
              <a:latin typeface="Georgia" panose="02040502050405020303" pitchFamily="18" charset="0"/>
            </a:rPr>
            <a:t>- Forecasting</a:t>
          </a:r>
          <a:r>
            <a:rPr lang="en-US" sz="1100" baseline="0">
              <a:latin typeface="Georgia" panose="02040502050405020303" pitchFamily="18" charset="0"/>
            </a:rPr>
            <a:t> a slowdown in 2029-2030 as production plateaus at around 57/Month (Where Boeing hopes to be at) and Widebody plane growth holds strong</a:t>
          </a:r>
          <a:endParaRPr lang="en-US" sz="1100">
            <a:latin typeface="Georgia" panose="02040502050405020303" pitchFamily="18" charset="0"/>
          </a:endParaRPr>
        </a:p>
      </xdr:txBody>
    </xdr:sp>
    <xdr:clientData/>
  </xdr:twoCellAnchor>
  <xdr:twoCellAnchor>
    <xdr:from>
      <xdr:col>3</xdr:col>
      <xdr:colOff>610098</xdr:colOff>
      <xdr:row>20</xdr:row>
      <xdr:rowOff>136959</xdr:rowOff>
    </xdr:from>
    <xdr:to>
      <xdr:col>7</xdr:col>
      <xdr:colOff>821765</xdr:colOff>
      <xdr:row>41</xdr:row>
      <xdr:rowOff>174313</xdr:rowOff>
    </xdr:to>
    <xdr:sp macro="" textlink="">
      <xdr:nvSpPr>
        <xdr:cNvPr id="5" name="TextBox 4">
          <a:extLst>
            <a:ext uri="{FF2B5EF4-FFF2-40B4-BE49-F238E27FC236}">
              <a16:creationId xmlns:a16="http://schemas.microsoft.com/office/drawing/2014/main" id="{D8D9FD24-06A6-FBDF-F106-73208A6E4505}"/>
            </a:ext>
          </a:extLst>
        </xdr:cNvPr>
        <xdr:cNvSpPr txBox="1"/>
      </xdr:nvSpPr>
      <xdr:spPr>
        <a:xfrm>
          <a:off x="5254314" y="6250390"/>
          <a:ext cx="4295588" cy="42208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Revenue Per Jet Projections</a:t>
          </a:r>
        </a:p>
        <a:p>
          <a:r>
            <a:rPr lang="en-US" sz="1100"/>
            <a:t>* The steady yet slower increase in Revenue</a:t>
          </a:r>
          <a:r>
            <a:rPr lang="en-US" sz="1100" baseline="0"/>
            <a:t> per Jet is primarily due to the increase in Widebody airplane production that are a more expensive jet comapred to the 737's </a:t>
          </a:r>
        </a:p>
        <a:p>
          <a:r>
            <a:rPr lang="en-US" sz="1200" b="1" baseline="0"/>
            <a:t>Global Services Revenue Projections</a:t>
          </a:r>
        </a:p>
        <a:p>
          <a:r>
            <a:rPr lang="en-US" sz="1100" baseline="0"/>
            <a:t>* Steady growth early in 2025 and 2026 due to higher age of average jet causing increase in necessary maintenance</a:t>
          </a:r>
        </a:p>
        <a:p>
          <a:r>
            <a:rPr lang="en-US" sz="1100" baseline="0"/>
            <a:t>* Global fleet growth over years causes steady growth in BGS</a:t>
          </a:r>
        </a:p>
        <a:p>
          <a:r>
            <a:rPr lang="en-US" sz="1200" b="1" baseline="0"/>
            <a:t>Operating Cash Flow</a:t>
          </a:r>
        </a:p>
        <a:p>
          <a:r>
            <a:rPr lang="en-US" sz="1100" baseline="0"/>
            <a:t>* While Deliveries are forecasted to Increase in 25' Boeing is still burning cash to ramp production across their jet models especially tyhe constlier widebody jets. This allows for recovery but not entirely to a positive cash flow until 26"</a:t>
          </a:r>
        </a:p>
        <a:p>
          <a:r>
            <a:rPr lang="en-US" sz="1200" b="1" baseline="0"/>
            <a:t>Earnings Per Share Calculation</a:t>
          </a:r>
        </a:p>
        <a:p>
          <a:r>
            <a:rPr lang="en-US" sz="1100" baseline="0"/>
            <a:t>* Depreciation is used as 2.3% of Revenues, which is consistent with historical averages</a:t>
          </a:r>
        </a:p>
        <a:p>
          <a:r>
            <a:rPr lang="en-US" sz="1100" baseline="0"/>
            <a:t>* Interest Expense used is 2.5 Billion as Boeing's structure is debt heavy, decreasing over time to 1.7 billion in 2030</a:t>
          </a:r>
        </a:p>
        <a:p>
          <a:r>
            <a:rPr lang="en-US" sz="1100" baseline="0"/>
            <a:t>	Why? We forecast Free Cash Flow increasing to 8.64B, 	allowing them to pay down their debt causing a 	lower 	interest expense, as their interest expense in peak year 	2018 when they had strong cash flow was significantly 	lower than the current levels</a:t>
          </a:r>
        </a:p>
      </xdr:txBody>
    </xdr:sp>
    <xdr:clientData/>
  </xdr:twoCellAnchor>
  <xdr:twoCellAnchor>
    <xdr:from>
      <xdr:col>3</xdr:col>
      <xdr:colOff>622549</xdr:colOff>
      <xdr:row>42</xdr:row>
      <xdr:rowOff>37353</xdr:rowOff>
    </xdr:from>
    <xdr:to>
      <xdr:col>7</xdr:col>
      <xdr:colOff>809313</xdr:colOff>
      <xdr:row>45</xdr:row>
      <xdr:rowOff>12451</xdr:rowOff>
    </xdr:to>
    <xdr:sp macro="" textlink="">
      <xdr:nvSpPr>
        <xdr:cNvPr id="2" name="TextBox 1">
          <a:extLst>
            <a:ext uri="{FF2B5EF4-FFF2-40B4-BE49-F238E27FC236}">
              <a16:creationId xmlns:a16="http://schemas.microsoft.com/office/drawing/2014/main" id="{924D314E-C1A2-43B3-CF62-43D789D12661}"/>
            </a:ext>
          </a:extLst>
        </xdr:cNvPr>
        <xdr:cNvSpPr txBox="1"/>
      </xdr:nvSpPr>
      <xdr:spPr>
        <a:xfrm>
          <a:off x="5266765" y="10533529"/>
          <a:ext cx="4270685" cy="5727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 EPS may be understated starting in 2026 as Boeing may have DTA's on their balance sheets from past years on negative earnings</a:t>
          </a:r>
        </a:p>
        <a:p>
          <a:r>
            <a:rPr lang="en-US" sz="1100" baseline="0"/>
            <a:t>* 2027 Shares Outstanding Increases slightly more than other years due to the converting of preferred debt that ends in 2027. </a:t>
          </a:r>
        </a:p>
      </xdr:txBody>
    </xdr:sp>
    <xdr:clientData/>
  </xdr:twoCellAnchor>
  <xdr:twoCellAnchor>
    <xdr:from>
      <xdr:col>8</xdr:col>
      <xdr:colOff>199215</xdr:colOff>
      <xdr:row>20</xdr:row>
      <xdr:rowOff>149412</xdr:rowOff>
    </xdr:from>
    <xdr:to>
      <xdr:col>11</xdr:col>
      <xdr:colOff>572745</xdr:colOff>
      <xdr:row>33</xdr:row>
      <xdr:rowOff>186766</xdr:rowOff>
    </xdr:to>
    <xdr:sp macro="" textlink="">
      <xdr:nvSpPr>
        <xdr:cNvPr id="3" name="TextBox 2">
          <a:extLst>
            <a:ext uri="{FF2B5EF4-FFF2-40B4-BE49-F238E27FC236}">
              <a16:creationId xmlns:a16="http://schemas.microsoft.com/office/drawing/2014/main" id="{FD229ECE-92D4-88E5-71AF-79DFA75A9FFC}"/>
            </a:ext>
          </a:extLst>
        </xdr:cNvPr>
        <xdr:cNvSpPr txBox="1"/>
      </xdr:nvSpPr>
      <xdr:spPr>
        <a:xfrm>
          <a:off x="9948333" y="6262843"/>
          <a:ext cx="3436471" cy="2627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u="sng">
              <a:latin typeface="Georgia" panose="02040502050405020303" pitchFamily="18" charset="0"/>
            </a:rPr>
            <a:t>Conclusion (March 1st,</a:t>
          </a:r>
          <a:r>
            <a:rPr lang="en-US" sz="1500" b="1" u="sng" baseline="0">
              <a:latin typeface="Georgia" panose="02040502050405020303" pitchFamily="18" charset="0"/>
            </a:rPr>
            <a:t> </a:t>
          </a:r>
          <a:r>
            <a:rPr lang="en-US" sz="1500" b="1" u="sng">
              <a:latin typeface="Georgia" panose="02040502050405020303" pitchFamily="18" charset="0"/>
            </a:rPr>
            <a:t>2025)</a:t>
          </a:r>
        </a:p>
        <a:p>
          <a:pPr algn="ctr"/>
          <a:endParaRPr lang="en-US" sz="500" b="1" u="sng">
            <a:latin typeface="Georgia" panose="02040502050405020303" pitchFamily="18" charset="0"/>
          </a:endParaRPr>
        </a:p>
        <a:p>
          <a:pPr algn="ctr"/>
          <a:r>
            <a:rPr lang="en-US" sz="1100">
              <a:latin typeface="+mn-lt"/>
            </a:rPr>
            <a:t>Boeing’s earnings power as a fully restructured company is expected to normalize by the end of the decade, with production returning to over 800 commercial aircraft annually by 2030. This recovery supports a return to peak operational performance, with projected earnings per share reaching approximately $12. As supply chain pressures ease and margins recover alongside volume, Boeing regains its position as a high-cash-flow aerospace leader. Based on historical valuation ranges and projected profitability, I</a:t>
          </a:r>
          <a:r>
            <a:rPr lang="en-US" sz="1100" baseline="0">
              <a:latin typeface="+mn-lt"/>
            </a:rPr>
            <a:t> </a:t>
          </a:r>
          <a:r>
            <a:rPr lang="en-US" sz="1100">
              <a:latin typeface="+mn-lt"/>
            </a:rPr>
            <a:t>believe the company’s stock could trade between $280 and $320 per share by 2030, reflecting a full return to pre-crisis form</a:t>
          </a:r>
          <a:r>
            <a:rPr lang="en-US" sz="1100" baseline="0">
              <a:latin typeface="+mn-lt"/>
            </a:rPr>
            <a:t> and a 6 year CAGR of 11.6%.</a:t>
          </a:r>
        </a:p>
        <a:p>
          <a:pPr algn="l"/>
          <a:endParaRPr lang="en-US" sz="1400" baseline="0"/>
        </a:p>
      </xdr:txBody>
    </xdr:sp>
    <xdr:clientData/>
  </xdr:twoCellAnchor>
  <xdr:twoCellAnchor>
    <xdr:from>
      <xdr:col>11</xdr:col>
      <xdr:colOff>908922</xdr:colOff>
      <xdr:row>20</xdr:row>
      <xdr:rowOff>149413</xdr:rowOff>
    </xdr:from>
    <xdr:to>
      <xdr:col>16</xdr:col>
      <xdr:colOff>186765</xdr:colOff>
      <xdr:row>35</xdr:row>
      <xdr:rowOff>49805</xdr:rowOff>
    </xdr:to>
    <xdr:sp macro="" textlink="">
      <xdr:nvSpPr>
        <xdr:cNvPr id="6" name="TextBox 5">
          <a:extLst>
            <a:ext uri="{FF2B5EF4-FFF2-40B4-BE49-F238E27FC236}">
              <a16:creationId xmlns:a16="http://schemas.microsoft.com/office/drawing/2014/main" id="{0A634BD6-A7C9-B5A8-097D-166EA4671BFB}"/>
            </a:ext>
          </a:extLst>
        </xdr:cNvPr>
        <xdr:cNvSpPr txBox="1"/>
      </xdr:nvSpPr>
      <xdr:spPr>
        <a:xfrm>
          <a:off x="13720981" y="6262844"/>
          <a:ext cx="4382745" cy="28886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u="sng">
              <a:latin typeface="Georgia" panose="02040502050405020303" pitchFamily="18" charset="0"/>
            </a:rPr>
            <a:t>2025 Q1 Forecast</a:t>
          </a:r>
          <a:r>
            <a:rPr lang="en-US" sz="1500" b="1" u="sng" baseline="0">
              <a:latin typeface="Georgia" panose="02040502050405020303" pitchFamily="18" charset="0"/>
            </a:rPr>
            <a:t> Update</a:t>
          </a:r>
          <a:endParaRPr lang="en-US" sz="1500" b="1" u="sng">
            <a:latin typeface="Georgia" panose="02040502050405020303" pitchFamily="18" charset="0"/>
          </a:endParaRPr>
        </a:p>
        <a:p>
          <a:endParaRPr lang="en-US">
            <a:latin typeface="Georgia" panose="02040502050405020303" pitchFamily="18" charset="0"/>
          </a:endParaRPr>
        </a:p>
        <a:p>
          <a:pPr algn="ctr"/>
          <a:r>
            <a:rPr lang="en-US">
              <a:latin typeface="+mn-lt"/>
              <a:cs typeface="Calibri" panose="020F0502020204030204" pitchFamily="34" charset="0"/>
            </a:rPr>
            <a:t>Through the first quarter of 2025, Boeing delivered </a:t>
          </a:r>
          <a:r>
            <a:rPr lang="en-US" b="1">
              <a:latin typeface="+mn-lt"/>
              <a:cs typeface="Calibri" panose="020F0502020204030204" pitchFamily="34" charset="0"/>
            </a:rPr>
            <a:t>130 commercial aircraft</a:t>
          </a:r>
          <a:r>
            <a:rPr lang="en-US">
              <a:latin typeface="+mn-lt"/>
              <a:cs typeface="Calibri" panose="020F0502020204030204" pitchFamily="34" charset="0"/>
            </a:rPr>
            <a:t>, reflecting continued progress in recovering production rates across the 737, 787, and 777 programs. Commercial Airplanes revenue totaled </a:t>
          </a:r>
          <a:r>
            <a:rPr lang="en-US" b="1">
              <a:latin typeface="+mn-lt"/>
              <a:cs typeface="Calibri" panose="020F0502020204030204" pitchFamily="34" charset="0"/>
            </a:rPr>
            <a:t>$8.1 billion</a:t>
          </a:r>
          <a:r>
            <a:rPr lang="en-US">
              <a:latin typeface="+mn-lt"/>
              <a:cs typeface="Calibri" panose="020F0502020204030204" pitchFamily="34" charset="0"/>
            </a:rPr>
            <a:t>, representing a </a:t>
          </a:r>
          <a:r>
            <a:rPr lang="en-US" b="1">
              <a:latin typeface="+mn-lt"/>
              <a:cs typeface="Calibri" panose="020F0502020204030204" pitchFamily="34" charset="0"/>
            </a:rPr>
            <a:t>75% increase</a:t>
          </a:r>
          <a:r>
            <a:rPr lang="en-US">
              <a:latin typeface="+mn-lt"/>
              <a:cs typeface="Calibri" panose="020F0502020204030204" pitchFamily="34" charset="0"/>
            </a:rPr>
            <a:t> compared to the prior-year period.</a:t>
          </a:r>
        </a:p>
        <a:p>
          <a:pPr algn="ctr"/>
          <a:endParaRPr lang="en-US">
            <a:latin typeface="+mn-lt"/>
            <a:cs typeface="Calibri" panose="020F0502020204030204" pitchFamily="34" charset="0"/>
          </a:endParaRPr>
        </a:p>
        <a:p>
          <a:pPr algn="ctr"/>
          <a:r>
            <a:rPr lang="en-US">
              <a:latin typeface="+mn-lt"/>
              <a:cs typeface="Calibri" panose="020F0502020204030204" pitchFamily="34" charset="0"/>
            </a:rPr>
            <a:t>While this Q1 delivery volume represents approximately </a:t>
          </a:r>
          <a:r>
            <a:rPr lang="en-US" b="1">
              <a:latin typeface="+mn-lt"/>
              <a:cs typeface="Calibri" panose="020F0502020204030204" pitchFamily="34" charset="0"/>
            </a:rPr>
            <a:t>24%</a:t>
          </a:r>
          <a:r>
            <a:rPr lang="en-US">
              <a:latin typeface="+mn-lt"/>
              <a:cs typeface="Calibri" panose="020F0502020204030204" pitchFamily="34" charset="0"/>
            </a:rPr>
            <a:t> of our full-year forecast, it is important to note that Boeing has guided for a </a:t>
          </a:r>
          <a:r>
            <a:rPr lang="en-US" b="1">
              <a:latin typeface="+mn-lt"/>
              <a:cs typeface="Calibri" panose="020F0502020204030204" pitchFamily="34" charset="0"/>
            </a:rPr>
            <a:t>sequential production ramp-up throughout 2025</a:t>
          </a:r>
          <a:r>
            <a:rPr lang="en-US">
              <a:latin typeface="+mn-lt"/>
              <a:cs typeface="Calibri" panose="020F0502020204030204" pitchFamily="34" charset="0"/>
            </a:rPr>
            <a:t>, with higher output levels planned for the second half of the year. As such, a simple pro-rata quarterly average does not fully reflect the anticipated delivery cadence. Current performance is </a:t>
          </a:r>
          <a:r>
            <a:rPr lang="en-US" b="1">
              <a:latin typeface="+mn-lt"/>
              <a:cs typeface="Calibri" panose="020F0502020204030204" pitchFamily="34" charset="0"/>
            </a:rPr>
            <a:t>generally consistent with our expectations</a:t>
          </a:r>
          <a:r>
            <a:rPr lang="en-US">
              <a:latin typeface="+mn-lt"/>
              <a:cs typeface="Calibri" panose="020F0502020204030204" pitchFamily="34" charset="0"/>
            </a:rPr>
            <a:t>, positioning the company on track to achieve full-year targets assuming continued operational stability and supply chain improvements.</a:t>
          </a:r>
        </a:p>
        <a:p>
          <a:endParaRPr lang="en-US" sz="1100">
            <a:latin typeface="Georgia" panose="020405020504050203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46886</xdr:colOff>
      <xdr:row>2</xdr:row>
      <xdr:rowOff>173805</xdr:rowOff>
    </xdr:from>
    <xdr:to>
      <xdr:col>14</xdr:col>
      <xdr:colOff>778750</xdr:colOff>
      <xdr:row>19</xdr:row>
      <xdr:rowOff>139915</xdr:rowOff>
    </xdr:to>
    <xdr:graphicFrame macro="">
      <xdr:nvGraphicFramePr>
        <xdr:cNvPr id="2" name="Chart 1">
          <a:extLst>
            <a:ext uri="{FF2B5EF4-FFF2-40B4-BE49-F238E27FC236}">
              <a16:creationId xmlns:a16="http://schemas.microsoft.com/office/drawing/2014/main" id="{CCCD6DE7-0195-1732-A862-4AC982AE0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EF766-BF08-4348-856D-68683397197B}">
  <dimension ref="A1:P18"/>
  <sheetViews>
    <sheetView zoomScale="102" workbookViewId="0">
      <selection activeCell="K23" sqref="K23"/>
    </sheetView>
  </sheetViews>
  <sheetFormatPr baseColWidth="10" defaultRowHeight="16" x14ac:dyDescent="0.2"/>
  <cols>
    <col min="1" max="1" width="34.1640625" customWidth="1"/>
    <col min="2" max="16" width="13.33203125" customWidth="1"/>
  </cols>
  <sheetData>
    <row r="1" spans="1:16" ht="17" x14ac:dyDescent="0.2">
      <c r="A1" s="22" t="s">
        <v>50</v>
      </c>
      <c r="B1" s="22">
        <v>2017</v>
      </c>
      <c r="C1" s="22">
        <v>2018</v>
      </c>
      <c r="D1" s="22">
        <v>2019</v>
      </c>
      <c r="E1" s="22">
        <v>2020</v>
      </c>
      <c r="F1" s="22">
        <v>2021</v>
      </c>
      <c r="G1" s="22">
        <v>2022</v>
      </c>
      <c r="H1" s="22">
        <v>2023</v>
      </c>
      <c r="I1" s="35">
        <v>2024</v>
      </c>
      <c r="J1" s="23" t="s">
        <v>71</v>
      </c>
      <c r="K1" s="22" t="s">
        <v>44</v>
      </c>
      <c r="L1" s="22" t="s">
        <v>45</v>
      </c>
      <c r="M1" s="22" t="s">
        <v>46</v>
      </c>
      <c r="N1" s="22" t="s">
        <v>47</v>
      </c>
      <c r="O1" s="22" t="s">
        <v>48</v>
      </c>
      <c r="P1" s="22" t="s">
        <v>49</v>
      </c>
    </row>
    <row r="2" spans="1:16" s="16" customFormat="1" ht="25" customHeight="1" x14ac:dyDescent="0.2">
      <c r="A2" s="21" t="s">
        <v>51</v>
      </c>
      <c r="B2" s="24">
        <f>SUM(B3:B5)</f>
        <v>93.199999999999989</v>
      </c>
      <c r="C2" s="24">
        <f t="shared" ref="C2:H2" si="0">SUM(C3:C5)</f>
        <v>100.9</v>
      </c>
      <c r="D2" s="24">
        <f t="shared" si="0"/>
        <v>76.800000000000011</v>
      </c>
      <c r="E2" s="24">
        <f t="shared" si="0"/>
        <v>57.91</v>
      </c>
      <c r="F2" s="24">
        <f t="shared" si="0"/>
        <v>62.3</v>
      </c>
      <c r="G2" s="24">
        <f t="shared" si="0"/>
        <v>66.759999999999991</v>
      </c>
      <c r="H2" s="24">
        <f t="shared" si="0"/>
        <v>77.900000000000006</v>
      </c>
      <c r="I2" s="24">
        <f>SUM(I3:I5)</f>
        <v>66.599999999999994</v>
      </c>
      <c r="J2" s="24">
        <v>19.5</v>
      </c>
      <c r="K2" s="24">
        <f t="shared" ref="K2:P2" si="1">SUM(K3:K5)</f>
        <v>80.942000000000007</v>
      </c>
      <c r="L2" s="24">
        <f t="shared" si="1"/>
        <v>94.244</v>
      </c>
      <c r="M2" s="24">
        <f t="shared" si="1"/>
        <v>103.07</v>
      </c>
      <c r="N2" s="24">
        <f t="shared" si="1"/>
        <v>109.21100000000001</v>
      </c>
      <c r="O2" s="24">
        <f t="shared" si="1"/>
        <v>113.36399999999999</v>
      </c>
      <c r="P2" s="24">
        <f t="shared" si="1"/>
        <v>116.34</v>
      </c>
    </row>
    <row r="3" spans="1:16" s="16" customFormat="1" ht="25" customHeight="1" x14ac:dyDescent="0.2">
      <c r="A3" s="32" t="s">
        <v>52</v>
      </c>
      <c r="B3" s="24">
        <v>58</v>
      </c>
      <c r="C3" s="24">
        <v>60.7</v>
      </c>
      <c r="D3" s="24">
        <v>32.200000000000003</v>
      </c>
      <c r="E3" s="24">
        <v>16.16</v>
      </c>
      <c r="F3" s="24">
        <v>19.5</v>
      </c>
      <c r="G3" s="24">
        <v>26</v>
      </c>
      <c r="H3" s="24">
        <v>33.9</v>
      </c>
      <c r="I3" s="24">
        <v>22.8</v>
      </c>
      <c r="J3" s="25">
        <v>8.15</v>
      </c>
      <c r="K3" s="25">
        <f>K6*K7/1000</f>
        <v>35.442</v>
      </c>
      <c r="L3" s="25">
        <f t="shared" ref="L3:P3" si="2">L6*L7/1000</f>
        <v>46.444000000000003</v>
      </c>
      <c r="M3" s="25">
        <f t="shared" si="2"/>
        <v>52.85</v>
      </c>
      <c r="N3" s="25">
        <f t="shared" si="2"/>
        <v>56.871000000000002</v>
      </c>
      <c r="O3" s="25">
        <f t="shared" si="2"/>
        <v>58.823999999999998</v>
      </c>
      <c r="P3" s="25">
        <f t="shared" si="2"/>
        <v>60.59</v>
      </c>
    </row>
    <row r="4" spans="1:16" s="16" customFormat="1" ht="25" customHeight="1" x14ac:dyDescent="0.2">
      <c r="A4" s="32" t="s">
        <v>53</v>
      </c>
      <c r="B4" s="24">
        <v>20.6</v>
      </c>
      <c r="C4" s="24">
        <v>23.2</v>
      </c>
      <c r="D4" s="24">
        <v>26.1</v>
      </c>
      <c r="E4" s="24">
        <v>26.25</v>
      </c>
      <c r="F4" s="24">
        <v>26.5</v>
      </c>
      <c r="G4" s="24">
        <v>23.16</v>
      </c>
      <c r="H4" s="24">
        <v>24.9</v>
      </c>
      <c r="I4" s="24">
        <v>23.9</v>
      </c>
      <c r="J4" s="24">
        <v>6.3</v>
      </c>
      <c r="K4" s="24">
        <v>25.5</v>
      </c>
      <c r="L4" s="24">
        <v>26.4</v>
      </c>
      <c r="M4" s="24">
        <v>27.32</v>
      </c>
      <c r="N4" s="24">
        <v>28.3</v>
      </c>
      <c r="O4" s="24">
        <v>29.3</v>
      </c>
      <c r="P4" s="24">
        <v>29.5</v>
      </c>
    </row>
    <row r="5" spans="1:16" s="16" customFormat="1" ht="25" customHeight="1" x14ac:dyDescent="0.2">
      <c r="A5" s="32" t="s">
        <v>20</v>
      </c>
      <c r="B5" s="24">
        <v>14.6</v>
      </c>
      <c r="C5" s="24">
        <v>17</v>
      </c>
      <c r="D5" s="24">
        <v>18.5</v>
      </c>
      <c r="E5" s="24">
        <v>15.5</v>
      </c>
      <c r="F5" s="24">
        <v>16.3</v>
      </c>
      <c r="G5" s="24">
        <v>17.600000000000001</v>
      </c>
      <c r="H5" s="24">
        <v>19.100000000000001</v>
      </c>
      <c r="I5" s="24">
        <v>19.899999999999999</v>
      </c>
      <c r="J5" s="24">
        <v>5.0599999999999996</v>
      </c>
      <c r="K5" s="24">
        <v>20</v>
      </c>
      <c r="L5" s="24">
        <v>21.4</v>
      </c>
      <c r="M5" s="24">
        <v>22.9</v>
      </c>
      <c r="N5" s="24">
        <v>24.04</v>
      </c>
      <c r="O5" s="24">
        <v>25.24</v>
      </c>
      <c r="P5" s="24">
        <v>26.25</v>
      </c>
    </row>
    <row r="6" spans="1:16" s="16" customFormat="1" ht="25" customHeight="1" x14ac:dyDescent="0.2">
      <c r="A6" s="21" t="s">
        <v>54</v>
      </c>
      <c r="B6" s="24">
        <v>763</v>
      </c>
      <c r="C6" s="24">
        <v>806</v>
      </c>
      <c r="D6" s="24">
        <v>380</v>
      </c>
      <c r="E6" s="24">
        <v>157</v>
      </c>
      <c r="F6" s="24">
        <v>340</v>
      </c>
      <c r="G6" s="24">
        <v>480</v>
      </c>
      <c r="H6" s="24">
        <v>528</v>
      </c>
      <c r="I6" s="24">
        <v>348</v>
      </c>
      <c r="J6" s="26">
        <v>130</v>
      </c>
      <c r="K6" s="26">
        <v>537</v>
      </c>
      <c r="L6" s="26">
        <v>683</v>
      </c>
      <c r="M6" s="24">
        <v>755</v>
      </c>
      <c r="N6" s="24">
        <v>801</v>
      </c>
      <c r="O6" s="24">
        <v>817</v>
      </c>
      <c r="P6" s="24">
        <v>830</v>
      </c>
    </row>
    <row r="7" spans="1:16" s="16" customFormat="1" ht="25" customHeight="1" x14ac:dyDescent="0.2">
      <c r="A7" s="21" t="s">
        <v>55</v>
      </c>
      <c r="B7" s="27">
        <f t="shared" ref="B7:H7" si="3">B3/B6*1000</f>
        <v>76.015727391874179</v>
      </c>
      <c r="C7" s="27">
        <f t="shared" si="3"/>
        <v>75.310173697270471</v>
      </c>
      <c r="D7" s="27">
        <f t="shared" si="3"/>
        <v>84.736842105263165</v>
      </c>
      <c r="E7" s="27">
        <f t="shared" si="3"/>
        <v>102.92993630573248</v>
      </c>
      <c r="F7" s="27">
        <f t="shared" si="3"/>
        <v>57.352941176470587</v>
      </c>
      <c r="G7" s="27">
        <f t="shared" si="3"/>
        <v>54.166666666666671</v>
      </c>
      <c r="H7" s="27">
        <f t="shared" si="3"/>
        <v>64.204545454545453</v>
      </c>
      <c r="I7" s="27">
        <f>I3/I6*1000</f>
        <v>65.517241379310349</v>
      </c>
      <c r="J7" s="27">
        <f>J3/J6*1000</f>
        <v>62.692307692307701</v>
      </c>
      <c r="K7" s="24">
        <v>66</v>
      </c>
      <c r="L7" s="24">
        <v>68</v>
      </c>
      <c r="M7" s="24">
        <v>70</v>
      </c>
      <c r="N7" s="24">
        <v>71</v>
      </c>
      <c r="O7" s="24">
        <v>72</v>
      </c>
      <c r="P7" s="24">
        <v>73</v>
      </c>
    </row>
    <row r="8" spans="1:16" s="16" customFormat="1" ht="25" customHeight="1" x14ac:dyDescent="0.2">
      <c r="A8" s="21" t="s">
        <v>56</v>
      </c>
      <c r="B8" s="24">
        <v>421</v>
      </c>
      <c r="C8" s="24">
        <v>490</v>
      </c>
      <c r="D8" s="24">
        <v>376</v>
      </c>
      <c r="E8" s="24">
        <v>312</v>
      </c>
      <c r="F8" s="24">
        <v>282</v>
      </c>
      <c r="G8" s="24">
        <v>330</v>
      </c>
      <c r="H8" s="24">
        <v>440.5</v>
      </c>
      <c r="I8" s="24">
        <v>521</v>
      </c>
      <c r="J8" s="24">
        <v>545</v>
      </c>
      <c r="K8" s="24">
        <v>545</v>
      </c>
      <c r="L8" s="24">
        <v>545</v>
      </c>
      <c r="M8" s="24">
        <v>545</v>
      </c>
      <c r="N8" s="24">
        <v>545</v>
      </c>
      <c r="O8" s="24">
        <v>545</v>
      </c>
      <c r="P8" s="24">
        <v>545</v>
      </c>
    </row>
    <row r="9" spans="1:16" s="16" customFormat="1" ht="25" customHeight="1" x14ac:dyDescent="0.2">
      <c r="A9" s="21" t="s">
        <v>42</v>
      </c>
      <c r="B9" s="24">
        <v>5864</v>
      </c>
      <c r="C9" s="24">
        <v>5900</v>
      </c>
      <c r="D9" s="24">
        <v>5625</v>
      </c>
      <c r="E9" s="24">
        <v>4997</v>
      </c>
      <c r="F9" s="24">
        <v>4186</v>
      </c>
      <c r="G9" s="24">
        <v>4578</v>
      </c>
      <c r="H9" s="24">
        <v>5600</v>
      </c>
      <c r="I9" s="24">
        <v>5500</v>
      </c>
      <c r="J9" s="24"/>
      <c r="K9" s="24"/>
      <c r="L9" s="24"/>
      <c r="M9" s="24"/>
      <c r="N9" s="24"/>
      <c r="O9" s="24"/>
      <c r="P9" s="24"/>
    </row>
    <row r="10" spans="1:16" s="16" customFormat="1" ht="25" customHeight="1" x14ac:dyDescent="0.2">
      <c r="A10" s="21" t="s">
        <v>43</v>
      </c>
      <c r="B10" s="28">
        <f t="shared" ref="B10:G10" si="4">B3/B8</f>
        <v>0.13776722090261281</v>
      </c>
      <c r="C10" s="28">
        <f t="shared" si="4"/>
        <v>0.12387755102040816</v>
      </c>
      <c r="D10" s="28">
        <f t="shared" si="4"/>
        <v>8.5638297872340438E-2</v>
      </c>
      <c r="E10" s="28">
        <f t="shared" si="4"/>
        <v>5.1794871794871793E-2</v>
      </c>
      <c r="F10" s="28">
        <f t="shared" si="4"/>
        <v>6.9148936170212769E-2</v>
      </c>
      <c r="G10" s="28">
        <f t="shared" si="4"/>
        <v>7.8787878787878782E-2</v>
      </c>
      <c r="H10" s="28">
        <f>H3/H8</f>
        <v>7.6958002270147555E-2</v>
      </c>
      <c r="I10" s="28">
        <f>I3/I8</f>
        <v>4.376199616122841E-2</v>
      </c>
      <c r="J10" s="28">
        <f>J3/J8</f>
        <v>1.4954128440366973E-2</v>
      </c>
      <c r="K10" s="28">
        <f t="shared" ref="K10:P10" si="5">K3/K8</f>
        <v>6.5031192660550463E-2</v>
      </c>
      <c r="L10" s="28">
        <f t="shared" si="5"/>
        <v>8.5218348623853218E-2</v>
      </c>
      <c r="M10" s="28">
        <f t="shared" si="5"/>
        <v>9.6972477064220186E-2</v>
      </c>
      <c r="N10" s="28">
        <f t="shared" si="5"/>
        <v>0.10435045871559634</v>
      </c>
      <c r="O10" s="28">
        <f t="shared" si="5"/>
        <v>0.10793394495412843</v>
      </c>
      <c r="P10" s="28">
        <f t="shared" si="5"/>
        <v>0.11117431192660551</v>
      </c>
    </row>
    <row r="11" spans="1:16" s="16" customFormat="1" ht="25" customHeight="1" x14ac:dyDescent="0.2">
      <c r="A11" s="21" t="s">
        <v>57</v>
      </c>
      <c r="B11" s="24">
        <v>13.35</v>
      </c>
      <c r="C11" s="24">
        <v>15.3</v>
      </c>
      <c r="D11" s="24">
        <v>-2.4500000000000002</v>
      </c>
      <c r="E11" s="24">
        <v>-18.399999999999999</v>
      </c>
      <c r="F11" s="24">
        <v>-3.4</v>
      </c>
      <c r="G11" s="24">
        <v>3.5</v>
      </c>
      <c r="H11" s="24">
        <v>6</v>
      </c>
      <c r="I11" s="24">
        <v>-12.1</v>
      </c>
      <c r="J11" s="24">
        <v>1.6</v>
      </c>
      <c r="K11" s="24">
        <v>-2.2999999999999998</v>
      </c>
      <c r="L11" s="24">
        <v>1.69</v>
      </c>
      <c r="M11" s="24">
        <v>5.12</v>
      </c>
      <c r="N11" s="24">
        <v>8.1</v>
      </c>
      <c r="O11" s="24">
        <v>9.6999999999999993</v>
      </c>
      <c r="P11" s="24">
        <v>11.39</v>
      </c>
    </row>
    <row r="12" spans="1:16" s="16" customFormat="1" ht="25" customHeight="1" x14ac:dyDescent="0.2">
      <c r="A12" s="21" t="s">
        <v>58</v>
      </c>
      <c r="B12" s="24">
        <v>11</v>
      </c>
      <c r="C12" s="24">
        <v>11.9</v>
      </c>
      <c r="D12" s="24">
        <v>-2.6</v>
      </c>
      <c r="E12" s="24">
        <v>-22</v>
      </c>
      <c r="F12" s="24">
        <v>-4.7</v>
      </c>
      <c r="G12" s="24">
        <v>-5.3</v>
      </c>
      <c r="H12" s="24">
        <v>-1</v>
      </c>
      <c r="I12" s="24">
        <v>-16.100000000000001</v>
      </c>
      <c r="J12" s="24">
        <v>2.4</v>
      </c>
      <c r="K12" s="24">
        <v>1.9</v>
      </c>
      <c r="L12" s="24">
        <v>3.5</v>
      </c>
      <c r="M12" s="24">
        <v>5.5</v>
      </c>
      <c r="N12" s="24">
        <v>7</v>
      </c>
      <c r="O12" s="24">
        <v>8.5</v>
      </c>
      <c r="P12" s="24">
        <v>11</v>
      </c>
    </row>
    <row r="13" spans="1:16" s="16" customFormat="1" ht="25" customHeight="1" x14ac:dyDescent="0.2">
      <c r="A13" s="21" t="s">
        <v>59</v>
      </c>
      <c r="B13" s="24">
        <v>13.9</v>
      </c>
      <c r="C13" s="24">
        <v>14.17</v>
      </c>
      <c r="D13" s="24">
        <v>2.5000000000000001E-2</v>
      </c>
      <c r="E13" s="24">
        <v>-10.7</v>
      </c>
      <c r="F13" s="24">
        <v>-1.04</v>
      </c>
      <c r="G13" s="24">
        <v>-1.57</v>
      </c>
      <c r="H13" s="24">
        <v>1.0900000000000001</v>
      </c>
      <c r="I13" s="24">
        <v>-8.8699999999999992</v>
      </c>
      <c r="J13" s="27">
        <v>1.06</v>
      </c>
      <c r="K13" s="27">
        <f>K2*(K12/100)+(K2*0.023)</f>
        <v>3.3995640000000003</v>
      </c>
      <c r="L13" s="27">
        <f>L2*(L12/100)+(L2*0.023)</f>
        <v>5.466152000000001</v>
      </c>
      <c r="M13" s="27">
        <f t="shared" ref="M13:P13" si="6">M2*(M12/100)+(M2*0.023)</f>
        <v>8.0394600000000001</v>
      </c>
      <c r="N13" s="27">
        <f t="shared" si="6"/>
        <v>10.156623000000002</v>
      </c>
      <c r="O13" s="27">
        <f t="shared" si="6"/>
        <v>12.243312</v>
      </c>
      <c r="P13" s="27">
        <f t="shared" si="6"/>
        <v>15.47322</v>
      </c>
    </row>
    <row r="14" spans="1:16" s="16" customFormat="1" ht="25" customHeight="1" x14ac:dyDescent="0.2">
      <c r="A14" s="21" t="s">
        <v>63</v>
      </c>
      <c r="B14" s="24">
        <v>11.5</v>
      </c>
      <c r="C14" s="24">
        <v>13.6</v>
      </c>
      <c r="D14" s="24">
        <v>-4.3</v>
      </c>
      <c r="E14" s="24">
        <v>-19.7</v>
      </c>
      <c r="F14" s="24">
        <v>-4.4000000000000004</v>
      </c>
      <c r="G14" s="24">
        <v>2.29</v>
      </c>
      <c r="H14" s="24">
        <v>4.43</v>
      </c>
      <c r="I14" s="24">
        <v>-14.3</v>
      </c>
      <c r="J14" s="24">
        <v>-2.29</v>
      </c>
      <c r="K14" s="24">
        <v>-4.4000000000000004</v>
      </c>
      <c r="L14" s="24">
        <v>4.2</v>
      </c>
      <c r="M14" s="24">
        <v>7.1</v>
      </c>
      <c r="N14" s="24">
        <v>10</v>
      </c>
      <c r="O14" s="24">
        <v>10.1</v>
      </c>
      <c r="P14" s="24">
        <v>10.97</v>
      </c>
    </row>
    <row r="15" spans="1:16" s="31" customFormat="1" ht="25" customHeight="1" x14ac:dyDescent="0.2">
      <c r="A15" s="33" t="s">
        <v>62</v>
      </c>
      <c r="B15" s="25">
        <f t="shared" ref="B15:P15" si="7">(B14*1000)/(B17)</f>
        <v>17.884914463452567</v>
      </c>
      <c r="C15" s="25">
        <f t="shared" si="7"/>
        <v>23.208191126279864</v>
      </c>
      <c r="D15" s="25">
        <f t="shared" si="7"/>
        <v>-7.5971731448763249</v>
      </c>
      <c r="E15" s="25">
        <f t="shared" si="7"/>
        <v>-34.622144112478033</v>
      </c>
      <c r="F15" s="25">
        <f t="shared" si="7"/>
        <v>-7.4829931972789119</v>
      </c>
      <c r="G15" s="25">
        <f t="shared" si="7"/>
        <v>3.8474462365591395</v>
      </c>
      <c r="H15" s="25">
        <f t="shared" si="7"/>
        <v>7.3102310231023102</v>
      </c>
      <c r="I15" s="25">
        <f t="shared" si="7"/>
        <v>-22.102009273570324</v>
      </c>
      <c r="J15" s="25">
        <f>(J14*1000)/(J17)</f>
        <v>-3.0411686586985391</v>
      </c>
      <c r="K15" s="25">
        <f t="shared" si="7"/>
        <v>-5.7287191104861597</v>
      </c>
      <c r="L15" s="25">
        <f t="shared" si="7"/>
        <v>5.3611007718453365</v>
      </c>
      <c r="M15" s="25">
        <f t="shared" si="7"/>
        <v>8.7142434707192962</v>
      </c>
      <c r="N15" s="25">
        <f t="shared" si="7"/>
        <v>12.0329238756135</v>
      </c>
      <c r="O15" s="25">
        <f t="shared" si="7"/>
        <v>11.91495403369572</v>
      </c>
      <c r="P15" s="25">
        <f t="shared" si="7"/>
        <v>12.687540841549412</v>
      </c>
    </row>
    <row r="16" spans="1:16" s="16" customFormat="1" ht="25" customHeight="1" x14ac:dyDescent="0.2">
      <c r="A16" s="21" t="s">
        <v>60</v>
      </c>
      <c r="B16" s="24">
        <v>14.03</v>
      </c>
      <c r="C16" s="24">
        <v>18.05</v>
      </c>
      <c r="D16" s="24">
        <v>-1.1200000000000001</v>
      </c>
      <c r="E16" s="24">
        <v>-20.88</v>
      </c>
      <c r="F16" s="24">
        <v>-7.15</v>
      </c>
      <c r="G16" s="24">
        <v>-8.3000000000000007</v>
      </c>
      <c r="H16" s="24">
        <v>-3.67</v>
      </c>
      <c r="I16" s="24">
        <v>-20.38</v>
      </c>
      <c r="J16" s="27">
        <v>-0.49</v>
      </c>
      <c r="K16" s="27">
        <f>((K2*(K12/100))-2.5)/0.685</f>
        <v>-1.4045284671532843</v>
      </c>
      <c r="L16" s="27">
        <f>(((L2*(L12/100))-2.4)*0.79)/(L17/1000)</f>
        <v>0.90608551313137853</v>
      </c>
      <c r="M16" s="27">
        <f>(((M2*(M12/100))-2.3)*0.79)/(M17/1000)</f>
        <v>3.2664807749158919</v>
      </c>
      <c r="N16" s="27">
        <f>(((N2*(N12/100))-2.1)*0.79)/(N17/1000)</f>
        <v>5.2708638301050534</v>
      </c>
      <c r="O16" s="27">
        <f>(((O2*(O12/100))-1.9)*0.79)/(O17/1000)</f>
        <v>7.2096001891948678</v>
      </c>
      <c r="P16" s="27">
        <f>(((P2*(P12/100))-1.7)*0.79)/(P17/1000)</f>
        <v>10.139561114918711</v>
      </c>
    </row>
    <row r="17" spans="1:16" ht="25" customHeight="1" x14ac:dyDescent="0.2">
      <c r="A17" s="21" t="s">
        <v>61</v>
      </c>
      <c r="B17" s="30">
        <v>643</v>
      </c>
      <c r="C17" s="30">
        <v>586</v>
      </c>
      <c r="D17" s="24">
        <v>566</v>
      </c>
      <c r="E17" s="24">
        <v>569</v>
      </c>
      <c r="F17" s="24">
        <v>588</v>
      </c>
      <c r="G17" s="24">
        <v>595.20000000000005</v>
      </c>
      <c r="H17" s="24">
        <v>606</v>
      </c>
      <c r="I17" s="24">
        <v>647</v>
      </c>
      <c r="J17" s="29">
        <v>753</v>
      </c>
      <c r="K17" s="29">
        <f>J17*1.02</f>
        <v>768.06000000000006</v>
      </c>
      <c r="L17" s="29">
        <f t="shared" ref="L17:P17" si="8">K17*1.02</f>
        <v>783.42120000000011</v>
      </c>
      <c r="M17" s="29">
        <f>L17*1.04</f>
        <v>814.75804800000014</v>
      </c>
      <c r="N17" s="29">
        <f t="shared" si="8"/>
        <v>831.05320896000012</v>
      </c>
      <c r="O17" s="29">
        <f t="shared" si="8"/>
        <v>847.67427313920018</v>
      </c>
      <c r="P17" s="29">
        <f t="shared" si="8"/>
        <v>864.62775860198417</v>
      </c>
    </row>
    <row r="18" spans="1:16" s="16" customFormat="1" ht="25" customHeight="1" x14ac:dyDescent="0.2">
      <c r="A18" s="21"/>
      <c r="B18" s="24"/>
      <c r="C18" s="24"/>
      <c r="D18" s="24"/>
      <c r="E18" s="24"/>
      <c r="F18" s="24"/>
      <c r="G18" s="24"/>
      <c r="H18" s="24"/>
      <c r="I18" s="24"/>
      <c r="J18" s="30"/>
      <c r="K18" s="30"/>
      <c r="L18" s="30"/>
      <c r="M18" s="30"/>
      <c r="N18" s="30"/>
      <c r="O18" s="30"/>
      <c r="P18" s="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C307B-446C-184D-84E5-402BA1CD092F}">
  <dimension ref="A1:P21"/>
  <sheetViews>
    <sheetView tabSelected="1" zoomScale="87" workbookViewId="0">
      <selection activeCell="D27" sqref="D27"/>
    </sheetView>
  </sheetViews>
  <sheetFormatPr baseColWidth="10" defaultRowHeight="16" x14ac:dyDescent="0.2"/>
  <cols>
    <col min="1" max="1" width="22.33203125" customWidth="1"/>
    <col min="2" max="2" width="30" customWidth="1"/>
    <col min="3" max="3" width="0.5" customWidth="1"/>
    <col min="4" max="4" width="30" customWidth="1"/>
    <col min="5" max="5" width="0.33203125" customWidth="1"/>
    <col min="7" max="7" width="0.33203125" customWidth="1"/>
    <col min="8" max="8" width="11.5" customWidth="1"/>
    <col min="16" max="16" width="0.33203125" customWidth="1"/>
  </cols>
  <sheetData>
    <row r="1" spans="1:16" s="1" customFormat="1" x14ac:dyDescent="0.2">
      <c r="C1" s="3"/>
      <c r="E1" s="3"/>
      <c r="G1" s="3"/>
      <c r="P1" s="3"/>
    </row>
    <row r="2" spans="1:16" x14ac:dyDescent="0.2">
      <c r="A2" s="4"/>
      <c r="B2" s="5" t="s">
        <v>6</v>
      </c>
      <c r="C2" s="6"/>
      <c r="D2" s="5" t="s">
        <v>72</v>
      </c>
      <c r="E2" s="2"/>
      <c r="G2" s="2"/>
      <c r="H2" s="34" t="s">
        <v>64</v>
      </c>
      <c r="I2" s="34"/>
      <c r="J2" s="34"/>
      <c r="K2" s="34"/>
      <c r="L2" s="34"/>
      <c r="M2" s="34"/>
      <c r="N2" s="34"/>
      <c r="O2" s="34"/>
      <c r="P2" s="2"/>
    </row>
    <row r="3" spans="1:16" x14ac:dyDescent="0.2">
      <c r="A3" s="4" t="s">
        <v>0</v>
      </c>
      <c r="B3" s="7" t="s">
        <v>7</v>
      </c>
      <c r="C3" s="8"/>
      <c r="D3" s="9" t="s">
        <v>25</v>
      </c>
      <c r="E3" s="2"/>
      <c r="G3" s="2"/>
      <c r="P3" s="2"/>
    </row>
    <row r="4" spans="1:16" x14ac:dyDescent="0.2">
      <c r="A4" s="4" t="s">
        <v>1</v>
      </c>
      <c r="B4" s="10">
        <v>0.11899999999999999</v>
      </c>
      <c r="C4" s="8"/>
      <c r="D4" s="11">
        <v>-0.161</v>
      </c>
      <c r="E4" s="2"/>
      <c r="G4" s="2"/>
      <c r="H4" s="19" t="s">
        <v>40</v>
      </c>
      <c r="I4">
        <v>763</v>
      </c>
      <c r="P4" s="2"/>
    </row>
    <row r="5" spans="1:16" x14ac:dyDescent="0.2">
      <c r="A5" s="4" t="s">
        <v>9</v>
      </c>
      <c r="B5" s="9" t="s">
        <v>10</v>
      </c>
      <c r="C5" s="8"/>
      <c r="D5" s="12" t="s">
        <v>30</v>
      </c>
      <c r="E5" s="2"/>
      <c r="G5" s="2"/>
      <c r="H5" s="19" t="s">
        <v>39</v>
      </c>
      <c r="I5">
        <v>806</v>
      </c>
      <c r="P5" s="2"/>
    </row>
    <row r="6" spans="1:16" x14ac:dyDescent="0.2">
      <c r="A6" s="4" t="s">
        <v>2</v>
      </c>
      <c r="B6" s="13" t="s">
        <v>11</v>
      </c>
      <c r="C6" s="8"/>
      <c r="D6" s="12" t="s">
        <v>28</v>
      </c>
      <c r="E6" s="2"/>
      <c r="G6" s="2"/>
      <c r="H6" s="19" t="s">
        <v>38</v>
      </c>
      <c r="I6">
        <v>380</v>
      </c>
      <c r="P6" s="2"/>
    </row>
    <row r="7" spans="1:16" x14ac:dyDescent="0.2">
      <c r="A7" s="4" t="s">
        <v>12</v>
      </c>
      <c r="B7" s="9" t="s">
        <v>13</v>
      </c>
      <c r="C7" s="8"/>
      <c r="D7" s="9" t="s">
        <v>27</v>
      </c>
      <c r="E7" s="2"/>
      <c r="G7" s="2"/>
      <c r="H7" s="19" t="s">
        <v>37</v>
      </c>
      <c r="I7">
        <v>157</v>
      </c>
      <c r="J7" s="20"/>
      <c r="K7" s="20"/>
      <c r="L7" s="20"/>
      <c r="M7" s="20"/>
      <c r="N7" s="20"/>
      <c r="O7" s="20"/>
      <c r="P7" s="2"/>
    </row>
    <row r="8" spans="1:16" x14ac:dyDescent="0.2">
      <c r="A8" s="4" t="s">
        <v>3</v>
      </c>
      <c r="B8" s="9" t="s">
        <v>15</v>
      </c>
      <c r="C8" s="8"/>
      <c r="D8" s="9" t="s">
        <v>24</v>
      </c>
      <c r="E8" s="2"/>
      <c r="G8" s="2"/>
      <c r="H8" s="19" t="s">
        <v>36</v>
      </c>
      <c r="I8">
        <v>340</v>
      </c>
      <c r="P8" s="2"/>
    </row>
    <row r="9" spans="1:16" x14ac:dyDescent="0.2">
      <c r="A9" s="4" t="s">
        <v>8</v>
      </c>
      <c r="B9" s="14">
        <v>17.850000000000001</v>
      </c>
      <c r="C9" s="8"/>
      <c r="D9" s="12" t="s">
        <v>29</v>
      </c>
      <c r="E9" s="2"/>
      <c r="G9" s="2"/>
      <c r="H9" s="19" t="s">
        <v>34</v>
      </c>
      <c r="I9">
        <v>480</v>
      </c>
      <c r="P9" s="2"/>
    </row>
    <row r="10" spans="1:16" x14ac:dyDescent="0.2">
      <c r="A10" s="4" t="s">
        <v>4</v>
      </c>
      <c r="B10" s="9" t="s">
        <v>14</v>
      </c>
      <c r="C10" s="8"/>
      <c r="D10" s="9" t="s">
        <v>26</v>
      </c>
      <c r="E10" s="2"/>
      <c r="G10" s="2"/>
      <c r="H10" s="19" t="s">
        <v>35</v>
      </c>
      <c r="I10">
        <v>528</v>
      </c>
      <c r="P10" s="2"/>
    </row>
    <row r="11" spans="1:16" x14ac:dyDescent="0.2">
      <c r="A11" s="4" t="s">
        <v>5</v>
      </c>
      <c r="B11" s="13">
        <v>430.35</v>
      </c>
      <c r="C11" s="8"/>
      <c r="D11" s="15" t="s">
        <v>24</v>
      </c>
      <c r="E11" s="2"/>
      <c r="G11" s="2"/>
      <c r="H11" s="19" t="s">
        <v>41</v>
      </c>
      <c r="I11">
        <v>348</v>
      </c>
      <c r="P11" s="2"/>
    </row>
    <row r="12" spans="1:16" x14ac:dyDescent="0.2">
      <c r="A12" s="16"/>
      <c r="B12" s="16"/>
      <c r="C12" s="8"/>
      <c r="D12" s="16"/>
      <c r="E12" s="2"/>
      <c r="G12" s="2"/>
      <c r="H12" s="19" t="s">
        <v>65</v>
      </c>
      <c r="I12">
        <v>537</v>
      </c>
      <c r="P12" s="2"/>
    </row>
    <row r="13" spans="1:16" x14ac:dyDescent="0.2">
      <c r="A13" s="4" t="s">
        <v>16</v>
      </c>
      <c r="B13" s="16"/>
      <c r="C13" s="8"/>
      <c r="D13" s="16"/>
      <c r="E13" s="2"/>
      <c r="G13" s="2"/>
      <c r="H13" s="19" t="s">
        <v>66</v>
      </c>
      <c r="I13">
        <v>683</v>
      </c>
      <c r="P13" s="2"/>
    </row>
    <row r="14" spans="1:16" x14ac:dyDescent="0.2">
      <c r="A14" s="16"/>
      <c r="B14" s="16"/>
      <c r="C14" s="8"/>
      <c r="D14" s="16"/>
      <c r="E14" s="2"/>
      <c r="G14" s="2"/>
      <c r="H14" s="19" t="s">
        <v>67</v>
      </c>
      <c r="I14">
        <v>755</v>
      </c>
      <c r="P14" s="2"/>
    </row>
    <row r="15" spans="1:16" x14ac:dyDescent="0.2">
      <c r="A15" s="4" t="s">
        <v>17</v>
      </c>
      <c r="B15" s="16" t="s">
        <v>18</v>
      </c>
      <c r="C15" s="8"/>
      <c r="D15" s="16" t="s">
        <v>31</v>
      </c>
      <c r="E15" s="2"/>
      <c r="G15" s="2"/>
      <c r="H15" s="19" t="s">
        <v>68</v>
      </c>
      <c r="I15">
        <v>801</v>
      </c>
      <c r="P15" s="2"/>
    </row>
    <row r="16" spans="1:16" x14ac:dyDescent="0.2">
      <c r="A16" s="17" t="s">
        <v>23</v>
      </c>
      <c r="B16" s="18">
        <v>0.13</v>
      </c>
      <c r="C16" s="8"/>
      <c r="D16" s="11">
        <v>-0.34899999999999998</v>
      </c>
      <c r="E16" s="2"/>
      <c r="G16" s="2"/>
      <c r="H16" s="19" t="s">
        <v>69</v>
      </c>
      <c r="I16">
        <v>817</v>
      </c>
      <c r="P16" s="2"/>
    </row>
    <row r="17" spans="1:16" x14ac:dyDescent="0.2">
      <c r="A17" s="4" t="s">
        <v>19</v>
      </c>
      <c r="B17" s="16" t="s">
        <v>21</v>
      </c>
      <c r="C17" s="8"/>
      <c r="D17" s="16" t="s">
        <v>32</v>
      </c>
      <c r="E17" s="2"/>
      <c r="G17" s="2"/>
      <c r="H17" s="19" t="s">
        <v>70</v>
      </c>
      <c r="I17">
        <v>830</v>
      </c>
      <c r="P17" s="2"/>
    </row>
    <row r="18" spans="1:16" x14ac:dyDescent="0.2">
      <c r="A18" s="16" t="s">
        <v>23</v>
      </c>
      <c r="B18" s="11">
        <v>6.9000000000000006E-2</v>
      </c>
      <c r="C18" s="8"/>
      <c r="D18" s="11">
        <v>-0.22600000000000001</v>
      </c>
      <c r="E18" s="2"/>
      <c r="G18" s="2"/>
      <c r="P18" s="2"/>
    </row>
    <row r="19" spans="1:16" x14ac:dyDescent="0.2">
      <c r="A19" s="4" t="s">
        <v>20</v>
      </c>
      <c r="B19" s="16" t="s">
        <v>22</v>
      </c>
      <c r="C19" s="8"/>
      <c r="D19" s="16" t="s">
        <v>33</v>
      </c>
      <c r="E19" s="2"/>
      <c r="G19" s="2"/>
      <c r="P19" s="2"/>
    </row>
    <row r="20" spans="1:16" x14ac:dyDescent="0.2">
      <c r="A20" s="16" t="s">
        <v>23</v>
      </c>
      <c r="B20" s="11">
        <v>0.14799999999999999</v>
      </c>
      <c r="C20" s="8"/>
      <c r="D20" s="11">
        <v>0.18099999999999999</v>
      </c>
      <c r="E20" s="2"/>
      <c r="G20" s="2"/>
      <c r="P20" s="2"/>
    </row>
    <row r="21" spans="1:16" ht="2" customHeight="1" x14ac:dyDescent="0.2">
      <c r="A21" s="2"/>
      <c r="B21" s="2"/>
      <c r="C21" s="2"/>
      <c r="D21" s="2"/>
      <c r="E21" s="2"/>
      <c r="G21" s="2"/>
      <c r="H21" s="2"/>
      <c r="I21" s="2"/>
      <c r="J21" s="2"/>
      <c r="K21" s="2"/>
      <c r="L21" s="2"/>
      <c r="M21" s="2"/>
      <c r="N21" s="2"/>
      <c r="O21" s="2"/>
      <c r="P21" s="2"/>
    </row>
  </sheetData>
  <mergeCells count="1">
    <mergeCell ref="H2:O2"/>
  </mergeCells>
  <phoneticPr fontId="7" type="noConversion"/>
  <pageMargins left="0.7" right="0.7" top="0.75" bottom="0.75" header="0.3" footer="0.3"/>
  <ignoredErrors>
    <ignoredError sqref="D9" numberStoredAsText="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 forecast</vt:lpstr>
      <vt:lpstr>Record Year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Cinnamond</dc:creator>
  <cp:lastModifiedBy>Kyle Cinnamond</cp:lastModifiedBy>
  <dcterms:created xsi:type="dcterms:W3CDTF">2025-03-25T18:52:18Z</dcterms:created>
  <dcterms:modified xsi:type="dcterms:W3CDTF">2025-06-27T16:18:06Z</dcterms:modified>
</cp:coreProperties>
</file>