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eongrok.kim\Desktop\"/>
    </mc:Choice>
  </mc:AlternateContent>
  <bookViews>
    <workbookView xWindow="0" yWindow="0" windowWidth="22488" windowHeight="8436" firstSheet="1" activeTab="3"/>
  </bookViews>
  <sheets>
    <sheet name="발주처" sheetId="1" r:id="rId1"/>
    <sheet name="위링커주문내역" sheetId="2" r:id="rId2"/>
    <sheet name="사입관리" sheetId="4" r:id="rId3"/>
    <sheet name="발주목록" sheetId="11" r:id="rId4"/>
    <sheet name="매장발주목록" sheetId="5" r:id="rId5"/>
    <sheet name="택배발주목록" sheetId="6" r:id="rId6"/>
    <sheet name="가재고" sheetId="3" r:id="rId7"/>
    <sheet name="가재고작업" sheetId="8" r:id="rId8"/>
    <sheet name="이카운트양식" sheetId="10" r:id="rId9"/>
  </sheets>
  <definedNames>
    <definedName name="_xlnm._FilterDatabase" localSheetId="6" hidden="1">가재고!#REF!</definedName>
    <definedName name="_xlnm._FilterDatabase" localSheetId="2" hidden="1">사입관리!$A$1:$AD$546</definedName>
    <definedName name="_xlnm.Extract" localSheetId="2">사입관리!$C$1:$O$1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11" l="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P223" i="10" l="1"/>
  <c r="O223" i="10"/>
  <c r="P222" i="10"/>
  <c r="O222" i="10" s="1"/>
  <c r="P221" i="10"/>
  <c r="O221" i="10"/>
  <c r="P220" i="10"/>
  <c r="O220" i="10" s="1"/>
  <c r="P219" i="10"/>
  <c r="O219" i="10"/>
  <c r="P218" i="10"/>
  <c r="O218" i="10" s="1"/>
  <c r="P217" i="10"/>
  <c r="O217" i="10"/>
  <c r="P216" i="10"/>
  <c r="O216" i="10" s="1"/>
  <c r="P215" i="10"/>
  <c r="O215" i="10"/>
  <c r="P214" i="10"/>
  <c r="O214" i="10" s="1"/>
  <c r="P213" i="10"/>
  <c r="O213" i="10"/>
  <c r="P212" i="10"/>
  <c r="O212" i="10" s="1"/>
  <c r="P211" i="10"/>
  <c r="O211" i="10"/>
  <c r="P210" i="10"/>
  <c r="O210" i="10" s="1"/>
  <c r="P209" i="10"/>
  <c r="O209" i="10"/>
  <c r="P208" i="10"/>
  <c r="O208" i="10" s="1"/>
  <c r="P207" i="10"/>
  <c r="O207" i="10"/>
  <c r="P206" i="10"/>
  <c r="O206" i="10" s="1"/>
  <c r="P205" i="10"/>
  <c r="O205" i="10"/>
  <c r="P204" i="10"/>
  <c r="O204" i="10" s="1"/>
  <c r="P203" i="10"/>
  <c r="O203" i="10"/>
  <c r="P202" i="10"/>
  <c r="O202" i="10" s="1"/>
  <c r="P201" i="10"/>
  <c r="O201" i="10"/>
  <c r="P200" i="10"/>
  <c r="O200" i="10" s="1"/>
  <c r="P199" i="10"/>
  <c r="O199" i="10"/>
  <c r="P198" i="10"/>
  <c r="O198" i="10" s="1"/>
  <c r="P197" i="10"/>
  <c r="O197" i="10"/>
  <c r="P196" i="10"/>
  <c r="O196" i="10" s="1"/>
  <c r="P195" i="10"/>
  <c r="O195" i="10"/>
  <c r="P194" i="10"/>
  <c r="O194" i="10" s="1"/>
  <c r="P193" i="10"/>
  <c r="O193" i="10"/>
  <c r="P192" i="10"/>
  <c r="O192" i="10" s="1"/>
  <c r="P191" i="10"/>
  <c r="O191" i="10"/>
  <c r="P190" i="10"/>
  <c r="O190" i="10" s="1"/>
  <c r="P189" i="10"/>
  <c r="O189" i="10"/>
  <c r="P188" i="10"/>
  <c r="O188" i="10" s="1"/>
  <c r="P187" i="10"/>
  <c r="O187" i="10"/>
  <c r="P186" i="10"/>
  <c r="O186" i="10" s="1"/>
  <c r="P185" i="10"/>
  <c r="O185" i="10"/>
  <c r="P184" i="10"/>
  <c r="O184" i="10" s="1"/>
  <c r="P183" i="10"/>
  <c r="O183" i="10"/>
  <c r="P182" i="10"/>
  <c r="O182" i="10" s="1"/>
  <c r="P181" i="10"/>
  <c r="O181" i="10"/>
  <c r="P180" i="10"/>
  <c r="O180" i="10" s="1"/>
  <c r="P179" i="10"/>
  <c r="O179" i="10"/>
  <c r="P178" i="10"/>
  <c r="O178" i="10" s="1"/>
  <c r="P177" i="10"/>
  <c r="O177" i="10"/>
  <c r="P176" i="10"/>
  <c r="O176" i="10" s="1"/>
  <c r="P175" i="10"/>
  <c r="O175" i="10"/>
  <c r="P174" i="10"/>
  <c r="O174" i="10" s="1"/>
  <c r="P173" i="10"/>
  <c r="O173" i="10"/>
  <c r="P172" i="10"/>
  <c r="O172" i="10" s="1"/>
  <c r="P171" i="10"/>
  <c r="O171" i="10"/>
  <c r="P170" i="10"/>
  <c r="O170" i="10" s="1"/>
  <c r="P169" i="10"/>
  <c r="O169" i="10"/>
  <c r="P168" i="10"/>
  <c r="O168" i="10" s="1"/>
  <c r="P167" i="10"/>
  <c r="O167" i="10"/>
  <c r="P166" i="10"/>
  <c r="O166" i="10" s="1"/>
  <c r="P165" i="10"/>
  <c r="O165" i="10"/>
  <c r="P164" i="10"/>
  <c r="O164" i="10" s="1"/>
  <c r="P163" i="10"/>
  <c r="O163" i="10"/>
  <c r="P162" i="10"/>
  <c r="O162" i="10" s="1"/>
  <c r="P161" i="10"/>
  <c r="O161" i="10"/>
  <c r="P160" i="10"/>
  <c r="O160" i="10" s="1"/>
  <c r="P159" i="10"/>
  <c r="O159" i="10"/>
  <c r="P158" i="10"/>
  <c r="O158" i="10" s="1"/>
  <c r="P157" i="10"/>
  <c r="O157" i="10"/>
  <c r="P156" i="10"/>
  <c r="O156" i="10" s="1"/>
  <c r="P155" i="10"/>
  <c r="O155" i="10"/>
  <c r="P154" i="10"/>
  <c r="O154" i="10" s="1"/>
  <c r="P153" i="10"/>
  <c r="O153" i="10"/>
  <c r="P152" i="10"/>
  <c r="O152" i="10" s="1"/>
  <c r="P151" i="10"/>
  <c r="O151" i="10"/>
  <c r="P150" i="10"/>
  <c r="O150" i="10" s="1"/>
  <c r="P149" i="10"/>
  <c r="O149" i="10"/>
  <c r="P148" i="10"/>
  <c r="O148" i="10" s="1"/>
  <c r="P147" i="10"/>
  <c r="O147" i="10"/>
  <c r="P146" i="10"/>
  <c r="O146" i="10" s="1"/>
  <c r="P145" i="10"/>
  <c r="O145" i="10"/>
  <c r="P144" i="10"/>
  <c r="O144" i="10" s="1"/>
  <c r="P143" i="10"/>
  <c r="O143" i="10"/>
  <c r="P142" i="10"/>
  <c r="O142" i="10" s="1"/>
  <c r="P141" i="10"/>
  <c r="O141" i="10"/>
  <c r="P140" i="10"/>
  <c r="O140" i="10" s="1"/>
  <c r="P139" i="10"/>
  <c r="O139" i="10"/>
  <c r="P138" i="10"/>
  <c r="O138" i="10" s="1"/>
  <c r="P137" i="10"/>
  <c r="O137" i="10"/>
  <c r="P136" i="10"/>
  <c r="O136" i="10" s="1"/>
  <c r="P135" i="10"/>
  <c r="O135" i="10"/>
  <c r="P134" i="10"/>
  <c r="O134" i="10" s="1"/>
  <c r="P133" i="10"/>
  <c r="O133" i="10"/>
  <c r="P132" i="10"/>
  <c r="O132" i="10" s="1"/>
  <c r="P131" i="10"/>
  <c r="O131" i="10"/>
  <c r="P130" i="10"/>
  <c r="O130" i="10" s="1"/>
  <c r="P129" i="10"/>
  <c r="O129" i="10"/>
  <c r="P128" i="10"/>
  <c r="O128" i="10" s="1"/>
  <c r="P127" i="10"/>
  <c r="O127" i="10"/>
  <c r="P126" i="10"/>
  <c r="O126" i="10" s="1"/>
  <c r="P125" i="10"/>
  <c r="O125" i="10"/>
  <c r="P124" i="10"/>
  <c r="O124" i="10" s="1"/>
  <c r="P123" i="10"/>
  <c r="O123" i="10"/>
  <c r="P122" i="10"/>
  <c r="O122" i="10" s="1"/>
  <c r="P121" i="10"/>
  <c r="O121" i="10"/>
  <c r="P120" i="10"/>
  <c r="O120" i="10" s="1"/>
  <c r="P119" i="10"/>
  <c r="O119" i="10"/>
  <c r="P118" i="10"/>
  <c r="O118" i="10" s="1"/>
  <c r="P117" i="10"/>
  <c r="O117" i="10"/>
  <c r="P116" i="10"/>
  <c r="O116" i="10" s="1"/>
  <c r="P115" i="10"/>
  <c r="O115" i="10"/>
  <c r="P114" i="10"/>
  <c r="O114" i="10" s="1"/>
  <c r="P113" i="10"/>
  <c r="O113" i="10"/>
  <c r="P112" i="10"/>
  <c r="O112" i="10" s="1"/>
  <c r="P111" i="10"/>
  <c r="O111" i="10"/>
  <c r="P110" i="10"/>
  <c r="O110" i="10" s="1"/>
  <c r="P109" i="10"/>
  <c r="O109" i="10"/>
  <c r="P108" i="10"/>
  <c r="O108" i="10" s="1"/>
  <c r="P107" i="10"/>
  <c r="O107" i="10"/>
  <c r="P106" i="10"/>
  <c r="O106" i="10" s="1"/>
  <c r="P105" i="10"/>
  <c r="O105" i="10"/>
  <c r="P104" i="10"/>
  <c r="O104" i="10" s="1"/>
  <c r="P103" i="10"/>
  <c r="O103" i="10"/>
  <c r="P102" i="10"/>
  <c r="O102" i="10" s="1"/>
  <c r="P101" i="10"/>
  <c r="O101" i="10"/>
  <c r="P100" i="10"/>
  <c r="O100" i="10" s="1"/>
  <c r="P99" i="10"/>
  <c r="O99" i="10"/>
  <c r="P98" i="10"/>
  <c r="O98" i="10" s="1"/>
  <c r="P97" i="10"/>
  <c r="O97" i="10"/>
  <c r="P96" i="10"/>
  <c r="O96" i="10" s="1"/>
  <c r="P95" i="10"/>
  <c r="O95" i="10"/>
  <c r="P94" i="10"/>
  <c r="O94" i="10" s="1"/>
  <c r="P93" i="10"/>
  <c r="O93" i="10"/>
  <c r="P92" i="10"/>
  <c r="O92" i="10" s="1"/>
  <c r="P91" i="10"/>
  <c r="O91" i="10"/>
  <c r="P90" i="10"/>
  <c r="O90" i="10" s="1"/>
  <c r="P89" i="10"/>
  <c r="O89" i="10"/>
  <c r="P88" i="10"/>
  <c r="O88" i="10" s="1"/>
  <c r="P87" i="10"/>
  <c r="O87" i="10"/>
  <c r="P86" i="10"/>
  <c r="O86" i="10" s="1"/>
  <c r="P85" i="10"/>
  <c r="O85" i="10"/>
  <c r="P84" i="10"/>
  <c r="O84" i="10" s="1"/>
  <c r="P83" i="10"/>
  <c r="O83" i="10"/>
  <c r="P82" i="10"/>
  <c r="O82" i="10" s="1"/>
  <c r="P81" i="10"/>
  <c r="O81" i="10"/>
  <c r="P80" i="10"/>
  <c r="O80" i="10" s="1"/>
  <c r="P79" i="10"/>
  <c r="O79" i="10"/>
  <c r="P78" i="10"/>
  <c r="O78" i="10" s="1"/>
  <c r="P77" i="10"/>
  <c r="O77" i="10"/>
  <c r="P76" i="10"/>
  <c r="O76" i="10" s="1"/>
  <c r="P75" i="10"/>
  <c r="O75" i="10"/>
  <c r="P74" i="10"/>
  <c r="O74" i="10" s="1"/>
  <c r="P73" i="10"/>
  <c r="O73" i="10"/>
  <c r="P72" i="10"/>
  <c r="O72" i="10" s="1"/>
  <c r="P71" i="10"/>
  <c r="O71" i="10"/>
  <c r="P70" i="10"/>
  <c r="O70" i="10" s="1"/>
  <c r="P69" i="10"/>
  <c r="O69" i="10"/>
  <c r="P68" i="10"/>
  <c r="O68" i="10" s="1"/>
  <c r="P67" i="10"/>
  <c r="O67" i="10"/>
  <c r="P66" i="10"/>
  <c r="O66" i="10" s="1"/>
  <c r="P65" i="10"/>
  <c r="O65" i="10"/>
  <c r="P64" i="10"/>
  <c r="O64" i="10" s="1"/>
  <c r="P63" i="10"/>
  <c r="O63" i="10"/>
  <c r="P62" i="10"/>
  <c r="O62" i="10" s="1"/>
  <c r="P61" i="10"/>
  <c r="O61" i="10"/>
  <c r="P60" i="10"/>
  <c r="O60" i="10" s="1"/>
  <c r="P59" i="10"/>
  <c r="O59" i="10"/>
  <c r="P58" i="10"/>
  <c r="O58" i="10" s="1"/>
  <c r="P57" i="10"/>
  <c r="O57" i="10"/>
  <c r="P56" i="10"/>
  <c r="O56" i="10" s="1"/>
  <c r="P55" i="10"/>
  <c r="O55" i="10"/>
  <c r="P54" i="10"/>
  <c r="O54" i="10" s="1"/>
  <c r="P53" i="10"/>
  <c r="O53" i="10"/>
  <c r="P52" i="10"/>
  <c r="O52" i="10" s="1"/>
  <c r="P51" i="10"/>
  <c r="O51" i="10"/>
  <c r="P50" i="10"/>
  <c r="O50" i="10" s="1"/>
  <c r="P49" i="10"/>
  <c r="O49" i="10" s="1"/>
  <c r="P48" i="10"/>
  <c r="O48" i="10" s="1"/>
  <c r="P47" i="10"/>
  <c r="O47" i="10" s="1"/>
  <c r="P46" i="10"/>
  <c r="O46" i="10" s="1"/>
  <c r="P45" i="10"/>
  <c r="O45" i="10"/>
  <c r="P44" i="10"/>
  <c r="O44" i="10" s="1"/>
  <c r="P43" i="10"/>
  <c r="O43" i="10"/>
  <c r="P42" i="10"/>
  <c r="O42" i="10" s="1"/>
  <c r="P41" i="10"/>
  <c r="O41" i="10"/>
  <c r="P40" i="10"/>
  <c r="O40" i="10" s="1"/>
  <c r="P39" i="10"/>
  <c r="O39" i="10"/>
  <c r="P38" i="10"/>
  <c r="O38" i="10" s="1"/>
  <c r="P37" i="10"/>
  <c r="O37" i="10"/>
  <c r="P36" i="10"/>
  <c r="O36" i="10" s="1"/>
  <c r="P35" i="10"/>
  <c r="O35" i="10"/>
  <c r="P34" i="10"/>
  <c r="O34" i="10" s="1"/>
  <c r="P33" i="10"/>
  <c r="O33" i="10"/>
  <c r="P32" i="10"/>
  <c r="O32" i="10" s="1"/>
  <c r="P31" i="10"/>
  <c r="O31" i="10"/>
  <c r="P30" i="10"/>
  <c r="O30" i="10" s="1"/>
  <c r="P29" i="10"/>
  <c r="O29" i="10"/>
  <c r="P28" i="10"/>
  <c r="O28" i="10" s="1"/>
  <c r="P27" i="10"/>
  <c r="O27" i="10"/>
  <c r="P26" i="10"/>
  <c r="O26" i="10" s="1"/>
  <c r="P25" i="10"/>
  <c r="O25" i="10"/>
  <c r="P24" i="10"/>
  <c r="O24" i="10" s="1"/>
  <c r="P23" i="10"/>
  <c r="O23" i="10"/>
  <c r="P22" i="10"/>
  <c r="O22" i="10" s="1"/>
  <c r="P21" i="10"/>
  <c r="O21" i="10"/>
  <c r="P20" i="10"/>
  <c r="O20" i="10" s="1"/>
  <c r="P19" i="10"/>
  <c r="O19" i="10"/>
  <c r="P18" i="10"/>
  <c r="O18" i="10" s="1"/>
  <c r="P17" i="10"/>
  <c r="O17" i="10"/>
  <c r="P16" i="10"/>
  <c r="O16" i="10" s="1"/>
  <c r="P15" i="10"/>
  <c r="O15" i="10"/>
  <c r="P14" i="10"/>
  <c r="O14" i="10" s="1"/>
  <c r="P13" i="10"/>
  <c r="O13" i="10"/>
  <c r="P12" i="10"/>
  <c r="O12" i="10" s="1"/>
  <c r="P11" i="10"/>
  <c r="O11" i="10"/>
  <c r="P10" i="10"/>
  <c r="O10" i="10" s="1"/>
  <c r="P9" i="10"/>
  <c r="O9" i="10" s="1"/>
  <c r="P8" i="10"/>
  <c r="O8" i="10" s="1"/>
  <c r="P7" i="10"/>
  <c r="O7" i="10"/>
  <c r="P6" i="10"/>
  <c r="O6" i="10" s="1"/>
  <c r="P5" i="10"/>
  <c r="O5" i="10"/>
  <c r="P4" i="10"/>
  <c r="O4" i="10" s="1"/>
  <c r="P3" i="10"/>
  <c r="O3" i="10"/>
  <c r="P2" i="10"/>
  <c r="O2" i="10" s="1"/>
  <c r="G304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64" i="6"/>
  <c r="G263" i="6"/>
  <c r="G256" i="6"/>
  <c r="G241" i="6"/>
  <c r="G234" i="6"/>
  <c r="G233" i="6"/>
  <c r="G232" i="6"/>
  <c r="G225" i="6"/>
  <c r="G224" i="6"/>
  <c r="G223" i="6"/>
  <c r="G222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68" i="6"/>
  <c r="G167" i="6"/>
  <c r="G166" i="6"/>
  <c r="G165" i="6"/>
  <c r="G164" i="6"/>
  <c r="G163" i="6"/>
  <c r="G162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4" i="6"/>
  <c r="G3" i="6"/>
  <c r="G2" i="6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0" i="5"/>
  <c r="G139" i="5"/>
  <c r="G138" i="5"/>
  <c r="G137" i="5"/>
  <c r="G136" i="5"/>
  <c r="G135" i="5"/>
  <c r="G134" i="5"/>
  <c r="G133" i="5"/>
  <c r="G132" i="5"/>
  <c r="G131" i="5"/>
  <c r="G130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4" i="5"/>
  <c r="G73" i="5"/>
  <c r="G72" i="5"/>
  <c r="G71" i="5"/>
  <c r="G70" i="5"/>
  <c r="G69" i="5"/>
  <c r="G68" i="5"/>
  <c r="G67" i="5"/>
  <c r="G66" i="5"/>
  <c r="G65" i="5"/>
  <c r="G64" i="5"/>
  <c r="G57" i="5"/>
  <c r="G56" i="5"/>
  <c r="G55" i="5"/>
  <c r="G54" i="5"/>
  <c r="G53" i="5"/>
  <c r="G52" i="5"/>
  <c r="G51" i="5"/>
  <c r="G50" i="5"/>
  <c r="G49" i="5"/>
  <c r="G48" i="5"/>
  <c r="G47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19" i="5"/>
  <c r="G12" i="5"/>
  <c r="G11" i="5"/>
  <c r="G10" i="5"/>
  <c r="G9" i="5"/>
  <c r="G2" i="5"/>
  <c r="BN304" i="2"/>
  <c r="BM304" i="2"/>
  <c r="BG304" i="2"/>
  <c r="BF304" i="2"/>
  <c r="BE304" i="2"/>
  <c r="AY304" i="2"/>
  <c r="AW304" i="2"/>
  <c r="AV304" i="2"/>
  <c r="AU304" i="2"/>
  <c r="AT304" i="2"/>
  <c r="F304" i="2"/>
  <c r="BN303" i="2"/>
  <c r="BM303" i="2"/>
  <c r="BG303" i="2"/>
  <c r="BF303" i="2"/>
  <c r="BE303" i="2"/>
  <c r="AY303" i="2"/>
  <c r="AW303" i="2"/>
  <c r="AV303" i="2"/>
  <c r="AU303" i="2"/>
  <c r="AT303" i="2"/>
  <c r="F303" i="2"/>
  <c r="BN302" i="2"/>
  <c r="BM302" i="2"/>
  <c r="BG302" i="2"/>
  <c r="BF302" i="2"/>
  <c r="BE302" i="2"/>
  <c r="AY302" i="2"/>
  <c r="AW302" i="2"/>
  <c r="AV302" i="2"/>
  <c r="AU302" i="2"/>
  <c r="AT302" i="2"/>
  <c r="F302" i="2"/>
  <c r="BN301" i="2"/>
  <c r="BM301" i="2"/>
  <c r="BG301" i="2"/>
  <c r="BF301" i="2"/>
  <c r="BE301" i="2"/>
  <c r="AY301" i="2"/>
  <c r="AW301" i="2"/>
  <c r="AV301" i="2"/>
  <c r="AU301" i="2"/>
  <c r="AT301" i="2"/>
  <c r="F301" i="2"/>
  <c r="BN300" i="2"/>
  <c r="BM300" i="2"/>
  <c r="BG300" i="2"/>
  <c r="BF300" i="2"/>
  <c r="BE300" i="2"/>
  <c r="AY300" i="2"/>
  <c r="AW300" i="2"/>
  <c r="AV300" i="2"/>
  <c r="AU300" i="2"/>
  <c r="AT300" i="2"/>
  <c r="F300" i="2"/>
  <c r="BN299" i="2"/>
  <c r="BM299" i="2"/>
  <c r="BG299" i="2"/>
  <c r="BF299" i="2"/>
  <c r="BE299" i="2"/>
  <c r="AY299" i="2"/>
  <c r="AW299" i="2"/>
  <c r="AV299" i="2"/>
  <c r="AU299" i="2"/>
  <c r="AT299" i="2"/>
  <c r="F299" i="2"/>
  <c r="BN298" i="2"/>
  <c r="BM298" i="2"/>
  <c r="BG298" i="2"/>
  <c r="BF298" i="2"/>
  <c r="BE298" i="2"/>
  <c r="AY298" i="2"/>
  <c r="AW298" i="2"/>
  <c r="AV298" i="2"/>
  <c r="AU298" i="2"/>
  <c r="AT298" i="2"/>
  <c r="F298" i="2"/>
  <c r="BN297" i="2"/>
  <c r="BM297" i="2"/>
  <c r="BG297" i="2"/>
  <c r="BF297" i="2"/>
  <c r="BE297" i="2"/>
  <c r="AY297" i="2"/>
  <c r="AW297" i="2"/>
  <c r="AV297" i="2"/>
  <c r="AU297" i="2"/>
  <c r="AT297" i="2"/>
  <c r="F297" i="2"/>
  <c r="BN296" i="2"/>
  <c r="BM296" i="2"/>
  <c r="BG296" i="2"/>
  <c r="BF296" i="2"/>
  <c r="BE296" i="2"/>
  <c r="AY296" i="2"/>
  <c r="AW296" i="2"/>
  <c r="AV296" i="2"/>
  <c r="AU296" i="2"/>
  <c r="AT296" i="2"/>
  <c r="F296" i="2"/>
  <c r="BN295" i="2"/>
  <c r="BM295" i="2"/>
  <c r="BG295" i="2"/>
  <c r="BF295" i="2"/>
  <c r="BE295" i="2"/>
  <c r="AY295" i="2"/>
  <c r="AW295" i="2"/>
  <c r="AV295" i="2"/>
  <c r="AU295" i="2"/>
  <c r="AT295" i="2"/>
  <c r="F295" i="2"/>
  <c r="BN294" i="2"/>
  <c r="BM294" i="2"/>
  <c r="BG294" i="2"/>
  <c r="BF294" i="2"/>
  <c r="BE294" i="2"/>
  <c r="AY294" i="2"/>
  <c r="AW294" i="2"/>
  <c r="AV294" i="2"/>
  <c r="AU294" i="2"/>
  <c r="AT294" i="2"/>
  <c r="F294" i="2"/>
  <c r="BN293" i="2"/>
  <c r="BM293" i="2"/>
  <c r="BG293" i="2"/>
  <c r="BF293" i="2"/>
  <c r="BE293" i="2"/>
  <c r="AY293" i="2"/>
  <c r="AW293" i="2"/>
  <c r="AV293" i="2"/>
  <c r="AU293" i="2"/>
  <c r="AT293" i="2"/>
  <c r="F293" i="2"/>
  <c r="BN292" i="2"/>
  <c r="BM292" i="2"/>
  <c r="BG292" i="2"/>
  <c r="BF292" i="2"/>
  <c r="BE292" i="2"/>
  <c r="AY292" i="2"/>
  <c r="AW292" i="2"/>
  <c r="AV292" i="2"/>
  <c r="AU292" i="2"/>
  <c r="AT292" i="2"/>
  <c r="F292" i="2"/>
  <c r="BN291" i="2"/>
  <c r="BM291" i="2"/>
  <c r="BG291" i="2"/>
  <c r="BF291" i="2"/>
  <c r="BE291" i="2"/>
  <c r="AY291" i="2"/>
  <c r="AW291" i="2"/>
  <c r="AV291" i="2"/>
  <c r="AU291" i="2"/>
  <c r="AT291" i="2"/>
  <c r="F291" i="2"/>
  <c r="BN290" i="2"/>
  <c r="BM290" i="2"/>
  <c r="BG290" i="2"/>
  <c r="BF290" i="2"/>
  <c r="BE290" i="2"/>
  <c r="AY290" i="2"/>
  <c r="AW290" i="2"/>
  <c r="AV290" i="2"/>
  <c r="AU290" i="2"/>
  <c r="AT290" i="2"/>
  <c r="F290" i="2"/>
  <c r="BN289" i="2"/>
  <c r="BM289" i="2"/>
  <c r="BG289" i="2"/>
  <c r="BF289" i="2"/>
  <c r="BE289" i="2"/>
  <c r="AY289" i="2"/>
  <c r="AW289" i="2"/>
  <c r="AV289" i="2"/>
  <c r="AU289" i="2"/>
  <c r="AT289" i="2"/>
  <c r="F289" i="2"/>
  <c r="BN288" i="2"/>
  <c r="BM288" i="2"/>
  <c r="BG288" i="2"/>
  <c r="BF288" i="2"/>
  <c r="BE288" i="2"/>
  <c r="AY288" i="2"/>
  <c r="AW288" i="2"/>
  <c r="AV288" i="2"/>
  <c r="AU288" i="2"/>
  <c r="AT288" i="2"/>
  <c r="F288" i="2"/>
  <c r="BN287" i="2"/>
  <c r="BM287" i="2"/>
  <c r="BG287" i="2"/>
  <c r="BF287" i="2"/>
  <c r="BE287" i="2"/>
  <c r="AY287" i="2"/>
  <c r="AW287" i="2"/>
  <c r="AV287" i="2"/>
  <c r="AU287" i="2"/>
  <c r="AT287" i="2"/>
  <c r="F287" i="2"/>
  <c r="BN286" i="2"/>
  <c r="BM286" i="2"/>
  <c r="BG286" i="2"/>
  <c r="BF286" i="2"/>
  <c r="BE286" i="2"/>
  <c r="AY286" i="2"/>
  <c r="AW286" i="2"/>
  <c r="AV286" i="2"/>
  <c r="AU286" i="2"/>
  <c r="AT286" i="2"/>
  <c r="F286" i="2"/>
  <c r="BN285" i="2"/>
  <c r="BM285" i="2"/>
  <c r="BG285" i="2"/>
  <c r="BF285" i="2"/>
  <c r="BE285" i="2"/>
  <c r="AY285" i="2"/>
  <c r="AW285" i="2"/>
  <c r="AV285" i="2"/>
  <c r="AU285" i="2"/>
  <c r="AT285" i="2"/>
  <c r="F285" i="2"/>
  <c r="BN284" i="2"/>
  <c r="BM284" i="2"/>
  <c r="BG284" i="2"/>
  <c r="BF284" i="2"/>
  <c r="BE284" i="2"/>
  <c r="AY284" i="2"/>
  <c r="AW284" i="2"/>
  <c r="AV284" i="2"/>
  <c r="AU284" i="2"/>
  <c r="AT284" i="2"/>
  <c r="F284" i="2"/>
  <c r="BN283" i="2"/>
  <c r="BM283" i="2"/>
  <c r="BG283" i="2"/>
  <c r="BF283" i="2"/>
  <c r="BE283" i="2"/>
  <c r="AY283" i="2"/>
  <c r="AW283" i="2"/>
  <c r="AV283" i="2"/>
  <c r="AU283" i="2"/>
  <c r="AT283" i="2"/>
  <c r="F283" i="2"/>
  <c r="BN282" i="2"/>
  <c r="BM282" i="2"/>
  <c r="BG282" i="2"/>
  <c r="BF282" i="2"/>
  <c r="BE282" i="2"/>
  <c r="AY282" i="2"/>
  <c r="AW282" i="2"/>
  <c r="AV282" i="2"/>
  <c r="AU282" i="2"/>
  <c r="AT282" i="2"/>
  <c r="F282" i="2"/>
  <c r="BN281" i="2"/>
  <c r="BM281" i="2"/>
  <c r="BG281" i="2"/>
  <c r="BF281" i="2"/>
  <c r="BE281" i="2"/>
  <c r="AY281" i="2"/>
  <c r="AW281" i="2"/>
  <c r="AV281" i="2"/>
  <c r="AU281" i="2"/>
  <c r="AT281" i="2"/>
  <c r="F281" i="2"/>
  <c r="BN280" i="2"/>
  <c r="BM280" i="2"/>
  <c r="BG280" i="2"/>
  <c r="BF280" i="2"/>
  <c r="BE280" i="2"/>
  <c r="AY280" i="2"/>
  <c r="AW280" i="2"/>
  <c r="AV280" i="2"/>
  <c r="AU280" i="2"/>
  <c r="AT280" i="2"/>
  <c r="F280" i="2"/>
  <c r="BN279" i="2"/>
  <c r="BM279" i="2"/>
  <c r="BG279" i="2"/>
  <c r="BF279" i="2"/>
  <c r="BE279" i="2"/>
  <c r="AY279" i="2"/>
  <c r="AW279" i="2"/>
  <c r="AV279" i="2"/>
  <c r="AU279" i="2"/>
  <c r="AT279" i="2"/>
  <c r="F279" i="2"/>
  <c r="BN278" i="2"/>
  <c r="BM278" i="2"/>
  <c r="BG278" i="2"/>
  <c r="BF278" i="2"/>
  <c r="BE278" i="2"/>
  <c r="AY278" i="2"/>
  <c r="AW278" i="2"/>
  <c r="AV278" i="2"/>
  <c r="AU278" i="2"/>
  <c r="AT278" i="2"/>
  <c r="F278" i="2"/>
  <c r="BN277" i="2"/>
  <c r="BM277" i="2"/>
  <c r="BG277" i="2"/>
  <c r="BF277" i="2"/>
  <c r="BE277" i="2"/>
  <c r="AY277" i="2"/>
  <c r="AW277" i="2"/>
  <c r="AV277" i="2"/>
  <c r="AU277" i="2"/>
  <c r="AT277" i="2"/>
  <c r="F277" i="2"/>
  <c r="BN276" i="2"/>
  <c r="BM276" i="2"/>
  <c r="BG276" i="2"/>
  <c r="BF276" i="2"/>
  <c r="BE276" i="2"/>
  <c r="AY276" i="2"/>
  <c r="AW276" i="2"/>
  <c r="AV276" i="2"/>
  <c r="AU276" i="2"/>
  <c r="AT276" i="2"/>
  <c r="F276" i="2"/>
  <c r="BN275" i="2"/>
  <c r="BM275" i="2"/>
  <c r="BG275" i="2"/>
  <c r="BF275" i="2"/>
  <c r="BE275" i="2"/>
  <c r="AY275" i="2"/>
  <c r="AW275" i="2"/>
  <c r="AV275" i="2"/>
  <c r="AU275" i="2"/>
  <c r="AT275" i="2"/>
  <c r="F275" i="2"/>
  <c r="BN274" i="2"/>
  <c r="BM274" i="2"/>
  <c r="BG274" i="2"/>
  <c r="BF274" i="2"/>
  <c r="BE274" i="2"/>
  <c r="AY274" i="2"/>
  <c r="AW274" i="2"/>
  <c r="AV274" i="2"/>
  <c r="AU274" i="2"/>
  <c r="AT274" i="2"/>
  <c r="F274" i="2"/>
  <c r="BN273" i="2"/>
  <c r="BM273" i="2"/>
  <c r="BG273" i="2"/>
  <c r="BF273" i="2"/>
  <c r="BE273" i="2"/>
  <c r="AY273" i="2"/>
  <c r="AW273" i="2"/>
  <c r="AV273" i="2"/>
  <c r="AU273" i="2"/>
  <c r="AT273" i="2"/>
  <c r="F273" i="2"/>
  <c r="BN272" i="2"/>
  <c r="BM272" i="2"/>
  <c r="BG272" i="2"/>
  <c r="BF272" i="2"/>
  <c r="BE272" i="2"/>
  <c r="AY272" i="2"/>
  <c r="AW272" i="2"/>
  <c r="AV272" i="2"/>
  <c r="AU272" i="2"/>
  <c r="AT272" i="2"/>
  <c r="F272" i="2"/>
  <c r="BN271" i="2"/>
  <c r="BM271" i="2"/>
  <c r="BG271" i="2"/>
  <c r="BF271" i="2"/>
  <c r="BE271" i="2"/>
  <c r="AY271" i="2"/>
  <c r="AW271" i="2"/>
  <c r="AV271" i="2"/>
  <c r="AU271" i="2"/>
  <c r="AT271" i="2"/>
  <c r="F271" i="2"/>
  <c r="BN270" i="2"/>
  <c r="BM270" i="2"/>
  <c r="BG270" i="2"/>
  <c r="BF270" i="2"/>
  <c r="BE270" i="2"/>
  <c r="AY270" i="2"/>
  <c r="AW270" i="2"/>
  <c r="AV270" i="2"/>
  <c r="AU270" i="2"/>
  <c r="AT270" i="2"/>
  <c r="F270" i="2"/>
  <c r="BN269" i="2"/>
  <c r="BM269" i="2"/>
  <c r="BG269" i="2"/>
  <c r="BF269" i="2"/>
  <c r="BE269" i="2"/>
  <c r="AY269" i="2"/>
  <c r="AW269" i="2"/>
  <c r="AV269" i="2"/>
  <c r="AU269" i="2"/>
  <c r="AT269" i="2"/>
  <c r="F269" i="2"/>
  <c r="BN268" i="2"/>
  <c r="BM268" i="2"/>
  <c r="BG268" i="2"/>
  <c r="BF268" i="2"/>
  <c r="BE268" i="2"/>
  <c r="AY268" i="2"/>
  <c r="AW268" i="2"/>
  <c r="AV268" i="2"/>
  <c r="AU268" i="2"/>
  <c r="AT268" i="2"/>
  <c r="F268" i="2"/>
  <c r="BN267" i="2"/>
  <c r="BM267" i="2"/>
  <c r="BG267" i="2"/>
  <c r="BF267" i="2"/>
  <c r="BE267" i="2"/>
  <c r="AY267" i="2"/>
  <c r="AW267" i="2"/>
  <c r="AV267" i="2"/>
  <c r="AU267" i="2"/>
  <c r="AT267" i="2"/>
  <c r="F267" i="2"/>
  <c r="BN266" i="2"/>
  <c r="BM266" i="2"/>
  <c r="BG266" i="2"/>
  <c r="BF266" i="2"/>
  <c r="BE266" i="2"/>
  <c r="AY266" i="2"/>
  <c r="AW266" i="2"/>
  <c r="AV266" i="2"/>
  <c r="AU266" i="2"/>
  <c r="AT266" i="2"/>
  <c r="F266" i="2"/>
  <c r="BN265" i="2"/>
  <c r="BM265" i="2"/>
  <c r="BG265" i="2"/>
  <c r="BF265" i="2"/>
  <c r="BE265" i="2"/>
  <c r="AY265" i="2"/>
  <c r="AW265" i="2"/>
  <c r="AV265" i="2"/>
  <c r="AU265" i="2"/>
  <c r="AT265" i="2"/>
  <c r="F265" i="2"/>
  <c r="BN264" i="2"/>
  <c r="BM264" i="2"/>
  <c r="BG264" i="2"/>
  <c r="BF264" i="2"/>
  <c r="BE264" i="2"/>
  <c r="AY264" i="2"/>
  <c r="AW264" i="2"/>
  <c r="AV264" i="2"/>
  <c r="AU264" i="2"/>
  <c r="AT264" i="2"/>
  <c r="F264" i="2"/>
  <c r="BN263" i="2"/>
  <c r="BM263" i="2"/>
  <c r="BG263" i="2"/>
  <c r="BF263" i="2"/>
  <c r="BE263" i="2"/>
  <c r="AY263" i="2"/>
  <c r="AW263" i="2"/>
  <c r="AV263" i="2"/>
  <c r="AU263" i="2"/>
  <c r="AT263" i="2"/>
  <c r="F263" i="2"/>
  <c r="BN262" i="2"/>
  <c r="BM262" i="2"/>
  <c r="BG262" i="2"/>
  <c r="BF262" i="2"/>
  <c r="BE262" i="2"/>
  <c r="AY262" i="2"/>
  <c r="AW262" i="2"/>
  <c r="AV262" i="2"/>
  <c r="AU262" i="2"/>
  <c r="AT262" i="2"/>
  <c r="F262" i="2"/>
  <c r="BN261" i="2"/>
  <c r="BM261" i="2"/>
  <c r="BG261" i="2"/>
  <c r="BF261" i="2"/>
  <c r="BE261" i="2"/>
  <c r="AY261" i="2"/>
  <c r="AW261" i="2"/>
  <c r="AV261" i="2"/>
  <c r="AU261" i="2"/>
  <c r="AT261" i="2"/>
  <c r="F261" i="2"/>
  <c r="BN260" i="2"/>
  <c r="BM260" i="2"/>
  <c r="BG260" i="2"/>
  <c r="BF260" i="2"/>
  <c r="BE260" i="2"/>
  <c r="AY260" i="2"/>
  <c r="AW260" i="2"/>
  <c r="AV260" i="2"/>
  <c r="AU260" i="2"/>
  <c r="AT260" i="2"/>
  <c r="F260" i="2"/>
  <c r="BN259" i="2"/>
  <c r="BM259" i="2"/>
  <c r="BG259" i="2"/>
  <c r="BF259" i="2"/>
  <c r="BE259" i="2"/>
  <c r="AY259" i="2"/>
  <c r="AW259" i="2"/>
  <c r="AV259" i="2"/>
  <c r="AU259" i="2"/>
  <c r="AT259" i="2"/>
  <c r="F259" i="2"/>
  <c r="BN258" i="2"/>
  <c r="BM258" i="2"/>
  <c r="BG258" i="2"/>
  <c r="BF258" i="2"/>
  <c r="BE258" i="2"/>
  <c r="AY258" i="2"/>
  <c r="AW258" i="2"/>
  <c r="AV258" i="2"/>
  <c r="AU258" i="2"/>
  <c r="AT258" i="2"/>
  <c r="F258" i="2"/>
  <c r="BN257" i="2"/>
  <c r="BM257" i="2"/>
  <c r="BG257" i="2"/>
  <c r="BF257" i="2"/>
  <c r="BE257" i="2"/>
  <c r="AY257" i="2"/>
  <c r="AW257" i="2"/>
  <c r="AV257" i="2"/>
  <c r="AU257" i="2"/>
  <c r="AT257" i="2"/>
  <c r="F257" i="2"/>
  <c r="BN256" i="2"/>
  <c r="BM256" i="2"/>
  <c r="BG256" i="2"/>
  <c r="BF256" i="2"/>
  <c r="BE256" i="2"/>
  <c r="AY256" i="2"/>
  <c r="AW256" i="2"/>
  <c r="AV256" i="2"/>
  <c r="AU256" i="2"/>
  <c r="AT256" i="2"/>
  <c r="F256" i="2"/>
  <c r="BN255" i="2"/>
  <c r="BM255" i="2"/>
  <c r="BG255" i="2"/>
  <c r="BF255" i="2"/>
  <c r="BE255" i="2"/>
  <c r="AY255" i="2"/>
  <c r="AW255" i="2"/>
  <c r="AV255" i="2"/>
  <c r="AU255" i="2"/>
  <c r="AT255" i="2"/>
  <c r="F255" i="2"/>
  <c r="BN254" i="2"/>
  <c r="BM254" i="2"/>
  <c r="BG254" i="2"/>
  <c r="BF254" i="2"/>
  <c r="BE254" i="2"/>
  <c r="AY254" i="2"/>
  <c r="AW254" i="2"/>
  <c r="AV254" i="2"/>
  <c r="AU254" i="2"/>
  <c r="AT254" i="2"/>
  <c r="F254" i="2"/>
  <c r="BN253" i="2"/>
  <c r="BM253" i="2"/>
  <c r="BG253" i="2"/>
  <c r="BF253" i="2"/>
  <c r="BE253" i="2"/>
  <c r="AY253" i="2"/>
  <c r="AW253" i="2"/>
  <c r="AV253" i="2"/>
  <c r="AU253" i="2"/>
  <c r="AT253" i="2"/>
  <c r="F253" i="2"/>
  <c r="BN252" i="2"/>
  <c r="BM252" i="2"/>
  <c r="BG252" i="2"/>
  <c r="BF252" i="2"/>
  <c r="BE252" i="2"/>
  <c r="AY252" i="2"/>
  <c r="AW252" i="2"/>
  <c r="AV252" i="2"/>
  <c r="AU252" i="2"/>
  <c r="AT252" i="2"/>
  <c r="F252" i="2"/>
  <c r="BN251" i="2"/>
  <c r="BM251" i="2"/>
  <c r="BG251" i="2"/>
  <c r="BF251" i="2"/>
  <c r="BE251" i="2"/>
  <c r="AY251" i="2"/>
  <c r="AW251" i="2"/>
  <c r="AV251" i="2"/>
  <c r="AU251" i="2"/>
  <c r="AT251" i="2"/>
  <c r="F251" i="2"/>
  <c r="BN250" i="2"/>
  <c r="BM250" i="2"/>
  <c r="BG250" i="2"/>
  <c r="BF250" i="2"/>
  <c r="BE250" i="2"/>
  <c r="AY250" i="2"/>
  <c r="AW250" i="2"/>
  <c r="AV250" i="2"/>
  <c r="AU250" i="2"/>
  <c r="AT250" i="2"/>
  <c r="F250" i="2"/>
  <c r="BN249" i="2"/>
  <c r="BM249" i="2"/>
  <c r="BG249" i="2"/>
  <c r="BF249" i="2"/>
  <c r="BE249" i="2"/>
  <c r="AY249" i="2"/>
  <c r="AW249" i="2"/>
  <c r="AV249" i="2"/>
  <c r="AU249" i="2"/>
  <c r="AT249" i="2"/>
  <c r="F249" i="2"/>
  <c r="BN248" i="2"/>
  <c r="BM248" i="2"/>
  <c r="BG248" i="2"/>
  <c r="BF248" i="2"/>
  <c r="BE248" i="2"/>
  <c r="AY248" i="2"/>
  <c r="AX248" i="2"/>
  <c r="AW248" i="2"/>
  <c r="AV248" i="2"/>
  <c r="AU248" i="2"/>
  <c r="AT248" i="2"/>
  <c r="F248" i="2"/>
  <c r="BN247" i="2"/>
  <c r="BM247" i="2"/>
  <c r="BG247" i="2"/>
  <c r="BF247" i="2"/>
  <c r="BE247" i="2"/>
  <c r="AY247" i="2"/>
  <c r="AX247" i="2"/>
  <c r="AW247" i="2"/>
  <c r="AV247" i="2"/>
  <c r="AU247" i="2"/>
  <c r="AT247" i="2"/>
  <c r="F247" i="2"/>
  <c r="BN246" i="2"/>
  <c r="BM246" i="2"/>
  <c r="BG246" i="2"/>
  <c r="BF246" i="2"/>
  <c r="BE246" i="2"/>
  <c r="AY246" i="2"/>
  <c r="AX246" i="2"/>
  <c r="AW246" i="2"/>
  <c r="AV246" i="2"/>
  <c r="AU246" i="2"/>
  <c r="AT246" i="2"/>
  <c r="F246" i="2"/>
  <c r="BN245" i="2"/>
  <c r="BM245" i="2"/>
  <c r="BG245" i="2"/>
  <c r="BF245" i="2"/>
  <c r="BE245" i="2"/>
  <c r="AY245" i="2"/>
  <c r="AX245" i="2"/>
  <c r="AW245" i="2"/>
  <c r="AV245" i="2"/>
  <c r="AU245" i="2"/>
  <c r="AT245" i="2"/>
  <c r="F245" i="2"/>
  <c r="BN244" i="2"/>
  <c r="BM244" i="2"/>
  <c r="BG244" i="2"/>
  <c r="BF244" i="2"/>
  <c r="BE244" i="2"/>
  <c r="AY244" i="2"/>
  <c r="AX244" i="2"/>
  <c r="AW244" i="2"/>
  <c r="AV244" i="2"/>
  <c r="AU244" i="2"/>
  <c r="AT244" i="2"/>
  <c r="F244" i="2"/>
  <c r="BN243" i="2"/>
  <c r="BM243" i="2"/>
  <c r="BG243" i="2"/>
  <c r="BF243" i="2"/>
  <c r="BE243" i="2"/>
  <c r="AY243" i="2"/>
  <c r="AX243" i="2"/>
  <c r="AW243" i="2"/>
  <c r="AV243" i="2"/>
  <c r="AU243" i="2"/>
  <c r="AT243" i="2"/>
  <c r="F243" i="2"/>
  <c r="BN242" i="2"/>
  <c r="BM242" i="2"/>
  <c r="BG242" i="2"/>
  <c r="BF242" i="2"/>
  <c r="BE242" i="2"/>
  <c r="AY242" i="2"/>
  <c r="AX242" i="2"/>
  <c r="AW242" i="2"/>
  <c r="AV242" i="2"/>
  <c r="AU242" i="2"/>
  <c r="AT242" i="2"/>
  <c r="F242" i="2"/>
  <c r="BN241" i="2"/>
  <c r="BM241" i="2"/>
  <c r="BG241" i="2"/>
  <c r="BF241" i="2"/>
  <c r="BE241" i="2"/>
  <c r="AY241" i="2"/>
  <c r="AX241" i="2"/>
  <c r="AW241" i="2"/>
  <c r="AV241" i="2"/>
  <c r="AU241" i="2"/>
  <c r="AT241" i="2"/>
  <c r="F241" i="2"/>
  <c r="BN240" i="2"/>
  <c r="BM240" i="2"/>
  <c r="BG240" i="2"/>
  <c r="BF240" i="2"/>
  <c r="BE240" i="2"/>
  <c r="AY240" i="2"/>
  <c r="AX240" i="2"/>
  <c r="AW240" i="2"/>
  <c r="AV240" i="2"/>
  <c r="AU240" i="2"/>
  <c r="AT240" i="2"/>
  <c r="F240" i="2"/>
  <c r="BN239" i="2"/>
  <c r="BM239" i="2"/>
  <c r="BG239" i="2"/>
  <c r="BF239" i="2"/>
  <c r="BE239" i="2"/>
  <c r="AY239" i="2"/>
  <c r="AX239" i="2"/>
  <c r="AW239" i="2"/>
  <c r="AV239" i="2"/>
  <c r="AU239" i="2"/>
  <c r="AT239" i="2"/>
  <c r="F239" i="2"/>
  <c r="BN238" i="2"/>
  <c r="BM238" i="2"/>
  <c r="BG238" i="2"/>
  <c r="BF238" i="2"/>
  <c r="BE238" i="2"/>
  <c r="AY238" i="2"/>
  <c r="AX238" i="2"/>
  <c r="AW238" i="2"/>
  <c r="AV238" i="2"/>
  <c r="AU238" i="2"/>
  <c r="AT238" i="2"/>
  <c r="F238" i="2"/>
  <c r="BN237" i="2"/>
  <c r="BM237" i="2"/>
  <c r="BG237" i="2"/>
  <c r="BF237" i="2"/>
  <c r="BE237" i="2"/>
  <c r="AY237" i="2"/>
  <c r="AX237" i="2"/>
  <c r="AW237" i="2"/>
  <c r="AV237" i="2"/>
  <c r="AU237" i="2"/>
  <c r="AT237" i="2"/>
  <c r="F237" i="2"/>
  <c r="BN236" i="2"/>
  <c r="BM236" i="2"/>
  <c r="BG236" i="2"/>
  <c r="BF236" i="2"/>
  <c r="BE236" i="2"/>
  <c r="AY236" i="2"/>
  <c r="AX236" i="2"/>
  <c r="AW236" i="2"/>
  <c r="AV236" i="2"/>
  <c r="AU236" i="2"/>
  <c r="AT236" i="2"/>
  <c r="F236" i="2"/>
  <c r="BN235" i="2"/>
  <c r="BM235" i="2"/>
  <c r="BG235" i="2"/>
  <c r="BF235" i="2"/>
  <c r="BE235" i="2"/>
  <c r="AY235" i="2"/>
  <c r="AX235" i="2"/>
  <c r="AW235" i="2"/>
  <c r="AV235" i="2"/>
  <c r="AU235" i="2"/>
  <c r="AT235" i="2"/>
  <c r="F235" i="2"/>
  <c r="BN234" i="2"/>
  <c r="BM234" i="2"/>
  <c r="BG234" i="2"/>
  <c r="BF234" i="2"/>
  <c r="BE234" i="2"/>
  <c r="AY234" i="2"/>
  <c r="AX234" i="2"/>
  <c r="AW234" i="2"/>
  <c r="AV234" i="2"/>
  <c r="AU234" i="2"/>
  <c r="AT234" i="2"/>
  <c r="F234" i="2"/>
  <c r="BN233" i="2"/>
  <c r="BM233" i="2"/>
  <c r="BG233" i="2"/>
  <c r="BF233" i="2"/>
  <c r="BE233" i="2"/>
  <c r="AY233" i="2"/>
  <c r="AX233" i="2"/>
  <c r="AW233" i="2"/>
  <c r="AV233" i="2"/>
  <c r="AU233" i="2"/>
  <c r="AT233" i="2"/>
  <c r="F233" i="2"/>
  <c r="BN232" i="2"/>
  <c r="BM232" i="2"/>
  <c r="BG232" i="2"/>
  <c r="BF232" i="2"/>
  <c r="BE232" i="2"/>
  <c r="AY232" i="2"/>
  <c r="AX232" i="2"/>
  <c r="AW232" i="2"/>
  <c r="AV232" i="2"/>
  <c r="AU232" i="2"/>
  <c r="AT232" i="2"/>
  <c r="F232" i="2"/>
  <c r="BN231" i="2"/>
  <c r="BM231" i="2"/>
  <c r="BG231" i="2"/>
  <c r="BF231" i="2"/>
  <c r="BE231" i="2"/>
  <c r="AY231" i="2"/>
  <c r="AX231" i="2"/>
  <c r="AW231" i="2"/>
  <c r="AV231" i="2"/>
  <c r="AU231" i="2"/>
  <c r="AT231" i="2"/>
  <c r="F231" i="2"/>
  <c r="BN230" i="2"/>
  <c r="BM230" i="2"/>
  <c r="BG230" i="2"/>
  <c r="BF230" i="2"/>
  <c r="BE230" i="2"/>
  <c r="AY230" i="2"/>
  <c r="AX230" i="2"/>
  <c r="AW230" i="2"/>
  <c r="AV230" i="2"/>
  <c r="AU230" i="2"/>
  <c r="AT230" i="2"/>
  <c r="F230" i="2"/>
  <c r="BN229" i="2"/>
  <c r="BM229" i="2"/>
  <c r="BG229" i="2"/>
  <c r="BF229" i="2"/>
  <c r="BE229" i="2"/>
  <c r="AY229" i="2"/>
  <c r="AX229" i="2"/>
  <c r="AW229" i="2"/>
  <c r="AV229" i="2"/>
  <c r="AU229" i="2"/>
  <c r="AT229" i="2"/>
  <c r="F229" i="2"/>
  <c r="BN228" i="2"/>
  <c r="BM228" i="2"/>
  <c r="BG228" i="2"/>
  <c r="BF228" i="2"/>
  <c r="BE228" i="2"/>
  <c r="AY228" i="2"/>
  <c r="AX228" i="2"/>
  <c r="AW228" i="2"/>
  <c r="AV228" i="2"/>
  <c r="AU228" i="2"/>
  <c r="AT228" i="2"/>
  <c r="F228" i="2"/>
  <c r="BN227" i="2"/>
  <c r="BM227" i="2"/>
  <c r="BG227" i="2"/>
  <c r="BF227" i="2"/>
  <c r="BE227" i="2"/>
  <c r="AY227" i="2"/>
  <c r="AX227" i="2"/>
  <c r="AW227" i="2"/>
  <c r="AV227" i="2"/>
  <c r="AU227" i="2"/>
  <c r="AT227" i="2"/>
  <c r="F227" i="2"/>
  <c r="BN226" i="2"/>
  <c r="BM226" i="2"/>
  <c r="BG226" i="2"/>
  <c r="BF226" i="2"/>
  <c r="BE226" i="2"/>
  <c r="AY226" i="2"/>
  <c r="AX226" i="2"/>
  <c r="AW226" i="2"/>
  <c r="AV226" i="2"/>
  <c r="AU226" i="2"/>
  <c r="AT226" i="2"/>
  <c r="F226" i="2"/>
  <c r="BN225" i="2"/>
  <c r="BM225" i="2"/>
  <c r="BG225" i="2"/>
  <c r="BF225" i="2"/>
  <c r="BE225" i="2"/>
  <c r="AY225" i="2"/>
  <c r="AX225" i="2"/>
  <c r="AW225" i="2"/>
  <c r="AV225" i="2"/>
  <c r="AU225" i="2"/>
  <c r="AT225" i="2"/>
  <c r="F225" i="2"/>
  <c r="BN224" i="2"/>
  <c r="BM224" i="2"/>
  <c r="BG224" i="2"/>
  <c r="BF224" i="2"/>
  <c r="BE224" i="2"/>
  <c r="AY224" i="2"/>
  <c r="AW224" i="2"/>
  <c r="AV224" i="2"/>
  <c r="AU224" i="2"/>
  <c r="AT224" i="2"/>
  <c r="F224" i="2"/>
  <c r="BN223" i="2"/>
  <c r="BM223" i="2"/>
  <c r="BG223" i="2"/>
  <c r="BF223" i="2"/>
  <c r="BE223" i="2"/>
  <c r="AY223" i="2"/>
  <c r="AW223" i="2"/>
  <c r="AV223" i="2"/>
  <c r="AU223" i="2"/>
  <c r="AT223" i="2"/>
  <c r="F223" i="2"/>
  <c r="BN222" i="2"/>
  <c r="BM222" i="2"/>
  <c r="BG222" i="2"/>
  <c r="BF222" i="2"/>
  <c r="BE222" i="2"/>
  <c r="AY222" i="2"/>
  <c r="AW222" i="2"/>
  <c r="AV222" i="2"/>
  <c r="AU222" i="2"/>
  <c r="AT222" i="2"/>
  <c r="F222" i="2"/>
  <c r="BN221" i="2"/>
  <c r="BM221" i="2"/>
  <c r="BG221" i="2"/>
  <c r="BF221" i="2"/>
  <c r="BE221" i="2"/>
  <c r="AY221" i="2"/>
  <c r="AW221" i="2"/>
  <c r="AV221" i="2"/>
  <c r="AU221" i="2"/>
  <c r="AT221" i="2"/>
  <c r="F221" i="2"/>
  <c r="BN220" i="2"/>
  <c r="BM220" i="2"/>
  <c r="BG220" i="2"/>
  <c r="BF220" i="2"/>
  <c r="BE220" i="2"/>
  <c r="AY220" i="2"/>
  <c r="AW220" i="2"/>
  <c r="AV220" i="2"/>
  <c r="AU220" i="2"/>
  <c r="AT220" i="2"/>
  <c r="F220" i="2"/>
  <c r="BN219" i="2"/>
  <c r="BM219" i="2"/>
  <c r="BG219" i="2"/>
  <c r="BF219" i="2"/>
  <c r="BE219" i="2"/>
  <c r="AY219" i="2"/>
  <c r="AW219" i="2"/>
  <c r="AV219" i="2"/>
  <c r="AU219" i="2"/>
  <c r="AT219" i="2"/>
  <c r="F219" i="2"/>
  <c r="BN218" i="2"/>
  <c r="BM218" i="2"/>
  <c r="BG218" i="2"/>
  <c r="BF218" i="2"/>
  <c r="BE218" i="2"/>
  <c r="AY218" i="2"/>
  <c r="AW218" i="2"/>
  <c r="AV218" i="2"/>
  <c r="AU218" i="2"/>
  <c r="AT218" i="2"/>
  <c r="F218" i="2"/>
  <c r="BN217" i="2"/>
  <c r="BM217" i="2"/>
  <c r="BG217" i="2"/>
  <c r="BF217" i="2"/>
  <c r="BE217" i="2"/>
  <c r="AY217" i="2"/>
  <c r="AW217" i="2"/>
  <c r="AV217" i="2"/>
  <c r="AU217" i="2"/>
  <c r="AT217" i="2"/>
  <c r="F217" i="2"/>
  <c r="BN216" i="2"/>
  <c r="BM216" i="2"/>
  <c r="BG216" i="2"/>
  <c r="BF216" i="2"/>
  <c r="BE216" i="2"/>
  <c r="AY216" i="2"/>
  <c r="AW216" i="2"/>
  <c r="AV216" i="2"/>
  <c r="AU216" i="2"/>
  <c r="AT216" i="2"/>
  <c r="F216" i="2"/>
  <c r="BN215" i="2"/>
  <c r="BM215" i="2"/>
  <c r="BG215" i="2"/>
  <c r="BF215" i="2"/>
  <c r="BE215" i="2"/>
  <c r="AY215" i="2"/>
  <c r="AW215" i="2"/>
  <c r="AV215" i="2"/>
  <c r="AU215" i="2"/>
  <c r="AT215" i="2"/>
  <c r="F215" i="2"/>
  <c r="BN214" i="2"/>
  <c r="BM214" i="2"/>
  <c r="BG214" i="2"/>
  <c r="BF214" i="2"/>
  <c r="BE214" i="2"/>
  <c r="AY214" i="2"/>
  <c r="AW214" i="2"/>
  <c r="AV214" i="2"/>
  <c r="AU214" i="2"/>
  <c r="AT214" i="2"/>
  <c r="F214" i="2"/>
  <c r="BN213" i="2"/>
  <c r="BM213" i="2"/>
  <c r="BG213" i="2"/>
  <c r="BF213" i="2"/>
  <c r="BE213" i="2"/>
  <c r="AY213" i="2"/>
  <c r="AW213" i="2"/>
  <c r="AV213" i="2"/>
  <c r="AU213" i="2"/>
  <c r="AT213" i="2"/>
  <c r="F213" i="2"/>
  <c r="BN212" i="2"/>
  <c r="BM212" i="2"/>
  <c r="BG212" i="2"/>
  <c r="BF212" i="2"/>
  <c r="BE212" i="2"/>
  <c r="AY212" i="2"/>
  <c r="AW212" i="2"/>
  <c r="AV212" i="2"/>
  <c r="AU212" i="2"/>
  <c r="AT212" i="2"/>
  <c r="F212" i="2"/>
  <c r="BN211" i="2"/>
  <c r="BM211" i="2"/>
  <c r="BG211" i="2"/>
  <c r="BF211" i="2"/>
  <c r="BE211" i="2"/>
  <c r="AY211" i="2"/>
  <c r="AW211" i="2"/>
  <c r="AV211" i="2"/>
  <c r="AU211" i="2"/>
  <c r="AT211" i="2"/>
  <c r="F211" i="2"/>
  <c r="BN210" i="2"/>
  <c r="BM210" i="2"/>
  <c r="BG210" i="2"/>
  <c r="BF210" i="2"/>
  <c r="BE210" i="2"/>
  <c r="AY210" i="2"/>
  <c r="AW210" i="2"/>
  <c r="AV210" i="2"/>
  <c r="AU210" i="2"/>
  <c r="AT210" i="2"/>
  <c r="F210" i="2"/>
  <c r="BN209" i="2"/>
  <c r="BM209" i="2"/>
  <c r="BG209" i="2"/>
  <c r="BF209" i="2"/>
  <c r="BE209" i="2"/>
  <c r="AY209" i="2"/>
  <c r="AW209" i="2"/>
  <c r="AV209" i="2"/>
  <c r="AU209" i="2"/>
  <c r="AT209" i="2"/>
  <c r="F209" i="2"/>
  <c r="BN208" i="2"/>
  <c r="BM208" i="2"/>
  <c r="BG208" i="2"/>
  <c r="BF208" i="2"/>
  <c r="BE208" i="2"/>
  <c r="AY208" i="2"/>
  <c r="AW208" i="2"/>
  <c r="AV208" i="2"/>
  <c r="AU208" i="2"/>
  <c r="AT208" i="2"/>
  <c r="F208" i="2"/>
  <c r="BN207" i="2"/>
  <c r="BM207" i="2"/>
  <c r="BG207" i="2"/>
  <c r="BF207" i="2"/>
  <c r="BE207" i="2"/>
  <c r="AY207" i="2"/>
  <c r="AW207" i="2"/>
  <c r="AV207" i="2"/>
  <c r="AU207" i="2"/>
  <c r="AT207" i="2"/>
  <c r="F207" i="2"/>
  <c r="BN206" i="2"/>
  <c r="BM206" i="2"/>
  <c r="BG206" i="2"/>
  <c r="BF206" i="2"/>
  <c r="BE206" i="2"/>
  <c r="AY206" i="2"/>
  <c r="AW206" i="2"/>
  <c r="AV206" i="2"/>
  <c r="AU206" i="2"/>
  <c r="AT206" i="2"/>
  <c r="F206" i="2"/>
  <c r="BN205" i="2"/>
  <c r="BM205" i="2"/>
  <c r="BG205" i="2"/>
  <c r="BF205" i="2"/>
  <c r="BE205" i="2"/>
  <c r="AY205" i="2"/>
  <c r="AW205" i="2"/>
  <c r="AV205" i="2"/>
  <c r="AU205" i="2"/>
  <c r="AT205" i="2"/>
  <c r="F205" i="2"/>
  <c r="BN204" i="2"/>
  <c r="BM204" i="2"/>
  <c r="BG204" i="2"/>
  <c r="BF204" i="2"/>
  <c r="BE204" i="2"/>
  <c r="AY204" i="2"/>
  <c r="AW204" i="2"/>
  <c r="AV204" i="2"/>
  <c r="AU204" i="2"/>
  <c r="AT204" i="2"/>
  <c r="F204" i="2"/>
  <c r="BN203" i="2"/>
  <c r="BM203" i="2"/>
  <c r="BG203" i="2"/>
  <c r="BF203" i="2"/>
  <c r="BE203" i="2"/>
  <c r="AY203" i="2"/>
  <c r="AW203" i="2"/>
  <c r="AV203" i="2"/>
  <c r="AU203" i="2"/>
  <c r="AT203" i="2"/>
  <c r="F203" i="2"/>
  <c r="BN202" i="2"/>
  <c r="BM202" i="2"/>
  <c r="BG202" i="2"/>
  <c r="BF202" i="2"/>
  <c r="BE202" i="2"/>
  <c r="AY202" i="2"/>
  <c r="AW202" i="2"/>
  <c r="AV202" i="2"/>
  <c r="AU202" i="2"/>
  <c r="AT202" i="2"/>
  <c r="F202" i="2"/>
  <c r="BN201" i="2"/>
  <c r="BM201" i="2"/>
  <c r="BG201" i="2"/>
  <c r="BF201" i="2"/>
  <c r="BE201" i="2"/>
  <c r="AY201" i="2"/>
  <c r="AW201" i="2"/>
  <c r="AV201" i="2"/>
  <c r="AU201" i="2"/>
  <c r="AT201" i="2"/>
  <c r="F201" i="2"/>
  <c r="BN200" i="2"/>
  <c r="BM200" i="2"/>
  <c r="BG200" i="2"/>
  <c r="BF200" i="2"/>
  <c r="BE200" i="2"/>
  <c r="AY200" i="2"/>
  <c r="AW200" i="2"/>
  <c r="AV200" i="2"/>
  <c r="AU200" i="2"/>
  <c r="AT200" i="2"/>
  <c r="F200" i="2"/>
  <c r="BN199" i="2"/>
  <c r="BM199" i="2"/>
  <c r="BG199" i="2"/>
  <c r="BF199" i="2"/>
  <c r="BE199" i="2"/>
  <c r="AY199" i="2"/>
  <c r="AW199" i="2"/>
  <c r="AV199" i="2"/>
  <c r="AU199" i="2"/>
  <c r="AT199" i="2"/>
  <c r="F199" i="2"/>
  <c r="BN198" i="2"/>
  <c r="BM198" i="2"/>
  <c r="BG198" i="2"/>
  <c r="BF198" i="2"/>
  <c r="BE198" i="2"/>
  <c r="AY198" i="2"/>
  <c r="AW198" i="2"/>
  <c r="AV198" i="2"/>
  <c r="AU198" i="2"/>
  <c r="AT198" i="2"/>
  <c r="F198" i="2"/>
  <c r="BN197" i="2"/>
  <c r="BM197" i="2"/>
  <c r="BG197" i="2"/>
  <c r="BF197" i="2"/>
  <c r="BE197" i="2"/>
  <c r="AY197" i="2"/>
  <c r="AW197" i="2"/>
  <c r="AV197" i="2"/>
  <c r="AU197" i="2"/>
  <c r="AT197" i="2"/>
  <c r="F197" i="2"/>
  <c r="BN196" i="2"/>
  <c r="BM196" i="2"/>
  <c r="BG196" i="2"/>
  <c r="BF196" i="2"/>
  <c r="BE196" i="2"/>
  <c r="AY196" i="2"/>
  <c r="AW196" i="2"/>
  <c r="AV196" i="2"/>
  <c r="AU196" i="2"/>
  <c r="AT196" i="2"/>
  <c r="F196" i="2"/>
  <c r="BN195" i="2"/>
  <c r="BM195" i="2"/>
  <c r="BG195" i="2"/>
  <c r="BF195" i="2"/>
  <c r="BE195" i="2"/>
  <c r="AY195" i="2"/>
  <c r="AW195" i="2"/>
  <c r="AV195" i="2"/>
  <c r="AU195" i="2"/>
  <c r="AT195" i="2"/>
  <c r="F195" i="2"/>
  <c r="BN194" i="2"/>
  <c r="BM194" i="2"/>
  <c r="BG194" i="2"/>
  <c r="BF194" i="2"/>
  <c r="BE194" i="2"/>
  <c r="AY194" i="2"/>
  <c r="AW194" i="2"/>
  <c r="AV194" i="2"/>
  <c r="AU194" i="2"/>
  <c r="AT194" i="2"/>
  <c r="F194" i="2"/>
  <c r="BN193" i="2"/>
  <c r="BM193" i="2"/>
  <c r="BG193" i="2"/>
  <c r="BF193" i="2"/>
  <c r="BE193" i="2"/>
  <c r="AY193" i="2"/>
  <c r="AW193" i="2"/>
  <c r="AV193" i="2"/>
  <c r="AU193" i="2"/>
  <c r="AT193" i="2"/>
  <c r="F193" i="2"/>
  <c r="BN192" i="2"/>
  <c r="BM192" i="2"/>
  <c r="BG192" i="2"/>
  <c r="BF192" i="2"/>
  <c r="BE192" i="2"/>
  <c r="AY192" i="2"/>
  <c r="AW192" i="2"/>
  <c r="AV192" i="2"/>
  <c r="AU192" i="2"/>
  <c r="AT192" i="2"/>
  <c r="F192" i="2"/>
  <c r="BN191" i="2"/>
  <c r="BM191" i="2"/>
  <c r="BG191" i="2"/>
  <c r="BF191" i="2"/>
  <c r="BE191" i="2"/>
  <c r="AY191" i="2"/>
  <c r="AW191" i="2"/>
  <c r="AV191" i="2"/>
  <c r="AU191" i="2"/>
  <c r="AT191" i="2"/>
  <c r="F191" i="2"/>
  <c r="BN190" i="2"/>
  <c r="BM190" i="2"/>
  <c r="BG190" i="2"/>
  <c r="BF190" i="2"/>
  <c r="BE190" i="2"/>
  <c r="AY190" i="2"/>
  <c r="AW190" i="2"/>
  <c r="AV190" i="2"/>
  <c r="AU190" i="2"/>
  <c r="AT190" i="2"/>
  <c r="F190" i="2"/>
  <c r="BN189" i="2"/>
  <c r="BM189" i="2"/>
  <c r="BG189" i="2"/>
  <c r="BF189" i="2"/>
  <c r="BE189" i="2"/>
  <c r="AY189" i="2"/>
  <c r="AW189" i="2"/>
  <c r="AV189" i="2"/>
  <c r="AU189" i="2"/>
  <c r="AT189" i="2"/>
  <c r="F189" i="2"/>
  <c r="BN188" i="2"/>
  <c r="BM188" i="2"/>
  <c r="BG188" i="2"/>
  <c r="BF188" i="2"/>
  <c r="BE188" i="2"/>
  <c r="AY188" i="2"/>
  <c r="AW188" i="2"/>
  <c r="AV188" i="2"/>
  <c r="AU188" i="2"/>
  <c r="AT188" i="2"/>
  <c r="F188" i="2"/>
  <c r="BN187" i="2"/>
  <c r="BM187" i="2"/>
  <c r="BG187" i="2"/>
  <c r="BF187" i="2"/>
  <c r="BE187" i="2"/>
  <c r="AY187" i="2"/>
  <c r="AW187" i="2"/>
  <c r="AV187" i="2"/>
  <c r="AU187" i="2"/>
  <c r="AT187" i="2"/>
  <c r="F187" i="2"/>
  <c r="BN186" i="2"/>
  <c r="BM186" i="2"/>
  <c r="BG186" i="2"/>
  <c r="BF186" i="2"/>
  <c r="BE186" i="2"/>
  <c r="AY186" i="2"/>
  <c r="AW186" i="2"/>
  <c r="AV186" i="2"/>
  <c r="AU186" i="2"/>
  <c r="AT186" i="2"/>
  <c r="F186" i="2"/>
  <c r="BN185" i="2"/>
  <c r="BM185" i="2"/>
  <c r="BG185" i="2"/>
  <c r="BF185" i="2"/>
  <c r="BE185" i="2"/>
  <c r="AY185" i="2"/>
  <c r="AW185" i="2"/>
  <c r="AV185" i="2"/>
  <c r="AU185" i="2"/>
  <c r="AT185" i="2"/>
  <c r="F185" i="2"/>
  <c r="BN184" i="2"/>
  <c r="BM184" i="2"/>
  <c r="BG184" i="2"/>
  <c r="BF184" i="2"/>
  <c r="BE184" i="2"/>
  <c r="AY184" i="2"/>
  <c r="AW184" i="2"/>
  <c r="AV184" i="2"/>
  <c r="AU184" i="2"/>
  <c r="AT184" i="2"/>
  <c r="F184" i="2"/>
  <c r="BN183" i="2"/>
  <c r="BM183" i="2"/>
  <c r="BG183" i="2"/>
  <c r="BF183" i="2"/>
  <c r="BE183" i="2"/>
  <c r="AY183" i="2"/>
  <c r="AW183" i="2"/>
  <c r="AV183" i="2"/>
  <c r="AU183" i="2"/>
  <c r="AT183" i="2"/>
  <c r="F183" i="2"/>
  <c r="BN182" i="2"/>
  <c r="BM182" i="2"/>
  <c r="BG182" i="2"/>
  <c r="BF182" i="2"/>
  <c r="BE182" i="2"/>
  <c r="AY182" i="2"/>
  <c r="AW182" i="2"/>
  <c r="AV182" i="2"/>
  <c r="AU182" i="2"/>
  <c r="AT182" i="2"/>
  <c r="F182" i="2"/>
  <c r="BN181" i="2"/>
  <c r="BM181" i="2"/>
  <c r="BG181" i="2"/>
  <c r="BF181" i="2"/>
  <c r="BE181" i="2"/>
  <c r="AY181" i="2"/>
  <c r="AW181" i="2"/>
  <c r="AV181" i="2"/>
  <c r="AU181" i="2"/>
  <c r="AT181" i="2"/>
  <c r="F181" i="2"/>
  <c r="BN180" i="2"/>
  <c r="BM180" i="2"/>
  <c r="BG180" i="2"/>
  <c r="BF180" i="2"/>
  <c r="BE180" i="2"/>
  <c r="AY180" i="2"/>
  <c r="AW180" i="2"/>
  <c r="AV180" i="2"/>
  <c r="AU180" i="2"/>
  <c r="AT180" i="2"/>
  <c r="F180" i="2"/>
  <c r="BN179" i="2"/>
  <c r="BM179" i="2"/>
  <c r="BG179" i="2"/>
  <c r="BF179" i="2"/>
  <c r="BE179" i="2"/>
  <c r="AY179" i="2"/>
  <c r="AW179" i="2"/>
  <c r="AV179" i="2"/>
  <c r="AU179" i="2"/>
  <c r="AT179" i="2"/>
  <c r="F179" i="2"/>
  <c r="BN178" i="2"/>
  <c r="BM178" i="2"/>
  <c r="BG178" i="2"/>
  <c r="BF178" i="2"/>
  <c r="BE178" i="2"/>
  <c r="AY178" i="2"/>
  <c r="AX178" i="2"/>
  <c r="AW178" i="2"/>
  <c r="AV178" i="2"/>
  <c r="AU178" i="2"/>
  <c r="AT178" i="2"/>
  <c r="F178" i="2"/>
  <c r="BN177" i="2"/>
  <c r="BM177" i="2"/>
  <c r="BG177" i="2"/>
  <c r="BF177" i="2"/>
  <c r="BE177" i="2"/>
  <c r="AY177" i="2"/>
  <c r="AX177" i="2"/>
  <c r="AW177" i="2"/>
  <c r="AV177" i="2"/>
  <c r="AU177" i="2"/>
  <c r="AT177" i="2"/>
  <c r="F177" i="2"/>
  <c r="BN176" i="2"/>
  <c r="BM176" i="2"/>
  <c r="BG176" i="2"/>
  <c r="BF176" i="2"/>
  <c r="BE176" i="2"/>
  <c r="AY176" i="2"/>
  <c r="AX176" i="2"/>
  <c r="AW176" i="2"/>
  <c r="AV176" i="2"/>
  <c r="AU176" i="2"/>
  <c r="AT176" i="2"/>
  <c r="F176" i="2"/>
  <c r="BN175" i="2"/>
  <c r="BM175" i="2"/>
  <c r="BG175" i="2"/>
  <c r="BF175" i="2"/>
  <c r="BE175" i="2"/>
  <c r="AY175" i="2"/>
  <c r="AW175" i="2"/>
  <c r="AV175" i="2"/>
  <c r="AU175" i="2"/>
  <c r="AT175" i="2"/>
  <c r="F175" i="2"/>
  <c r="BN174" i="2"/>
  <c r="BM174" i="2"/>
  <c r="BG174" i="2"/>
  <c r="BF174" i="2"/>
  <c r="BE174" i="2"/>
  <c r="AY174" i="2"/>
  <c r="AW174" i="2"/>
  <c r="AV174" i="2"/>
  <c r="AU174" i="2"/>
  <c r="AT174" i="2"/>
  <c r="F174" i="2"/>
  <c r="BN173" i="2"/>
  <c r="BM173" i="2"/>
  <c r="BG173" i="2"/>
  <c r="BF173" i="2"/>
  <c r="BE173" i="2"/>
  <c r="AY173" i="2"/>
  <c r="AW173" i="2"/>
  <c r="AV173" i="2"/>
  <c r="AU173" i="2"/>
  <c r="AT173" i="2"/>
  <c r="F173" i="2"/>
  <c r="BN172" i="2"/>
  <c r="BM172" i="2"/>
  <c r="BG172" i="2"/>
  <c r="BF172" i="2"/>
  <c r="BE172" i="2"/>
  <c r="AY172" i="2"/>
  <c r="AW172" i="2"/>
  <c r="AV172" i="2"/>
  <c r="AU172" i="2"/>
  <c r="AT172" i="2"/>
  <c r="F172" i="2"/>
  <c r="BN171" i="2"/>
  <c r="BM171" i="2"/>
  <c r="BG171" i="2"/>
  <c r="BF171" i="2"/>
  <c r="BE171" i="2"/>
  <c r="AY171" i="2"/>
  <c r="AW171" i="2"/>
  <c r="AV171" i="2"/>
  <c r="AU171" i="2"/>
  <c r="AT171" i="2"/>
  <c r="F171" i="2"/>
  <c r="BN170" i="2"/>
  <c r="BM170" i="2"/>
  <c r="BG170" i="2"/>
  <c r="BF170" i="2"/>
  <c r="BE170" i="2"/>
  <c r="AY170" i="2"/>
  <c r="AW170" i="2"/>
  <c r="AV170" i="2"/>
  <c r="AU170" i="2"/>
  <c r="AT170" i="2"/>
  <c r="F170" i="2"/>
  <c r="BN169" i="2"/>
  <c r="BM169" i="2"/>
  <c r="BG169" i="2"/>
  <c r="BF169" i="2"/>
  <c r="BE169" i="2"/>
  <c r="AY169" i="2"/>
  <c r="AW169" i="2"/>
  <c r="AV169" i="2"/>
  <c r="AU169" i="2"/>
  <c r="AT169" i="2"/>
  <c r="F169" i="2"/>
  <c r="BN168" i="2"/>
  <c r="BM168" i="2"/>
  <c r="BG168" i="2"/>
  <c r="BF168" i="2"/>
  <c r="BE168" i="2"/>
  <c r="AY168" i="2"/>
  <c r="AW168" i="2"/>
  <c r="AV168" i="2"/>
  <c r="AU168" i="2"/>
  <c r="AT168" i="2"/>
  <c r="F168" i="2"/>
  <c r="BN167" i="2"/>
  <c r="BM167" i="2"/>
  <c r="BG167" i="2"/>
  <c r="BF167" i="2"/>
  <c r="BE167" i="2"/>
  <c r="AY167" i="2"/>
  <c r="AW167" i="2"/>
  <c r="AV167" i="2"/>
  <c r="AU167" i="2"/>
  <c r="AT167" i="2"/>
  <c r="F167" i="2"/>
  <c r="BN166" i="2"/>
  <c r="BM166" i="2"/>
  <c r="BG166" i="2"/>
  <c r="BF166" i="2"/>
  <c r="BE166" i="2"/>
  <c r="AY166" i="2"/>
  <c r="AW166" i="2"/>
  <c r="AV166" i="2"/>
  <c r="AU166" i="2"/>
  <c r="AT166" i="2"/>
  <c r="F166" i="2"/>
  <c r="BN165" i="2"/>
  <c r="BM165" i="2"/>
  <c r="BG165" i="2"/>
  <c r="BF165" i="2"/>
  <c r="BE165" i="2"/>
  <c r="AY165" i="2"/>
  <c r="AW165" i="2"/>
  <c r="AV165" i="2"/>
  <c r="AU165" i="2"/>
  <c r="AT165" i="2"/>
  <c r="F165" i="2"/>
  <c r="BN164" i="2"/>
  <c r="BM164" i="2"/>
  <c r="BG164" i="2"/>
  <c r="BF164" i="2"/>
  <c r="BE164" i="2"/>
  <c r="AY164" i="2"/>
  <c r="AW164" i="2"/>
  <c r="AV164" i="2"/>
  <c r="AU164" i="2"/>
  <c r="AT164" i="2"/>
  <c r="F164" i="2"/>
  <c r="BN163" i="2"/>
  <c r="BM163" i="2"/>
  <c r="BG163" i="2"/>
  <c r="BF163" i="2"/>
  <c r="BE163" i="2"/>
  <c r="AY163" i="2"/>
  <c r="AW163" i="2"/>
  <c r="AV163" i="2"/>
  <c r="AU163" i="2"/>
  <c r="AT163" i="2"/>
  <c r="F163" i="2"/>
  <c r="BN162" i="2"/>
  <c r="BM162" i="2"/>
  <c r="BG162" i="2"/>
  <c r="BF162" i="2"/>
  <c r="BE162" i="2"/>
  <c r="AY162" i="2"/>
  <c r="AW162" i="2"/>
  <c r="AV162" i="2"/>
  <c r="AU162" i="2"/>
  <c r="AT162" i="2"/>
  <c r="F162" i="2"/>
  <c r="BN161" i="2"/>
  <c r="BM161" i="2"/>
  <c r="BG161" i="2"/>
  <c r="BF161" i="2"/>
  <c r="BE161" i="2"/>
  <c r="AY161" i="2"/>
  <c r="AW161" i="2"/>
  <c r="AV161" i="2"/>
  <c r="AU161" i="2"/>
  <c r="AT161" i="2"/>
  <c r="F161" i="2"/>
  <c r="BN160" i="2"/>
  <c r="BM160" i="2"/>
  <c r="BG160" i="2"/>
  <c r="BF160" i="2"/>
  <c r="BE160" i="2"/>
  <c r="AY160" i="2"/>
  <c r="AW160" i="2"/>
  <c r="AV160" i="2"/>
  <c r="AU160" i="2"/>
  <c r="AT160" i="2"/>
  <c r="F160" i="2"/>
  <c r="BN159" i="2"/>
  <c r="BM159" i="2"/>
  <c r="BG159" i="2"/>
  <c r="BF159" i="2"/>
  <c r="BE159" i="2"/>
  <c r="AY159" i="2"/>
  <c r="AW159" i="2"/>
  <c r="AV159" i="2"/>
  <c r="AU159" i="2"/>
  <c r="AT159" i="2"/>
  <c r="F159" i="2"/>
  <c r="BN158" i="2"/>
  <c r="BM158" i="2"/>
  <c r="BG158" i="2"/>
  <c r="BF158" i="2"/>
  <c r="BE158" i="2"/>
  <c r="AY158" i="2"/>
  <c r="AW158" i="2"/>
  <c r="AV158" i="2"/>
  <c r="AU158" i="2"/>
  <c r="AT158" i="2"/>
  <c r="F158" i="2"/>
  <c r="BN157" i="2"/>
  <c r="BM157" i="2"/>
  <c r="BG157" i="2"/>
  <c r="BF157" i="2"/>
  <c r="BE157" i="2"/>
  <c r="AY157" i="2"/>
  <c r="AW157" i="2"/>
  <c r="AV157" i="2"/>
  <c r="AU157" i="2"/>
  <c r="AT157" i="2"/>
  <c r="F157" i="2"/>
  <c r="BN156" i="2"/>
  <c r="BM156" i="2"/>
  <c r="BG156" i="2"/>
  <c r="BF156" i="2"/>
  <c r="BE156" i="2"/>
  <c r="AY156" i="2"/>
  <c r="AW156" i="2"/>
  <c r="AV156" i="2"/>
  <c r="AU156" i="2"/>
  <c r="AT156" i="2"/>
  <c r="F156" i="2"/>
  <c r="BN155" i="2"/>
  <c r="BM155" i="2"/>
  <c r="BG155" i="2"/>
  <c r="BF155" i="2"/>
  <c r="BE155" i="2"/>
  <c r="AY155" i="2"/>
  <c r="AW155" i="2"/>
  <c r="AV155" i="2"/>
  <c r="AU155" i="2"/>
  <c r="AT155" i="2"/>
  <c r="F155" i="2"/>
  <c r="BN154" i="2"/>
  <c r="BM154" i="2"/>
  <c r="BG154" i="2"/>
  <c r="BF154" i="2"/>
  <c r="BE154" i="2"/>
  <c r="AY154" i="2"/>
  <c r="AW154" i="2"/>
  <c r="AV154" i="2"/>
  <c r="AU154" i="2"/>
  <c r="AT154" i="2"/>
  <c r="F154" i="2"/>
  <c r="BN153" i="2"/>
  <c r="BM153" i="2"/>
  <c r="BG153" i="2"/>
  <c r="BF153" i="2"/>
  <c r="BE153" i="2"/>
  <c r="AY153" i="2"/>
  <c r="AW153" i="2"/>
  <c r="AV153" i="2"/>
  <c r="AU153" i="2"/>
  <c r="AT153" i="2"/>
  <c r="F153" i="2"/>
  <c r="BN152" i="2"/>
  <c r="BM152" i="2"/>
  <c r="BG152" i="2"/>
  <c r="BF152" i="2"/>
  <c r="BE152" i="2"/>
  <c r="AY152" i="2"/>
  <c r="AW152" i="2"/>
  <c r="AV152" i="2"/>
  <c r="AU152" i="2"/>
  <c r="AT152" i="2"/>
  <c r="F152" i="2"/>
  <c r="BN151" i="2"/>
  <c r="BM151" i="2"/>
  <c r="BG151" i="2"/>
  <c r="BF151" i="2"/>
  <c r="BE151" i="2"/>
  <c r="AY151" i="2"/>
  <c r="AW151" i="2"/>
  <c r="AV151" i="2"/>
  <c r="AU151" i="2"/>
  <c r="AT151" i="2"/>
  <c r="F151" i="2"/>
  <c r="BN150" i="2"/>
  <c r="BM150" i="2"/>
  <c r="BG150" i="2"/>
  <c r="BF150" i="2"/>
  <c r="BE150" i="2"/>
  <c r="AY150" i="2"/>
  <c r="AW150" i="2"/>
  <c r="AV150" i="2"/>
  <c r="AU150" i="2"/>
  <c r="AT150" i="2"/>
  <c r="F150" i="2"/>
  <c r="BN149" i="2"/>
  <c r="BM149" i="2"/>
  <c r="BG149" i="2"/>
  <c r="BF149" i="2"/>
  <c r="BE149" i="2"/>
  <c r="AY149" i="2"/>
  <c r="AW149" i="2"/>
  <c r="AV149" i="2"/>
  <c r="AU149" i="2"/>
  <c r="AT149" i="2"/>
  <c r="F149" i="2"/>
  <c r="BN148" i="2"/>
  <c r="BM148" i="2"/>
  <c r="BG148" i="2"/>
  <c r="BF148" i="2"/>
  <c r="BE148" i="2"/>
  <c r="AY148" i="2"/>
  <c r="AW148" i="2"/>
  <c r="AV148" i="2"/>
  <c r="AU148" i="2"/>
  <c r="AT148" i="2"/>
  <c r="F148" i="2"/>
  <c r="BN147" i="2"/>
  <c r="BM147" i="2"/>
  <c r="BG147" i="2"/>
  <c r="BF147" i="2"/>
  <c r="BE147" i="2"/>
  <c r="AY147" i="2"/>
  <c r="AW147" i="2"/>
  <c r="AV147" i="2"/>
  <c r="AU147" i="2"/>
  <c r="AT147" i="2"/>
  <c r="F147" i="2"/>
  <c r="BN146" i="2"/>
  <c r="BM146" i="2"/>
  <c r="BG146" i="2"/>
  <c r="BF146" i="2"/>
  <c r="BE146" i="2"/>
  <c r="AY146" i="2"/>
  <c r="AW146" i="2"/>
  <c r="AV146" i="2"/>
  <c r="AU146" i="2"/>
  <c r="AT146" i="2"/>
  <c r="F146" i="2"/>
  <c r="BN145" i="2"/>
  <c r="BM145" i="2"/>
  <c r="BG145" i="2"/>
  <c r="BF145" i="2"/>
  <c r="BE145" i="2"/>
  <c r="AY145" i="2"/>
  <c r="AW145" i="2"/>
  <c r="AV145" i="2"/>
  <c r="AU145" i="2"/>
  <c r="AT145" i="2"/>
  <c r="F145" i="2"/>
  <c r="BN144" i="2"/>
  <c r="BM144" i="2"/>
  <c r="BG144" i="2"/>
  <c r="BF144" i="2"/>
  <c r="BE144" i="2"/>
  <c r="AY144" i="2"/>
  <c r="AW144" i="2"/>
  <c r="AV144" i="2"/>
  <c r="AU144" i="2"/>
  <c r="AT144" i="2"/>
  <c r="F144" i="2"/>
  <c r="BN143" i="2"/>
  <c r="BM143" i="2"/>
  <c r="BG143" i="2"/>
  <c r="BF143" i="2"/>
  <c r="BE143" i="2"/>
  <c r="AY143" i="2"/>
  <c r="AW143" i="2"/>
  <c r="AV143" i="2"/>
  <c r="AU143" i="2"/>
  <c r="AT143" i="2"/>
  <c r="F143" i="2"/>
  <c r="BN142" i="2"/>
  <c r="BM142" i="2"/>
  <c r="BG142" i="2"/>
  <c r="BF142" i="2"/>
  <c r="BE142" i="2"/>
  <c r="AY142" i="2"/>
  <c r="AW142" i="2"/>
  <c r="AV142" i="2"/>
  <c r="AU142" i="2"/>
  <c r="AT142" i="2"/>
  <c r="F142" i="2"/>
  <c r="BN141" i="2"/>
  <c r="BM141" i="2"/>
  <c r="BG141" i="2"/>
  <c r="BF141" i="2"/>
  <c r="BE141" i="2"/>
  <c r="AY141" i="2"/>
  <c r="AW141" i="2"/>
  <c r="AV141" i="2"/>
  <c r="AU141" i="2"/>
  <c r="AT141" i="2"/>
  <c r="F141" i="2"/>
  <c r="BN140" i="2"/>
  <c r="BM140" i="2"/>
  <c r="BG140" i="2"/>
  <c r="BF140" i="2"/>
  <c r="BE140" i="2"/>
  <c r="AY140" i="2"/>
  <c r="AW140" i="2"/>
  <c r="AV140" i="2"/>
  <c r="AU140" i="2"/>
  <c r="AT140" i="2"/>
  <c r="F140" i="2"/>
  <c r="BN139" i="2"/>
  <c r="BM139" i="2"/>
  <c r="BG139" i="2"/>
  <c r="BF139" i="2"/>
  <c r="BE139" i="2"/>
  <c r="AY139" i="2"/>
  <c r="AW139" i="2"/>
  <c r="AV139" i="2"/>
  <c r="AU139" i="2"/>
  <c r="AT139" i="2"/>
  <c r="F139" i="2"/>
  <c r="BN138" i="2"/>
  <c r="BM138" i="2"/>
  <c r="BG138" i="2"/>
  <c r="BF138" i="2"/>
  <c r="BE138" i="2"/>
  <c r="AY138" i="2"/>
  <c r="AX138" i="2"/>
  <c r="AW138" i="2"/>
  <c r="AV138" i="2"/>
  <c r="AU138" i="2"/>
  <c r="AT138" i="2"/>
  <c r="F138" i="2"/>
  <c r="BN137" i="2"/>
  <c r="BM137" i="2"/>
  <c r="BG137" i="2"/>
  <c r="BF137" i="2"/>
  <c r="BE137" i="2"/>
  <c r="AY137" i="2"/>
  <c r="AX137" i="2"/>
  <c r="AW137" i="2"/>
  <c r="AV137" i="2"/>
  <c r="AU137" i="2"/>
  <c r="AT137" i="2"/>
  <c r="F137" i="2"/>
  <c r="BN136" i="2"/>
  <c r="BM136" i="2"/>
  <c r="BG136" i="2"/>
  <c r="BF136" i="2"/>
  <c r="BE136" i="2"/>
  <c r="AY136" i="2"/>
  <c r="AX136" i="2"/>
  <c r="AW136" i="2"/>
  <c r="AV136" i="2"/>
  <c r="AU136" i="2"/>
  <c r="AT136" i="2"/>
  <c r="F136" i="2"/>
  <c r="BN135" i="2"/>
  <c r="BM135" i="2"/>
  <c r="BG135" i="2"/>
  <c r="BF135" i="2"/>
  <c r="BE135" i="2"/>
  <c r="AY135" i="2"/>
  <c r="AX135" i="2"/>
  <c r="AW135" i="2"/>
  <c r="AV135" i="2"/>
  <c r="AU135" i="2"/>
  <c r="AT135" i="2"/>
  <c r="F135" i="2"/>
  <c r="BN134" i="2"/>
  <c r="BM134" i="2"/>
  <c r="BG134" i="2"/>
  <c r="BF134" i="2"/>
  <c r="BE134" i="2"/>
  <c r="AY134" i="2"/>
  <c r="AX134" i="2"/>
  <c r="AW134" i="2"/>
  <c r="AV134" i="2"/>
  <c r="AU134" i="2"/>
  <c r="AT134" i="2"/>
  <c r="F134" i="2"/>
  <c r="BN133" i="2"/>
  <c r="BM133" i="2"/>
  <c r="BG133" i="2"/>
  <c r="BF133" i="2"/>
  <c r="BE133" i="2"/>
  <c r="AY133" i="2"/>
  <c r="AX133" i="2"/>
  <c r="AW133" i="2"/>
  <c r="AV133" i="2"/>
  <c r="AU133" i="2"/>
  <c r="AT133" i="2"/>
  <c r="F133" i="2"/>
  <c r="BN132" i="2"/>
  <c r="BM132" i="2"/>
  <c r="BG132" i="2"/>
  <c r="BF132" i="2"/>
  <c r="BE132" i="2"/>
  <c r="AY132" i="2"/>
  <c r="AX132" i="2"/>
  <c r="AW132" i="2"/>
  <c r="AV132" i="2"/>
  <c r="AU132" i="2"/>
  <c r="AT132" i="2"/>
  <c r="F132" i="2"/>
  <c r="BN131" i="2"/>
  <c r="BM131" i="2"/>
  <c r="BG131" i="2"/>
  <c r="BF131" i="2"/>
  <c r="BE131" i="2"/>
  <c r="AY131" i="2"/>
  <c r="AX131" i="2"/>
  <c r="AW131" i="2"/>
  <c r="AV131" i="2"/>
  <c r="AU131" i="2"/>
  <c r="AT131" i="2"/>
  <c r="F131" i="2"/>
  <c r="BN130" i="2"/>
  <c r="BM130" i="2"/>
  <c r="BG130" i="2"/>
  <c r="BF130" i="2"/>
  <c r="BE130" i="2"/>
  <c r="AY130" i="2"/>
  <c r="AX130" i="2"/>
  <c r="AW130" i="2"/>
  <c r="AV130" i="2"/>
  <c r="AU130" i="2"/>
  <c r="AT130" i="2"/>
  <c r="F130" i="2"/>
  <c r="BN129" i="2"/>
  <c r="BM129" i="2"/>
  <c r="BG129" i="2"/>
  <c r="BF129" i="2"/>
  <c r="BE129" i="2"/>
  <c r="AY129" i="2"/>
  <c r="AX129" i="2"/>
  <c r="AW129" i="2"/>
  <c r="AV129" i="2"/>
  <c r="AU129" i="2"/>
  <c r="AT129" i="2"/>
  <c r="F129" i="2"/>
  <c r="BN128" i="2"/>
  <c r="BM128" i="2"/>
  <c r="BG128" i="2"/>
  <c r="BF128" i="2"/>
  <c r="BE128" i="2"/>
  <c r="AY128" i="2"/>
  <c r="AX128" i="2"/>
  <c r="AW128" i="2"/>
  <c r="AV128" i="2"/>
  <c r="AU128" i="2"/>
  <c r="AT128" i="2"/>
  <c r="F128" i="2"/>
  <c r="BN127" i="2"/>
  <c r="BM127" i="2"/>
  <c r="BG127" i="2"/>
  <c r="BF127" i="2"/>
  <c r="BE127" i="2"/>
  <c r="AY127" i="2"/>
  <c r="AX127" i="2"/>
  <c r="AW127" i="2"/>
  <c r="AV127" i="2"/>
  <c r="AU127" i="2"/>
  <c r="AT127" i="2"/>
  <c r="F127" i="2"/>
  <c r="BN126" i="2"/>
  <c r="BM126" i="2"/>
  <c r="BG126" i="2"/>
  <c r="BF126" i="2"/>
  <c r="BE126" i="2"/>
  <c r="AY126" i="2"/>
  <c r="AX126" i="2"/>
  <c r="AW126" i="2"/>
  <c r="AV126" i="2"/>
  <c r="AU126" i="2"/>
  <c r="AT126" i="2"/>
  <c r="F126" i="2"/>
  <c r="BN125" i="2"/>
  <c r="BM125" i="2"/>
  <c r="BG125" i="2"/>
  <c r="BF125" i="2"/>
  <c r="BE125" i="2"/>
  <c r="AY125" i="2"/>
  <c r="AX125" i="2"/>
  <c r="AW125" i="2"/>
  <c r="AV125" i="2"/>
  <c r="AU125" i="2"/>
  <c r="AT125" i="2"/>
  <c r="F125" i="2"/>
  <c r="BN124" i="2"/>
  <c r="BM124" i="2"/>
  <c r="BG124" i="2"/>
  <c r="BF124" i="2"/>
  <c r="BE124" i="2"/>
  <c r="AY124" i="2"/>
  <c r="AX124" i="2"/>
  <c r="AW124" i="2"/>
  <c r="AV124" i="2"/>
  <c r="AU124" i="2"/>
  <c r="AT124" i="2"/>
  <c r="F124" i="2"/>
  <c r="BN123" i="2"/>
  <c r="BM123" i="2"/>
  <c r="BG123" i="2"/>
  <c r="BF123" i="2"/>
  <c r="BE123" i="2"/>
  <c r="AY123" i="2"/>
  <c r="AX123" i="2"/>
  <c r="AW123" i="2"/>
  <c r="AV123" i="2"/>
  <c r="AU123" i="2"/>
  <c r="AT123" i="2"/>
  <c r="F123" i="2"/>
  <c r="BN122" i="2"/>
  <c r="BM122" i="2"/>
  <c r="BG122" i="2"/>
  <c r="BF122" i="2"/>
  <c r="BE122" i="2"/>
  <c r="AY122" i="2"/>
  <c r="AX122" i="2"/>
  <c r="AW122" i="2"/>
  <c r="AV122" i="2"/>
  <c r="AU122" i="2"/>
  <c r="AT122" i="2"/>
  <c r="F122" i="2"/>
  <c r="BN121" i="2"/>
  <c r="BM121" i="2"/>
  <c r="BG121" i="2"/>
  <c r="BF121" i="2"/>
  <c r="BE121" i="2"/>
  <c r="AY121" i="2"/>
  <c r="AX121" i="2"/>
  <c r="AW121" i="2"/>
  <c r="AV121" i="2"/>
  <c r="AU121" i="2"/>
  <c r="AT121" i="2"/>
  <c r="F121" i="2"/>
  <c r="BN120" i="2"/>
  <c r="BM120" i="2"/>
  <c r="BG120" i="2"/>
  <c r="BF120" i="2"/>
  <c r="BE120" i="2"/>
  <c r="AY120" i="2"/>
  <c r="AX120" i="2"/>
  <c r="AW120" i="2"/>
  <c r="AV120" i="2"/>
  <c r="AU120" i="2"/>
  <c r="AT120" i="2"/>
  <c r="F120" i="2"/>
  <c r="BN119" i="2"/>
  <c r="BM119" i="2"/>
  <c r="BG119" i="2"/>
  <c r="BF119" i="2"/>
  <c r="BE119" i="2"/>
  <c r="AY119" i="2"/>
  <c r="AX119" i="2"/>
  <c r="AW119" i="2"/>
  <c r="AV119" i="2"/>
  <c r="AU119" i="2"/>
  <c r="AT119" i="2"/>
  <c r="F119" i="2"/>
  <c r="BN118" i="2"/>
  <c r="BM118" i="2"/>
  <c r="BG118" i="2"/>
  <c r="BF118" i="2"/>
  <c r="BE118" i="2"/>
  <c r="AY118" i="2"/>
  <c r="AX118" i="2"/>
  <c r="AW118" i="2"/>
  <c r="AV118" i="2"/>
  <c r="AU118" i="2"/>
  <c r="AT118" i="2"/>
  <c r="F118" i="2"/>
  <c r="BN117" i="2"/>
  <c r="BM117" i="2"/>
  <c r="BG117" i="2"/>
  <c r="BF117" i="2"/>
  <c r="BE117" i="2"/>
  <c r="AY117" i="2"/>
  <c r="AX117" i="2"/>
  <c r="AW117" i="2"/>
  <c r="AV117" i="2"/>
  <c r="AU117" i="2"/>
  <c r="AT117" i="2"/>
  <c r="F117" i="2"/>
  <c r="BN116" i="2"/>
  <c r="BM116" i="2"/>
  <c r="BG116" i="2"/>
  <c r="BF116" i="2"/>
  <c r="BE116" i="2"/>
  <c r="AY116" i="2"/>
  <c r="AX116" i="2"/>
  <c r="AW116" i="2"/>
  <c r="AV116" i="2"/>
  <c r="AU116" i="2"/>
  <c r="AT116" i="2"/>
  <c r="F116" i="2"/>
  <c r="BN115" i="2"/>
  <c r="BM115" i="2"/>
  <c r="BG115" i="2"/>
  <c r="BF115" i="2"/>
  <c r="BE115" i="2"/>
  <c r="AY115" i="2"/>
  <c r="AX115" i="2"/>
  <c r="AW115" i="2"/>
  <c r="AV115" i="2"/>
  <c r="AU115" i="2"/>
  <c r="AT115" i="2"/>
  <c r="F115" i="2"/>
  <c r="BN114" i="2"/>
  <c r="BM114" i="2"/>
  <c r="BG114" i="2"/>
  <c r="BF114" i="2"/>
  <c r="BE114" i="2"/>
  <c r="AY114" i="2"/>
  <c r="AX114" i="2"/>
  <c r="AW114" i="2"/>
  <c r="AV114" i="2"/>
  <c r="AU114" i="2"/>
  <c r="AT114" i="2"/>
  <c r="F114" i="2"/>
  <c r="BN113" i="2"/>
  <c r="BM113" i="2"/>
  <c r="BG113" i="2"/>
  <c r="BF113" i="2"/>
  <c r="BE113" i="2"/>
  <c r="AY113" i="2"/>
  <c r="AX113" i="2"/>
  <c r="AW113" i="2"/>
  <c r="AV113" i="2"/>
  <c r="AU113" i="2"/>
  <c r="AT113" i="2"/>
  <c r="F113" i="2"/>
  <c r="BN112" i="2"/>
  <c r="BM112" i="2"/>
  <c r="BG112" i="2"/>
  <c r="BF112" i="2"/>
  <c r="BE112" i="2"/>
  <c r="AY112" i="2"/>
  <c r="AX112" i="2"/>
  <c r="AW112" i="2"/>
  <c r="AV112" i="2"/>
  <c r="AU112" i="2"/>
  <c r="AT112" i="2"/>
  <c r="F112" i="2"/>
  <c r="BN111" i="2"/>
  <c r="BM111" i="2"/>
  <c r="BG111" i="2"/>
  <c r="BF111" i="2"/>
  <c r="BE111" i="2"/>
  <c r="AY111" i="2"/>
  <c r="AX111" i="2"/>
  <c r="AW111" i="2"/>
  <c r="AV111" i="2"/>
  <c r="AU111" i="2"/>
  <c r="AT111" i="2"/>
  <c r="F111" i="2"/>
  <c r="BN110" i="2"/>
  <c r="BM110" i="2"/>
  <c r="BG110" i="2"/>
  <c r="BF110" i="2"/>
  <c r="BE110" i="2"/>
  <c r="AY110" i="2"/>
  <c r="AX110" i="2"/>
  <c r="AW110" i="2"/>
  <c r="AV110" i="2"/>
  <c r="AU110" i="2"/>
  <c r="AT110" i="2"/>
  <c r="F110" i="2"/>
  <c r="BN109" i="2"/>
  <c r="BM109" i="2"/>
  <c r="BG109" i="2"/>
  <c r="BF109" i="2"/>
  <c r="BE109" i="2"/>
  <c r="AY109" i="2"/>
  <c r="AX109" i="2"/>
  <c r="AW109" i="2"/>
  <c r="AV109" i="2"/>
  <c r="AU109" i="2"/>
  <c r="AT109" i="2"/>
  <c r="F109" i="2"/>
  <c r="BN108" i="2"/>
  <c r="BM108" i="2"/>
  <c r="BG108" i="2"/>
  <c r="BF108" i="2"/>
  <c r="BE108" i="2"/>
  <c r="AY108" i="2"/>
  <c r="AX108" i="2"/>
  <c r="AW108" i="2"/>
  <c r="AV108" i="2"/>
  <c r="AU108" i="2"/>
  <c r="AT108" i="2"/>
  <c r="F108" i="2"/>
  <c r="BN107" i="2"/>
  <c r="BM107" i="2"/>
  <c r="BG107" i="2"/>
  <c r="BF107" i="2"/>
  <c r="BE107" i="2"/>
  <c r="AY107" i="2"/>
  <c r="AX107" i="2"/>
  <c r="AW107" i="2"/>
  <c r="AV107" i="2"/>
  <c r="AU107" i="2"/>
  <c r="AT107" i="2"/>
  <c r="F107" i="2"/>
  <c r="BN106" i="2"/>
  <c r="BM106" i="2"/>
  <c r="BG106" i="2"/>
  <c r="BF106" i="2"/>
  <c r="BE106" i="2"/>
  <c r="AY106" i="2"/>
  <c r="AX106" i="2"/>
  <c r="AW106" i="2"/>
  <c r="AV106" i="2"/>
  <c r="AU106" i="2"/>
  <c r="AT106" i="2"/>
  <c r="F106" i="2"/>
  <c r="BN105" i="2"/>
  <c r="BM105" i="2"/>
  <c r="BG105" i="2"/>
  <c r="BF105" i="2"/>
  <c r="BE105" i="2"/>
  <c r="AY105" i="2"/>
  <c r="AX105" i="2"/>
  <c r="AW105" i="2"/>
  <c r="AV105" i="2"/>
  <c r="AU105" i="2"/>
  <c r="AT105" i="2"/>
  <c r="F105" i="2"/>
  <c r="BN104" i="2"/>
  <c r="BM104" i="2"/>
  <c r="BG104" i="2"/>
  <c r="BF104" i="2"/>
  <c r="BE104" i="2"/>
  <c r="AY104" i="2"/>
  <c r="AX104" i="2"/>
  <c r="AW104" i="2"/>
  <c r="AV104" i="2"/>
  <c r="AU104" i="2"/>
  <c r="AT104" i="2"/>
  <c r="F104" i="2"/>
  <c r="BN103" i="2"/>
  <c r="BM103" i="2"/>
  <c r="BG103" i="2"/>
  <c r="BF103" i="2"/>
  <c r="BE103" i="2"/>
  <c r="AY103" i="2"/>
  <c r="AX103" i="2"/>
  <c r="AW103" i="2"/>
  <c r="AV103" i="2"/>
  <c r="AU103" i="2"/>
  <c r="AT103" i="2"/>
  <c r="F103" i="2"/>
  <c r="BN102" i="2"/>
  <c r="BM102" i="2"/>
  <c r="BG102" i="2"/>
  <c r="BF102" i="2"/>
  <c r="BE102" i="2"/>
  <c r="AY102" i="2"/>
  <c r="AX102" i="2"/>
  <c r="AW102" i="2"/>
  <c r="AV102" i="2"/>
  <c r="AU102" i="2"/>
  <c r="AT102" i="2"/>
  <c r="F102" i="2"/>
  <c r="BN101" i="2"/>
  <c r="BM101" i="2"/>
  <c r="BG101" i="2"/>
  <c r="BF101" i="2"/>
  <c r="BE101" i="2"/>
  <c r="AY101" i="2"/>
  <c r="AX101" i="2"/>
  <c r="AW101" i="2"/>
  <c r="AV101" i="2"/>
  <c r="AU101" i="2"/>
  <c r="AT101" i="2"/>
  <c r="F101" i="2"/>
  <c r="BN100" i="2"/>
  <c r="BM100" i="2"/>
  <c r="BG100" i="2"/>
  <c r="BF100" i="2"/>
  <c r="BE100" i="2"/>
  <c r="AY100" i="2"/>
  <c r="AX100" i="2"/>
  <c r="AW100" i="2"/>
  <c r="AV100" i="2"/>
  <c r="AU100" i="2"/>
  <c r="AT100" i="2"/>
  <c r="F100" i="2"/>
  <c r="BN99" i="2"/>
  <c r="BM99" i="2"/>
  <c r="BG99" i="2"/>
  <c r="BF99" i="2"/>
  <c r="BE99" i="2"/>
  <c r="AY99" i="2"/>
  <c r="AX99" i="2"/>
  <c r="AW99" i="2"/>
  <c r="AV99" i="2"/>
  <c r="AU99" i="2"/>
  <c r="AT99" i="2"/>
  <c r="F99" i="2"/>
  <c r="BN98" i="2"/>
  <c r="BM98" i="2"/>
  <c r="BG98" i="2"/>
  <c r="BF98" i="2"/>
  <c r="BE98" i="2"/>
  <c r="AY98" i="2"/>
  <c r="AX98" i="2"/>
  <c r="AW98" i="2"/>
  <c r="AV98" i="2"/>
  <c r="AU98" i="2"/>
  <c r="AT98" i="2"/>
  <c r="F98" i="2"/>
  <c r="BN97" i="2"/>
  <c r="BM97" i="2"/>
  <c r="BG97" i="2"/>
  <c r="BF97" i="2"/>
  <c r="BE97" i="2"/>
  <c r="AY97" i="2"/>
  <c r="AX97" i="2"/>
  <c r="AW97" i="2"/>
  <c r="AV97" i="2"/>
  <c r="AU97" i="2"/>
  <c r="AT97" i="2"/>
  <c r="F97" i="2"/>
  <c r="BN96" i="2"/>
  <c r="BM96" i="2"/>
  <c r="BG96" i="2"/>
  <c r="BF96" i="2"/>
  <c r="BE96" i="2"/>
  <c r="AY96" i="2"/>
  <c r="AX96" i="2"/>
  <c r="AW96" i="2"/>
  <c r="AV96" i="2"/>
  <c r="AU96" i="2"/>
  <c r="AT96" i="2"/>
  <c r="F96" i="2"/>
  <c r="BN95" i="2"/>
  <c r="BM95" i="2"/>
  <c r="BG95" i="2"/>
  <c r="BF95" i="2"/>
  <c r="BE95" i="2"/>
  <c r="AY95" i="2"/>
  <c r="AX95" i="2"/>
  <c r="AW95" i="2"/>
  <c r="AV95" i="2"/>
  <c r="AU95" i="2"/>
  <c r="AT95" i="2"/>
  <c r="F95" i="2"/>
  <c r="BN94" i="2"/>
  <c r="BM94" i="2"/>
  <c r="BG94" i="2"/>
  <c r="BF94" i="2"/>
  <c r="BE94" i="2"/>
  <c r="AY94" i="2"/>
  <c r="AX94" i="2"/>
  <c r="AW94" i="2"/>
  <c r="AV94" i="2"/>
  <c r="AU94" i="2"/>
  <c r="AT94" i="2"/>
  <c r="F94" i="2"/>
  <c r="BN93" i="2"/>
  <c r="BM93" i="2"/>
  <c r="BG93" i="2"/>
  <c r="BF93" i="2"/>
  <c r="BE93" i="2"/>
  <c r="AY93" i="2"/>
  <c r="AX93" i="2"/>
  <c r="AW93" i="2"/>
  <c r="AV93" i="2"/>
  <c r="AU93" i="2"/>
  <c r="AT93" i="2"/>
  <c r="F93" i="2"/>
  <c r="BN92" i="2"/>
  <c r="BM92" i="2"/>
  <c r="BG92" i="2"/>
  <c r="BF92" i="2"/>
  <c r="BE92" i="2"/>
  <c r="AY92" i="2"/>
  <c r="AX92" i="2"/>
  <c r="AW92" i="2"/>
  <c r="AV92" i="2"/>
  <c r="AU92" i="2"/>
  <c r="AT92" i="2"/>
  <c r="F92" i="2"/>
  <c r="BN91" i="2"/>
  <c r="BM91" i="2"/>
  <c r="BG91" i="2"/>
  <c r="BF91" i="2"/>
  <c r="BE91" i="2"/>
  <c r="AY91" i="2"/>
  <c r="AX91" i="2"/>
  <c r="AW91" i="2"/>
  <c r="AV91" i="2"/>
  <c r="AU91" i="2"/>
  <c r="AT91" i="2"/>
  <c r="F91" i="2"/>
  <c r="BN90" i="2"/>
  <c r="BM90" i="2"/>
  <c r="BG90" i="2"/>
  <c r="BF90" i="2"/>
  <c r="BE90" i="2"/>
  <c r="AY90" i="2"/>
  <c r="AX90" i="2"/>
  <c r="AW90" i="2"/>
  <c r="AV90" i="2"/>
  <c r="AU90" i="2"/>
  <c r="AT90" i="2"/>
  <c r="F90" i="2"/>
  <c r="BN89" i="2"/>
  <c r="BM89" i="2"/>
  <c r="BG89" i="2"/>
  <c r="BF89" i="2"/>
  <c r="BE89" i="2"/>
  <c r="AY89" i="2"/>
  <c r="AX89" i="2"/>
  <c r="AW89" i="2"/>
  <c r="AV89" i="2"/>
  <c r="AU89" i="2"/>
  <c r="AT89" i="2"/>
  <c r="F89" i="2"/>
  <c r="BN88" i="2"/>
  <c r="BM88" i="2"/>
  <c r="BG88" i="2"/>
  <c r="BF88" i="2"/>
  <c r="BE88" i="2"/>
  <c r="AY88" i="2"/>
  <c r="AX88" i="2"/>
  <c r="AW88" i="2"/>
  <c r="AV88" i="2"/>
  <c r="AU88" i="2"/>
  <c r="AT88" i="2"/>
  <c r="F88" i="2"/>
  <c r="BN87" i="2"/>
  <c r="BM87" i="2"/>
  <c r="BG87" i="2"/>
  <c r="BF87" i="2"/>
  <c r="BE87" i="2"/>
  <c r="AY87" i="2"/>
  <c r="AX87" i="2"/>
  <c r="AW87" i="2"/>
  <c r="AV87" i="2"/>
  <c r="AU87" i="2"/>
  <c r="AT87" i="2"/>
  <c r="F87" i="2"/>
  <c r="BN86" i="2"/>
  <c r="BM86" i="2"/>
  <c r="BG86" i="2"/>
  <c r="BF86" i="2"/>
  <c r="BE86" i="2"/>
  <c r="AY86" i="2"/>
  <c r="AX86" i="2"/>
  <c r="AW86" i="2"/>
  <c r="AV86" i="2"/>
  <c r="AU86" i="2"/>
  <c r="AT86" i="2"/>
  <c r="F86" i="2"/>
  <c r="BN85" i="2"/>
  <c r="BM85" i="2"/>
  <c r="BG85" i="2"/>
  <c r="BF85" i="2"/>
  <c r="BE85" i="2"/>
  <c r="AY85" i="2"/>
  <c r="AX85" i="2"/>
  <c r="AW85" i="2"/>
  <c r="AV85" i="2"/>
  <c r="AU85" i="2"/>
  <c r="AT85" i="2"/>
  <c r="F85" i="2"/>
  <c r="BN84" i="2"/>
  <c r="BM84" i="2"/>
  <c r="BG84" i="2"/>
  <c r="BF84" i="2"/>
  <c r="BE84" i="2"/>
  <c r="AY84" i="2"/>
  <c r="AX84" i="2"/>
  <c r="AW84" i="2"/>
  <c r="AV84" i="2"/>
  <c r="AU84" i="2"/>
  <c r="AT84" i="2"/>
  <c r="F84" i="2"/>
  <c r="BN83" i="2"/>
  <c r="BM83" i="2"/>
  <c r="BG83" i="2"/>
  <c r="BF83" i="2"/>
  <c r="BE83" i="2"/>
  <c r="AY83" i="2"/>
  <c r="AX83" i="2"/>
  <c r="AW83" i="2"/>
  <c r="AV83" i="2"/>
  <c r="AU83" i="2"/>
  <c r="AT83" i="2"/>
  <c r="F83" i="2"/>
  <c r="BN82" i="2"/>
  <c r="BM82" i="2"/>
  <c r="BG82" i="2"/>
  <c r="BF82" i="2"/>
  <c r="BE82" i="2"/>
  <c r="AY82" i="2"/>
  <c r="AX82" i="2"/>
  <c r="AW82" i="2"/>
  <c r="AV82" i="2"/>
  <c r="AU82" i="2"/>
  <c r="AT82" i="2"/>
  <c r="F82" i="2"/>
  <c r="BN81" i="2"/>
  <c r="BM81" i="2"/>
  <c r="BG81" i="2"/>
  <c r="BF81" i="2"/>
  <c r="BE81" i="2"/>
  <c r="AY81" i="2"/>
  <c r="AX81" i="2"/>
  <c r="AW81" i="2"/>
  <c r="AV81" i="2"/>
  <c r="AU81" i="2"/>
  <c r="AT81" i="2"/>
  <c r="F81" i="2"/>
  <c r="BN80" i="2"/>
  <c r="BM80" i="2"/>
  <c r="BG80" i="2"/>
  <c r="BF80" i="2"/>
  <c r="BE80" i="2"/>
  <c r="AY80" i="2"/>
  <c r="AX80" i="2"/>
  <c r="AW80" i="2"/>
  <c r="AV80" i="2"/>
  <c r="AU80" i="2"/>
  <c r="AT80" i="2"/>
  <c r="F80" i="2"/>
  <c r="BN79" i="2"/>
  <c r="BM79" i="2"/>
  <c r="BG79" i="2"/>
  <c r="BF79" i="2"/>
  <c r="BE79" i="2"/>
  <c r="AY79" i="2"/>
  <c r="AX79" i="2"/>
  <c r="AW79" i="2"/>
  <c r="AV79" i="2"/>
  <c r="AU79" i="2"/>
  <c r="AT79" i="2"/>
  <c r="F79" i="2"/>
  <c r="BN78" i="2"/>
  <c r="BM78" i="2"/>
  <c r="BG78" i="2"/>
  <c r="BF78" i="2"/>
  <c r="BE78" i="2"/>
  <c r="AY78" i="2"/>
  <c r="AX78" i="2"/>
  <c r="AW78" i="2"/>
  <c r="AV78" i="2"/>
  <c r="AU78" i="2"/>
  <c r="AT78" i="2"/>
  <c r="F78" i="2"/>
  <c r="BN77" i="2"/>
  <c r="BM77" i="2"/>
  <c r="BG77" i="2"/>
  <c r="BF77" i="2"/>
  <c r="BE77" i="2"/>
  <c r="AY77" i="2"/>
  <c r="AX77" i="2"/>
  <c r="AW77" i="2"/>
  <c r="AV77" i="2"/>
  <c r="AU77" i="2"/>
  <c r="AT77" i="2"/>
  <c r="F77" i="2"/>
  <c r="BN76" i="2"/>
  <c r="BM76" i="2"/>
  <c r="BG76" i="2"/>
  <c r="BF76" i="2"/>
  <c r="BE76" i="2"/>
  <c r="AY76" i="2"/>
  <c r="AX76" i="2"/>
  <c r="AW76" i="2"/>
  <c r="AV76" i="2"/>
  <c r="AU76" i="2"/>
  <c r="AT76" i="2"/>
  <c r="F76" i="2"/>
  <c r="BN75" i="2"/>
  <c r="BM75" i="2"/>
  <c r="BG75" i="2"/>
  <c r="BF75" i="2"/>
  <c r="BE75" i="2"/>
  <c r="AY75" i="2"/>
  <c r="AX75" i="2"/>
  <c r="AW75" i="2"/>
  <c r="AV75" i="2"/>
  <c r="AU75" i="2"/>
  <c r="AT75" i="2"/>
  <c r="F75" i="2"/>
  <c r="BN74" i="2"/>
  <c r="BM74" i="2"/>
  <c r="BG74" i="2"/>
  <c r="BF74" i="2"/>
  <c r="BE74" i="2"/>
  <c r="AY74" i="2"/>
  <c r="AX74" i="2"/>
  <c r="AW74" i="2"/>
  <c r="AV74" i="2"/>
  <c r="AU74" i="2"/>
  <c r="AT74" i="2"/>
  <c r="F74" i="2"/>
  <c r="BN73" i="2"/>
  <c r="BM73" i="2"/>
  <c r="BG73" i="2"/>
  <c r="BF73" i="2"/>
  <c r="BE73" i="2"/>
  <c r="AY73" i="2"/>
  <c r="AX73" i="2"/>
  <c r="AW73" i="2"/>
  <c r="AV73" i="2"/>
  <c r="AU73" i="2"/>
  <c r="AT73" i="2"/>
  <c r="F73" i="2"/>
  <c r="BN72" i="2"/>
  <c r="BM72" i="2"/>
  <c r="BG72" i="2"/>
  <c r="BF72" i="2"/>
  <c r="BE72" i="2"/>
  <c r="AY72" i="2"/>
  <c r="AW72" i="2"/>
  <c r="AV72" i="2"/>
  <c r="AU72" i="2"/>
  <c r="AT72" i="2"/>
  <c r="F72" i="2"/>
  <c r="BN71" i="2"/>
  <c r="BM71" i="2"/>
  <c r="BG71" i="2"/>
  <c r="BF71" i="2"/>
  <c r="BE71" i="2"/>
  <c r="AY71" i="2"/>
  <c r="AX71" i="2"/>
  <c r="AW71" i="2"/>
  <c r="AV71" i="2"/>
  <c r="AU71" i="2"/>
  <c r="AT71" i="2"/>
  <c r="F71" i="2"/>
  <c r="BN70" i="2"/>
  <c r="BM70" i="2"/>
  <c r="BG70" i="2"/>
  <c r="BF70" i="2"/>
  <c r="BE70" i="2"/>
  <c r="AY70" i="2"/>
  <c r="AX70" i="2"/>
  <c r="AW70" i="2"/>
  <c r="AV70" i="2"/>
  <c r="AU70" i="2"/>
  <c r="AT70" i="2"/>
  <c r="F70" i="2"/>
  <c r="BN69" i="2"/>
  <c r="BM69" i="2"/>
  <c r="BG69" i="2"/>
  <c r="BF69" i="2"/>
  <c r="BE69" i="2"/>
  <c r="AY69" i="2"/>
  <c r="AX69" i="2"/>
  <c r="AW69" i="2"/>
  <c r="AV69" i="2"/>
  <c r="AU69" i="2"/>
  <c r="AT69" i="2"/>
  <c r="F69" i="2"/>
  <c r="BN68" i="2"/>
  <c r="BM68" i="2"/>
  <c r="BG68" i="2"/>
  <c r="BF68" i="2"/>
  <c r="BE68" i="2"/>
  <c r="AY68" i="2"/>
  <c r="AX68" i="2"/>
  <c r="AW68" i="2"/>
  <c r="AV68" i="2"/>
  <c r="AU68" i="2"/>
  <c r="AT68" i="2"/>
  <c r="F68" i="2"/>
  <c r="BN67" i="2"/>
  <c r="BM67" i="2"/>
  <c r="BG67" i="2"/>
  <c r="BF67" i="2"/>
  <c r="BE67" i="2"/>
  <c r="AY67" i="2"/>
  <c r="AX67" i="2"/>
  <c r="AW67" i="2"/>
  <c r="AV67" i="2"/>
  <c r="AU67" i="2"/>
  <c r="AT67" i="2"/>
  <c r="F67" i="2"/>
  <c r="BN66" i="2"/>
  <c r="BM66" i="2"/>
  <c r="BG66" i="2"/>
  <c r="BF66" i="2"/>
  <c r="BE66" i="2"/>
  <c r="AY66" i="2"/>
  <c r="AX66" i="2"/>
  <c r="AW66" i="2"/>
  <c r="AV66" i="2"/>
  <c r="AU66" i="2"/>
  <c r="AT66" i="2"/>
  <c r="F66" i="2"/>
  <c r="BN65" i="2"/>
  <c r="BM65" i="2"/>
  <c r="BG65" i="2"/>
  <c r="BF65" i="2"/>
  <c r="BE65" i="2"/>
  <c r="AY65" i="2"/>
  <c r="AX65" i="2"/>
  <c r="AW65" i="2"/>
  <c r="AV65" i="2"/>
  <c r="AU65" i="2"/>
  <c r="AT65" i="2"/>
  <c r="F65" i="2"/>
  <c r="BN64" i="2"/>
  <c r="BM64" i="2"/>
  <c r="BG64" i="2"/>
  <c r="BF64" i="2"/>
  <c r="BE64" i="2"/>
  <c r="AY64" i="2"/>
  <c r="AX64" i="2"/>
  <c r="AW64" i="2"/>
  <c r="AV64" i="2"/>
  <c r="AU64" i="2"/>
  <c r="AT64" i="2"/>
  <c r="F64" i="2"/>
  <c r="BN63" i="2"/>
  <c r="BM63" i="2"/>
  <c r="BG63" i="2"/>
  <c r="BF63" i="2"/>
  <c r="BE63" i="2"/>
  <c r="AY63" i="2"/>
  <c r="AX63" i="2"/>
  <c r="AW63" i="2"/>
  <c r="AV63" i="2"/>
  <c r="AU63" i="2"/>
  <c r="AT63" i="2"/>
  <c r="F63" i="2"/>
  <c r="BN62" i="2"/>
  <c r="BM62" i="2"/>
  <c r="BG62" i="2"/>
  <c r="BF62" i="2"/>
  <c r="BE62" i="2"/>
  <c r="AY62" i="2"/>
  <c r="AX62" i="2"/>
  <c r="AW62" i="2"/>
  <c r="AV62" i="2"/>
  <c r="AU62" i="2"/>
  <c r="AT62" i="2"/>
  <c r="F62" i="2"/>
  <c r="BN61" i="2"/>
  <c r="BM61" i="2"/>
  <c r="BG61" i="2"/>
  <c r="BF61" i="2"/>
  <c r="BE61" i="2"/>
  <c r="AY61" i="2"/>
  <c r="AX61" i="2"/>
  <c r="AW61" i="2"/>
  <c r="AV61" i="2"/>
  <c r="AU61" i="2"/>
  <c r="AT61" i="2"/>
  <c r="F61" i="2"/>
  <c r="BN60" i="2"/>
  <c r="BM60" i="2"/>
  <c r="BG60" i="2"/>
  <c r="BF60" i="2"/>
  <c r="BE60" i="2"/>
  <c r="AY60" i="2"/>
  <c r="AX60" i="2"/>
  <c r="AW60" i="2"/>
  <c r="AV60" i="2"/>
  <c r="AU60" i="2"/>
  <c r="AT60" i="2"/>
  <c r="F60" i="2"/>
  <c r="BN59" i="2"/>
  <c r="BM59" i="2"/>
  <c r="BG59" i="2"/>
  <c r="BF59" i="2"/>
  <c r="BE59" i="2"/>
  <c r="AY59" i="2"/>
  <c r="AX59" i="2"/>
  <c r="AW59" i="2"/>
  <c r="AV59" i="2"/>
  <c r="AU59" i="2"/>
  <c r="AT59" i="2"/>
  <c r="F59" i="2"/>
  <c r="BN58" i="2"/>
  <c r="BM58" i="2"/>
  <c r="BG58" i="2"/>
  <c r="BF58" i="2"/>
  <c r="BE58" i="2"/>
  <c r="AY58" i="2"/>
  <c r="AX58" i="2"/>
  <c r="AW58" i="2"/>
  <c r="AV58" i="2"/>
  <c r="AU58" i="2"/>
  <c r="AT58" i="2"/>
  <c r="F58" i="2"/>
  <c r="BN57" i="2"/>
  <c r="BM57" i="2"/>
  <c r="BG57" i="2"/>
  <c r="BF57" i="2"/>
  <c r="BE57" i="2"/>
  <c r="AY57" i="2"/>
  <c r="AX57" i="2"/>
  <c r="AW57" i="2"/>
  <c r="AV57" i="2"/>
  <c r="AU57" i="2"/>
  <c r="AT57" i="2"/>
  <c r="F57" i="2"/>
  <c r="BN56" i="2"/>
  <c r="BM56" i="2"/>
  <c r="BG56" i="2"/>
  <c r="BF56" i="2"/>
  <c r="BE56" i="2"/>
  <c r="AY56" i="2"/>
  <c r="AX56" i="2"/>
  <c r="AW56" i="2"/>
  <c r="AV56" i="2"/>
  <c r="AU56" i="2"/>
  <c r="AT56" i="2"/>
  <c r="F56" i="2"/>
  <c r="BN55" i="2"/>
  <c r="BM55" i="2"/>
  <c r="BG55" i="2"/>
  <c r="BF55" i="2"/>
  <c r="BE55" i="2"/>
  <c r="AY55" i="2"/>
  <c r="AX55" i="2"/>
  <c r="AW55" i="2"/>
  <c r="AV55" i="2"/>
  <c r="AU55" i="2"/>
  <c r="AT55" i="2"/>
  <c r="F55" i="2"/>
  <c r="BN54" i="2"/>
  <c r="BM54" i="2"/>
  <c r="BG54" i="2"/>
  <c r="BF54" i="2"/>
  <c r="BE54" i="2"/>
  <c r="AY54" i="2"/>
  <c r="AX54" i="2"/>
  <c r="AW54" i="2"/>
  <c r="AV54" i="2"/>
  <c r="AU54" i="2"/>
  <c r="AT54" i="2"/>
  <c r="F54" i="2"/>
  <c r="BN53" i="2"/>
  <c r="BM53" i="2"/>
  <c r="BG53" i="2"/>
  <c r="BF53" i="2"/>
  <c r="BE53" i="2"/>
  <c r="AY53" i="2"/>
  <c r="AX53" i="2"/>
  <c r="AW53" i="2"/>
  <c r="AV53" i="2"/>
  <c r="AU53" i="2"/>
  <c r="AT53" i="2"/>
  <c r="F53" i="2"/>
  <c r="BN52" i="2"/>
  <c r="BM52" i="2"/>
  <c r="BG52" i="2"/>
  <c r="BF52" i="2"/>
  <c r="BE52" i="2"/>
  <c r="AY52" i="2"/>
  <c r="AX52" i="2"/>
  <c r="AW52" i="2"/>
  <c r="AV52" i="2"/>
  <c r="AU52" i="2"/>
  <c r="AT52" i="2"/>
  <c r="F52" i="2"/>
  <c r="BN51" i="2"/>
  <c r="BM51" i="2"/>
  <c r="BG51" i="2"/>
  <c r="BF51" i="2"/>
  <c r="BE51" i="2"/>
  <c r="AY51" i="2"/>
  <c r="AX51" i="2"/>
  <c r="AW51" i="2"/>
  <c r="AV51" i="2"/>
  <c r="AU51" i="2"/>
  <c r="AT51" i="2"/>
  <c r="F51" i="2"/>
  <c r="BN50" i="2"/>
  <c r="BM50" i="2"/>
  <c r="BG50" i="2"/>
  <c r="BF50" i="2"/>
  <c r="BE50" i="2"/>
  <c r="AY50" i="2"/>
  <c r="AX50" i="2"/>
  <c r="AW50" i="2"/>
  <c r="AV50" i="2"/>
  <c r="AU50" i="2"/>
  <c r="AT50" i="2"/>
  <c r="F50" i="2"/>
  <c r="BN49" i="2"/>
  <c r="BM49" i="2"/>
  <c r="BG49" i="2"/>
  <c r="BF49" i="2"/>
  <c r="BE49" i="2"/>
  <c r="AY49" i="2"/>
  <c r="AX49" i="2"/>
  <c r="AW49" i="2"/>
  <c r="AV49" i="2"/>
  <c r="AU49" i="2"/>
  <c r="AT49" i="2"/>
  <c r="F49" i="2"/>
  <c r="BN48" i="2"/>
  <c r="BM48" i="2"/>
  <c r="BG48" i="2"/>
  <c r="BF48" i="2"/>
  <c r="BE48" i="2"/>
  <c r="AY48" i="2"/>
  <c r="AX48" i="2"/>
  <c r="AW48" i="2"/>
  <c r="AV48" i="2"/>
  <c r="AU48" i="2"/>
  <c r="AT48" i="2"/>
  <c r="F48" i="2"/>
  <c r="BN47" i="2"/>
  <c r="BM47" i="2"/>
  <c r="BG47" i="2"/>
  <c r="BF47" i="2"/>
  <c r="BE47" i="2"/>
  <c r="AY47" i="2"/>
  <c r="AX47" i="2"/>
  <c r="AW47" i="2"/>
  <c r="AV47" i="2"/>
  <c r="AU47" i="2"/>
  <c r="AT47" i="2"/>
  <c r="F47" i="2"/>
  <c r="BN46" i="2"/>
  <c r="BM46" i="2"/>
  <c r="BG46" i="2"/>
  <c r="BF46" i="2"/>
  <c r="BE46" i="2"/>
  <c r="AY46" i="2"/>
  <c r="AX46" i="2"/>
  <c r="AW46" i="2"/>
  <c r="AV46" i="2"/>
  <c r="AU46" i="2"/>
  <c r="AT46" i="2"/>
  <c r="F46" i="2"/>
  <c r="BN45" i="2"/>
  <c r="BM45" i="2"/>
  <c r="BG45" i="2"/>
  <c r="BF45" i="2"/>
  <c r="BE45" i="2"/>
  <c r="AY45" i="2"/>
  <c r="AX45" i="2"/>
  <c r="AW45" i="2"/>
  <c r="AV45" i="2"/>
  <c r="AU45" i="2"/>
  <c r="AT45" i="2"/>
  <c r="F45" i="2"/>
  <c r="BN44" i="2"/>
  <c r="BM44" i="2"/>
  <c r="BG44" i="2"/>
  <c r="BF44" i="2"/>
  <c r="BE44" i="2"/>
  <c r="AY44" i="2"/>
  <c r="AX44" i="2"/>
  <c r="AW44" i="2"/>
  <c r="AV44" i="2"/>
  <c r="AU44" i="2"/>
  <c r="AT44" i="2"/>
  <c r="F44" i="2"/>
  <c r="BN43" i="2"/>
  <c r="BM43" i="2"/>
  <c r="BG43" i="2"/>
  <c r="BF43" i="2"/>
  <c r="BE43" i="2"/>
  <c r="AY43" i="2"/>
  <c r="AX43" i="2"/>
  <c r="AW43" i="2"/>
  <c r="AV43" i="2"/>
  <c r="AU43" i="2"/>
  <c r="AT43" i="2"/>
  <c r="F43" i="2"/>
  <c r="BN42" i="2"/>
  <c r="BM42" i="2"/>
  <c r="BG42" i="2"/>
  <c r="BF42" i="2"/>
  <c r="BE42" i="2"/>
  <c r="AY42" i="2"/>
  <c r="AX42" i="2"/>
  <c r="AW42" i="2"/>
  <c r="AV42" i="2"/>
  <c r="AU42" i="2"/>
  <c r="AT42" i="2"/>
  <c r="F42" i="2"/>
  <c r="BN41" i="2"/>
  <c r="BM41" i="2"/>
  <c r="BG41" i="2"/>
  <c r="BF41" i="2"/>
  <c r="BE41" i="2"/>
  <c r="AY41" i="2"/>
  <c r="AX41" i="2"/>
  <c r="AW41" i="2"/>
  <c r="AV41" i="2"/>
  <c r="AU41" i="2"/>
  <c r="AT41" i="2"/>
  <c r="F41" i="2"/>
  <c r="BN40" i="2"/>
  <c r="BM40" i="2"/>
  <c r="BG40" i="2"/>
  <c r="BF40" i="2"/>
  <c r="BE40" i="2"/>
  <c r="AY40" i="2"/>
  <c r="AX40" i="2"/>
  <c r="AW40" i="2"/>
  <c r="AV40" i="2"/>
  <c r="AU40" i="2"/>
  <c r="AT40" i="2"/>
  <c r="F40" i="2"/>
  <c r="BN39" i="2"/>
  <c r="BM39" i="2"/>
  <c r="BG39" i="2"/>
  <c r="BF39" i="2"/>
  <c r="BE39" i="2"/>
  <c r="AY39" i="2"/>
  <c r="AX39" i="2"/>
  <c r="AW39" i="2"/>
  <c r="AV39" i="2"/>
  <c r="AU39" i="2"/>
  <c r="AT39" i="2"/>
  <c r="F39" i="2"/>
  <c r="BN38" i="2"/>
  <c r="BM38" i="2"/>
  <c r="BG38" i="2"/>
  <c r="BF38" i="2"/>
  <c r="BE38" i="2"/>
  <c r="AY38" i="2"/>
  <c r="AX38" i="2"/>
  <c r="AW38" i="2"/>
  <c r="AV38" i="2"/>
  <c r="AU38" i="2"/>
  <c r="AT38" i="2"/>
  <c r="F38" i="2"/>
  <c r="BN37" i="2"/>
  <c r="BM37" i="2"/>
  <c r="BG37" i="2"/>
  <c r="BF37" i="2"/>
  <c r="BE37" i="2"/>
  <c r="AY37" i="2"/>
  <c r="AW37" i="2"/>
  <c r="AV37" i="2"/>
  <c r="AU37" i="2"/>
  <c r="AT37" i="2"/>
  <c r="F37" i="2"/>
  <c r="BN36" i="2"/>
  <c r="BM36" i="2"/>
  <c r="BG36" i="2"/>
  <c r="BF36" i="2"/>
  <c r="BE36" i="2"/>
  <c r="AY36" i="2"/>
  <c r="AW36" i="2"/>
  <c r="AV36" i="2"/>
  <c r="AU36" i="2"/>
  <c r="AT36" i="2"/>
  <c r="F36" i="2"/>
  <c r="BN35" i="2"/>
  <c r="BM35" i="2"/>
  <c r="BG35" i="2"/>
  <c r="BF35" i="2"/>
  <c r="BE35" i="2"/>
  <c r="AY35" i="2"/>
  <c r="AW35" i="2"/>
  <c r="AV35" i="2"/>
  <c r="AU35" i="2"/>
  <c r="AT35" i="2"/>
  <c r="F35" i="2"/>
  <c r="BN34" i="2"/>
  <c r="BM34" i="2"/>
  <c r="BG34" i="2"/>
  <c r="BF34" i="2"/>
  <c r="BE34" i="2"/>
  <c r="AY34" i="2"/>
  <c r="AW34" i="2"/>
  <c r="AV34" i="2"/>
  <c r="AU34" i="2"/>
  <c r="AT34" i="2"/>
  <c r="F34" i="2"/>
  <c r="BN33" i="2"/>
  <c r="BM33" i="2"/>
  <c r="BG33" i="2"/>
  <c r="BF33" i="2"/>
  <c r="BE33" i="2"/>
  <c r="AY33" i="2"/>
  <c r="AW33" i="2"/>
  <c r="AV33" i="2"/>
  <c r="AU33" i="2"/>
  <c r="AT33" i="2"/>
  <c r="F33" i="2"/>
  <c r="BN32" i="2"/>
  <c r="BM32" i="2"/>
  <c r="BG32" i="2"/>
  <c r="BF32" i="2"/>
  <c r="BE32" i="2"/>
  <c r="AY32" i="2"/>
  <c r="AW32" i="2"/>
  <c r="AV32" i="2"/>
  <c r="AU32" i="2"/>
  <c r="AT32" i="2"/>
  <c r="F32" i="2"/>
  <c r="BN31" i="2"/>
  <c r="BM31" i="2"/>
  <c r="BG31" i="2"/>
  <c r="BF31" i="2"/>
  <c r="BE31" i="2"/>
  <c r="AY31" i="2"/>
  <c r="AW31" i="2"/>
  <c r="AV31" i="2"/>
  <c r="AU31" i="2"/>
  <c r="AT31" i="2"/>
  <c r="F31" i="2"/>
  <c r="BN30" i="2"/>
  <c r="BM30" i="2"/>
  <c r="BG30" i="2"/>
  <c r="BF30" i="2"/>
  <c r="BE30" i="2"/>
  <c r="AY30" i="2"/>
  <c r="AW30" i="2"/>
  <c r="AV30" i="2"/>
  <c r="AU30" i="2"/>
  <c r="AT30" i="2"/>
  <c r="F30" i="2"/>
  <c r="BN29" i="2"/>
  <c r="BM29" i="2"/>
  <c r="BG29" i="2"/>
  <c r="BF29" i="2"/>
  <c r="BE29" i="2"/>
  <c r="AY29" i="2"/>
  <c r="AW29" i="2"/>
  <c r="AV29" i="2"/>
  <c r="AU29" i="2"/>
  <c r="AT29" i="2"/>
  <c r="F29" i="2"/>
  <c r="BN28" i="2"/>
  <c r="BM28" i="2"/>
  <c r="BG28" i="2"/>
  <c r="BF28" i="2"/>
  <c r="BE28" i="2"/>
  <c r="AY28" i="2"/>
  <c r="AW28" i="2"/>
  <c r="AV28" i="2"/>
  <c r="AU28" i="2"/>
  <c r="AT28" i="2"/>
  <c r="F28" i="2"/>
  <c r="BN27" i="2"/>
  <c r="BM27" i="2"/>
  <c r="BG27" i="2"/>
  <c r="BF27" i="2"/>
  <c r="BE27" i="2"/>
  <c r="AY27" i="2"/>
  <c r="AW27" i="2"/>
  <c r="AV27" i="2"/>
  <c r="AU27" i="2"/>
  <c r="AT27" i="2"/>
  <c r="F27" i="2"/>
  <c r="BN26" i="2"/>
  <c r="BM26" i="2"/>
  <c r="BG26" i="2"/>
  <c r="BF26" i="2"/>
  <c r="BE26" i="2"/>
  <c r="AY26" i="2"/>
  <c r="AW26" i="2"/>
  <c r="AV26" i="2"/>
  <c r="AU26" i="2"/>
  <c r="AT26" i="2"/>
  <c r="F26" i="2"/>
  <c r="BN25" i="2"/>
  <c r="BM25" i="2"/>
  <c r="BG25" i="2"/>
  <c r="BF25" i="2"/>
  <c r="BE25" i="2"/>
  <c r="AY25" i="2"/>
  <c r="AW25" i="2"/>
  <c r="AV25" i="2"/>
  <c r="AU25" i="2"/>
  <c r="AT25" i="2"/>
  <c r="F25" i="2"/>
  <c r="BN24" i="2"/>
  <c r="BM24" i="2"/>
  <c r="BG24" i="2"/>
  <c r="BF24" i="2"/>
  <c r="BE24" i="2"/>
  <c r="AY24" i="2"/>
  <c r="AW24" i="2"/>
  <c r="AV24" i="2"/>
  <c r="AU24" i="2"/>
  <c r="AT24" i="2"/>
  <c r="F24" i="2"/>
  <c r="BN23" i="2"/>
  <c r="BM23" i="2"/>
  <c r="BG23" i="2"/>
  <c r="BF23" i="2"/>
  <c r="BE23" i="2"/>
  <c r="AY23" i="2"/>
  <c r="AW23" i="2"/>
  <c r="AV23" i="2"/>
  <c r="AU23" i="2"/>
  <c r="AT23" i="2"/>
  <c r="F23" i="2"/>
  <c r="BN22" i="2"/>
  <c r="BM22" i="2"/>
  <c r="BG22" i="2"/>
  <c r="BF22" i="2"/>
  <c r="BE22" i="2"/>
  <c r="AY22" i="2"/>
  <c r="AW22" i="2"/>
  <c r="AV22" i="2"/>
  <c r="AU22" i="2"/>
  <c r="AT22" i="2"/>
  <c r="F22" i="2"/>
  <c r="BN21" i="2"/>
  <c r="BM21" i="2"/>
  <c r="BG21" i="2"/>
  <c r="BF21" i="2"/>
  <c r="BE21" i="2"/>
  <c r="AY21" i="2"/>
  <c r="AW21" i="2"/>
  <c r="AV21" i="2"/>
  <c r="AU21" i="2"/>
  <c r="AT21" i="2"/>
  <c r="F21" i="2"/>
  <c r="BN20" i="2"/>
  <c r="BM20" i="2"/>
  <c r="BG20" i="2"/>
  <c r="BF20" i="2"/>
  <c r="BE20" i="2"/>
  <c r="AY20" i="2"/>
  <c r="AW20" i="2"/>
  <c r="AV20" i="2"/>
  <c r="AU20" i="2"/>
  <c r="AT20" i="2"/>
  <c r="F20" i="2"/>
  <c r="BN19" i="2"/>
  <c r="BM19" i="2"/>
  <c r="BG19" i="2"/>
  <c r="BF19" i="2"/>
  <c r="BE19" i="2"/>
  <c r="AY19" i="2"/>
  <c r="AW19" i="2"/>
  <c r="AV19" i="2"/>
  <c r="AU19" i="2"/>
  <c r="AT19" i="2"/>
  <c r="F19" i="2"/>
  <c r="BN18" i="2"/>
  <c r="BM18" i="2"/>
  <c r="BG18" i="2"/>
  <c r="BF18" i="2"/>
  <c r="BE18" i="2"/>
  <c r="AY18" i="2"/>
  <c r="AW18" i="2"/>
  <c r="AV18" i="2"/>
  <c r="AU18" i="2"/>
  <c r="AT18" i="2"/>
  <c r="F18" i="2"/>
  <c r="BN17" i="2"/>
  <c r="BM17" i="2"/>
  <c r="BG17" i="2"/>
  <c r="BF17" i="2"/>
  <c r="BE17" i="2"/>
  <c r="AY17" i="2"/>
  <c r="AW17" i="2"/>
  <c r="AV17" i="2"/>
  <c r="AU17" i="2"/>
  <c r="AT17" i="2"/>
  <c r="F17" i="2"/>
  <c r="BN16" i="2"/>
  <c r="BM16" i="2"/>
  <c r="BG16" i="2"/>
  <c r="BF16" i="2"/>
  <c r="BE16" i="2"/>
  <c r="AY16" i="2"/>
  <c r="AW16" i="2"/>
  <c r="AV16" i="2"/>
  <c r="AU16" i="2"/>
  <c r="AT16" i="2"/>
  <c r="F16" i="2"/>
  <c r="BN15" i="2"/>
  <c r="BM15" i="2"/>
  <c r="BG15" i="2"/>
  <c r="BF15" i="2"/>
  <c r="BE15" i="2"/>
  <c r="AY15" i="2"/>
  <c r="AW15" i="2"/>
  <c r="AV15" i="2"/>
  <c r="AU15" i="2"/>
  <c r="AT15" i="2"/>
  <c r="F15" i="2"/>
  <c r="BN14" i="2"/>
  <c r="BM14" i="2"/>
  <c r="BG14" i="2"/>
  <c r="BF14" i="2"/>
  <c r="BE14" i="2"/>
  <c r="AY14" i="2"/>
  <c r="AW14" i="2"/>
  <c r="AV14" i="2"/>
  <c r="AU14" i="2"/>
  <c r="AT14" i="2"/>
  <c r="F14" i="2"/>
  <c r="BN13" i="2"/>
  <c r="BM13" i="2"/>
  <c r="BG13" i="2"/>
  <c r="BF13" i="2"/>
  <c r="BE13" i="2"/>
  <c r="AY13" i="2"/>
  <c r="AW13" i="2"/>
  <c r="AV13" i="2"/>
  <c r="AU13" i="2"/>
  <c r="AT13" i="2"/>
  <c r="F13" i="2"/>
  <c r="BN12" i="2"/>
  <c r="BM12" i="2"/>
  <c r="BG12" i="2"/>
  <c r="BF12" i="2"/>
  <c r="BE12" i="2"/>
  <c r="AY12" i="2"/>
  <c r="AW12" i="2"/>
  <c r="AV12" i="2"/>
  <c r="AU12" i="2"/>
  <c r="AT12" i="2"/>
  <c r="F12" i="2"/>
  <c r="BN11" i="2"/>
  <c r="BM11" i="2"/>
  <c r="BG11" i="2"/>
  <c r="BF11" i="2"/>
  <c r="BE11" i="2"/>
  <c r="AY11" i="2"/>
  <c r="AW11" i="2"/>
  <c r="AV11" i="2"/>
  <c r="AU11" i="2"/>
  <c r="AT11" i="2"/>
  <c r="F11" i="2"/>
  <c r="BN10" i="2"/>
  <c r="BM10" i="2"/>
  <c r="BG10" i="2"/>
  <c r="BF10" i="2"/>
  <c r="BE10" i="2"/>
  <c r="AY10" i="2"/>
  <c r="AX10" i="2"/>
  <c r="AW10" i="2"/>
  <c r="AV10" i="2"/>
  <c r="AU10" i="2"/>
  <c r="AT10" i="2"/>
  <c r="F10" i="2"/>
  <c r="BN9" i="2"/>
  <c r="BM9" i="2"/>
  <c r="BG9" i="2"/>
  <c r="BF9" i="2"/>
  <c r="BE9" i="2"/>
  <c r="AY9" i="2"/>
  <c r="AW9" i="2"/>
  <c r="AV9" i="2"/>
  <c r="AU9" i="2"/>
  <c r="AT9" i="2"/>
  <c r="F9" i="2"/>
  <c r="BN8" i="2"/>
  <c r="BM8" i="2"/>
  <c r="BG8" i="2"/>
  <c r="BF8" i="2"/>
  <c r="BE8" i="2"/>
  <c r="AY8" i="2"/>
  <c r="AX8" i="2"/>
  <c r="AW8" i="2"/>
  <c r="AV8" i="2"/>
  <c r="AU8" i="2"/>
  <c r="AT8" i="2"/>
  <c r="F8" i="2"/>
  <c r="BN7" i="2"/>
  <c r="BM7" i="2"/>
  <c r="BG7" i="2"/>
  <c r="BF7" i="2"/>
  <c r="BE7" i="2"/>
  <c r="AY7" i="2"/>
  <c r="AX7" i="2"/>
  <c r="AW7" i="2"/>
  <c r="AV7" i="2"/>
  <c r="AU7" i="2"/>
  <c r="AT7" i="2"/>
  <c r="F7" i="2"/>
  <c r="BN6" i="2"/>
  <c r="BM6" i="2"/>
  <c r="BG6" i="2"/>
  <c r="BF6" i="2"/>
  <c r="BE6" i="2"/>
  <c r="AY6" i="2"/>
  <c r="AX6" i="2"/>
  <c r="AW6" i="2"/>
  <c r="AV6" i="2"/>
  <c r="AU6" i="2"/>
  <c r="AT6" i="2"/>
  <c r="F6" i="2"/>
  <c r="BN5" i="2"/>
  <c r="BM5" i="2"/>
  <c r="BG5" i="2"/>
  <c r="BF5" i="2"/>
  <c r="BE5" i="2"/>
  <c r="AY5" i="2"/>
  <c r="AX5" i="2"/>
  <c r="AW5" i="2"/>
  <c r="AV5" i="2"/>
  <c r="AU5" i="2"/>
  <c r="AT5" i="2"/>
  <c r="F5" i="2"/>
  <c r="BN4" i="2"/>
  <c r="BM4" i="2"/>
  <c r="BG4" i="2"/>
  <c r="BF4" i="2"/>
  <c r="BE4" i="2"/>
  <c r="AY4" i="2"/>
  <c r="AX4" i="2"/>
  <c r="AW4" i="2"/>
  <c r="AV4" i="2"/>
  <c r="AU4" i="2"/>
  <c r="AT4" i="2"/>
  <c r="F4" i="2"/>
  <c r="BN3" i="2"/>
  <c r="BM3" i="2"/>
  <c r="BG3" i="2"/>
  <c r="BF3" i="2"/>
  <c r="BE3" i="2"/>
  <c r="AY3" i="2"/>
  <c r="AX3" i="2"/>
  <c r="AW3" i="2"/>
  <c r="AV3" i="2"/>
  <c r="AU3" i="2"/>
  <c r="AT3" i="2"/>
  <c r="F3" i="2"/>
  <c r="BN2" i="2"/>
  <c r="BM2" i="2"/>
  <c r="BG2" i="2"/>
  <c r="BF2" i="2"/>
  <c r="BE2" i="2"/>
  <c r="AY2" i="2"/>
  <c r="AX2" i="2"/>
  <c r="AW2" i="2"/>
  <c r="AV2" i="2"/>
  <c r="AU2" i="2"/>
  <c r="AT2" i="2"/>
  <c r="F2" i="2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</t>
        </r>
        <r>
          <rPr>
            <sz val="9"/>
            <color indexed="81"/>
            <rFont val="Tahoma"/>
            <family val="2"/>
          </rPr>
          <t xml:space="preserve">
2. 
</t>
        </r>
        <r>
          <rPr>
            <sz val="9"/>
            <color indexed="81"/>
            <rFont val="돋움"/>
            <family val="3"/>
            <charset val="129"/>
          </rPr>
          <t>매장발주목록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택배발주목록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 xml:space="preserve">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불러와주세요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
2. 
</t>
        </r>
        <r>
          <rPr>
            <sz val="9"/>
            <color indexed="81"/>
            <rFont val="돋움"/>
            <family val="3"/>
            <charset val="129"/>
          </rPr>
          <t>매장발주목록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택배발주목록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 xml:space="preserve">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행만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부족수량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불러와주세요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
</t>
        </r>
        <r>
          <rPr>
            <sz val="9"/>
            <color indexed="81"/>
            <rFont val="돋움"/>
            <family val="3"/>
            <charset val="129"/>
          </rPr>
          <t>매장발주목록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택배발주목록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 xml:space="preserve">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행만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부족수량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상품명들을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불러와주세요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>: =MID(C2,2,FIND("]",C2)-2)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발주처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공급처명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
M </t>
        </r>
        <r>
          <rPr>
            <sz val="9"/>
            <color indexed="81"/>
            <rFont val="돋움"/>
            <family val="3"/>
            <charset val="129"/>
          </rPr>
          <t>칼럽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 
'</t>
        </r>
        <r>
          <rPr>
            <sz val="9"/>
            <color indexed="81"/>
            <rFont val="돋움"/>
            <family val="3"/>
            <charset val="129"/>
          </rPr>
          <t>거래처코드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칼럼을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수식고정해주세요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 xml:space="preserve">: 
</t>
        </r>
        <r>
          <rPr>
            <sz val="9"/>
            <color indexed="81"/>
            <rFont val="돋움"/>
            <family val="3"/>
            <charset val="129"/>
          </rPr>
          <t>매장발주목록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택배발주목록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 xml:space="preserve">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행의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원가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고정해주세요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 xml:space="preserve">: 
</t>
        </r>
        <r>
          <rPr>
            <sz val="9"/>
            <color indexed="81"/>
            <rFont val="돋움"/>
            <family val="3"/>
            <charset val="129"/>
          </rPr>
          <t>매장발주목록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택배발주목록</t>
        </r>
        <r>
          <rPr>
            <sz val="9"/>
            <color indexed="81"/>
            <rFont val="Tahoma"/>
            <family val="2"/>
          </rPr>
          <t xml:space="preserve"> Sheet</t>
        </r>
        <r>
          <rPr>
            <sz val="9"/>
            <color indexed="81"/>
            <rFont val="돋움"/>
            <family val="3"/>
            <charset val="129"/>
          </rPr>
          <t xml:space="preserve">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행의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시중가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수식고정해주세요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>: 
'</t>
        </r>
        <r>
          <rPr>
            <sz val="9"/>
            <color indexed="81"/>
            <rFont val="돋움"/>
            <family val="3"/>
            <charset val="129"/>
          </rPr>
          <t>가재고작업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시트에서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타매장발주여부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칼럼에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발주처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시트에서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공급률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 xml:space="preserve">과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가재고작업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시트에서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시중가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칼럼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고정해주세요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>: 
'</t>
        </r>
        <r>
          <rPr>
            <sz val="9"/>
            <color indexed="81"/>
            <rFont val="돋움"/>
            <family val="3"/>
            <charset val="129"/>
          </rPr>
          <t>위링커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주문내역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 xml:space="preserve">시트에서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 </t>
        </r>
        <r>
          <rPr>
            <sz val="9"/>
            <color indexed="81"/>
            <rFont val="돋움"/>
            <family val="3"/>
            <charset val="129"/>
          </rPr>
          <t>칼럼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값이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가재고작업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시트의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상품코드값이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해주세요
예</t>
        </r>
        <r>
          <rPr>
            <sz val="9"/>
            <color indexed="81"/>
            <rFont val="Tahoma"/>
            <family val="2"/>
          </rPr>
          <t>: =VLOOKUP(A2,</t>
        </r>
        <r>
          <rPr>
            <sz val="9"/>
            <color indexed="81"/>
            <rFont val="돋움"/>
            <family val="3"/>
            <charset val="129"/>
          </rPr>
          <t>위링커주문내역</t>
        </r>
        <r>
          <rPr>
            <sz val="9"/>
            <color indexed="81"/>
            <rFont val="Tahoma"/>
            <family val="2"/>
          </rPr>
          <t>!C:C,1,0)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헤더값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고정시켜주세요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고정시켜주세요
수식</t>
        </r>
        <r>
          <rPr>
            <sz val="9"/>
            <color indexed="81"/>
            <rFont val="Tahoma"/>
            <family val="2"/>
          </rPr>
          <t>: 
'</t>
        </r>
        <r>
          <rPr>
            <sz val="9"/>
            <color indexed="81"/>
            <rFont val="돋움"/>
            <family val="3"/>
            <charset val="129"/>
          </rPr>
          <t>위링커주문내역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 xml:space="preserve">시트에서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 </t>
        </r>
        <r>
          <rPr>
            <sz val="9"/>
            <color indexed="81"/>
            <rFont val="돋움"/>
            <family val="3"/>
            <charset val="129"/>
          </rPr>
          <t>칼럼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값이
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가재고작업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시트의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상품코드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
'</t>
        </r>
        <r>
          <rPr>
            <sz val="9"/>
            <color indexed="81"/>
            <rFont val="돋움"/>
            <family val="3"/>
            <charset val="129"/>
          </rPr>
          <t>위링커주문내역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시트의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주문수량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해주세요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=VLOOKUP(A2,</t>
        </r>
        <r>
          <rPr>
            <sz val="9"/>
            <color indexed="81"/>
            <rFont val="돋움"/>
            <family val="3"/>
            <charset val="129"/>
          </rPr>
          <t>위링커주문내역</t>
        </r>
        <r>
          <rPr>
            <sz val="9"/>
            <color indexed="81"/>
            <rFont val="Tahoma"/>
            <family val="2"/>
          </rPr>
          <t>!C:H,6,0)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 xml:space="preserve">
2. </t>
        </r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수식고정
날짜형식
</t>
        </r>
        <r>
          <rPr>
            <b/>
            <sz val="9"/>
            <color indexed="81"/>
            <rFont val="Tahoma"/>
            <family val="2"/>
          </rPr>
          <t xml:space="preserve">yyyymmdd
</t>
        </r>
        <r>
          <rPr>
            <b/>
            <sz val="9"/>
            <color indexed="81"/>
            <rFont val="돋움"/>
            <family val="3"/>
            <charset val="129"/>
          </rPr>
          <t>예</t>
        </r>
        <r>
          <rPr>
            <b/>
            <sz val="9"/>
            <color indexed="81"/>
            <rFont val="Tahoma"/>
            <family val="2"/>
          </rPr>
          <t>: 20180126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 xml:space="preserve">
2.
'</t>
        </r>
        <r>
          <rPr>
            <b/>
            <sz val="9"/>
            <color indexed="81"/>
            <rFont val="돋움"/>
            <family val="3"/>
            <charset val="129"/>
          </rPr>
          <t>이카운트양식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거래처코드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칼럼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1000000002 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경우엔</t>
        </r>
        <r>
          <rPr>
            <b/>
            <sz val="9"/>
            <color indexed="81"/>
            <rFont val="Tahoma"/>
            <family val="2"/>
          </rPr>
          <t xml:space="preserve"> '22'</t>
        </r>
        <r>
          <rPr>
            <b/>
            <sz val="9"/>
            <color indexed="81"/>
            <rFont val="돋움"/>
            <family val="3"/>
            <charset val="129"/>
          </rPr>
          <t>값을
아닐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경우엔</t>
        </r>
        <r>
          <rPr>
            <b/>
            <sz val="9"/>
            <color indexed="81"/>
            <rFont val="Tahoma"/>
            <family val="2"/>
          </rPr>
          <t xml:space="preserve"> '21'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고정해주세요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헤더값고정해주세요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거래처코드</t>
        </r>
        <r>
          <rPr>
            <b/>
            <sz val="9"/>
            <color indexed="81"/>
            <rFont val="Tahoma"/>
            <family val="2"/>
          </rPr>
          <t xml:space="preserve">(30)
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 xml:space="preserve">
2. '</t>
        </r>
        <r>
          <rPr>
            <b/>
            <sz val="9"/>
            <color indexed="81"/>
            <rFont val="돋움"/>
            <family val="3"/>
            <charset val="129"/>
          </rPr>
          <t>가재고작업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 xml:space="preserve">시트에서
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거래처코드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고정해주세요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헤더값고정해주세요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 xml:space="preserve">
2. 
'</t>
        </r>
        <r>
          <rPr>
            <b/>
            <sz val="9"/>
            <color indexed="81"/>
            <rFont val="돋움"/>
            <family val="3"/>
            <charset val="129"/>
          </rPr>
          <t>이카운트양식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 xml:space="preserve">시트에서
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참조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칼럼에</t>
        </r>
        <r>
          <rPr>
            <b/>
            <sz val="9"/>
            <color indexed="81"/>
            <rFont val="Tahoma"/>
            <family val="2"/>
          </rPr>
          <t xml:space="preserve"> 'B2B'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있으면</t>
        </r>
        <r>
          <rPr>
            <b/>
            <sz val="9"/>
            <color indexed="81"/>
            <rFont val="Tahoma"/>
            <family val="2"/>
          </rPr>
          <t xml:space="preserve"> '00002'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고정해주시고
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참조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칼럼에</t>
        </r>
        <r>
          <rPr>
            <b/>
            <sz val="9"/>
            <color indexed="81"/>
            <rFont val="Tahoma"/>
            <family val="2"/>
          </rPr>
          <t xml:space="preserve"> 'B2B'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아닌경우</t>
        </r>
        <r>
          <rPr>
            <b/>
            <sz val="9"/>
            <color indexed="81"/>
            <rFont val="Tahoma"/>
            <family val="2"/>
          </rPr>
          <t xml:space="preserve"> '00001'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고정해주세요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헤더값고정해주세요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헤더값고정해주세요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헤더값고정해주세요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>2. '</t>
        </r>
        <r>
          <rPr>
            <b/>
            <sz val="9"/>
            <color indexed="81"/>
            <rFont val="돋움"/>
            <family val="3"/>
            <charset val="129"/>
          </rPr>
          <t>가재고작업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
'</t>
        </r>
        <r>
          <rPr>
            <b/>
            <sz val="9"/>
            <color indexed="81"/>
            <rFont val="돋움"/>
            <family val="3"/>
            <charset val="129"/>
          </rPr>
          <t>가재고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칼럼에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상품코드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고정해주세요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>2. '</t>
        </r>
        <r>
          <rPr>
            <b/>
            <sz val="9"/>
            <color indexed="81"/>
            <rFont val="돋움"/>
            <family val="3"/>
            <charset val="129"/>
          </rPr>
          <t>가재고작업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
'</t>
        </r>
        <r>
          <rPr>
            <b/>
            <sz val="9"/>
            <color indexed="81"/>
            <rFont val="돋움"/>
            <family val="3"/>
            <charset val="129"/>
          </rPr>
          <t>가재고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칼럼에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상품명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고정해주세요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>2. '</t>
        </r>
        <r>
          <rPr>
            <b/>
            <sz val="9"/>
            <color indexed="81"/>
            <rFont val="돋움"/>
            <family val="3"/>
            <charset val="129"/>
          </rPr>
          <t>가재고작업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
'</t>
        </r>
        <r>
          <rPr>
            <b/>
            <sz val="9"/>
            <color indexed="81"/>
            <rFont val="돋움"/>
            <family val="3"/>
            <charset val="129"/>
          </rPr>
          <t>가재고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칼럼에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가재고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불러오도록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고정해주세요</t>
        </r>
      </text>
    </comment>
    <comment ref="N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1. 헤더값고정해주세요
2. '가재고작업'시트에서 
'가재고' 칼럼에 값이 양수인 경우 
해당 행의 '발주서원가' 값을 불러오도록 수식 고정해주세요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
1. </t>
        </r>
        <r>
          <rPr>
            <b/>
            <sz val="9"/>
            <color indexed="81"/>
            <rFont val="돋움"/>
            <family val="3"/>
            <charset val="129"/>
          </rPr>
          <t xml:space="preserve">헤더값고정해주세요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수식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고정해주세요
</t>
        </r>
        <r>
          <rPr>
            <b/>
            <sz val="9"/>
            <color indexed="81"/>
            <rFont val="Tahoma"/>
            <family val="2"/>
          </rPr>
          <t xml:space="preserve">
=ROUND((M2*N2)-P2,0)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1. 헤더값고정해주세요
2. 수식 고정해주세요
=ROUND(M2*N2/1.1*0.1,0)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1. 헤더값고정해주세요
2. '가재고작업'시트에서 
'가재고' 칼럼에 값이 양수인 경우 
해당 행의 '시중가' 값을 불러오도록 수식 고정해주세요</t>
        </r>
      </text>
    </comment>
  </commentList>
</comments>
</file>

<file path=xl/sharedStrings.xml><?xml version="1.0" encoding="utf-8"?>
<sst xmlns="http://schemas.openxmlformats.org/spreadsheetml/2006/main" count="19356" uniqueCount="4983">
  <si>
    <t>거래처코드</t>
    <phoneticPr fontId="2" type="noConversion"/>
  </si>
  <si>
    <t>공급률</t>
    <phoneticPr fontId="2" type="noConversion"/>
  </si>
  <si>
    <t>할인 예외품목</t>
    <phoneticPr fontId="2" type="noConversion"/>
  </si>
  <si>
    <t>반드시 값으로 변경</t>
    <phoneticPr fontId="2" type="noConversion"/>
  </si>
  <si>
    <t>품목별 거래처 원가</t>
    <phoneticPr fontId="2" type="noConversion"/>
  </si>
  <si>
    <t>순서</t>
    <phoneticPr fontId="2" type="noConversion"/>
  </si>
  <si>
    <t>공급처명</t>
    <phoneticPr fontId="2" type="noConversion"/>
  </si>
  <si>
    <t>발주처</t>
    <phoneticPr fontId="2" type="noConversion"/>
  </si>
  <si>
    <t>분류</t>
    <phoneticPr fontId="2" type="noConversion"/>
  </si>
  <si>
    <t>전화번호</t>
    <phoneticPr fontId="2" type="noConversion"/>
  </si>
  <si>
    <t>이메일</t>
    <phoneticPr fontId="2" type="noConversion"/>
  </si>
  <si>
    <t>이름</t>
    <phoneticPr fontId="2" type="noConversion"/>
  </si>
  <si>
    <t>상품코드</t>
  </si>
  <si>
    <t>상품명</t>
    <phoneticPr fontId="2" type="noConversion"/>
  </si>
  <si>
    <t>REF</t>
    <phoneticPr fontId="2" type="noConversion"/>
  </si>
  <si>
    <t>원가</t>
    <phoneticPr fontId="2" type="noConversion"/>
  </si>
  <si>
    <t>발주처없음</t>
  </si>
  <si>
    <t>매장</t>
  </si>
  <si>
    <t>AT175V05</t>
    <phoneticPr fontId="2" type="noConversion"/>
  </si>
  <si>
    <t>[라네즈] 비비쿠션 SPF50+/ PA+++ 15gX2 #11 라이트 베이지(본품+리필)</t>
    <phoneticPr fontId="2" type="noConversion"/>
  </si>
  <si>
    <t>아리따움 보정</t>
  </si>
  <si>
    <t>아리따움 보정AT175V05</t>
  </si>
  <si>
    <t>PO026</t>
  </si>
  <si>
    <t>[피움] 아쿠아 수딩 마스크 팩-제비집 26g</t>
  </si>
  <si>
    <t>닥터자르트</t>
  </si>
  <si>
    <t>TMB</t>
  </si>
  <si>
    <t>품목별</t>
    <phoneticPr fontId="2" type="noConversion"/>
  </si>
  <si>
    <t>택배</t>
  </si>
  <si>
    <t>AT478V07</t>
    <phoneticPr fontId="2" type="noConversion"/>
  </si>
  <si>
    <t>[라네즈] 비비 쿠션 포어 컨트롤SPF50+ PA+++ 15g #11 라이트베이지(본품+리필)</t>
    <phoneticPr fontId="2" type="noConversion"/>
  </si>
  <si>
    <t>아리따움 보정AT478V07</t>
  </si>
  <si>
    <t>PO025</t>
  </si>
  <si>
    <t>[피움] 아쿠아 수딩 마스크 팩-마린콜라겐 26g</t>
  </si>
  <si>
    <t>미즈온</t>
  </si>
  <si>
    <t xml:space="preserve"> </t>
    <phoneticPr fontId="2" type="noConversion"/>
  </si>
  <si>
    <t>HK511</t>
    <phoneticPr fontId="2" type="noConversion"/>
  </si>
  <si>
    <t>[홀리카홀리카] 알로에 99% 수딩젤 55ml</t>
    <phoneticPr fontId="2" type="noConversion"/>
  </si>
  <si>
    <t>홀리카홀리카 수지</t>
    <phoneticPr fontId="2" type="noConversion"/>
  </si>
  <si>
    <t>홀리카홀리카 수지HK511</t>
  </si>
  <si>
    <t>PO024</t>
  </si>
  <si>
    <t>[피움] 아쿠아 수딩 마스크 팩-스네일 26g</t>
  </si>
  <si>
    <t>엘리자베카</t>
  </si>
  <si>
    <t>졸스</t>
    <phoneticPr fontId="2" type="noConversion"/>
  </si>
  <si>
    <t>MS176V04</t>
  </si>
  <si>
    <t>[미샤] 더 스타일 글로우 틴트 립밤 SPF18 ＃ OR01 만다린오렌지</t>
  </si>
  <si>
    <t>미샤 미금</t>
  </si>
  <si>
    <t>미샤 미금MS176V04</t>
  </si>
  <si>
    <t>PO023</t>
  </si>
  <si>
    <t>[피움] 아쿠아 수딩 마스크 팩-마유 26g</t>
  </si>
  <si>
    <t>네오젠</t>
  </si>
  <si>
    <t>NR1140</t>
  </si>
  <si>
    <t>네이처리퍼블릭 면목</t>
  </si>
  <si>
    <t>네이처리퍼블릭 면목NR1140</t>
  </si>
  <si>
    <t>PO022</t>
  </si>
  <si>
    <t>[피움] 아쿠아 수딩 마스크 팩-마누카꿀 26g</t>
  </si>
  <si>
    <t>메디힐</t>
  </si>
  <si>
    <t>MS1251V02</t>
  </si>
  <si>
    <t>[미샤] 매직 쿠션 SPF50+ PA+++ 15g (리필) #23호</t>
  </si>
  <si>
    <t>미샤 오리</t>
    <phoneticPr fontId="2" type="noConversion"/>
  </si>
  <si>
    <t>PO021</t>
  </si>
  <si>
    <t>[피움] 셀 파워 22 발효 단백질 프로그램 B 세트 (볼륨, 탄력)</t>
  </si>
  <si>
    <t>제이준</t>
  </si>
  <si>
    <t>MS1251V01</t>
  </si>
  <si>
    <t>[미샤] 매직 쿠션 SPF50+ PA+++ 15g (리필) #21호</t>
  </si>
  <si>
    <t>PO020</t>
  </si>
  <si>
    <t>[피움] 셀 파워 22 발효 단백질 프로그램 A 세트 (수분, 탄력)</t>
  </si>
  <si>
    <t>리더스</t>
  </si>
  <si>
    <t>MS1251</t>
  </si>
  <si>
    <t>[미샤] 매직 쿠션 SPF50+ PA+++ 15g (리필)</t>
  </si>
  <si>
    <t>PO019</t>
  </si>
  <si>
    <t>[피움] 셀 파워 22 발효 단백질 프로그램 볼륨 링클 크림 55ml</t>
  </si>
  <si>
    <t>베리썸</t>
  </si>
  <si>
    <t>MS1223</t>
  </si>
  <si>
    <t>[미샤] 매직 쿠션 스트로빔 [핑크] 15g</t>
  </si>
  <si>
    <t>PO018</t>
  </si>
  <si>
    <t>[피움] 셀 파워 22 발효 단백질 프로그램 모이스춰 크림 80ml</t>
  </si>
  <si>
    <t>후</t>
  </si>
  <si>
    <t>아모레 방판</t>
  </si>
  <si>
    <t>MS1222</t>
  </si>
  <si>
    <t>[미샤] 매직 쿠션 스트로빔 [오팔] 15g</t>
  </si>
  <si>
    <t>PO017</t>
  </si>
  <si>
    <t>[피움] 셀 파워 22 발효 단백질 프로그램 링클 세럼 50ml</t>
  </si>
  <si>
    <t>숨37도</t>
  </si>
  <si>
    <t>MS1025V02</t>
  </si>
  <si>
    <t>[미샤] 미니언즈 에디션 매직 쿠션 모이스쳐 스페셜 패키지 #23호</t>
  </si>
  <si>
    <t>PO016</t>
  </si>
  <si>
    <t>[피움] 셀 파워 22 발효 단백질 페이스 디자이닝 포뮬러 에멀젼 120ml</t>
  </si>
  <si>
    <t>오휘</t>
  </si>
  <si>
    <t>MS1025V01</t>
  </si>
  <si>
    <t>[미샤] 미니언즈 에디션 매직 쿠션 모이스쳐 스페셜 패키지 #21호</t>
  </si>
  <si>
    <t>PO015</t>
  </si>
  <si>
    <t>[피움] 셀 파워 22 발효 단백질 프로그램 퍼스트 앰플 토너 150ml</t>
  </si>
  <si>
    <t>롤리타 렘피카</t>
  </si>
  <si>
    <t>MS1025</t>
  </si>
  <si>
    <t>[미샤] 미니언즈 에디션 매직 쿠션 모이스쳐 스페셜 패키지</t>
  </si>
  <si>
    <t>PO014</t>
  </si>
  <si>
    <t>[피움] 위치 트윙클 뉴트리션 에센스 네일 패치 120sheet</t>
  </si>
  <si>
    <t>설화수</t>
  </si>
  <si>
    <t>MS1024V02</t>
  </si>
  <si>
    <t>[미샤] 미니언즈 에디션 매직 쿠션 커버 스페셜 패키지 #23호</t>
  </si>
  <si>
    <t>PO013</t>
  </si>
  <si>
    <t>[피움] 마리노 마리 몰디브 머스크 벨벳 샤워 젤 200ml</t>
  </si>
  <si>
    <t>프리메라</t>
  </si>
  <si>
    <t>MS1024V01</t>
  </si>
  <si>
    <t>[미샤] 미니언즈 에디션 매직 쿠션 커버 스페셜 패키지 #21호</t>
  </si>
  <si>
    <t>PO012</t>
  </si>
  <si>
    <t>[피움] 마리노 마리 몰디브 머스크 벨벳 바디 밀크 200ml</t>
  </si>
  <si>
    <t>헤라</t>
  </si>
  <si>
    <t>MS1024</t>
  </si>
  <si>
    <t>[미샤] 미니언즈 에디션 매직 쿠션 커버 스페셜 패키지</t>
  </si>
  <si>
    <t>PO011</t>
  </si>
  <si>
    <t>[피움] 스킨바리스타 모이스춰 플러스 수분크림 450g</t>
  </si>
  <si>
    <t>LG후</t>
  </si>
  <si>
    <t>MS905V02</t>
  </si>
  <si>
    <t>[미샤] M 매직 쿠션 모이스처 SPF50+ PA+++ (리필) #23</t>
  </si>
  <si>
    <t>PO010</t>
  </si>
  <si>
    <t>[피움] 하이드로 워터드롭 수분크림 450g</t>
  </si>
  <si>
    <t>이니스프리</t>
  </si>
  <si>
    <t>이니스프리 흥덕</t>
  </si>
  <si>
    <t>MS905V01</t>
  </si>
  <si>
    <t>[미샤] M 매직 쿠션 모이스처 SPF50+ PA+++ #21 (리필)</t>
  </si>
  <si>
    <t>PO009</t>
  </si>
  <si>
    <t>[피움] 마리노 마리 아르간 모이스춰 24크림 200g</t>
  </si>
  <si>
    <t>잇츠스킨</t>
  </si>
  <si>
    <t>잇츠스킨 안산</t>
  </si>
  <si>
    <t>MS905</t>
  </si>
  <si>
    <t>[미샤] M 매직 쿠션 모이스처 SPF50+ PA+++ (리필)</t>
  </si>
  <si>
    <t>PO008</t>
  </si>
  <si>
    <t>[피움] 스킨바리스타 비피다 퍼팩트 광채 에센스 30ml</t>
  </si>
  <si>
    <t>바닐라코</t>
  </si>
  <si>
    <t>바닐라코 뉴코아</t>
    <phoneticPr fontId="2" type="noConversion"/>
  </si>
  <si>
    <t>MS889V02</t>
  </si>
  <si>
    <t>[미샤] M 라인프렌즈 에디션 매직 쿠션 모이스처 프렌즈 패키지 #23호</t>
  </si>
  <si>
    <t>PO007</t>
  </si>
  <si>
    <t>[피움] 스킨바리스타 갈락토미세스 광채 에센스 50ml</t>
  </si>
  <si>
    <t>토니모리</t>
  </si>
  <si>
    <t>토니모리 상봉</t>
  </si>
  <si>
    <t>MS889V01</t>
  </si>
  <si>
    <t>[미샤] M 라인프렌즈 에디션 매직 쿠션 모이스처 프렌즈 패키지 #21호</t>
  </si>
  <si>
    <t>PO006</t>
  </si>
  <si>
    <t>[피움] 갈락토 스네일 수퍼 링클 에센 세럼 50ml</t>
  </si>
  <si>
    <t>토니모리 응암</t>
  </si>
  <si>
    <t>MS800</t>
  </si>
  <si>
    <t>[미샤] [M] 매직 쿠션 모이스처 SPF50+/ PA+++ 15g</t>
  </si>
  <si>
    <t>PO005</t>
  </si>
  <si>
    <t>[피움] 스킨바리스타 리커버리 엑스펄트 스킨 150ml</t>
  </si>
  <si>
    <t>더샘</t>
  </si>
  <si>
    <t>더샘 구리</t>
  </si>
  <si>
    <t>MS800V02</t>
  </si>
  <si>
    <t>[미샤] [M] 매직 쿠션 모이스처 SPF50+/ PA+++ 15g #23호</t>
  </si>
  <si>
    <t>PO004</t>
  </si>
  <si>
    <t>[피움] 스킨바리스타 쌀겨 클렌징 폼 500ml</t>
  </si>
  <si>
    <t>씨라클</t>
  </si>
  <si>
    <t>파이어웍스</t>
    <phoneticPr fontId="2" type="noConversion"/>
  </si>
  <si>
    <t>MS800V01</t>
  </si>
  <si>
    <t>[미샤] [M] 매직 쿠션 모이스처 SPF50+/ PA+++ 15g #21호</t>
  </si>
  <si>
    <t>PO003</t>
  </si>
  <si>
    <t>[피움] 스킨바리스타 2in1 시크릿 화이트닝 크림 50ml</t>
  </si>
  <si>
    <t>코스알엑스</t>
  </si>
  <si>
    <t>MS760V02</t>
  </si>
  <si>
    <t>[미샤] [M] 매직 쿠션 SPF50+ PA+++ 15g 23호</t>
  </si>
  <si>
    <t>PO002</t>
  </si>
  <si>
    <t>[피움] 스킨바리스타 2in1 화이트닝 선블럭 50ml</t>
  </si>
  <si>
    <t>티암</t>
  </si>
  <si>
    <t>MS760V01</t>
  </si>
  <si>
    <t>[미샤] [M] 매직 쿠션 SPF50+ PA+++ 15g 21호</t>
  </si>
  <si>
    <t>PO001</t>
  </si>
  <si>
    <t>[피움] 벤자민 버튼 타임리버스 링클 필업 크림 50ml</t>
  </si>
  <si>
    <t>OST</t>
  </si>
  <si>
    <t>MS760</t>
  </si>
  <si>
    <t>[미샤] [M] 매직 쿠션 SPF50+ PA+++ 15g</t>
  </si>
  <si>
    <t>클리오</t>
  </si>
  <si>
    <t>클럽클리오 용인</t>
  </si>
  <si>
    <t>빨강 단종
노랑 본사품절
파랑 매장품절</t>
    <phoneticPr fontId="2" type="noConversion"/>
  </si>
  <si>
    <t>MS610</t>
  </si>
  <si>
    <t>[미샤] 에어-핏 매직 쿠션 케이스</t>
  </si>
  <si>
    <t>페리페라</t>
  </si>
  <si>
    <t>구달</t>
  </si>
  <si>
    <t>뷰티엠</t>
  </si>
  <si>
    <t>스킨79</t>
  </si>
  <si>
    <t>리오엘리</t>
  </si>
  <si>
    <t>리오엘리</t>
    <phoneticPr fontId="2" type="noConversion"/>
  </si>
  <si>
    <t>리브코이</t>
  </si>
  <si>
    <t xml:space="preserve">리브코이 </t>
  </si>
  <si>
    <t>피움</t>
  </si>
  <si>
    <t>피움코스메틱</t>
    <phoneticPr fontId="2" type="noConversion"/>
  </si>
  <si>
    <t>이니스프리 미사</t>
    <phoneticPr fontId="2" type="noConversion"/>
  </si>
  <si>
    <t>비욘드</t>
  </si>
  <si>
    <t>비욘드 야탑</t>
  </si>
  <si>
    <t>VDL</t>
  </si>
  <si>
    <t>VDL 서현</t>
  </si>
  <si>
    <t>더페이스샵</t>
  </si>
  <si>
    <t>더페이스샵 서현</t>
  </si>
  <si>
    <t>더페이스샵 야탑</t>
  </si>
  <si>
    <t>어퓨</t>
  </si>
  <si>
    <t>어퓨 서현</t>
  </si>
  <si>
    <t>투쿨포스쿨</t>
  </si>
  <si>
    <t>투쿨포스쿨 서현</t>
  </si>
  <si>
    <t>네이처리퍼블릭</t>
  </si>
  <si>
    <t>네이처리퍼블릭 미금</t>
  </si>
  <si>
    <t>미샤</t>
  </si>
  <si>
    <t>미샤 오리</t>
  </si>
  <si>
    <t>미샤 서현</t>
  </si>
  <si>
    <t>홀리카홀리카</t>
  </si>
  <si>
    <t>홀리카홀리카 죽전</t>
  </si>
  <si>
    <t>라네즈</t>
  </si>
  <si>
    <t>아리따움 남한산성</t>
  </si>
  <si>
    <t>려</t>
  </si>
  <si>
    <t>해피바스</t>
  </si>
  <si>
    <t>미쟝센</t>
  </si>
  <si>
    <t>아리따움</t>
  </si>
  <si>
    <t>아이오페</t>
  </si>
  <si>
    <t>한율</t>
  </si>
  <si>
    <t>마몽드</t>
  </si>
  <si>
    <t>일리</t>
  </si>
  <si>
    <t>에뛰드하우스</t>
  </si>
  <si>
    <t>에뛰드하우스 보정</t>
  </si>
  <si>
    <t>벤튼</t>
  </si>
  <si>
    <t>실리콘투</t>
    <phoneticPr fontId="2" type="noConversion"/>
  </si>
  <si>
    <t>자사</t>
  </si>
  <si>
    <t>스킨워처스</t>
  </si>
  <si>
    <t>애터미</t>
  </si>
  <si>
    <t>시크릿키</t>
  </si>
  <si>
    <t>파시</t>
  </si>
  <si>
    <t>에뛰드하우스 사가정</t>
  </si>
  <si>
    <t>에뛰드하우스 신논현</t>
  </si>
  <si>
    <t>스킨푸드</t>
  </si>
  <si>
    <t>스킨푸드 방이</t>
  </si>
  <si>
    <t>스킨푸드 야탑</t>
  </si>
  <si>
    <t>에이트루</t>
  </si>
  <si>
    <t>SNP</t>
  </si>
  <si>
    <t>오앤영</t>
  </si>
  <si>
    <t>오앤영코스메틱</t>
    <phoneticPr fontId="2" type="noConversion"/>
  </si>
  <si>
    <t>린든리브즈</t>
  </si>
  <si>
    <t>늘이</t>
  </si>
  <si>
    <t>티오엠</t>
    <phoneticPr fontId="2" type="noConversion"/>
  </si>
  <si>
    <t>페리페라 대구</t>
  </si>
  <si>
    <t>소박스단위</t>
    <phoneticPr fontId="2" type="noConversion"/>
  </si>
  <si>
    <t>손앤박</t>
  </si>
  <si>
    <t>피엘</t>
  </si>
  <si>
    <t>도매</t>
    <phoneticPr fontId="2" type="noConversion"/>
  </si>
  <si>
    <t>빌리프</t>
  </si>
  <si>
    <t>삐아</t>
  </si>
  <si>
    <t>TMB</t>
    <phoneticPr fontId="2" type="noConversion"/>
  </si>
  <si>
    <t>쁘띠페</t>
    <phoneticPr fontId="2" type="noConversion"/>
  </si>
  <si>
    <t>클레어스</t>
    <phoneticPr fontId="2" type="noConversion"/>
  </si>
  <si>
    <t>토소웅</t>
    <phoneticPr fontId="2" type="noConversion"/>
  </si>
  <si>
    <t>택배</t>
    <phoneticPr fontId="2" type="noConversion"/>
  </si>
  <si>
    <t>라비오뜨</t>
    <phoneticPr fontId="2" type="noConversion"/>
  </si>
  <si>
    <t>헉슬리</t>
    <phoneticPr fontId="2" type="noConversion"/>
  </si>
  <si>
    <t>헤이미쉬</t>
    <phoneticPr fontId="2" type="noConversion"/>
  </si>
  <si>
    <t>포렌코즈</t>
    <phoneticPr fontId="2" type="noConversion"/>
  </si>
  <si>
    <t>코코메이</t>
    <phoneticPr fontId="2" type="noConversion"/>
  </si>
  <si>
    <t>듀이트리</t>
    <phoneticPr fontId="2" type="noConversion"/>
  </si>
  <si>
    <t>트로이아르케</t>
    <phoneticPr fontId="2" type="noConversion"/>
  </si>
  <si>
    <t>네이크업페이스</t>
  </si>
  <si>
    <t>캔디오레이디</t>
    <phoneticPr fontId="2" type="noConversion"/>
  </si>
  <si>
    <t>클로벌리브</t>
    <phoneticPr fontId="2" type="noConversion"/>
  </si>
  <si>
    <t>터치인솔</t>
    <phoneticPr fontId="2" type="noConversion"/>
  </si>
  <si>
    <t>하루하루</t>
    <phoneticPr fontId="2" type="noConversion"/>
  </si>
  <si>
    <t>에이컨셉</t>
  </si>
  <si>
    <t>졸스</t>
  </si>
  <si>
    <t>주문일자</t>
  </si>
  <si>
    <t>공급처명</t>
  </si>
  <si>
    <t>판매처명</t>
  </si>
  <si>
    <t>발송일자</t>
  </si>
  <si>
    <t>판매처주문번호</t>
  </si>
  <si>
    <t>합포번호</t>
  </si>
  <si>
    <t>주문수량</t>
  </si>
  <si>
    <t>상품명(상품미매칭시 판매처상품명)</t>
  </si>
  <si>
    <t>사용자정의3</t>
  </si>
  <si>
    <t>사용자정의6</t>
  </si>
  <si>
    <t>재고여부</t>
  </si>
  <si>
    <t>매칭된옵션수</t>
  </si>
  <si>
    <t>배송지연일</t>
  </si>
  <si>
    <t>보류여부</t>
  </si>
  <si>
    <t>사용자정의1</t>
  </si>
  <si>
    <t>사용자정의10</t>
  </si>
  <si>
    <t>사용자정의2</t>
  </si>
  <si>
    <t>사용자정의4</t>
  </si>
  <si>
    <t>사용자정의5</t>
  </si>
  <si>
    <t>사용자정의7</t>
  </si>
  <si>
    <t>사용자정의8</t>
  </si>
  <si>
    <t>사용자정의9</t>
  </si>
  <si>
    <t>사입상품명</t>
  </si>
  <si>
    <t>상세요구사항</t>
  </si>
  <si>
    <t>상점번호</t>
  </si>
  <si>
    <t>상품대표판매가</t>
  </si>
  <si>
    <t>상품메모1</t>
  </si>
  <si>
    <t>상품메모10</t>
  </si>
  <si>
    <t>상품메모2</t>
  </si>
  <si>
    <t>상품메모3</t>
  </si>
  <si>
    <t>상품메모4</t>
  </si>
  <si>
    <t>상품메모5</t>
  </si>
  <si>
    <t>상품메모6</t>
  </si>
  <si>
    <t>상품메모7</t>
  </si>
  <si>
    <t>상품메모8</t>
  </si>
  <si>
    <t>상품메모9</t>
  </si>
  <si>
    <t>상품명(상품매칭)</t>
  </si>
  <si>
    <t>상품설명</t>
  </si>
  <si>
    <t>상품옵션</t>
  </si>
  <si>
    <t>상품옵션2</t>
  </si>
  <si>
    <t>상품옵션3</t>
  </si>
  <si>
    <t>상품원가</t>
  </si>
  <si>
    <t>선후불구분</t>
  </si>
  <si>
    <t>송장번호</t>
  </si>
  <si>
    <t>수령자</t>
  </si>
  <si>
    <t>수령자우편번호</t>
  </si>
  <si>
    <t>수령자전화번호</t>
  </si>
  <si>
    <t>수령자주소</t>
  </si>
  <si>
    <t>수령자주소2</t>
  </si>
  <si>
    <t>수령자휴대폰</t>
  </si>
  <si>
    <t>옵션매칭키워드번호</t>
  </si>
  <si>
    <t>일련번호</t>
  </si>
  <si>
    <t>주문금액</t>
  </si>
  <si>
    <t>주문상품출고일시</t>
  </si>
  <si>
    <t>주문입력일시</t>
  </si>
  <si>
    <t>주문자</t>
  </si>
  <si>
    <t>주문자전화번호</t>
  </si>
  <si>
    <t>주문자휴대폰</t>
  </si>
  <si>
    <t>최종발송작업자ID</t>
  </si>
  <si>
    <t>출고여부</t>
  </si>
  <si>
    <t>카페24품주번호</t>
  </si>
  <si>
    <t>택배사명</t>
  </si>
  <si>
    <t>판매처상품코드</t>
  </si>
  <si>
    <t>판매처상품코드(서식)</t>
  </si>
  <si>
    <t>판매처주문번호(서식)</t>
  </si>
  <si>
    <t>협력사번호</t>
  </si>
  <si>
    <t>SEQ코드</t>
  </si>
  <si>
    <t>상품메모11</t>
  </si>
  <si>
    <t>상품메모12</t>
  </si>
  <si>
    <t>상품메모13</t>
  </si>
  <si>
    <t>상품메모14</t>
  </si>
  <si>
    <t>상품메모15</t>
  </si>
  <si>
    <t>판매처상품명</t>
  </si>
  <si>
    <t>옵션매칭(1)상품명</t>
  </si>
  <si>
    <t>옵션매칭(1)공급처명</t>
  </si>
  <si>
    <t>옵션매칭(1)마진금액</t>
  </si>
  <si>
    <t>옵션매칭(1)바코드번호</t>
  </si>
  <si>
    <t>옵션매칭(1)바코드번호(-)</t>
  </si>
  <si>
    <t>옵션매칭(1)바코드번호2</t>
  </si>
  <si>
    <t>옵션매칭(1)바코드번호2(-)</t>
  </si>
  <si>
    <t>옵션매칭(1)바코드번호3</t>
  </si>
  <si>
    <t>옵션매칭(1)바코드번호3(-)</t>
  </si>
  <si>
    <t>옵션매칭(1)사입상품명</t>
  </si>
  <si>
    <t>옵션매칭(1)상품분류</t>
  </si>
  <si>
    <t>옵션매칭(1)옵션내용</t>
  </si>
  <si>
    <t>옵션매칭(1)옵션코드</t>
  </si>
  <si>
    <t>옵션매칭(1)원가</t>
  </si>
  <si>
    <t>옵션매칭(1)원가*주문수량</t>
  </si>
  <si>
    <t>옵션매칭(1)위치</t>
  </si>
  <si>
    <t>옵션매칭(1)입고예정일</t>
  </si>
  <si>
    <t>옵션매칭(1)주문수량</t>
  </si>
  <si>
    <t>옵션매칭(1)판매단가</t>
  </si>
  <si>
    <t>옵션매칭(1)판매단가*주문수량</t>
  </si>
  <si>
    <t>옵션매칭(1)품절여부</t>
  </si>
  <si>
    <t>옵션매칭(1)품절일자</t>
  </si>
  <si>
    <t>옵션매칭(1)현재재고</t>
  </si>
  <si>
    <t>TS672V01</t>
  </si>
  <si>
    <t>welinker</t>
  </si>
  <si>
    <t>[더샘] 커버 퍼펙션 컨실러 파운데이션 #01 클리어 베이지</t>
  </si>
  <si>
    <t>미보류</t>
  </si>
  <si>
    <t>2018-01-25 오전 9:11:32</t>
  </si>
  <si>
    <t>20180125-0000014_63655</t>
  </si>
  <si>
    <t>적립금</t>
  </si>
  <si>
    <t>[The Saem] Cover Perfection Concealer Foundation #01Clear Beige</t>
  </si>
  <si>
    <t>38g</t>
  </si>
  <si>
    <t>01 클리어 베이지</t>
  </si>
  <si>
    <t>선불</t>
  </si>
  <si>
    <t>2018-01-25 오전 9:35:00</t>
  </si>
  <si>
    <t>출고불가능</t>
  </si>
  <si>
    <t>20180125-0000014-01</t>
  </si>
  <si>
    <t>라벨인쇄</t>
  </si>
  <si>
    <t>Retail Price</t>
  </si>
  <si>
    <t>[더샘] 커버 퍼펙션 컨실러 파운데이션 38g 01 클리어 베이지</t>
  </si>
  <si>
    <t>8-806164140741</t>
  </si>
  <si>
    <t>Makeup &gt; Face &gt; Foundation &amp; Base</t>
  </si>
  <si>
    <t>단일상품</t>
  </si>
  <si>
    <t>c-00-71</t>
  </si>
  <si>
    <t>미품절</t>
  </si>
  <si>
    <t>TS616V05</t>
  </si>
  <si>
    <t>[더샘] 샘물 듀얼 팁 아이즈 #05 브론즈</t>
  </si>
  <si>
    <t>20180125-0000014_63660</t>
  </si>
  <si>
    <t>[The Saem] Saemmul Dual Tip Eyes #05 Bronze</t>
  </si>
  <si>
    <t>1.2g*2</t>
  </si>
  <si>
    <t>05 브론즈</t>
  </si>
  <si>
    <t>20180125-0000014-06</t>
  </si>
  <si>
    <t>[더샘] 샘물 듀얼 팁 아이즈 05 브론즈</t>
  </si>
  <si>
    <t>8-806164136065</t>
  </si>
  <si>
    <t>Makeup &gt; Eye &gt; Eye Shadow</t>
  </si>
  <si>
    <t>TS616V02</t>
  </si>
  <si>
    <t>[더샘] 샘물 듀얼 팁 아이즈 #02 핑크 슈</t>
  </si>
  <si>
    <t>20180125-0000014_63659</t>
  </si>
  <si>
    <t>[The Saem] Saemmul Dual Tip Eyes #02 Pink Chou</t>
  </si>
  <si>
    <t>02 핑크 슈</t>
  </si>
  <si>
    <t>20180125-0000014-05</t>
  </si>
  <si>
    <t>[더샘] 샘물 듀얼 팁 아이즈 02 핑크 슈</t>
  </si>
  <si>
    <t>8-806164136034</t>
  </si>
  <si>
    <t>TS809V01</t>
  </si>
  <si>
    <t>[더샘] 미네랄라이징 세럼 컨실러 5ml #01 클리어 베이지</t>
  </si>
  <si>
    <t>20180125-0000014_63658</t>
  </si>
  <si>
    <t>[The Saem] Mineralizing Serum Concealer 5ml #01 Clear Beige</t>
  </si>
  <si>
    <t>5ml</t>
  </si>
  <si>
    <t>20180125-0000014-04</t>
  </si>
  <si>
    <t>[더샘] 미네랄라이징 세럼 컨실러 5ml 01 클리어 베이지</t>
  </si>
  <si>
    <t>8-806164144572</t>
  </si>
  <si>
    <t>Makeup &gt; Face &gt; concealers</t>
  </si>
  <si>
    <t>A-12-10</t>
  </si>
  <si>
    <t>TM1128V04</t>
  </si>
  <si>
    <t>[토니모리] 아이톤 싱글 섀도우 글리터타입 G04 선셋브라운</t>
  </si>
  <si>
    <t>2018-01-26 오전 9:18:29</t>
  </si>
  <si>
    <t>20180126-0000018_63667</t>
  </si>
  <si>
    <t>[Tonymoly] EYETONE Single Shadow Glitter 1.7g G04 Sunset Brown</t>
  </si>
  <si>
    <t>1.7g</t>
  </si>
  <si>
    <t>G04 선셋브라운</t>
  </si>
  <si>
    <t>2018-01-26 오전 9:38:00</t>
  </si>
  <si>
    <t>8-806358514945</t>
  </si>
  <si>
    <t>A-08-10</t>
  </si>
  <si>
    <t>TM1128V03</t>
  </si>
  <si>
    <t>[토니모리] 아이톤 싱글 섀도우 글리터타입 G03 골든아워</t>
  </si>
  <si>
    <t>20180126-0000018_63666</t>
  </si>
  <si>
    <t>[Tonymoly] EYETONE Single Shadow Glitter 1.7g G03 Gold Hour</t>
  </si>
  <si>
    <t>G03 골든아워</t>
  </si>
  <si>
    <t>8-806358514938</t>
  </si>
  <si>
    <t>b-11-06</t>
  </si>
  <si>
    <t>FS008</t>
  </si>
  <si>
    <t>[더페이스샵] 클린페이스 안티 트러블 블래미쉬 패치</t>
  </si>
  <si>
    <t>20180126-0000018_63665</t>
  </si>
  <si>
    <t>[The Face Shop] Clean Face Anti Trouble Blemish Patch 24patches</t>
  </si>
  <si>
    <t>24patches</t>
  </si>
  <si>
    <t>출고가능</t>
  </si>
  <si>
    <t xml:space="preserve">[더페이스샵] 클린페이스 안티 트러블 블래미쉬 패치 </t>
  </si>
  <si>
    <t>8-806364041251</t>
  </si>
  <si>
    <t>Pack &amp; Mask &gt; Sheet Mask</t>
  </si>
  <si>
    <t>a-06-18</t>
  </si>
  <si>
    <t>BC472</t>
  </si>
  <si>
    <t>[바닐라코] 미스 워터 미스터 오일 SLM스킨 180ml</t>
  </si>
  <si>
    <t>2018-01-25 오후 9:33:10</t>
  </si>
  <si>
    <t>20180125-0000035_63663</t>
  </si>
  <si>
    <t>부재시 경비실</t>
  </si>
  <si>
    <t>[Banila Co] Miss Water &amp; Mr. Oil SLM Skin</t>
  </si>
  <si>
    <t>180ml</t>
  </si>
  <si>
    <t xml:space="preserve">[바닐라 코] 미스 워터 미스터 오일 SLM스킨 </t>
  </si>
  <si>
    <t>8-809370699102</t>
  </si>
  <si>
    <t>Skin Care &gt; Face &gt; Toners</t>
  </si>
  <si>
    <t>a-36-11</t>
  </si>
  <si>
    <t>AT049V03</t>
  </si>
  <si>
    <t>2018-01-26 오후 4:02:00</t>
  </si>
  <si>
    <t>[라네즈] 내추럴 아이라이너 3호 리얼블랙</t>
  </si>
  <si>
    <t>2018-01-25 오후 10:47:10</t>
  </si>
  <si>
    <t>20180125-0000041_63664</t>
  </si>
  <si>
    <t>3호 리얼블랙</t>
  </si>
  <si>
    <t>2018-01-26 오후 4:01:42</t>
  </si>
  <si>
    <t>이명범</t>
  </si>
  <si>
    <t>출고완료</t>
  </si>
  <si>
    <t>20180125-0000041-01</t>
  </si>
  <si>
    <t>대한통운</t>
  </si>
  <si>
    <t>8-806403258787</t>
  </si>
  <si>
    <t>Makeup &gt; Eye &gt; Eyeliner</t>
  </si>
  <si>
    <t>a-25-10</t>
  </si>
  <si>
    <t>IN701</t>
  </si>
  <si>
    <t>[이니스프리] 화산송이 모공토너(AD) 250ml</t>
  </si>
  <si>
    <t>1일지연</t>
  </si>
  <si>
    <t>2018-01-24 오후 2:35:43</t>
  </si>
  <si>
    <t>20180123-0000043_63551</t>
  </si>
  <si>
    <t>적립금,무통장입금</t>
  </si>
  <si>
    <t>[Innisfree] Volcanic Pore Toner AD 250ml</t>
  </si>
  <si>
    <t>250ml</t>
  </si>
  <si>
    <t xml:space="preserve">[이니스프리] 화산송이 모공토너(AD) 250ml </t>
  </si>
  <si>
    <t>8-806173522194</t>
  </si>
  <si>
    <t>a-21-10</t>
  </si>
  <si>
    <t>IN1225V05</t>
  </si>
  <si>
    <t>[이니스프리] 리얼핏 벨벳 립스틱 3.3g #5호 햇살 닮은 튤립 레드</t>
  </si>
  <si>
    <t>20180123-0000043_63550</t>
  </si>
  <si>
    <t>[이니스프리] 리얼핏 벨벳 립스틱 3.5g #5호 햇살 닮은 튤립 레드</t>
  </si>
  <si>
    <t>[Innisfree] Real Fit Velvet Lipstick 3.5g #5</t>
  </si>
  <si>
    <t>3.3g</t>
  </si>
  <si>
    <t>5호 햇살 닮은 튤립 레드</t>
  </si>
  <si>
    <t>[이니스프리] 리얼핏 벨벳 립스틱 3.3g 5호 햇살 닮은 튤립 레드</t>
  </si>
  <si>
    <t>8-809516527788</t>
  </si>
  <si>
    <t>Makeup &gt; Lip &gt; Lip Stick</t>
  </si>
  <si>
    <t>A-04-08</t>
  </si>
  <si>
    <t>IN1003</t>
  </si>
  <si>
    <t>[이니스프리] 데일리 유브이 프로텍션 크림 마일드 SPF35 PA++</t>
  </si>
  <si>
    <t>20180123-0000043_63552</t>
  </si>
  <si>
    <t>[Innisfree] Daily UV Protection Cream Mild SPF35 PA+++</t>
  </si>
  <si>
    <t>50ml</t>
  </si>
  <si>
    <t xml:space="preserve">[이니스프리] 데일리 유브이 프로텍션 크림 마일드 SPF35 PA++ </t>
  </si>
  <si>
    <t>8-806173590810</t>
  </si>
  <si>
    <t>Sun Care &gt; Sunscreen</t>
  </si>
  <si>
    <t>a-19-03</t>
  </si>
  <si>
    <t>SF1203V02</t>
  </si>
  <si>
    <t>[스킨푸드] 피치뽀송쿠션 15g #02 내추럴베이지</t>
  </si>
  <si>
    <t>20180123-0000043_63541</t>
  </si>
  <si>
    <t>[스킨푸드] 피치뽀송쿠션 15g #02 내추럴베이지 2017/6 신상</t>
  </si>
  <si>
    <t>[Skin Food] Peach Cotton cushion 15g #02 Natural Beige</t>
  </si>
  <si>
    <t>15g</t>
  </si>
  <si>
    <t>02 내추럴베이지</t>
  </si>
  <si>
    <t>[스킨푸드] 피치뽀송쿠션 15g 02 내추럴베이지</t>
  </si>
  <si>
    <t>8-809511274502</t>
  </si>
  <si>
    <t>C-00-46</t>
  </si>
  <si>
    <t>SF1203V01</t>
  </si>
  <si>
    <t>[스킨푸드] 피치뽀송쿠션 15g #01 라이트베이지</t>
  </si>
  <si>
    <t>20180123-0000043_63540</t>
  </si>
  <si>
    <t>[스킨푸드] 피치뽀송쿠션 15g #01 라이트베이지 2017/6 신상</t>
  </si>
  <si>
    <t>[Skin Food] Peach Cotton cushion 15g #01 Light Beige</t>
  </si>
  <si>
    <t>01 라이트베이지</t>
  </si>
  <si>
    <t>[스킨푸드] 피치뽀송쿠션 15g 01 라이트베이지</t>
  </si>
  <si>
    <t>8-809511274496</t>
  </si>
  <si>
    <t>A-26-04</t>
  </si>
  <si>
    <t>SF1135</t>
  </si>
  <si>
    <t>[스킨푸드] 피치뽀송 멀티 피니시 파우더(소용량) 5g</t>
  </si>
  <si>
    <t>20180123-0000043_63539</t>
  </si>
  <si>
    <t>[Skin Food] Peach Cotton Multi Finish Powder 5g</t>
  </si>
  <si>
    <t>5g</t>
  </si>
  <si>
    <t xml:space="preserve">[스킨푸드] 피치뽀송 멀티 피니시 파우더(소용량) 5g </t>
  </si>
  <si>
    <t>8-809511274182</t>
  </si>
  <si>
    <t>Makeup &gt; Face &gt; Face Powder</t>
  </si>
  <si>
    <t>a-21-06</t>
  </si>
  <si>
    <t>SF1137</t>
  </si>
  <si>
    <t>[스킨푸드] 프리미엄 피치 뽀송 토너 175ml</t>
  </si>
  <si>
    <t>20180123-0000043_63545</t>
  </si>
  <si>
    <t>[Skin Food] Premium Peach Cotton Toner 175ml</t>
  </si>
  <si>
    <t>175ml</t>
  </si>
  <si>
    <t xml:space="preserve">[스킨푸드] 프리미엄 피치 뽀송 토너 175ml </t>
  </si>
  <si>
    <t>8-809511273239</t>
  </si>
  <si>
    <t>e-00-03</t>
  </si>
  <si>
    <t>SF1139</t>
  </si>
  <si>
    <t>[스킨푸드] 프리미엄 피치 뽀송 크림 63ml</t>
  </si>
  <si>
    <t>20180123-0000043_63543</t>
  </si>
  <si>
    <t>[Skin Food] Premium Peach Cotton Cream 63ml</t>
  </si>
  <si>
    <t>63ml</t>
  </si>
  <si>
    <t xml:space="preserve">[스킨푸드] 프리미엄 피치 뽀송 크림 63ml </t>
  </si>
  <si>
    <t>8-809511273314</t>
  </si>
  <si>
    <t>Skin Care &gt; Face &gt; Moisturizers</t>
  </si>
  <si>
    <t>E-02-02</t>
  </si>
  <si>
    <t>SF1138</t>
  </si>
  <si>
    <t>[스킨푸드] 프리미엄 피치 뽀송 에멀전 140ml</t>
  </si>
  <si>
    <t>20180123-0000043_63544</t>
  </si>
  <si>
    <t>[Skin Food] Premium Peach Cotton Emulsion 140ml</t>
  </si>
  <si>
    <t>140ml</t>
  </si>
  <si>
    <t xml:space="preserve">[스킨푸드] 프리미엄 피치 뽀송 에멀전 140ml </t>
  </si>
  <si>
    <t>8-809511273307</t>
  </si>
  <si>
    <t>f-01-02</t>
  </si>
  <si>
    <t>SF739</t>
  </si>
  <si>
    <t>[스킨푸드] 프리미엄 토마토 화이트닝 토너 180ml</t>
  </si>
  <si>
    <t>20180123-0000043_63538</t>
  </si>
  <si>
    <t>[Skin Food] Premium Tomato Whitening Toner 180ml</t>
  </si>
  <si>
    <t xml:space="preserve">[스킨푸드] 프리미엄 토마토 화이트닝 토너 180ml </t>
  </si>
  <si>
    <t>8-809327948710</t>
  </si>
  <si>
    <t>C-00-35</t>
  </si>
  <si>
    <t>SF740</t>
  </si>
  <si>
    <t>[스킨푸드] 프리미엄 토마토 화이트닝 에멀전 140ml</t>
  </si>
  <si>
    <t>20180123-0000043_63537</t>
  </si>
  <si>
    <t>[Skin Food] Premium Tomato Whitening Emulsion 140ml</t>
  </si>
  <si>
    <t xml:space="preserve">[스킨푸드] 프리미엄 토마토 화이트닝 에멀전 140ml </t>
  </si>
  <si>
    <t>8-809327948734</t>
  </si>
  <si>
    <t>D-29-11</t>
  </si>
  <si>
    <t>SF769V02</t>
  </si>
  <si>
    <t>[스킨푸드] 토마토 젤리 틴트 립 4.5g #02 베리 토마토</t>
  </si>
  <si>
    <t>20180123-0000043_63536</t>
  </si>
  <si>
    <t>[Skin Food] Tomato Jelly Tint Lip 4.5g #02 Berry Tomato</t>
  </si>
  <si>
    <t>4.5g</t>
  </si>
  <si>
    <t>02 베리 토마토</t>
  </si>
  <si>
    <t>[스킨푸드] 토마토 젤리 틴트 립 4.5g 02 베리 토마토</t>
  </si>
  <si>
    <t>8-809327949434</t>
  </si>
  <si>
    <t>Makeup &gt; Lip &gt; Lip Gloss</t>
  </si>
  <si>
    <t>B-34-06</t>
  </si>
  <si>
    <t>SF985</t>
  </si>
  <si>
    <t>[스킨푸드] 비터 그린 토너 앤 마스크</t>
  </si>
  <si>
    <t>20180123-0000043_63546</t>
  </si>
  <si>
    <t>[Skin Food] Bitter Green Toner &amp; Mask</t>
  </si>
  <si>
    <t>300ml</t>
  </si>
  <si>
    <t xml:space="preserve">[스킨푸드] 비터 그린 토너 앤 마스크 </t>
  </si>
  <si>
    <t>8-809427865757</t>
  </si>
  <si>
    <t>a-20-03</t>
  </si>
  <si>
    <t>SF009</t>
  </si>
  <si>
    <t>[스킨푸드] 블랙슈가 마스크 워시오프 100g</t>
  </si>
  <si>
    <t>20180123-0000043_63542</t>
  </si>
  <si>
    <t>[Skin Food] Black Sugar Mask Wash-Off 100g</t>
  </si>
  <si>
    <t>100g</t>
  </si>
  <si>
    <t xml:space="preserve">[스킨푸드] 블랙슈가 마스크 워시오프 100g </t>
  </si>
  <si>
    <t>8-809153100634</t>
  </si>
  <si>
    <t>Pack &amp; Mask &gt; Wash-off Pack</t>
  </si>
  <si>
    <t>에어컨 옆</t>
  </si>
  <si>
    <t>[묶음][샘플][라네즈] 아이 슬리핑 마스크(파우치) X 100PCS</t>
  </si>
  <si>
    <t>20180123-0000043_63534</t>
  </si>
  <si>
    <t xml:space="preserve">[샘플][라네즈] 아이 슬리핑 마스크(파우치) X 100 매 </t>
  </si>
  <si>
    <t>[샘플][라네즈] 아이 슬리핑 마스크(파우치)</t>
  </si>
  <si>
    <t>8-809539442594</t>
  </si>
  <si>
    <t>[샘플][라네즈] 아이 슬리핑 마스크(파우치) 2017/9 신상</t>
  </si>
  <si>
    <t>Skin Care &gt; Eye &gt; Eye Treatments</t>
  </si>
  <si>
    <t>LN160</t>
  </si>
  <si>
    <t>D-36-02</t>
  </si>
  <si>
    <t>LN001</t>
  </si>
  <si>
    <t>[라네즈] 화이트 플러스 리뉴 캡슐 슬리핑 팩 3ml*16ea</t>
  </si>
  <si>
    <t>20180123-0000043_63549</t>
  </si>
  <si>
    <t>[Laneige] White Plus Renew Capsule Sleeping Pack 3ml*16ea</t>
  </si>
  <si>
    <t>3ml*16ea</t>
  </si>
  <si>
    <t xml:space="preserve">[라네즈] 화이트 플러스 리뉴 캡슐 슬리핑 팩 3ml*16ea </t>
  </si>
  <si>
    <t>8-801042721173</t>
  </si>
  <si>
    <t>Pack &amp; Mask &gt; Sleeping Pack</t>
  </si>
  <si>
    <t>B-25-08</t>
  </si>
  <si>
    <t>FS903</t>
  </si>
  <si>
    <t>[더페이스샵] 리치 핸드 V 핸드＆풋 토탈 트리트먼트</t>
  </si>
  <si>
    <t>20180123-0000043_63535</t>
  </si>
  <si>
    <t>[The Face Shop] Rich Hand V Hand &amp; Foot Total Treatment 110ml</t>
  </si>
  <si>
    <t>110ml</t>
  </si>
  <si>
    <t xml:space="preserve">[더페이스샵] 리치핸드V 핸드＆풋 토탈 트리트먼트 </t>
  </si>
  <si>
    <t>8-806364046881</t>
  </si>
  <si>
    <t>Skin Care &gt; Hand &amp; Foot &gt; Hand Creams</t>
  </si>
  <si>
    <t>A-37-06</t>
  </si>
  <si>
    <t>PP017V05</t>
  </si>
  <si>
    <t>[페리페라] 페리스 잉크 8ml #05 스포금지 (구형)</t>
  </si>
  <si>
    <t>2018-01-24 오후 2:00:11</t>
  </si>
  <si>
    <t>20180124-0000039_63651</t>
  </si>
  <si>
    <t>[페리페라] 페리스 잉크 8ml #05 스포금지</t>
  </si>
  <si>
    <t>[Peripera] Peri's Ink 8ml #05 No Spoiler</t>
  </si>
  <si>
    <t>8ml</t>
  </si>
  <si>
    <t>05 스포금지</t>
  </si>
  <si>
    <t>[페리페라] 페리스 잉크 8ml 05 스포금지</t>
  </si>
  <si>
    <t>8-809420550933</t>
  </si>
  <si>
    <t>d-38-04</t>
  </si>
  <si>
    <t>품절</t>
  </si>
  <si>
    <t>2017-07-27 오후 10:54:40</t>
  </si>
  <si>
    <t>TM499</t>
  </si>
  <si>
    <t>[토니모리] 에그포어 코팩1매</t>
  </si>
  <si>
    <t>20180124-0000039_63646</t>
  </si>
  <si>
    <t>[Tonymoly] Egg Pore Nose Pack</t>
  </si>
  <si>
    <t xml:space="preserve">[토니모리] 에그포어 코팩1매 </t>
  </si>
  <si>
    <t>8-806358594466</t>
  </si>
  <si>
    <t>A-30-07</t>
  </si>
  <si>
    <t>IN771</t>
  </si>
  <si>
    <t>[이니스프리] 화이트닝포어 크림 50ml</t>
  </si>
  <si>
    <t>20180124-0000039_63652</t>
  </si>
  <si>
    <t>[Innisfree] Whitening Pore Cream 50ml</t>
  </si>
  <si>
    <t xml:space="preserve">[이니스프리] 화이트닝포어 크림 50ml </t>
  </si>
  <si>
    <t>8-806173545490</t>
  </si>
  <si>
    <t>Skin Care &gt; Face &gt; Lightening Cream</t>
  </si>
  <si>
    <t>B-39-11</t>
  </si>
  <si>
    <t>IN997</t>
  </si>
  <si>
    <t>[이니스프리] 퍼펙트 유브이 프로텍션 크림 트리플케어 SPF50+ PA+++</t>
  </si>
  <si>
    <t>20180124-0000039_63654</t>
  </si>
  <si>
    <t>[Innisfree] Perfect UV Protection Cream Triple Care SPF50+ PA++</t>
  </si>
  <si>
    <t xml:space="preserve">[이니스프리] 퍼펙트 유브이 프로텍션 크림 트리플케어 SPF50+ PA+++ </t>
  </si>
  <si>
    <t>8-806173590858</t>
  </si>
  <si>
    <t>A-33-11</t>
  </si>
  <si>
    <t>IN1008</t>
  </si>
  <si>
    <t>[이니스프리] 퍼펙트 유브이 프로텍션 크림 롱래스팅 SPF50+ PA+++ 중건성피부용</t>
  </si>
  <si>
    <t>20180124-0000039_63648</t>
  </si>
  <si>
    <t>[Innisfree] Perfect UV Protection Cream Long Lasting For Dry SKin SPF50+ PA++</t>
  </si>
  <si>
    <t xml:space="preserve">[이니스프리] 퍼펙트 유브이 프로텍션 크림 롱래스팅 SPF50+ PA+++ 중건성피부용 </t>
  </si>
  <si>
    <t>8-806173590834</t>
  </si>
  <si>
    <t>A-33-09</t>
  </si>
  <si>
    <t>IN1011</t>
  </si>
  <si>
    <t>[이니스프리] 데일리 유브이 프로텍션 크림 노 세범 SPF35 PA+++</t>
  </si>
  <si>
    <t>20180124-0000039_63647</t>
  </si>
  <si>
    <t>[Innisfree] Daily UV Protection Cream No Sebum SPF35 PA+++</t>
  </si>
  <si>
    <t xml:space="preserve">[이니스프리] 데일리 유브이 프로텍션 크림 노 세범 SPF35 PA+++ </t>
  </si>
  <si>
    <t>8-806173590827</t>
  </si>
  <si>
    <t>B-22-03</t>
  </si>
  <si>
    <t>LN154V02</t>
  </si>
  <si>
    <t>[라네즈] 워터 글로우 젤 파운데이션 35g #13 아이보리</t>
  </si>
  <si>
    <t>20180124-0000039_63649</t>
  </si>
  <si>
    <t>[라네즈] 워터 글로우 젤 파운데이션 35g #13 아이보리 2017/7 신상</t>
  </si>
  <si>
    <t>[Laneige] Water Glow Gel Foundation 35g #13 Ivory</t>
  </si>
  <si>
    <t>35g</t>
  </si>
  <si>
    <t>13 아이보리</t>
  </si>
  <si>
    <t>[라네즈] 워터 글로우 젤 파운데이션 35g 13 아이보리</t>
  </si>
  <si>
    <t>8-809516538500</t>
  </si>
  <si>
    <t>c-00-14</t>
  </si>
  <si>
    <t>TS117V02</t>
  </si>
  <si>
    <t>[더샘] 샘물 수분 퐁당 젤 베이스 25g #02 민트 젤리</t>
  </si>
  <si>
    <t>20180124-0000039_63650</t>
  </si>
  <si>
    <t>[The Saem] Saemmul Pongdang Jell Base 25g #02 Mint Jelly</t>
  </si>
  <si>
    <t xml:space="preserve"> 25g</t>
  </si>
  <si>
    <t>02 민트 젤리</t>
  </si>
  <si>
    <t>[더샘] 샘물 수분 퐁당 젤 베이스 25g 02 민트 젤리</t>
  </si>
  <si>
    <t>8-806164121634</t>
  </si>
  <si>
    <t>C-00-10</t>
  </si>
  <si>
    <t>IS089</t>
  </si>
  <si>
    <t>[잇츠스킨] 프레스티지 아이 마스끄 데스까르고 5매 (3g*5회분)</t>
  </si>
  <si>
    <t>20180125-0000014_63657</t>
  </si>
  <si>
    <t>[Its Skin] PRESTIGE Eye Masque descargot 5매 (3g*5회분)</t>
  </si>
  <si>
    <t>3g*5</t>
  </si>
  <si>
    <t>2018-01-26 오후 4:01:34</t>
  </si>
  <si>
    <t>20180125-0000014-03</t>
  </si>
  <si>
    <t xml:space="preserve">[잇츠스킨] 프레스티지 아이 마스끄 데스까르고 5매 </t>
  </si>
  <si>
    <t>8-809323736366</t>
  </si>
  <si>
    <t>A-35-09</t>
  </si>
  <si>
    <t>IN1125</t>
  </si>
  <si>
    <t>[이니스프리] 비자 트러블 스팟 패치 12패치/1매</t>
  </si>
  <si>
    <t>20180125-0000014_63656</t>
  </si>
  <si>
    <t>[Innisfree] Bija Trouble Spot Patch</t>
  </si>
  <si>
    <t>12patches/ 1ea</t>
  </si>
  <si>
    <t>20180125-0000014-02</t>
  </si>
  <si>
    <t xml:space="preserve">[이니스프리] 비자 트러블 스팟 패치 12패치/1매 </t>
  </si>
  <si>
    <t>8-806173576319</t>
  </si>
  <si>
    <t>Skin Care &gt; Special Care &gt; Acne &amp; Blemish Treatments</t>
  </si>
  <si>
    <t>a-13-15</t>
  </si>
  <si>
    <t>IS325V03</t>
  </si>
  <si>
    <t>[잇츠스킨] 잇츠 탑 프로페셔널 비비드 젤 아이라이너 0.5g 3호 체리인 브라운</t>
  </si>
  <si>
    <t>2018-01-23 오후 1:24:24</t>
  </si>
  <si>
    <t>20180123-0000059_63561</t>
  </si>
  <si>
    <t>[It's Skin] It’s Top Professional Vivid Gel Eyeliner 0.5g #03 Cherry In Brown</t>
  </si>
  <si>
    <t>0.5g</t>
  </si>
  <si>
    <t>3호 체리인 브라운</t>
  </si>
  <si>
    <t>2018-01-24 오전 9:37:00</t>
  </si>
  <si>
    <t>20180123-0000059-09</t>
  </si>
  <si>
    <t>8-809323735802</t>
  </si>
  <si>
    <t>HR229V02</t>
  </si>
  <si>
    <t>[헤라] 트루웨어 트윈케익 13g #21 바닐라</t>
  </si>
  <si>
    <t>2018-01-24 오후 12:06:19</t>
  </si>
  <si>
    <t>20180124-0000013_63627</t>
  </si>
  <si>
    <t>[헤라] 트루웨어 트윈케익 13g #21 바닐라 2017/11 신상</t>
  </si>
  <si>
    <t>[Hera] True Wear Twin Cake 13g #21 Banilla</t>
  </si>
  <si>
    <t>13g</t>
  </si>
  <si>
    <t>21 바닐라</t>
  </si>
  <si>
    <t>20180124-0000013-15</t>
  </si>
  <si>
    <t>[헤라] 트루웨어 트윈케익 13g 21 바닐라</t>
  </si>
  <si>
    <t>8-809539427294</t>
  </si>
  <si>
    <t>B-42-05</t>
  </si>
  <si>
    <t>AT321V01</t>
  </si>
  <si>
    <t>[한율] 비비크림 SPF 50+ PA+++ 40ml #01 화사한 핑크</t>
  </si>
  <si>
    <t>20180124-0000013_63644</t>
  </si>
  <si>
    <t>[Hanyul] BB cream SPF 50+ PA+++ 40ml #01 Bright Pink</t>
  </si>
  <si>
    <t>40ml</t>
  </si>
  <si>
    <t>#01 화사한 핑크</t>
  </si>
  <si>
    <t>20180124-0000013-32</t>
  </si>
  <si>
    <t>8-801042689893</t>
  </si>
  <si>
    <t>Makeup &gt; Face &gt; BB Cream</t>
  </si>
  <si>
    <t>b-22-05</t>
  </si>
  <si>
    <t>HR229V01</t>
  </si>
  <si>
    <t>2018-01-26 오후 4:05:00</t>
  </si>
  <si>
    <t>[헤라] 트루웨어 트윈케익 13g #17 로제</t>
  </si>
  <si>
    <t>20180123-0000059_63602</t>
  </si>
  <si>
    <t>[헤라] 트루웨어 트윈케익 13g #17 로제 2017/11 신상</t>
  </si>
  <si>
    <t>[Hera] True Wear Twin Cake 13g #17 Rose</t>
  </si>
  <si>
    <t>17 로제</t>
  </si>
  <si>
    <t>2018-01-26 오후 4:04:53</t>
  </si>
  <si>
    <t>20180123-0000059-50</t>
  </si>
  <si>
    <t>[헤라] 트루웨어 트윈케익 13g 17 로제</t>
  </si>
  <si>
    <t>8-809539428048</t>
  </si>
  <si>
    <t>A-33-10</t>
  </si>
  <si>
    <t>HR221</t>
  </si>
  <si>
    <t>[헤라] 링클 코렉터 40ml</t>
  </si>
  <si>
    <t>20180123-0000059_63603</t>
  </si>
  <si>
    <t>[헤라] 링클 코렉터 40ml 2017/11 신상</t>
  </si>
  <si>
    <t>[Hera] Wrinkle Corrector 40ml</t>
  </si>
  <si>
    <t>20180123-0000059-51</t>
  </si>
  <si>
    <t xml:space="preserve">[헤라] 링클 코렉터 40ml </t>
  </si>
  <si>
    <t>8-809559343963</t>
  </si>
  <si>
    <t>B-26-01</t>
  </si>
  <si>
    <t>FS1591</t>
  </si>
  <si>
    <t>[더페이스샵] 화이트씨드 블란클라우딩 하얀 수분 크림 50ml</t>
  </si>
  <si>
    <t>20180123-0000059_63594</t>
  </si>
  <si>
    <t>[The Face Shop] White Seed Blanclouding White Moisture Cream 50ml</t>
  </si>
  <si>
    <t>20180123-0000059-42</t>
  </si>
  <si>
    <t xml:space="preserve">[더페이스샵] 화이트씨드 블란클라우딩 하얀 수분 크림 50ml </t>
  </si>
  <si>
    <t>8-806182529276</t>
  </si>
  <si>
    <t>B-41-07</t>
  </si>
  <si>
    <t>20180123-0000059_63605</t>
  </si>
  <si>
    <t>20180123-0000059-53</t>
  </si>
  <si>
    <t>FS1145</t>
  </si>
  <si>
    <t>[더페이스샵] 퍼퓸씨드 리치 크림샤워 300ml</t>
  </si>
  <si>
    <t>20180123-0000059_63606</t>
  </si>
  <si>
    <t>[The Face shop] Perfume Seed Rich Cremay Shower Gel 300ml</t>
  </si>
  <si>
    <t>20180123-0000059-54</t>
  </si>
  <si>
    <t xml:space="preserve">[더페이스샵] 퍼퓸씨드 리치 크림샤워 300ml </t>
  </si>
  <si>
    <t>8-806182550836</t>
  </si>
  <si>
    <t>Bath &amp; Body &gt; Body Cleansers &gt; Body Cleansers</t>
  </si>
  <si>
    <t>C-21-02</t>
  </si>
  <si>
    <t>HR228V03</t>
  </si>
  <si>
    <t>[헤라] 트루웨어 파운데이션 30ml #21 바닐라</t>
  </si>
  <si>
    <t>20180124-0000013_63628</t>
  </si>
  <si>
    <t>[헤라] 트루웨어 파운데이션 30ml #21 바닐라 2017/11 신상</t>
  </si>
  <si>
    <t>[Hera] True Wear Foundation 30ml #21 Banilla</t>
  </si>
  <si>
    <t>30ml</t>
  </si>
  <si>
    <t>20180124-0000013-16</t>
  </si>
  <si>
    <t>[헤라] 트루웨어 파운데이션 30ml 21 바닐라</t>
  </si>
  <si>
    <t>8-809539431154</t>
  </si>
  <si>
    <t>A-35-05</t>
  </si>
  <si>
    <t>HR180V02</t>
  </si>
  <si>
    <t>[헤라] 이지 스타일링 아이라이너 1.4ml #79호 블랙</t>
  </si>
  <si>
    <t>20180124-0000013_63630</t>
  </si>
  <si>
    <t>[Hera] Easy Styling Eye Liner 1.4ml #79 Black</t>
  </si>
  <si>
    <t>1.4ml</t>
  </si>
  <si>
    <t>79호 블랙</t>
  </si>
  <si>
    <t>20180124-0000013-18</t>
  </si>
  <si>
    <t>[헤라] 이지 스타일링 아이라이너 1.4ml 79호 블랙</t>
  </si>
  <si>
    <t>8-801042655904</t>
  </si>
  <si>
    <t>B-21-02</t>
  </si>
  <si>
    <t>HR190</t>
  </si>
  <si>
    <t>[헤라] 선 메이트 프로텍터 SPF50+ PA+++ 50ml</t>
  </si>
  <si>
    <t>20180124-0000013_63629</t>
  </si>
  <si>
    <t>[헤라] 선 메이트 프로텍터 SPF50+ PA+++ 50ml 2017/7 신상</t>
  </si>
  <si>
    <t>[Hera] Sun Mate Protector 50ml</t>
  </si>
  <si>
    <t>20180124-0000013-17</t>
  </si>
  <si>
    <t xml:space="preserve">[헤라] 선 메이트 프로텍터 SPF50+ PA+++ 50ml </t>
  </si>
  <si>
    <t>8-806390505789</t>
  </si>
  <si>
    <t>1-00-12</t>
  </si>
  <si>
    <t>PP039V02</t>
  </si>
  <si>
    <t>[페리페라] 잉크래스팅 핑크 쿠션 14g #2 핑크베이지</t>
  </si>
  <si>
    <t>20180124-0000013_63625</t>
  </si>
  <si>
    <t>[Peripera] Inklasting Pink Cushion 14g #2 Pink Beige</t>
  </si>
  <si>
    <t>14g</t>
  </si>
  <si>
    <t>2 핑크베이지</t>
  </si>
  <si>
    <t>20180124-0000013-13</t>
  </si>
  <si>
    <t>[페리페라] 잉크래스팅 핑크 쿠션 14g 2 핑크베이지</t>
  </si>
  <si>
    <t>8-809420562691</t>
  </si>
  <si>
    <t>B-17-01</t>
  </si>
  <si>
    <t>TM993</t>
  </si>
  <si>
    <t>[토니모리] 팬더의꿈 화이트 핸드 크림 30g</t>
  </si>
  <si>
    <t>20180124-0000013_63613</t>
  </si>
  <si>
    <t>[Tonymoly] Panda's Dream White Hand Cream 30g</t>
  </si>
  <si>
    <t>30g</t>
  </si>
  <si>
    <t>20180124-0000013-01</t>
  </si>
  <si>
    <t xml:space="preserve">[토니모리] 팬더의꿈 화이트 핸드 크림 30g </t>
  </si>
  <si>
    <t>8-806358517458</t>
  </si>
  <si>
    <t>b-17-02</t>
  </si>
  <si>
    <t>일시품절</t>
  </si>
  <si>
    <t>2018-01-26 오후 4:56:18</t>
  </si>
  <si>
    <t>TM1264V01</t>
  </si>
  <si>
    <t>[토니모리] 팬더의꿈 번짐 아웃 마스카라 #01 볼륨</t>
  </si>
  <si>
    <t>20180124-0000013_63617</t>
  </si>
  <si>
    <t>[Tonymoly] Panda's Dream Smudge Out Mascara #01 Volume</t>
  </si>
  <si>
    <t>10g</t>
  </si>
  <si>
    <t>01 볼륨</t>
  </si>
  <si>
    <t>20180124-0000013-05</t>
  </si>
  <si>
    <t>[토니모리] 팬더의꿈 번짐 아웃 마스카라 01 볼륨</t>
  </si>
  <si>
    <t>8-806358560997</t>
  </si>
  <si>
    <t>Makeup &gt; Eye &gt; Mascara</t>
  </si>
  <si>
    <t>a-08-16</t>
  </si>
  <si>
    <t>IS325V02</t>
  </si>
  <si>
    <t>[잇츠스킨] 잇츠 탑 프로페셔널 비비드 젤 아이라이너 0.5g 2호 줄리아 브라운</t>
  </si>
  <si>
    <t>20180124-0000013_63626</t>
  </si>
  <si>
    <t>[It's Skin] It’s Top Professional Vivid Gel Eyeliner 0.5g #02 Julia Brown</t>
  </si>
  <si>
    <t>2호 줄리아 브라운</t>
  </si>
  <si>
    <t>20180124-0000013-14</t>
  </si>
  <si>
    <t>8-809323735772</t>
  </si>
  <si>
    <t>A-15-16</t>
  </si>
  <si>
    <t>AT712V01</t>
  </si>
  <si>
    <t>[아리따움] 키스미 히로인 메이크 스무스 리퀴드 아이라이너 0.4ml #01 블랙</t>
  </si>
  <si>
    <t>20180124-0000013_63643</t>
  </si>
  <si>
    <t>[Aritaum] Kiss Me Heroin Make Smooth Liquid Eyeliner 0.4ml #01 Black</t>
  </si>
  <si>
    <t>0.4ml</t>
  </si>
  <si>
    <t>01 블랙</t>
  </si>
  <si>
    <t>20180124-0000013-31</t>
  </si>
  <si>
    <t>[아리따움] 키스미 히로인 메이크 스무스 리퀴드 아이라이너 0.4ml 01 블랙</t>
  </si>
  <si>
    <t>8-801042677944</t>
  </si>
  <si>
    <t>A-20-08</t>
  </si>
  <si>
    <t>SF153</t>
  </si>
  <si>
    <t>[스킨푸드] 골드 캐비어 에멀전 주름개선기능성</t>
  </si>
  <si>
    <t>20180124-0000013_63619</t>
  </si>
  <si>
    <t>[Skin Food] Gold Caviar Emulsion (Wrinkle care)</t>
  </si>
  <si>
    <t>145ml</t>
  </si>
  <si>
    <t>20180124-0000013-07</t>
  </si>
  <si>
    <t xml:space="preserve">[스킨푸드] 골드 캐비어 에멀전 주름개선기능성 </t>
  </si>
  <si>
    <t>8-809221273703</t>
  </si>
  <si>
    <t>Skin Care &gt; Special Care &gt; Anti Aging Treatments</t>
  </si>
  <si>
    <t>C-00-11</t>
  </si>
  <si>
    <t>SH033</t>
  </si>
  <si>
    <t>[설화수] 자정 미백 에센스 50ml</t>
  </si>
  <si>
    <t>20180124-0000013_63618</t>
  </si>
  <si>
    <t>[Sulwhasoo] Snowise EX Whitening Serum 50ml</t>
  </si>
  <si>
    <t>20180124-0000013-06</t>
  </si>
  <si>
    <t xml:space="preserve">[설화수] 자정 미백 에센스 50ml </t>
  </si>
  <si>
    <t>8-806390509176</t>
  </si>
  <si>
    <t>D-38-01</t>
  </si>
  <si>
    <t>BY151</t>
  </si>
  <si>
    <t>[비욘드] 피토가닉 클렌징 리퀴드 200ml</t>
  </si>
  <si>
    <t>20180124-0000013_63641</t>
  </si>
  <si>
    <t>[Beyond] Phytoganic Cleansing Liquid 200ml</t>
  </si>
  <si>
    <t>200ml</t>
  </si>
  <si>
    <t>20180124-0000013-29</t>
  </si>
  <si>
    <t xml:space="preserve">[비욘드] 피토가닉 클렌징 리퀴드 200ml </t>
  </si>
  <si>
    <t>8-801051178449</t>
  </si>
  <si>
    <t>Skin Care &gt; Cleansing &gt; Foam Cleansing</t>
  </si>
  <si>
    <t>B-42-01</t>
  </si>
  <si>
    <t>BC610V03</t>
  </si>
  <si>
    <t>[바닐라코] 브이브이 바운싱 쿠션15gx2 #BP15</t>
  </si>
  <si>
    <t>20180124-0000013_63642</t>
  </si>
  <si>
    <t>[바닐라코] 브이브이 바운싱 쿠션 15g(리필) #BP15 2017/10 신상</t>
  </si>
  <si>
    <t>[Banila Co] V V Bouncing Cushion 15gx2 #BP15</t>
  </si>
  <si>
    <t>15gx2</t>
  </si>
  <si>
    <t>BP15</t>
  </si>
  <si>
    <t>20180124-0000013-30</t>
  </si>
  <si>
    <t>[바닐라코] 브이브이 바운싱 쿠션15gx2 BP15</t>
  </si>
  <si>
    <t>8-809560220536</t>
  </si>
  <si>
    <t>B-27-06</t>
  </si>
  <si>
    <t>RC015V05</t>
  </si>
  <si>
    <t>[리브코이] 쉬폰 립스틱 #05 쉬폰 오렝크</t>
  </si>
  <si>
    <t>20180124-0000013_63624</t>
  </si>
  <si>
    <t>[Rivecowe] Chiffon Lipstick #05 Chiffon Orank</t>
  </si>
  <si>
    <t>3g</t>
  </si>
  <si>
    <t>05 쉬폰 오렝크</t>
  </si>
  <si>
    <t>20180124-0000013-12</t>
  </si>
  <si>
    <t>Purchase Price</t>
  </si>
  <si>
    <t>[리브코이] 쉬폰 립스틱 05 쉬폰 오렝크</t>
  </si>
  <si>
    <t>8-809270474397</t>
  </si>
  <si>
    <t>A-15-14</t>
  </si>
  <si>
    <t>RC015V04</t>
  </si>
  <si>
    <t>[리브코이] 쉬폰 립스틱 #04 핫핑크</t>
  </si>
  <si>
    <t>20180124-0000013_63623</t>
  </si>
  <si>
    <t>[Rivecowe] Chiffon Lipstick #04 Chiffon Hot Pink</t>
  </si>
  <si>
    <t>04 핫핑크</t>
  </si>
  <si>
    <t>20180124-0000013-11</t>
  </si>
  <si>
    <t>[리브코이] 쉬폰 립스틱 04 핫핑크</t>
  </si>
  <si>
    <t>8-809270474380</t>
  </si>
  <si>
    <t>A-09-11</t>
  </si>
  <si>
    <t>RC015V03</t>
  </si>
  <si>
    <t>[리브코이] 쉬폰 립스틱 #03 코랄 핑크</t>
  </si>
  <si>
    <t>20180124-0000013_63622</t>
  </si>
  <si>
    <t>[Rivecowe] Chiffon Lipstick #03 Chiffon Coral Pink</t>
  </si>
  <si>
    <t>03 코랄 핑크</t>
  </si>
  <si>
    <t>20180124-0000013-10</t>
  </si>
  <si>
    <t>[리브코이] 쉬폰 립스틱 03 코랄 핑크</t>
  </si>
  <si>
    <t>8-809270474373</t>
  </si>
  <si>
    <t>a-37-10</t>
  </si>
  <si>
    <t>RC015V02</t>
  </si>
  <si>
    <t>[리브코이] 쉬폰 립스틱 #02 쉬폰 라이트 핑크</t>
  </si>
  <si>
    <t>20180124-0000013_63621</t>
  </si>
  <si>
    <t>[Rivecowe] Chiffon Lipstick #02 Chiffon Light Pink</t>
  </si>
  <si>
    <t>02 쉬폰 라이트 핑크</t>
  </si>
  <si>
    <t>20180124-0000013-09</t>
  </si>
  <si>
    <t>[리브코이] 쉬폰 립스틱 02 쉬폰 라이트 핑크</t>
  </si>
  <si>
    <t>8-809270474366</t>
  </si>
  <si>
    <t>A-07-08</t>
  </si>
  <si>
    <t>RC015V01</t>
  </si>
  <si>
    <t>[리브코이] 쉬폰 립스틱 #01 쉬폰 레드</t>
  </si>
  <si>
    <t>20180124-0000013_63620</t>
  </si>
  <si>
    <t>[Rivecowe] Chiffon Lipstick #01 Chiffon Red</t>
  </si>
  <si>
    <t>01 쉬폰 레드</t>
  </si>
  <si>
    <t>20180124-0000013-08</t>
  </si>
  <si>
    <t>[리브코이] 쉬폰 립스틱 01 쉬폰 레드</t>
  </si>
  <si>
    <t>8-809270474359</t>
  </si>
  <si>
    <t>b-24-01</t>
  </si>
  <si>
    <t>20180124-0000013_63636</t>
  </si>
  <si>
    <t>20180124-0000013-24</t>
  </si>
  <si>
    <t>FS1483V13</t>
  </si>
  <si>
    <t>[더페이스샵] 모이스처 터치 립스틱 3.4g RD02</t>
  </si>
  <si>
    <t>20180124-0000013_63635</t>
  </si>
  <si>
    <t>[The Face Shop] Moistsure Touch Lipstick 3.4g RD02</t>
  </si>
  <si>
    <t>3.4g</t>
  </si>
  <si>
    <t>RD02</t>
  </si>
  <si>
    <t>20180124-0000013-23</t>
  </si>
  <si>
    <t>8-806182544811</t>
  </si>
  <si>
    <t>a-15-12</t>
  </si>
  <si>
    <t>FS1517V10</t>
  </si>
  <si>
    <t>[더페이스샵] 매트 터치 립스틱 4.3g #10 OR01 오렌지페인팅</t>
  </si>
  <si>
    <t>20180124-0000013_63634</t>
  </si>
  <si>
    <t>[The Face Shop] Matt Touch Lipstick 4.3g #10 OR01</t>
  </si>
  <si>
    <t>4.3g</t>
  </si>
  <si>
    <t>10 OR01 오렌지페인팅</t>
  </si>
  <si>
    <t>20180124-0000013-22</t>
  </si>
  <si>
    <t>[더페이스샵] 매트 터치 립스틱 4.3g 10 OR01 오렌지페인팅</t>
  </si>
  <si>
    <t>8-806182545115</t>
  </si>
  <si>
    <t>a-04-11</t>
  </si>
  <si>
    <t>FS1517V08</t>
  </si>
  <si>
    <t>[더페이스샵] 매트 터치 립스틱 4.3g #08 RD03 레드헌터</t>
  </si>
  <si>
    <t>20180124-0000013_63633</t>
  </si>
  <si>
    <t>[The Face Shop] Matt Touch Lipstick 4.3g #08 RD03</t>
  </si>
  <si>
    <t>08 RD03 레드헌터</t>
  </si>
  <si>
    <t>20180124-0000013-21</t>
  </si>
  <si>
    <t>[더페이스샵] 매트 터치 립스틱 4.3g 08 RD03 레드헌터</t>
  </si>
  <si>
    <t>8-806182545092</t>
  </si>
  <si>
    <t>a-16-13</t>
  </si>
  <si>
    <t>FS1517V07</t>
  </si>
  <si>
    <t>[더페이스샵] 매트 터치 립스틱 4.3g #07 RD02 레드웨어</t>
  </si>
  <si>
    <t>20180124-0000013_63632</t>
  </si>
  <si>
    <t>[The Face Shop] Matt Touch Lipstick 4.3g #07 RD02</t>
  </si>
  <si>
    <t>07 RD02 레드웨어</t>
  </si>
  <si>
    <t>20180124-0000013-20</t>
  </si>
  <si>
    <t>[더페이스샵] 매트 터치 립스틱 4.3g 07 RD02 레드웨어</t>
  </si>
  <si>
    <t>8-806182545085</t>
  </si>
  <si>
    <t>A-03-12</t>
  </si>
  <si>
    <t>FS013V02</t>
  </si>
  <si>
    <t>[더페이스샵] 매직커버 비비크림 V203</t>
  </si>
  <si>
    <t>20180124-0000013_63638</t>
  </si>
  <si>
    <t>[The Face Shop] Face It Magic Cover BB Cream #V203</t>
  </si>
  <si>
    <t>45ml</t>
  </si>
  <si>
    <t>V203</t>
  </si>
  <si>
    <t>20180124-0000013-26</t>
  </si>
  <si>
    <t>8-806182522307</t>
  </si>
  <si>
    <t>A-36-11</t>
  </si>
  <si>
    <t>FS013V01</t>
  </si>
  <si>
    <t>[더페이스샵] 매직커버 비비크림 V201</t>
  </si>
  <si>
    <t>20180124-0000013_63637</t>
  </si>
  <si>
    <t>[The Face Shop] Magic Cover BB Cream # V201</t>
  </si>
  <si>
    <t>V201</t>
  </si>
  <si>
    <t>20180124-0000013-25</t>
  </si>
  <si>
    <t>8-806182522291</t>
  </si>
  <si>
    <t>b-34-09</t>
  </si>
  <si>
    <t>2018-01-25 오후 6:02:59</t>
  </si>
  <si>
    <t>FS1549V02</t>
  </si>
  <si>
    <t>[더페이스샵] 러블리 믹스 스타일 마이 아이브로우(우드) #02 블랙 브라운</t>
  </si>
  <si>
    <t>20180124-0000013_63631</t>
  </si>
  <si>
    <t>[The Face Shop] Lovely ME:EX Style My Eyebrow(Wood) #02 Black Brown</t>
  </si>
  <si>
    <t>1.8g</t>
  </si>
  <si>
    <t>02 블랙 브라운</t>
  </si>
  <si>
    <t>20180124-0000013-19</t>
  </si>
  <si>
    <t>[더페이스샵] 러블리 믹스 스타일 마이 아이브로우(우드) 02 블랙 브라운</t>
  </si>
  <si>
    <t>8-806364060030</t>
  </si>
  <si>
    <t>Makeup &gt; Eye &gt; Eyebrow</t>
  </si>
  <si>
    <t>A-04-11</t>
  </si>
  <si>
    <t>TM1309</t>
  </si>
  <si>
    <t>[토니모리] 프로클린 소프트 휘핑버블 클렌징폼 150ml</t>
  </si>
  <si>
    <t>20180124-0000013_63616</t>
  </si>
  <si>
    <t>[Tonymoly] Pro Clean Soft Whipping Bubble Cleansing Foam 150ml</t>
  </si>
  <si>
    <t>150ml</t>
  </si>
  <si>
    <t>20180124-0000013-04</t>
  </si>
  <si>
    <t xml:space="preserve">[토니모리] 프로클린 소프트 휘핑버블 클렌징폼 150ml </t>
  </si>
  <si>
    <t>8-806358568412</t>
  </si>
  <si>
    <t>A-37-12</t>
  </si>
  <si>
    <t>PM136</t>
  </si>
  <si>
    <t>[프리메라] 수딩 센서티브 크림 30ml</t>
  </si>
  <si>
    <t>2018-01-25 오전 9:19:13</t>
  </si>
  <si>
    <t>20180125-0000021_63661</t>
  </si>
  <si>
    <t>[프리메라] 수딩 센서티브 크림 30ml 2017/12 신상</t>
  </si>
  <si>
    <t>[Primera] Soothing Sensitive Cream 30ml</t>
  </si>
  <si>
    <t>2018-01-26 오후 4:01:38</t>
  </si>
  <si>
    <t>2018-01-25 오후 3:02:00</t>
  </si>
  <si>
    <t>20180125-0000021-01</t>
  </si>
  <si>
    <t xml:space="preserve">[프리메라] 수딩 센서티브 크림 30ml </t>
  </si>
  <si>
    <t>8-809516532447</t>
  </si>
  <si>
    <t>IS989V06</t>
  </si>
  <si>
    <t>2018-01-25 오후 4:06:00</t>
  </si>
  <si>
    <t>[잇츠스킨] 잇츠 탑 프로페셔널 잉크 코팅 틴트 6ml #06 카메오 핑크</t>
  </si>
  <si>
    <t>2018-01-23 오후 12:39:59</t>
  </si>
  <si>
    <t>20180123-0000036_63533</t>
  </si>
  <si>
    <t>[It's Skin] It's Top Professional Ink Coating Tint 6ml #06 Cameo Pink</t>
  </si>
  <si>
    <t>6ml</t>
  </si>
  <si>
    <t>06 카메오 핑크</t>
  </si>
  <si>
    <t>2018-01-25 오후 4:05:40</t>
  </si>
  <si>
    <t>20180123-0000036-14</t>
  </si>
  <si>
    <t>[잇츠스킨] 잇츠 탑 프로페셔널 잉크 코팅 틴트 6ml 06 카메오 핑크</t>
  </si>
  <si>
    <t>8-809454025766</t>
  </si>
  <si>
    <t>Makeup &gt; Lip &gt; Lip Stain</t>
  </si>
  <si>
    <t>a-02-18</t>
  </si>
  <si>
    <t>EH1341</t>
  </si>
  <si>
    <t>[에뛰드하우스] 핑크 생기 워터 크림</t>
  </si>
  <si>
    <t>20180123-0000036_63525</t>
  </si>
  <si>
    <t>[Etude House] Pink Vital Water Cream</t>
  </si>
  <si>
    <t>60ml</t>
  </si>
  <si>
    <t>20180123-0000036-06</t>
  </si>
  <si>
    <t xml:space="preserve">[에뛰드하우스] 핑크 생기 워터 크림 </t>
  </si>
  <si>
    <t>8-806199433030</t>
  </si>
  <si>
    <t>Skin Care &gt; Face &gt; Night Treatments</t>
  </si>
  <si>
    <t>C-00-18</t>
  </si>
  <si>
    <t>EH038V03</t>
  </si>
  <si>
    <t>[에뛰드하우스] 청순거짓 브라우카라 3호 레드 브라운 Color My Brows</t>
  </si>
  <si>
    <t>20180123-0000036_63527</t>
  </si>
  <si>
    <t>[Etude House] Color My Brows 3. Red Brown</t>
  </si>
  <si>
    <t>3호 레드 브라운</t>
  </si>
  <si>
    <t>20180123-0000036-08</t>
  </si>
  <si>
    <t>[에뛰드하우스] 청순거짓 브라우카라 3호 레드 브라운</t>
  </si>
  <si>
    <t>8-806199412813</t>
  </si>
  <si>
    <t>B-26-06</t>
  </si>
  <si>
    <t>EH1685V03</t>
  </si>
  <si>
    <t>[에뛰드하우스] 청순거짓 브라우 젤 틴트 AD 5g #3호 그레이 브라운</t>
  </si>
  <si>
    <t>20180123-0000036_63530</t>
  </si>
  <si>
    <t>[에뛰드하우스] 청순거짓 브라우 젤 틴트 AD 5g #3호 그레이 브라운 2017/6 신상</t>
  </si>
  <si>
    <t>[Etude House] Tint My Brows Gel Tint AD 5g #03 Gray Brown</t>
  </si>
  <si>
    <t>3호 그레이 브라운</t>
  </si>
  <si>
    <t>20180123-0000036-11</t>
  </si>
  <si>
    <t>[에뛰드하우스] 청순거짓 브라우 젤 틴트 AD 5g 3호 그레이 브라운</t>
  </si>
  <si>
    <t>8-806199470387</t>
  </si>
  <si>
    <t>EH1685V01</t>
  </si>
  <si>
    <t>[에뛰드하우스] 청순거짓 브라우 젤 틴트 AD 5g #1호 브라운</t>
  </si>
  <si>
    <t>20180123-0000036_63529</t>
  </si>
  <si>
    <t>[에뛰드하우스] 청순거짓 브라우 젤 틴트 AD 5g #1호 브라운 2017/6 신상</t>
  </si>
  <si>
    <t>[Etude House] Tint My Brows Gel Tint AD 5g #01 Brown</t>
  </si>
  <si>
    <t>1호 브라운</t>
  </si>
  <si>
    <t>20180123-0000036-10</t>
  </si>
  <si>
    <t>[에뛰드하우스] 청순거짓 브라우 젤 틴트 AD 5g 1호 브라운</t>
  </si>
  <si>
    <t>8-806199470394</t>
  </si>
  <si>
    <t>EH1618</t>
  </si>
  <si>
    <t>[에뛰드하우스] 순정 약산성 6.5 휩 클렌저 150ml</t>
  </si>
  <si>
    <t>20180123-0000036_63522</t>
  </si>
  <si>
    <t>[Etude House] Soon Jung Ph 6.5 Whip Cleanser 150ml</t>
  </si>
  <si>
    <t>20180123-0000036-03</t>
  </si>
  <si>
    <t xml:space="preserve">[에뛰드하우스] 순정 약산성 6.5 휩 클렌저 150ml </t>
  </si>
  <si>
    <t>8-806199472657</t>
  </si>
  <si>
    <t>Skin Care &gt; Cleansing &gt; Pore Cleansers</t>
  </si>
  <si>
    <t>A-28-10</t>
  </si>
  <si>
    <t>EH1298V01</t>
  </si>
  <si>
    <t>[에뛰드하우스] 빅 커버 팁 컨실러 10g #01 베이지</t>
  </si>
  <si>
    <t>20180123-0000036_63531</t>
  </si>
  <si>
    <t>[Etude House] Big Cover Tip Concealer 10g #01 Beige</t>
  </si>
  <si>
    <t>01 베이지</t>
  </si>
  <si>
    <t>20180123-0000036-12</t>
  </si>
  <si>
    <t>[에뛰드하우스] 빅 커버 팁 컨실러 10g 01 베이지</t>
  </si>
  <si>
    <t>8-806199428319</t>
  </si>
  <si>
    <t>A-10-12</t>
  </si>
  <si>
    <t>SF1072</t>
  </si>
  <si>
    <t>[스킨푸드] 아보카도 &amp; 허니 립 세럼 SPF 8 10ml</t>
  </si>
  <si>
    <t>20180123-0000036_63526</t>
  </si>
  <si>
    <t>[Skin Food] Avocado &amp; Honey Lip Serum SPF8 10ml</t>
  </si>
  <si>
    <t>10ml</t>
  </si>
  <si>
    <t>20180123-0000036-07</t>
  </si>
  <si>
    <t xml:space="preserve">[스킨푸드] 아보카도 &amp; 허니 립 세럼 SPF 8 10ml </t>
  </si>
  <si>
    <t>8-809511270825</t>
  </si>
  <si>
    <t>Skin Care &gt; Lip &gt; Lip Moisturizers</t>
  </si>
  <si>
    <t>b-20-05</t>
  </si>
  <si>
    <t>MS931</t>
  </si>
  <si>
    <t>[미샤] 타임 레볼루션 화이트 큐어 블랑 톤업 크림</t>
  </si>
  <si>
    <t>20180123-0000036_63528</t>
  </si>
  <si>
    <t>[Missha] Time Revolution White Cure Blanc Tone Up Cream</t>
  </si>
  <si>
    <t>20180123-0000036-09</t>
  </si>
  <si>
    <t xml:space="preserve">[미샤] 타임 레볼루션 화이트 큐어 블랑 톤업 크림 </t>
  </si>
  <si>
    <t>8-806185756600</t>
  </si>
  <si>
    <t>a-29-10</t>
  </si>
  <si>
    <t>MS977V01</t>
  </si>
  <si>
    <t>[미샤] 오버 렝스닝 마스카라 #01 블룸 래쉬</t>
  </si>
  <si>
    <t>20180123-0000036_63524</t>
  </si>
  <si>
    <t>[Missha] Over Lengthening Mascara #01 Bloom Lash</t>
  </si>
  <si>
    <t>01 블룸 래쉬</t>
  </si>
  <si>
    <t>20180123-0000036-05</t>
  </si>
  <si>
    <t>[미샤] 오버 렝스닝 마스카라 01 블룸 래쉬</t>
  </si>
  <si>
    <t>8-806185758161</t>
  </si>
  <si>
    <t>IN1079V02</t>
  </si>
  <si>
    <t>2018-01-25 오후 4:27:00</t>
  </si>
  <si>
    <t>[이니스프리] 카멜리아 에센셜 헤어 마스크팩 35g #볼륨</t>
  </si>
  <si>
    <t>2018-01-22 오후 3:12:07</t>
  </si>
  <si>
    <t>20180122-0000037_63478</t>
  </si>
  <si>
    <t>빠른 배송 부탁드리고 소화전에 넣어주세요.</t>
  </si>
  <si>
    <t>[Innisfree] camellia essential hair mask pack 35g #Volume</t>
  </si>
  <si>
    <t>볼륨</t>
  </si>
  <si>
    <t>2018-01-25 오후 4:26:42</t>
  </si>
  <si>
    <t>2018-01-23 오전 9:36:00</t>
  </si>
  <si>
    <t>20180122-0000037-04</t>
  </si>
  <si>
    <t>[이니스프리] 카멜리아 에센셜 헤어 마스크팩 35g 볼륨</t>
  </si>
  <si>
    <t>8-806173531677</t>
  </si>
  <si>
    <t>Hair Care &amp; Styling &gt; Conditioners</t>
  </si>
  <si>
    <t>B-08-06</t>
  </si>
  <si>
    <t>IS170V01</t>
  </si>
  <si>
    <t>[잇츠스킨] 베이비페이스 비비크림 35ml 01호 윤기있고 촉촉한 피부 [ 모이스처 ]</t>
  </si>
  <si>
    <t>2018-01-23 오후 3:52:24</t>
  </si>
  <si>
    <t>20180123-0000065_63612</t>
  </si>
  <si>
    <t>[Its Skin] Babyface B.B Cream 35ml #01 Moisture</t>
  </si>
  <si>
    <t>35ml</t>
  </si>
  <si>
    <t>01호 윤기있고 촉촉한 피부 [ 모이스처 ]</t>
  </si>
  <si>
    <t>20180123-0000065-04</t>
  </si>
  <si>
    <t>8-809454021096</t>
  </si>
  <si>
    <t>b-21-05</t>
  </si>
  <si>
    <t>IN1141V01</t>
  </si>
  <si>
    <t>[이니스프리] 마이 헤어 레시피 샴푸 4종_모발케어 각 330ml #01 모이스춰라이징 샴푸</t>
  </si>
  <si>
    <t>20180123-0000065_63610</t>
  </si>
  <si>
    <t>[Innisfree] My Hair Recipe Shampoo Hair Care 330ml #01 Moisturizing Shampoo (for dry hair)</t>
  </si>
  <si>
    <t>330ml</t>
  </si>
  <si>
    <t>01 모이스춰라이징 샴푸</t>
  </si>
  <si>
    <t>20180123-0000065-02</t>
  </si>
  <si>
    <t>[이니스프리] 마이 헤어 레시피 샴푸 4종_모발케어 각 330ml 01 모이스춰라이징 샴푸</t>
  </si>
  <si>
    <t>8-809516525814</t>
  </si>
  <si>
    <t>Hair Care &amp; Styling &gt; Shampoos</t>
  </si>
  <si>
    <t>B-38-10</t>
  </si>
  <si>
    <t>MM065</t>
  </si>
  <si>
    <t>[마몽드] 포어 클린 인텐시브 필링</t>
  </si>
  <si>
    <t>20180123-0000065_63609</t>
  </si>
  <si>
    <t>[Mamonde] Pore Clean Intensive Peeling</t>
  </si>
  <si>
    <t>100ml</t>
  </si>
  <si>
    <t>20180123-0000065-01</t>
  </si>
  <si>
    <t xml:space="preserve">[마몽드] 포어 클린 인텐시브 필링 </t>
  </si>
  <si>
    <t>8-806390547765</t>
  </si>
  <si>
    <t>Skin Care &gt; Cleansing &gt; Special Cleansing</t>
  </si>
  <si>
    <t>A-29-09</t>
  </si>
  <si>
    <t>TS672V03</t>
  </si>
  <si>
    <t>[더샘] 커버 퍼펙션 컨실러 파운데이션 #1.5 내추럴 베이지</t>
  </si>
  <si>
    <t>2일지연</t>
  </si>
  <si>
    <t>2018-01-22 오후 6:07:22</t>
  </si>
  <si>
    <t>20180122-0000044_63494</t>
  </si>
  <si>
    <t>[The Saem] Cover Perfection Concealer Foundation #1.5 Natural Beige</t>
  </si>
  <si>
    <t>03 내추럴 베이지</t>
  </si>
  <si>
    <t>20180122-0000044-15</t>
  </si>
  <si>
    <t>[더샘] 커버 퍼펙션 컨실러 파운데이션 38g 03 내추럴 베이지</t>
  </si>
  <si>
    <t>8-806164140758</t>
  </si>
  <si>
    <t>c-00-48</t>
  </si>
  <si>
    <t>MS1004</t>
  </si>
  <si>
    <t>[미샤] 스피디 솔루션 [리프팅 패치]</t>
  </si>
  <si>
    <t>20180123-0000036_63523</t>
  </si>
  <si>
    <t>[Missha] Speedy Solution Lefting Patch</t>
  </si>
  <si>
    <t>1EA</t>
  </si>
  <si>
    <t>20180123-0000036-04</t>
  </si>
  <si>
    <t xml:space="preserve">[미샤] 스피디 솔루션 [리프팅 패치] 1EA </t>
  </si>
  <si>
    <t>8-806185764520</t>
  </si>
  <si>
    <t>A-28-09</t>
  </si>
  <si>
    <t>2018-01-10 오후 7:09:38</t>
  </si>
  <si>
    <t>SF868</t>
  </si>
  <si>
    <t>2018-01-25 오후 4:20:00</t>
  </si>
  <si>
    <t>[스킨푸드] 블랙슈가 퍼펙트 스크럽 폼 180g</t>
  </si>
  <si>
    <t>2018-01-18 오후 1:52:38</t>
  </si>
  <si>
    <t>20180118-0000038_63352</t>
  </si>
  <si>
    <t>[Skin Food] Black Sugar Perfect Scrub Foam 180g</t>
  </si>
  <si>
    <t>180g</t>
  </si>
  <si>
    <t>2018-01-25 오후 4:19:37</t>
  </si>
  <si>
    <t>2018-01-19 오전 9:34:00</t>
  </si>
  <si>
    <t>20180118-0000038-11</t>
  </si>
  <si>
    <t xml:space="preserve">[스킨푸드] 블랙슈가 퍼펙트 스크럽 폼 180g </t>
  </si>
  <si>
    <t>8-809427864309</t>
  </si>
  <si>
    <t>E-01-03</t>
  </si>
  <si>
    <t>2018-01-18 오후 1:57:06</t>
  </si>
  <si>
    <t>20180118-0000048_63375</t>
  </si>
  <si>
    <t>20180118-0000048-05</t>
  </si>
  <si>
    <t>2018-01-19 오전 11:33:11</t>
  </si>
  <si>
    <t>20180119-0000011_63413</t>
  </si>
  <si>
    <t>2018-01-22 오전 9:34:00</t>
  </si>
  <si>
    <t>20180119-0000011-01</t>
  </si>
  <si>
    <t>VD201</t>
  </si>
  <si>
    <t>[VDL] 브이디엘 새틴 베일 프라이머 스파클 30ml</t>
  </si>
  <si>
    <t>20180123-0000059_63597</t>
  </si>
  <si>
    <t>[VDL] Satin Veil Primer Sparkle 30ml</t>
  </si>
  <si>
    <t>20180123-0000059-45</t>
  </si>
  <si>
    <t xml:space="preserve">[VDL] 브이디엘 새틴 베일 프라이머 스파클 30ml </t>
  </si>
  <si>
    <t>8-801051961775</t>
  </si>
  <si>
    <t>Makeup &gt; Face &gt; Primer</t>
  </si>
  <si>
    <t>A-35-08</t>
  </si>
  <si>
    <t>VD202</t>
  </si>
  <si>
    <t>[VDL] 브이디엘 새틴 베일 올오버 스틱 7.3g</t>
  </si>
  <si>
    <t>20180123-0000059_63596</t>
  </si>
  <si>
    <t>[VDL] Satin Veil All Over Stick 7.3g</t>
  </si>
  <si>
    <t>7.3g</t>
  </si>
  <si>
    <t>20180123-0000059-44</t>
  </si>
  <si>
    <t xml:space="preserve">[VDL] 브이디엘 새틴 베일 올오버 스틱 7.3g </t>
  </si>
  <si>
    <t>8-801051961799</t>
  </si>
  <si>
    <t>A-32-06</t>
  </si>
  <si>
    <t>20180123-0000059_63565</t>
  </si>
  <si>
    <t>20180123-0000059-13</t>
  </si>
  <si>
    <t>HR180V01</t>
  </si>
  <si>
    <t>[헤라] 이지 스타일링 아이라이너 1.4ml #39호 딥 브라운</t>
  </si>
  <si>
    <t>20180123-0000059_63566</t>
  </si>
  <si>
    <t>[Hera] Easy Styling Eye Liner 1.4ml #29 Deep Brown</t>
  </si>
  <si>
    <t>39호 딥 브라운</t>
  </si>
  <si>
    <t>20180123-0000059-14</t>
  </si>
  <si>
    <t>[헤라] 이지 스타일링 아이라이너 1.4ml 39호 딥 브라운</t>
  </si>
  <si>
    <t>8-801042655911</t>
  </si>
  <si>
    <t>A-09-03</t>
  </si>
  <si>
    <t>20180123-0000059_63604</t>
  </si>
  <si>
    <t>20180123-0000059-52</t>
  </si>
  <si>
    <t>TM1297</t>
  </si>
  <si>
    <t>[토니모리] 플로리아 화이트닝 캡슐 에센스 55ml</t>
  </si>
  <si>
    <t>20180123-0000059_63593</t>
  </si>
  <si>
    <t>[Tonymoly] Floria Whitening Capsule Essence 55ml</t>
  </si>
  <si>
    <t>55ml</t>
  </si>
  <si>
    <t>20180123-0000059-41</t>
  </si>
  <si>
    <t xml:space="preserve">[토니모리] 플로리아 화이트닝 캡슐 에센스 55ml </t>
  </si>
  <si>
    <t>8-806358563400</t>
  </si>
  <si>
    <t>C-00-80</t>
  </si>
  <si>
    <t>20180123-0000059_63598</t>
  </si>
  <si>
    <t>20180123-0000059-46</t>
  </si>
  <si>
    <t>TM1311</t>
  </si>
  <si>
    <t>[토니모리] 프로클린 소프트 클렌징 오일 150ml</t>
  </si>
  <si>
    <t>20180123-0000059_63590</t>
  </si>
  <si>
    <t>[Tonymoly] Pro Clean Soft Cleansing Oil 150ml</t>
  </si>
  <si>
    <t>20180123-0000059-38</t>
  </si>
  <si>
    <t xml:space="preserve">[토니모리] 프로클린 소프트 클렌징 오일 150ml </t>
  </si>
  <si>
    <t>8-806358568443</t>
  </si>
  <si>
    <t>Skin Care &gt; Cleansing &gt; Others</t>
  </si>
  <si>
    <t>B-43-02</t>
  </si>
  <si>
    <t>TM1058</t>
  </si>
  <si>
    <t>[토니모리] 내추럴스 산양유 보습 에센스 50ml</t>
  </si>
  <si>
    <t>20180123-0000059_63589</t>
  </si>
  <si>
    <t>[Tonymoly] Naturalth Goat Milk Moisutre Essence 50ml</t>
  </si>
  <si>
    <t>20180123-0000059-37</t>
  </si>
  <si>
    <t xml:space="preserve">[토니모리] 내추럴스 산양유 보습 에센스 50ml </t>
  </si>
  <si>
    <t>8-806358521592</t>
  </si>
  <si>
    <t>A-35-12</t>
  </si>
  <si>
    <t>IS1030V08</t>
  </si>
  <si>
    <t>[잇츠스킨] 잇츠 탑 프로페셔널 하이 핏 립스틱 #08모카 크럼블</t>
  </si>
  <si>
    <t>20180123-0000059_63562</t>
  </si>
  <si>
    <t>[It's Skin] it's Top Professional High Fit Lipstick #08 Mocha Crumble</t>
  </si>
  <si>
    <t>08모카 크럼블</t>
  </si>
  <si>
    <t>20180123-0000059-10</t>
  </si>
  <si>
    <t>[잇츠스킨] 잇츠 탑 프로페셔널 하이 핏 립스틱 08모카 크럼블</t>
  </si>
  <si>
    <t>8-809454024547</t>
  </si>
  <si>
    <t>a-08-18</t>
  </si>
  <si>
    <t>IS1030V05</t>
  </si>
  <si>
    <t>[잇츠스킨] 잇츠 탑 프로페셔널 하이 핏 립스틱 #05코랄 펀치</t>
  </si>
  <si>
    <t>20180123-0000059_63563</t>
  </si>
  <si>
    <t>[It's Skin] it's Top Professional High Fit Lipstick #05 Coral Relief</t>
  </si>
  <si>
    <t>05코랄 펀치</t>
  </si>
  <si>
    <t>20180123-0000059-11</t>
  </si>
  <si>
    <t>[잇츠스킨] 잇츠 탑 프로페셔널 하이 핏 립스틱 05코랄 펀치</t>
  </si>
  <si>
    <t>8-809454024516</t>
  </si>
  <si>
    <t>a-07-17</t>
  </si>
  <si>
    <t>IS1030V04</t>
  </si>
  <si>
    <t>[잇츠스킨] 잇츠 탑 프로페셔널 하이 핏 립스틱 #04맥시 오렌지</t>
  </si>
  <si>
    <t>20180123-0000059_63564</t>
  </si>
  <si>
    <t>[It's Skin] it's Top Professional High Fit Lipstick #04 Maxi Orange</t>
  </si>
  <si>
    <t>04맥시 오렌지</t>
  </si>
  <si>
    <t>20180123-0000059-12</t>
  </si>
  <si>
    <t>[잇츠스킨] 잇츠 탑 프로페셔널 하이 핏 립스틱 04맥시 오렌지</t>
  </si>
  <si>
    <t>8-809454024509</t>
  </si>
  <si>
    <t>B-18-02</t>
  </si>
  <si>
    <t>2018-01-24 오후 6:26:34</t>
  </si>
  <si>
    <t>IS325V05</t>
  </si>
  <si>
    <t>[잇츠스킨] 잇츠 탑 프로페셔널 비비드 젤 아이라이너 0.5g 5호 신디핑크</t>
  </si>
  <si>
    <t>20180123-0000059_63560</t>
  </si>
  <si>
    <t>[It's Skin] It’s Top Professional Vivid Gel Eyeliner 0.5g #05 Cindy Pink</t>
  </si>
  <si>
    <t>5호 신디핑크</t>
  </si>
  <si>
    <t>20180123-0000059-08</t>
  </si>
  <si>
    <t>8-809323736052</t>
  </si>
  <si>
    <t>a-05-18</t>
  </si>
  <si>
    <t>IS325V06</t>
  </si>
  <si>
    <t>[잇츠스킨] 잇츠 탑 프로페셔널 비비드 젤 아이라이너 0.5g 6호 모니카골드</t>
  </si>
  <si>
    <t>20180123-0000059_63559</t>
  </si>
  <si>
    <t>[잇츠스킨] 잇츠 탑 프로페셔널 비비드 젤 아이라이너 0.5g 5호 모니카골드</t>
  </si>
  <si>
    <t>[It's Skin] It’s Top Professional Vivid Gel Eyeliner 0.5g #06 Monica Gold</t>
  </si>
  <si>
    <t>5호 모니카골드</t>
  </si>
  <si>
    <t>20180123-0000059-07</t>
  </si>
  <si>
    <t>8-809323736182</t>
  </si>
  <si>
    <t>a-01-16</t>
  </si>
  <si>
    <t>20180123-0000059_63558</t>
  </si>
  <si>
    <t>20180123-0000059-06</t>
  </si>
  <si>
    <t>IS962V01</t>
  </si>
  <si>
    <t>[잇츠스킨] 생생 바디 로션 #01 로즈</t>
  </si>
  <si>
    <t>20180123-0000059_63601</t>
  </si>
  <si>
    <t>[It's Skin] The Fresh Body Lotion #01 Rose</t>
  </si>
  <si>
    <t>01 로즈</t>
  </si>
  <si>
    <t>20180123-0000059-49</t>
  </si>
  <si>
    <t>[잇츠스킨] 생생 바디 로션 01 로즈</t>
  </si>
  <si>
    <t>8-809454022864</t>
  </si>
  <si>
    <t>b-36-05</t>
  </si>
  <si>
    <t>IS006</t>
  </si>
  <si>
    <t>[잇츠스킨] 그린티 카밍 클렌징 폼 150ml</t>
  </si>
  <si>
    <t>20180123-0000059_63591</t>
  </si>
  <si>
    <t>[Its Skin] Green Tea Calming Cleansing Foam 150ml</t>
  </si>
  <si>
    <t>20180123-0000059-39</t>
  </si>
  <si>
    <t xml:space="preserve">[잇츠스킨] 그린티 카밍 클렌징 폼 150ml </t>
  </si>
  <si>
    <t>8-809241887447</t>
  </si>
  <si>
    <t>EH1224</t>
  </si>
  <si>
    <t>[에뛰드하우스] 젠틀 블랙 원샷 클렌징 폼 150ml</t>
  </si>
  <si>
    <t>20180123-0000059_63595</t>
  </si>
  <si>
    <t>[Etude House] Gentle Black One Shot Cleansing Foam 150ml</t>
  </si>
  <si>
    <t>20180123-0000059-43</t>
  </si>
  <si>
    <t xml:space="preserve">[에뛰드하우스] 젠틀 블랙 원샷 클렌징 폼 150ml </t>
  </si>
  <si>
    <t>8-806179486452</t>
  </si>
  <si>
    <t>Men &gt; Shavings &amp; Cleansing</t>
  </si>
  <si>
    <t>A-31-12</t>
  </si>
  <si>
    <t>AT712V02</t>
  </si>
  <si>
    <t>[아리따움] 키스미 히로인 메이크 스무스 리퀴드 아이라이너 0.4ml #02 브라운</t>
  </si>
  <si>
    <t>20180123-0000059_63582</t>
  </si>
  <si>
    <t>[Aritaum] Kiss Me Heroin Make Smooth Liquid Eyeliner 0.4ml #02 Brown</t>
  </si>
  <si>
    <t>02 브라운</t>
  </si>
  <si>
    <t>20180123-0000059-30</t>
  </si>
  <si>
    <t>[아리따움] 키스미 히로인 메이크 스무스 리퀴드 아이라이너 0.4ml 02 브라운</t>
  </si>
  <si>
    <t>8-801042677951</t>
  </si>
  <si>
    <t>A-19-09</t>
  </si>
  <si>
    <t>SF961</t>
  </si>
  <si>
    <t>[스킨푸드] 티트리 프레시 클렌징 폼</t>
  </si>
  <si>
    <t>20180123-0000059_63587</t>
  </si>
  <si>
    <t>[Skin Food] Tea Tree Fresh Cleansing Foam</t>
  </si>
  <si>
    <t>20180123-0000059-35</t>
  </si>
  <si>
    <t xml:space="preserve">[스킨푸드] 티트리 프레시 클렌징 폼 </t>
  </si>
  <si>
    <t>8-809427865276</t>
  </si>
  <si>
    <t>B-38-11</t>
  </si>
  <si>
    <t>SF939</t>
  </si>
  <si>
    <t>[스킨푸드] 아르간 오일 실크 플러스 워터풀 컬업 헤어 에센스</t>
  </si>
  <si>
    <t>20180123-0000059_63583</t>
  </si>
  <si>
    <t>[Skin Food] Argan Oil Silk Plus Waterful Curlup Hair Essence</t>
  </si>
  <si>
    <t>125ml</t>
  </si>
  <si>
    <t>20180123-0000059-31</t>
  </si>
  <si>
    <t xml:space="preserve">[스킨푸드] 아르간 오일 실크 플러스 워터풀 컬업 헤어 에센스 </t>
  </si>
  <si>
    <t>8-809427864491</t>
  </si>
  <si>
    <t>Hair Care &amp; Styling &gt; Styling Products</t>
  </si>
  <si>
    <t>a-36-12</t>
  </si>
  <si>
    <t>20180123-0000059_63584</t>
  </si>
  <si>
    <t>20180123-0000059-32</t>
  </si>
  <si>
    <t>20180123-0000059_63599</t>
  </si>
  <si>
    <t>20180123-0000059-47</t>
  </si>
  <si>
    <t>20180123-0000059_63574</t>
  </si>
  <si>
    <t>20180123-0000059-22</t>
  </si>
  <si>
    <t>BY251</t>
  </si>
  <si>
    <t>[비욘드] 토탈 리커버리 샤워크림 250ml</t>
  </si>
  <si>
    <t>20180123-0000059_63608</t>
  </si>
  <si>
    <t>[Beyond] Total Recovery Shower Cream 250ml</t>
  </si>
  <si>
    <t>20180123-0000059-56</t>
  </si>
  <si>
    <t xml:space="preserve">[비욘드] 토탈 리커버리 샤워크림 250ml </t>
  </si>
  <si>
    <t>8-801051914986</t>
  </si>
  <si>
    <t>c-00-21</t>
  </si>
  <si>
    <t>2018-01-25 오후 6:02:56</t>
  </si>
  <si>
    <t>20180123-0000059_63588</t>
  </si>
  <si>
    <t>20180123-0000059-36</t>
  </si>
  <si>
    <t>MM114</t>
  </si>
  <si>
    <t>[마몽드] 플로랄 하이드로 에멀젼 150ml</t>
  </si>
  <si>
    <t>20180123-0000059_63557</t>
  </si>
  <si>
    <t>[Mamonde] Floral Hydro Emulsion 150ml</t>
  </si>
  <si>
    <t>20180123-0000059-05</t>
  </si>
  <si>
    <t xml:space="preserve">[마몽드] 플로랄 하이드로 에멀젼 150ml </t>
  </si>
  <si>
    <t>8-806390589178</t>
  </si>
  <si>
    <t>C-00-54</t>
  </si>
  <si>
    <t>MM086V02</t>
  </si>
  <si>
    <t>[마몽드] 오일샤인스틱 3.4g #2호 젤러스 레드</t>
  </si>
  <si>
    <t>20180123-0000059_63585</t>
  </si>
  <si>
    <t>[Mamonde] Oil Shine Stick 3.4g #2 Jealous Red</t>
  </si>
  <si>
    <t>2호 젤러스 레드</t>
  </si>
  <si>
    <t>20180123-0000059-33</t>
  </si>
  <si>
    <t>[마몽드] 오일샤인스틱 3.4g 2호 젤러스 레드</t>
  </si>
  <si>
    <t>8-806390573665</t>
  </si>
  <si>
    <t>a-04-13</t>
  </si>
  <si>
    <t>MM002</t>
  </si>
  <si>
    <t>[마몽드] 로즈워터 토너 250ml</t>
  </si>
  <si>
    <t>20180123-0000059_63586</t>
  </si>
  <si>
    <t>[Mamonde] Rose Water Toner 250ml</t>
  </si>
  <si>
    <t>20180123-0000059-34</t>
  </si>
  <si>
    <t xml:space="preserve">[마몽드] 로즈워터 토너 250ml </t>
  </si>
  <si>
    <t>8-801042802919</t>
  </si>
  <si>
    <t>20180123-0000059_63580</t>
  </si>
  <si>
    <t>20180123-0000059-28</t>
  </si>
  <si>
    <t>20180123-0000059_63579</t>
  </si>
  <si>
    <t>20180123-0000059-27</t>
  </si>
  <si>
    <t>20180123-0000059_63578</t>
  </si>
  <si>
    <t>20180123-0000059-26</t>
  </si>
  <si>
    <t>20180123-0000059_63577</t>
  </si>
  <si>
    <t>20180123-0000059-25</t>
  </si>
  <si>
    <t>FS1483V01</t>
  </si>
  <si>
    <t>[더페이스샵] 모이스처 터치 립스틱 3.4g RD03</t>
  </si>
  <si>
    <t>20180123-0000059_63570</t>
  </si>
  <si>
    <t>[The Face Shop] Moistsure Touch Lipstick 3.4g RD03</t>
  </si>
  <si>
    <t>RD03</t>
  </si>
  <si>
    <t>20180123-0000059-18</t>
  </si>
  <si>
    <t>8-806182544828</t>
  </si>
  <si>
    <t>b-35-12</t>
  </si>
  <si>
    <t>FS1483V05</t>
  </si>
  <si>
    <t>[더페이스샵] 모이스처 터치 립스틱 3.4g RD01</t>
  </si>
  <si>
    <t>20180123-0000059_63592</t>
  </si>
  <si>
    <t>[The Face Shop] Moistsure Touch Lipstick 3.4g RD01</t>
  </si>
  <si>
    <t>RD01</t>
  </si>
  <si>
    <t>20180123-0000059-40</t>
  </si>
  <si>
    <t>8-806182544804</t>
  </si>
  <si>
    <t>a-08-15</t>
  </si>
  <si>
    <t>2018-01-24 오후 6:26:32</t>
  </si>
  <si>
    <t>FS1483V04</t>
  </si>
  <si>
    <t>[더페이스샵] 모이스처 터치 립스틱 3.4g PK01</t>
  </si>
  <si>
    <t>20180123-0000059_63572</t>
  </si>
  <si>
    <t>[The Face Shop] Moistsure Touch Lipstick 3.4g PK01</t>
  </si>
  <si>
    <t>PK01</t>
  </si>
  <si>
    <t>20180123-0000059-20</t>
  </si>
  <si>
    <t>8-806182544767</t>
  </si>
  <si>
    <t>a-26-06</t>
  </si>
  <si>
    <t>FS1483V03</t>
  </si>
  <si>
    <t>[더페이스샵] 모이스처 터치 립스틱 3.4g CR03</t>
  </si>
  <si>
    <t>20180123-0000059_63571</t>
  </si>
  <si>
    <t>[The Face Shop] Moistsure Touch Lipstick 3.4g CR03</t>
  </si>
  <si>
    <t>CR03</t>
  </si>
  <si>
    <t>20180123-0000059-19</t>
  </si>
  <si>
    <t>8-806182544729</t>
  </si>
  <si>
    <t>a-02-11</t>
  </si>
  <si>
    <t>FS1483V06</t>
  </si>
  <si>
    <t>[더페이스샵] 모이스처 터치 립스틱 3.4g CR01</t>
  </si>
  <si>
    <t>20180123-0000059_63573</t>
  </si>
  <si>
    <t>[The Face Shop] Moistsure Touch Lipstick 3.4g CR01</t>
  </si>
  <si>
    <t>CR01</t>
  </si>
  <si>
    <t>20180123-0000059-21</t>
  </si>
  <si>
    <t>8-806182544705</t>
  </si>
  <si>
    <t>a-03-10</t>
  </si>
  <si>
    <t>FS1483V19</t>
  </si>
  <si>
    <t>[더페이스샵] 모이스처 터치 립스틱 3.4g BR01</t>
  </si>
  <si>
    <t>20180123-0000059_63581</t>
  </si>
  <si>
    <t>[The Face Shop] Moistsure Touch Lipstick 3.4g BR01</t>
  </si>
  <si>
    <t>BR01</t>
  </si>
  <si>
    <t>20180123-0000059-29</t>
  </si>
  <si>
    <t>8-806182544736</t>
  </si>
  <si>
    <t>a-05-15</t>
  </si>
  <si>
    <t>FS1483V02</t>
  </si>
  <si>
    <t>[더페이스샵] 모이스처 터치 립스틱 3.4g BE02</t>
  </si>
  <si>
    <t>20180123-0000059_63569</t>
  </si>
  <si>
    <t>[The Face Shop] Moistsure Touch Lipstick 3.4g BE02</t>
  </si>
  <si>
    <t>BE02</t>
  </si>
  <si>
    <t>20180123-0000059-17</t>
  </si>
  <si>
    <t>8-806182544682</t>
  </si>
  <si>
    <t>a-06-16</t>
  </si>
  <si>
    <t>20180123-0000059_63607</t>
  </si>
  <si>
    <t>20180123-0000059-55</t>
  </si>
  <si>
    <t>20180123-0000059_63568</t>
  </si>
  <si>
    <t>20180123-0000059-16</t>
  </si>
  <si>
    <t>FS1549V01</t>
  </si>
  <si>
    <t>[더페이스샵] 러블리 믹스 스타일 마이 아이브로우(우드) #01 그레이 브라운</t>
  </si>
  <si>
    <t>20180123-0000059_63567</t>
  </si>
  <si>
    <t>[The Face Shop] Lovely ME:EX Style My Eyebrow(Wood) #01 Grey Brown</t>
  </si>
  <si>
    <t>01 그레이 브라운</t>
  </si>
  <si>
    <t>20180123-0000059-15</t>
  </si>
  <si>
    <t>[더페이스샵] 러블리 믹스 스타일 마이 아이브로우(우드) 01 그레이 브라운</t>
  </si>
  <si>
    <t>8-806364060023</t>
  </si>
  <si>
    <t>a-11-01</t>
  </si>
  <si>
    <t>NR1196</t>
  </si>
  <si>
    <t>[네이처리퍼블릭] 콜라겐 드림 50 올인원 래디언스 톤 업 크림 50ml</t>
  </si>
  <si>
    <t>20180123-0000059_63600</t>
  </si>
  <si>
    <t>[Nature Republic] Collagen Dream 50 All in one Radiance Tone Up Cream 50ml</t>
  </si>
  <si>
    <t>20180123-0000059-48</t>
  </si>
  <si>
    <t xml:space="preserve">[네이처리퍼블릭] 콜라겐 드림 50 올인원 래디언스 톤 업 크림 50ml </t>
  </si>
  <si>
    <t>8-806173436538</t>
  </si>
  <si>
    <t>NR1297V09</t>
  </si>
  <si>
    <t>[네이처리퍼블릭] 바이 플라워 아이섀도(매트) 1.4g #21 캐시미어 코트</t>
  </si>
  <si>
    <t>20180123-0000059_63554</t>
  </si>
  <si>
    <t>[네이처리퍼블릭] 바이 플라워 아이섀도(매트) 1.4g #21 캐시미어 코트 2017/9 신상</t>
  </si>
  <si>
    <t>[Nature Republic] By Flower Eye Shadow (Matte) 1.4g #21 Cashmere Coat</t>
  </si>
  <si>
    <t>1.4g</t>
  </si>
  <si>
    <t>21 캐시미어 코트</t>
  </si>
  <si>
    <t>20180123-0000059-02</t>
  </si>
  <si>
    <t>[네이처리퍼블릭] 바이 플라워 아이섀도(매트) 1.4g 21 캐시미어 코트</t>
  </si>
  <si>
    <t>8-806173442478</t>
  </si>
  <si>
    <t>A-09-12</t>
  </si>
  <si>
    <t>NR1297V07</t>
  </si>
  <si>
    <t>[네이처리퍼블릭] 바이 플라워 아이섀도(매트) 1.4g #19 워터 멜론</t>
  </si>
  <si>
    <t>20180123-0000059_63555</t>
  </si>
  <si>
    <t>[네이처리퍼블릭] 바이 플라워 아이섀도(매트) 1.4g #19 워터 멜론 2017/9 신상</t>
  </si>
  <si>
    <t>[Nature Republic] By Flower Eye Shadow (Matte) 1.4g #19 Watermelon</t>
  </si>
  <si>
    <t>19 워터 멜론</t>
  </si>
  <si>
    <t>20180123-0000059-03</t>
  </si>
  <si>
    <t>[네이처리퍼블릭] 바이 플라워 아이섀도(매트) 1.4g 19 워터 멜론</t>
  </si>
  <si>
    <t>8-806173442454</t>
  </si>
  <si>
    <t>C-00-77</t>
  </si>
  <si>
    <t>NR1297V06</t>
  </si>
  <si>
    <t>[네이처리퍼블릭] 바이 플라워 아이섀도(매트) 1.4g #18 클래식 피치</t>
  </si>
  <si>
    <t>20180123-0000059_63556</t>
  </si>
  <si>
    <t>[네이처리퍼블릭] 바이 플라워 아이섀도(매트) 1.4g #18 클래식 피치 2017/9 신상</t>
  </si>
  <si>
    <t>[Nature Republic] By Flower Eye Shadow (Matte) 1.4g #18 Classic Peach</t>
  </si>
  <si>
    <t>18 클래식 피치</t>
  </si>
  <si>
    <t>20180123-0000059-04</t>
  </si>
  <si>
    <t>[네이처리퍼블릭] 바이 플라워 아이섀도(매트) 1.4g 18 클래식 피치</t>
  </si>
  <si>
    <t>8-806173442447</t>
  </si>
  <si>
    <t>b-02-06</t>
  </si>
  <si>
    <t>IS155V03</t>
  </si>
  <si>
    <t>2018-01-24 오후 4:04:00</t>
  </si>
  <si>
    <t>[잇츠스킨] 베이비페이스 쁘띠 블러셔 4g #3호 로맨틱로즈</t>
  </si>
  <si>
    <t>20180122-0000037_63477</t>
  </si>
  <si>
    <t>[Its Skin] Babyface Petit Blusher 4g #03 Romantic Rose</t>
  </si>
  <si>
    <t>4g</t>
  </si>
  <si>
    <t>3호 로맨틱로즈</t>
  </si>
  <si>
    <t>2018-01-24 오후 4:03:39</t>
  </si>
  <si>
    <t>20180122-0000037-03</t>
  </si>
  <si>
    <t>[잇츠스킨] 베이비페이스 쁘띠 블러셔 4g 3호 로맨틱로즈</t>
  </si>
  <si>
    <t>8-809241889793</t>
  </si>
  <si>
    <t>Makeup &gt; Face &gt; Blush</t>
  </si>
  <si>
    <t>a-06-17</t>
  </si>
  <si>
    <t>TS575</t>
  </si>
  <si>
    <t>[더샘] 에코 에너지 프레쉬 토너 150ml</t>
  </si>
  <si>
    <t>20180122-0000037_63475</t>
  </si>
  <si>
    <t>[The Saem] ECO ENERGY Fresh Toner 150ml</t>
  </si>
  <si>
    <t>20180122-0000037-01</t>
  </si>
  <si>
    <t xml:space="preserve">[더샘] 에코 에너지 프레쉬 토너 150ml </t>
  </si>
  <si>
    <t>8-806164146309</t>
  </si>
  <si>
    <t>a-33-11</t>
  </si>
  <si>
    <t>TS574</t>
  </si>
  <si>
    <t>[더샘] 에코 에너지 프레쉬 에멀젼 150ml</t>
  </si>
  <si>
    <t>20180122-0000037_63476</t>
  </si>
  <si>
    <t>[The Saem] ECO ENERGY Fresh Emulsion 150ml</t>
  </si>
  <si>
    <t>20180122-0000037-02</t>
  </si>
  <si>
    <t xml:space="preserve">[더샘] 에코 에너지 프레쉬 에멀젼 150ml </t>
  </si>
  <si>
    <t>8-806164130018</t>
  </si>
  <si>
    <t>a-35-12</t>
  </si>
  <si>
    <t>PP068</t>
  </si>
  <si>
    <t>2018-01-24 오후 4:05:00</t>
  </si>
  <si>
    <t>[페리페라] 페리스 잉크 리무버 시즌 2 (AD) 10ml</t>
  </si>
  <si>
    <t>20180122-0000044_63507</t>
  </si>
  <si>
    <t>[Peripera] Peri's Ink Remover 2 (AD) 10ml</t>
  </si>
  <si>
    <t>2018-01-24 오후 4:05:02</t>
  </si>
  <si>
    <t>20180122-0000044-28</t>
  </si>
  <si>
    <t xml:space="preserve">[페리페라] 페리스 잉크 리무버 시즌 2 (AD) 10ml </t>
  </si>
  <si>
    <t>8-809526215521</t>
  </si>
  <si>
    <t>Skin Care &gt; Cleansing &gt; Makeup Remover</t>
  </si>
  <si>
    <t>a-02-07</t>
  </si>
  <si>
    <t>IS303</t>
  </si>
  <si>
    <t>[잇츠스킨] 캐비아 더블 이펙트 아이 에센스 15ml (리뉴)</t>
  </si>
  <si>
    <t>20180122-0000044_63497</t>
  </si>
  <si>
    <t>[It's Skin] Caviar Double Effect Eye Essence 15ml</t>
  </si>
  <si>
    <t>15ml</t>
  </si>
  <si>
    <t>20180122-0000044-18</t>
  </si>
  <si>
    <t xml:space="preserve">[잇츠스킨] 캐비아 더블 이펙트 아이 에센스 15ml (리뉴) </t>
  </si>
  <si>
    <t>8-809323734683</t>
  </si>
  <si>
    <t>A-02-14</t>
  </si>
  <si>
    <t>EH116V01</t>
  </si>
  <si>
    <t>[에뛰드하우스] 오 마이 라인 AD 1호 오마이 블랙</t>
  </si>
  <si>
    <t>20180122-0000044_63496</t>
  </si>
  <si>
    <t>[Etude House] Oh My Eyeline #1. Black 5ml</t>
  </si>
  <si>
    <t>1호 오마이 블랙</t>
  </si>
  <si>
    <t>20180122-0000044-17</t>
  </si>
  <si>
    <t>[에뛰드하우스] 오 마이 라인 1호 오마이 블랙</t>
  </si>
  <si>
    <t>8-806338708753</t>
  </si>
  <si>
    <t>D-22-03</t>
  </si>
  <si>
    <t>EH1368</t>
  </si>
  <si>
    <t>[에뛰드하우스] 선프라이즈 마일드 퍼펙트 릴리프 SPF30/PA++</t>
  </si>
  <si>
    <t>20180122-0000044_63489</t>
  </si>
  <si>
    <t>[Etude House] Sunprise Mild Perfect Relief SPF30 PA++</t>
  </si>
  <si>
    <t>50g</t>
  </si>
  <si>
    <t>20180122-0000044-10</t>
  </si>
  <si>
    <t xml:space="preserve">[에뛰드하우스] 선프라이즈 마일드 퍼펙트 릴리프 SPF30/PA++ </t>
  </si>
  <si>
    <t>8-806199429781</t>
  </si>
  <si>
    <t>a-37-11</t>
  </si>
  <si>
    <t>EH1311V08</t>
  </si>
  <si>
    <t>[에뛰드하우스] 베리 딜리셔스 컬러 인 리퀴드 립스 #33호 베리 체리 투 고</t>
  </si>
  <si>
    <t>20180122-0000044_63482</t>
  </si>
  <si>
    <t>[Etude House] Berry Delicious Color In Liquid Lips #33 PK014</t>
  </si>
  <si>
    <t>3.5g</t>
  </si>
  <si>
    <t>33호 베리 체리 투 고</t>
  </si>
  <si>
    <t>20180122-0000044-03</t>
  </si>
  <si>
    <t>[에뛰드하우스] 베리 딜리셔스 컬러 인 리퀴드 립스 33호 베리 체리 투 고</t>
  </si>
  <si>
    <t>8-806199419164</t>
  </si>
  <si>
    <t>A-07-16</t>
  </si>
  <si>
    <t>EH1311V02</t>
  </si>
  <si>
    <t>[에뛰드하우스] 베리 딜리셔스 컬러 인 리퀴드 립스 #27호 베리 베리 머치</t>
  </si>
  <si>
    <t>20180122-0000044_63483</t>
  </si>
  <si>
    <t>[Etude House] Berry Delicious Color In Liquid Lips #27 RD305</t>
  </si>
  <si>
    <t>27호 베리 베리 머치</t>
  </si>
  <si>
    <t>20180122-0000044-04</t>
  </si>
  <si>
    <t>[에뛰드하우스] 베리 딜리셔스 컬러 인 리퀴드 립스 27호 베리 베리 머치</t>
  </si>
  <si>
    <t>8-806199419102</t>
  </si>
  <si>
    <t>A-10-15</t>
  </si>
  <si>
    <t>EH1311V01</t>
  </si>
  <si>
    <t>[에뛰드하우스] 베리 딜리셔스 컬러 인 리퀴드 립스 #26호 베리 애플 그란데</t>
  </si>
  <si>
    <t>20180122-0000044_63484</t>
  </si>
  <si>
    <t>[Etude House] Berry Delicious Color In Liquid Lips #26 RD304</t>
  </si>
  <si>
    <t>26호 베리 애플 그란데</t>
  </si>
  <si>
    <t>20180122-0000044-05</t>
  </si>
  <si>
    <t>[에뛰드하우스] 베리 딜리셔스 컬러 인 리퀴드 립스 26호 베리 애플 그란데</t>
  </si>
  <si>
    <t>8-806199419096</t>
  </si>
  <si>
    <t>A-03-14</t>
  </si>
  <si>
    <t>EH155V03</t>
  </si>
  <si>
    <t>[에뛰드하우스] 반짝 눈물라이너 3호 진주빛 눈물</t>
  </si>
  <si>
    <t>20180122-0000044_63492</t>
  </si>
  <si>
    <t>[Etude House] TOP 10 Tear Drop Liner #3. Pearl Tear 8g</t>
  </si>
  <si>
    <t>8g</t>
  </si>
  <si>
    <t>3호 진주빛 눈물</t>
  </si>
  <si>
    <t>20180122-0000044-13</t>
  </si>
  <si>
    <t>8-806382605459</t>
  </si>
  <si>
    <t>A-11-19</t>
  </si>
  <si>
    <t>EH1378V03</t>
  </si>
  <si>
    <t>[에뛰드하우스] 리얼 파우더 쿠션 리필 SPF50+/PA+++ #03 허니베이지</t>
  </si>
  <si>
    <t>20180122-0000044_63480</t>
  </si>
  <si>
    <t>[Etude House] Real Powder Cushion SPF50+/PA+++ Refill #03 Honey Beige</t>
  </si>
  <si>
    <t>03 허니베이지</t>
  </si>
  <si>
    <t>20180122-0000044-01</t>
  </si>
  <si>
    <t>[에뛰드하우스] 리얼 파우더 쿠션 리필 SPF50+/PA+++ 03 허니베이지</t>
  </si>
  <si>
    <t>8-806199443114</t>
  </si>
  <si>
    <t>AT619</t>
  </si>
  <si>
    <t>[아리따움] 프레시 파워 에센스 마스크 - 진주 20ml</t>
  </si>
  <si>
    <t>20180122-0000044_63500</t>
  </si>
  <si>
    <t>[Aritaum] Fresh Power Essence Mask Pouch Pack - Pearl 20ml</t>
  </si>
  <si>
    <t>20ml</t>
  </si>
  <si>
    <t>20180122-0000044-21</t>
  </si>
  <si>
    <t xml:space="preserve">[아리따움] 프레시 파워 에센스 마스크 - 진주 20ml </t>
  </si>
  <si>
    <t>8-801042785250</t>
  </si>
  <si>
    <t>A-31-08</t>
  </si>
  <si>
    <t>AT736V01</t>
  </si>
  <si>
    <t>[아리따움] 풀커버 크림 컨실러 2.5g #1호 라이트 &amp; 내추럴베이지</t>
  </si>
  <si>
    <t>20180122-0000044_63499</t>
  </si>
  <si>
    <t>[아리따움] 풀커버 크림 컨실러 2.5g #1호 라이트 &amp; 내추럴베이지 2017/6 신상</t>
  </si>
  <si>
    <t>[Aritaum] Full Cover Cream Concealer 2.5g #01 Light Beige &amp; Natural Beige</t>
  </si>
  <si>
    <t>2.5g</t>
  </si>
  <si>
    <t>1호 라이트 &amp; 내추럴베이지</t>
  </si>
  <si>
    <t>20180122-0000044-20</t>
  </si>
  <si>
    <t>[아리따움] 풀커버 크림 컨실러 2.5g 1호 라이트 &amp; 내추럴베이지</t>
  </si>
  <si>
    <t>8-809539429571</t>
  </si>
  <si>
    <t>Makeup &gt; Eye &gt; Concealer &amp; Base</t>
  </si>
  <si>
    <t>A-13-10</t>
  </si>
  <si>
    <t>AT726V04</t>
  </si>
  <si>
    <t>[아리따움] 슈가볼 쿠션 블러셔 6g #04 쥬시피치</t>
  </si>
  <si>
    <t>20180122-0000044_63498</t>
  </si>
  <si>
    <t>[Aritaum] Sugarball Cushion Blusher 6g #04 Juicy Peach</t>
  </si>
  <si>
    <t>6g</t>
  </si>
  <si>
    <t>04 쥬시피치</t>
  </si>
  <si>
    <t>20180122-0000044-19</t>
  </si>
  <si>
    <t>[아리따움] 슈가볼 쿠션 블러셔 6g 04 쥬시피치</t>
  </si>
  <si>
    <t>8-809516536452</t>
  </si>
  <si>
    <t>BY426V02</t>
  </si>
  <si>
    <t>[비욘드] 피토 아쿠아 쿠션 커버 2호 내추럴</t>
  </si>
  <si>
    <t>20180122-0000044_63501</t>
  </si>
  <si>
    <t>[Beyond] Phyto Aqua Cushion Cover #02 Natural</t>
  </si>
  <si>
    <t>15g+15g(Refill)</t>
  </si>
  <si>
    <t>2호 내추럴</t>
  </si>
  <si>
    <t>20180122-0000044-22</t>
  </si>
  <si>
    <t>8-801051945577</t>
  </si>
  <si>
    <t>BY484</t>
  </si>
  <si>
    <t>[비욘드] 비욘드 피토아쿠아 크림 75ml</t>
  </si>
  <si>
    <t>20180122-0000044_63502</t>
  </si>
  <si>
    <t>[Beyond] Beyound Phyto Aqua Cream 75ml</t>
  </si>
  <si>
    <t>75ml</t>
  </si>
  <si>
    <t>20180122-0000044-23</t>
  </si>
  <si>
    <t xml:space="preserve">[비욘드] 비욘드 피토아쿠아 크림 75ml </t>
  </si>
  <si>
    <t>8-801051709018</t>
  </si>
  <si>
    <t>b-40-10</t>
  </si>
  <si>
    <t>BC548</t>
  </si>
  <si>
    <t>[바닐라코] 디어 하이드레이션 토너 280ml</t>
  </si>
  <si>
    <t>20180122-0000044_63503</t>
  </si>
  <si>
    <t>[바닐라코] 디어 하이드레이션 토너 280ml 2017/8 신상</t>
  </si>
  <si>
    <t>[Banila Co] Dear Hydration Toner 280ml</t>
  </si>
  <si>
    <t>280ml</t>
  </si>
  <si>
    <t>20180122-0000044-24</t>
  </si>
  <si>
    <t xml:space="preserve">[바닐라코] 디어 하이드레이션 토너 280ml </t>
  </si>
  <si>
    <t>8-809560220079</t>
  </si>
  <si>
    <t>A-22-01</t>
  </si>
  <si>
    <t>BC547</t>
  </si>
  <si>
    <t>[바닐라코] 디어 하이드레이션 부스팅 크림 50ml</t>
  </si>
  <si>
    <t>20180122-0000044_63493</t>
  </si>
  <si>
    <t>[바닐라코] 디어 하이드레이션 부스팅 크림 50ml 2017/8 신상</t>
  </si>
  <si>
    <t>[Banila Co] Dear Hydration Boosting Cream 50ml</t>
  </si>
  <si>
    <t>20180122-0000044-14</t>
  </si>
  <si>
    <t xml:space="preserve">[바닐라코] 디어 하이드레이션 부스팅 크림 50ml </t>
  </si>
  <si>
    <t>8-809560220093</t>
  </si>
  <si>
    <t>B-25-10</t>
  </si>
  <si>
    <t>MS934</t>
  </si>
  <si>
    <t>[미샤] 타임 레볼루션 이모탈 유스 크림</t>
  </si>
  <si>
    <t>20180122-0000044_63491</t>
  </si>
  <si>
    <t>[Missha] Time Revolution Immortal Youth Cream</t>
  </si>
  <si>
    <t>20180122-0000044-12</t>
  </si>
  <si>
    <t xml:space="preserve">[미샤] 타임 레볼루션 이모탈 유스 크림 </t>
  </si>
  <si>
    <t>8-806150682637</t>
  </si>
  <si>
    <t>B-35-06</t>
  </si>
  <si>
    <t>2018-01-24 오후 6:26:33</t>
  </si>
  <si>
    <t>MS902</t>
  </si>
  <si>
    <t>[미샤] 수퍼아쿠아 아이스티어 크림</t>
  </si>
  <si>
    <t>20180122-0000044_63490</t>
  </si>
  <si>
    <t>[Missha] Super Aqua Ice Tear Cream</t>
  </si>
  <si>
    <t>20180122-0000044-11</t>
  </si>
  <si>
    <t xml:space="preserve">[미샤] 수퍼아쿠아 아이스티어 크림 </t>
  </si>
  <si>
    <t>8-806185746625</t>
  </si>
  <si>
    <t>MS1122</t>
  </si>
  <si>
    <t>[미샤] 니어스킨 심플테라피 미스트 토너 80ml</t>
  </si>
  <si>
    <t>20180122-0000044_63488</t>
  </si>
  <si>
    <t>[Missha] Near Skin Simple Therapy Mist Toner 80ml</t>
  </si>
  <si>
    <t>80ml</t>
  </si>
  <si>
    <t>20180122-0000044-09</t>
  </si>
  <si>
    <t xml:space="preserve">[미샤] 니어스킨 심플테라피 미스트 토너 80ml </t>
  </si>
  <si>
    <t>8-809530057476</t>
  </si>
  <si>
    <t>B-42-09</t>
  </si>
  <si>
    <t>MM064V02</t>
  </si>
  <si>
    <t>[마몽드] 코튼 베일 프라이머 #02 베이지 로즈</t>
  </si>
  <si>
    <t>20180122-0000044_63495</t>
  </si>
  <si>
    <t>[Mamonde] Cotton Veil Primer #02 Beige Rose</t>
  </si>
  <si>
    <t>02 베이지 로즈</t>
  </si>
  <si>
    <t>20180122-0000044-16</t>
  </si>
  <si>
    <t>[마몽드] 코튼 베일 프라이머 02 베이지 로즈</t>
  </si>
  <si>
    <t>8-806390550314</t>
  </si>
  <si>
    <t>c-00-35</t>
  </si>
  <si>
    <t>LN129</t>
  </si>
  <si>
    <t>[라네즈] 프레시 카밍 세럼 80ml</t>
  </si>
  <si>
    <t>20180122-0000044_63506</t>
  </si>
  <si>
    <t>[Laneige] Fresh Calming Serum 80ml</t>
  </si>
  <si>
    <t>20180122-0000044-27</t>
  </si>
  <si>
    <t xml:space="preserve">[라네즈] 프레시 카밍 세럼 80ml </t>
  </si>
  <si>
    <t>8-806390598910</t>
  </si>
  <si>
    <t>C-00-04</t>
  </si>
  <si>
    <t>AT476V01</t>
  </si>
  <si>
    <t>[라네즈] 워터드롭 틴트 6g 라즈베리 핑크</t>
  </si>
  <si>
    <t>20180122-0000044_63505</t>
  </si>
  <si>
    <t>[Laneige] Water Drop Tint 6g Raspberry Pink</t>
  </si>
  <si>
    <t>라즈베리 핑크</t>
  </si>
  <si>
    <t>20180122-0000044-26</t>
  </si>
  <si>
    <t>8-801042735323</t>
  </si>
  <si>
    <t>b-14-06</t>
  </si>
  <si>
    <t>TS155V01</t>
  </si>
  <si>
    <t>[더샘] 커버 퍼펙션 팁 컨실러 6.5g #01 클리어 베이지</t>
  </si>
  <si>
    <t>20180122-0000044_63481</t>
  </si>
  <si>
    <t>[The Saem] Cover Perfection Tip Concealer 6.5g #01 Clear Beige</t>
  </si>
  <si>
    <t>6.5g</t>
  </si>
  <si>
    <t>#01 클리어 베이지</t>
  </si>
  <si>
    <t>20180122-0000044-02</t>
  </si>
  <si>
    <t>8-806164107980</t>
  </si>
  <si>
    <t>1-00-05</t>
  </si>
  <si>
    <t>TS641</t>
  </si>
  <si>
    <t>[더샘] 어반 에코 와라타 토너</t>
  </si>
  <si>
    <t>20180122-0000044_63486</t>
  </si>
  <si>
    <t>[The Saem] Urban Eco Waratah Toner</t>
  </si>
  <si>
    <t>20180122-0000044-07</t>
  </si>
  <si>
    <t xml:space="preserve">[더샘] 어반 에코 와라타 토너 </t>
  </si>
  <si>
    <t>8-806164136294</t>
  </si>
  <si>
    <t>b-34-02</t>
  </si>
  <si>
    <t>TS642</t>
  </si>
  <si>
    <t>[더샘] 어반 에코 와라타 에센스 로션</t>
  </si>
  <si>
    <t>20180122-0000044_63487</t>
  </si>
  <si>
    <t>[The Saem] Urban Eco Waratah Essence Lotion</t>
  </si>
  <si>
    <t>20180122-0000044-08</t>
  </si>
  <si>
    <t xml:space="preserve">[더샘] 어반 에코 와라타 에센스 로션 </t>
  </si>
  <si>
    <t>8-806164136300</t>
  </si>
  <si>
    <t>b-36-04</t>
  </si>
  <si>
    <t>IS279V01</t>
  </si>
  <si>
    <t>2018-01-25 오후 4:26:00</t>
  </si>
  <si>
    <t>[잇츠스킨] 잇츠 탑 프로페셔널 터치 피니쉬 비비 크림 40ml 21호 라이트 베이지</t>
  </si>
  <si>
    <t>2018-01-22 오후 6:34:44</t>
  </si>
  <si>
    <t>20180122-0000053_63511</t>
  </si>
  <si>
    <t>[It's Skin] It’s Top Professional Touch Finish BB Cream 40ml #21 Light Beige</t>
  </si>
  <si>
    <t>21호 라이트 베이지</t>
  </si>
  <si>
    <t>2018-01-25 오후 4:26:29</t>
  </si>
  <si>
    <t>20180122-0000053-04</t>
  </si>
  <si>
    <t>8-809323730913</t>
  </si>
  <si>
    <t>b-26-04</t>
  </si>
  <si>
    <t>IS170V02</t>
  </si>
  <si>
    <t>[잇츠스킨] 베이비페이스 비비크림 35ml 02호 맑고 보송한 피부 [ 실키 ]</t>
  </si>
  <si>
    <t>20180122-0000053_63508</t>
  </si>
  <si>
    <t>[Its Skin] Babyface B.B Cream 35ml #02 Silky</t>
  </si>
  <si>
    <t>02호 맑고 보송한 피부 [ 실키 ]</t>
  </si>
  <si>
    <t>20180122-0000053-01</t>
  </si>
  <si>
    <t>8-809454021102</t>
  </si>
  <si>
    <t>IS249</t>
  </si>
  <si>
    <t>[잇츠스킨] 모이스처 시스템 아이 크림 30ml</t>
  </si>
  <si>
    <t>20180122-0000053_63510</t>
  </si>
  <si>
    <t>[It's Skin] Moisture System Eye Cream 30ml</t>
  </si>
  <si>
    <t>20180122-0000053-03</t>
  </si>
  <si>
    <t xml:space="preserve">[잇츠스킨] 모이스처 시스템 아이 크림 30ml </t>
  </si>
  <si>
    <t>8-809323738995</t>
  </si>
  <si>
    <t>A-37-07</t>
  </si>
  <si>
    <t>IN768</t>
  </si>
  <si>
    <t>[이니스프리] 화이트닝포어 페이셜 클렌저 150ml</t>
  </si>
  <si>
    <t>20180122-0000053_63516</t>
  </si>
  <si>
    <t>[Innisfree] Whitening Pore Facial Cleanser 150ml</t>
  </si>
  <si>
    <t>20180122-0000053-09</t>
  </si>
  <si>
    <t xml:space="preserve">[이니스프리] 화이트닝포어 페이셜 클렌저 150ml </t>
  </si>
  <si>
    <t>8-809516817629</t>
  </si>
  <si>
    <t>B-35-12</t>
  </si>
  <si>
    <t>IN956V02</t>
  </si>
  <si>
    <t>[이니스프리] (마이쿠션) 앰플 모이스처 쿠션 (리필) #C21호 핑크 베이지</t>
  </si>
  <si>
    <t>20180122-0000053_63509</t>
  </si>
  <si>
    <t>[Innisfree] (My Cushion) Ampoule Moisture Cushion (Refill) #C21 Pink Beige</t>
  </si>
  <si>
    <t>C21호 핑크 베이지</t>
  </si>
  <si>
    <t>20180122-0000053-02</t>
  </si>
  <si>
    <t>[이니스프리] (마이쿠션) 앰플 모이스처 쿠션 (리필) C21호 핑크 베이지</t>
  </si>
  <si>
    <t>8-806173599080</t>
  </si>
  <si>
    <t>a-16-18</t>
  </si>
  <si>
    <t>AT654</t>
  </si>
  <si>
    <t>[미장센] 퍼펙트 세럼</t>
  </si>
  <si>
    <t>20180122-0000053_63513</t>
  </si>
  <si>
    <t>[Miseenscene] Perfect Serum</t>
  </si>
  <si>
    <t>70ml</t>
  </si>
  <si>
    <t>20180122-0000053-06</t>
  </si>
  <si>
    <t xml:space="preserve">[미장센] 퍼펙트 세럼 </t>
  </si>
  <si>
    <t>8-806403217036</t>
  </si>
  <si>
    <t>a-31-05</t>
  </si>
  <si>
    <t>MS868</t>
  </si>
  <si>
    <t>[미샤] 미사 예현 진본 유액</t>
  </si>
  <si>
    <t>20180122-0000053_63514</t>
  </si>
  <si>
    <t>[Missha] Misa Yei Hyun Jin Bon Emulsion</t>
  </si>
  <si>
    <t>20180122-0000053-07</t>
  </si>
  <si>
    <t xml:space="preserve">[미샤] 미사 예현 진본 유액 </t>
  </si>
  <si>
    <t>8-806185796859</t>
  </si>
  <si>
    <t>b-34-12</t>
  </si>
  <si>
    <t>NR910V03</t>
  </si>
  <si>
    <t>[네이처리퍼블릭] 리얼 네이처 폼 클렌저 150ml 쉐어버터</t>
  </si>
  <si>
    <t>20180122-0000053_63515</t>
  </si>
  <si>
    <t>[Nature Republic] Real Nature Foam Cleanser 150ml Shea Butter</t>
  </si>
  <si>
    <t>쉐어버터</t>
  </si>
  <si>
    <t>20180122-0000053-08</t>
  </si>
  <si>
    <t>8-806173425341</t>
  </si>
  <si>
    <t>b-42-08</t>
  </si>
  <si>
    <t>SH110V02</t>
  </si>
  <si>
    <t>2018-01-24 오후 4:03:00</t>
  </si>
  <si>
    <t>[설화수] NEW 예서스킨커버 SPF26 PA++  (리필) #23호 차분한 색</t>
  </si>
  <si>
    <t>2018-01-22 오전 9:25:31</t>
  </si>
  <si>
    <t>20180122-0000028_63469</t>
  </si>
  <si>
    <t>[Sulwhasoo] NEW Lumitouch Skin Cover SPF26 PA++  (Refill) #23</t>
  </si>
  <si>
    <t>23호 차분한 색</t>
  </si>
  <si>
    <t>2018-01-24 오후 4:03:26</t>
  </si>
  <si>
    <t>20180122-0000028-05</t>
  </si>
  <si>
    <t>[설화수] NEW 예서스킨커버 SPF26 PA++  (리필) 23호 차분한 색</t>
  </si>
  <si>
    <t>8-801042577190</t>
  </si>
  <si>
    <t>A-03-13</t>
  </si>
  <si>
    <t>MS1410V04</t>
  </si>
  <si>
    <t>[미샤] 쥬얼 드롭 리퀴드 섀도우 4.7g #대즐링 시티</t>
  </si>
  <si>
    <t>20180122-0000028_63474</t>
  </si>
  <si>
    <t>[미샤] 쥬얼 드롭 리퀴드 섀도우 4.7g #대즐링 시티 2017/12 신상</t>
  </si>
  <si>
    <t>[Missha] Jewel Drop Liquid Shadow 4.7g #Dazzling City</t>
  </si>
  <si>
    <t>4.7g</t>
  </si>
  <si>
    <t>대즐링 시티</t>
  </si>
  <si>
    <t>20180122-0000028-10</t>
  </si>
  <si>
    <t>[미샤] 쥬얼 드롭 리퀴드 섀도우 4.7g 대즐링 시티</t>
  </si>
  <si>
    <t>8-809530076811</t>
  </si>
  <si>
    <t>A-07-17</t>
  </si>
  <si>
    <t>20180118-0000048_63374</t>
  </si>
  <si>
    <t>2018-01-24 오후 4:03:20</t>
  </si>
  <si>
    <t>20180118-0000048-04</t>
  </si>
  <si>
    <t>2018-01-18 오후 2:10:51</t>
  </si>
  <si>
    <t>20180118-0000051_63395</t>
  </si>
  <si>
    <t>20180118-0000051-14</t>
  </si>
  <si>
    <t>FS1587V02</t>
  </si>
  <si>
    <t>[더페이스샵] CC 인텐스 커버 쿠션 SPF50+ PA+++ (리필) #V201 애프리콧 베이지</t>
  </si>
  <si>
    <t>2018-01-23 오전 9:11:32</t>
  </si>
  <si>
    <t>20180123-0000019_63517</t>
  </si>
  <si>
    <t>[The Face Shop] CC Intense Cover Cushion SPF50+ PA+++ (Refill) #V201 Apricot Beige</t>
  </si>
  <si>
    <t>V201 애프리콧 베이지</t>
  </si>
  <si>
    <t>2018-01-24 오후 4:03:31</t>
  </si>
  <si>
    <t>20180123-0000019-01</t>
  </si>
  <si>
    <t>[더페이스샵] CC 인텐스 커버 쿠션 SPF50+ PA+++ (리필) V201 애프리콧 베이지</t>
  </si>
  <si>
    <t>8-806182545306</t>
  </si>
  <si>
    <t>VD200</t>
  </si>
  <si>
    <t>2018-01-23 오후 4:50:00</t>
  </si>
  <si>
    <t>[VDL] 브이디엘 새틴 베일 프라이머 30ml</t>
  </si>
  <si>
    <t>2018-01-20 오후 6:40:56</t>
  </si>
  <si>
    <t>20180120-0000016_63429</t>
  </si>
  <si>
    <t>[VDL] Satin Veil Primer 30ml</t>
  </si>
  <si>
    <t>2018-01-23 오후 4:49:51</t>
  </si>
  <si>
    <t>20180120-0000016-07</t>
  </si>
  <si>
    <t xml:space="preserve">[VDL] 브이디엘 새틴 베일 프라이머 30ml </t>
  </si>
  <si>
    <t>8-801051966503</t>
  </si>
  <si>
    <t>b-40-05</t>
  </si>
  <si>
    <t>TM994</t>
  </si>
  <si>
    <t>[토니모리] 팬더의꿈 화이트 매직 크림 50g</t>
  </si>
  <si>
    <t>20180120-0000016_63430</t>
  </si>
  <si>
    <t>[Tonymoly] Panda's Dream White Magic Cream 50g</t>
  </si>
  <si>
    <t>20180120-0000016-08</t>
  </si>
  <si>
    <t xml:space="preserve">[토니모리] 팬더의꿈 화이트 매직 크림 50g </t>
  </si>
  <si>
    <t>8-806358511654</t>
  </si>
  <si>
    <t>TM1220</t>
  </si>
  <si>
    <t>[토니모리] 샤이니 풋 슈퍼 필링 리퀴드</t>
  </si>
  <si>
    <t>20180120-0000016_63444</t>
  </si>
  <si>
    <t>[Tonymoly] Shiny Foot Super Peeling Liquid (2016)</t>
  </si>
  <si>
    <t>25ml*2</t>
  </si>
  <si>
    <t>20180120-0000016-22</t>
  </si>
  <si>
    <t xml:space="preserve">[토니모리] 샤이니 풋 슈퍼 필링 리퀴드 (2016) </t>
  </si>
  <si>
    <t>8-806358514051</t>
  </si>
  <si>
    <t>Bath &amp; Body &gt; Body Moisturizers &gt; Scrubs &amp; Body Treatments</t>
  </si>
  <si>
    <t>D-35-01</t>
  </si>
  <si>
    <t>TM1155V02</t>
  </si>
  <si>
    <t>[토니모리] 비씨데이션 쿠션 플러스 (리필) 15g #02 스킨베이지</t>
  </si>
  <si>
    <t>20180120-0000016_63435</t>
  </si>
  <si>
    <t>[Tonymoly] BCDation Cushion Plus Refill 15g #02 Skin Beige</t>
  </si>
  <si>
    <t>#02 스킨베이지</t>
  </si>
  <si>
    <t>20180120-0000016-13</t>
  </si>
  <si>
    <t>8-806358562397</t>
  </si>
  <si>
    <t>a-32-10</t>
  </si>
  <si>
    <t>EH1364</t>
  </si>
  <si>
    <t>[에뛰드하우스] AC 클린업 클렌징 워터</t>
  </si>
  <si>
    <t>20180120-0000016_63426</t>
  </si>
  <si>
    <t>[Etude House] Ac Clean Up Cleansing Water</t>
  </si>
  <si>
    <t>20180120-0000016-04</t>
  </si>
  <si>
    <t xml:space="preserve">[에뛰드하우스] AC 클린업 클렌징 워터 </t>
  </si>
  <si>
    <t>8-806199436505</t>
  </si>
  <si>
    <t>B-41-12</t>
  </si>
  <si>
    <t>EH1431V09</t>
  </si>
  <si>
    <t>[에뛰드하우스] 플레이 101 블렌딩 펜슬 #9호 크리미</t>
  </si>
  <si>
    <t>20180120-0000016_63440</t>
  </si>
  <si>
    <t>[Etude House] Play 101 Blending Pencil #9 Creamy</t>
  </si>
  <si>
    <t>1.1g</t>
  </si>
  <si>
    <t>9호 크리미</t>
  </si>
  <si>
    <t>20180120-0000016-18</t>
  </si>
  <si>
    <t>[에뛰드하우스] 플레이 101 블렌딩 펜슬 9호 크리미</t>
  </si>
  <si>
    <t>8-806199444593</t>
  </si>
  <si>
    <t>b-38-12</t>
  </si>
  <si>
    <t>EH1410V05</t>
  </si>
  <si>
    <t>[에뛰드하우스] 트윈샷 립스 틴트 NEW #PK001 해피엔딩x핑크</t>
  </si>
  <si>
    <t>20180120-0000016_63424</t>
  </si>
  <si>
    <t>[Etude House] Twin Shot Lips Tint NEW #PK001 Happy Ending x Pink Shot</t>
  </si>
  <si>
    <t>4g+4g</t>
  </si>
  <si>
    <t>PK001 해피엔딩x핑크</t>
  </si>
  <si>
    <t>20180120-0000016-02</t>
  </si>
  <si>
    <t>[에뛰드하우스] 트윈샷 립스 틴트 NEW PK001 해피엔딩x핑크</t>
  </si>
  <si>
    <t>8-806199447327</t>
  </si>
  <si>
    <t>b-39-09</t>
  </si>
  <si>
    <t>EH1551V03</t>
  </si>
  <si>
    <t>[에뛰드하우스] 진주알 맑은 에센스 비비밤 SPF50+PA+++ 16g #03 베이지</t>
  </si>
  <si>
    <t>20180120-0000016_63433</t>
  </si>
  <si>
    <t>[Etude House] Precious Mineral Essence BB Balm SPF50+PA+++ 16g #03 Beige</t>
  </si>
  <si>
    <t>16g</t>
  </si>
  <si>
    <t>03 베이지</t>
  </si>
  <si>
    <t>20180120-0000016-11</t>
  </si>
  <si>
    <t>[에뛰드하우스] 진주알 맑은 에센스 비비밤 SPF50+PA+++ 16g 03 베이지</t>
  </si>
  <si>
    <t>8-806199460333</t>
  </si>
  <si>
    <t>A-03-16</t>
  </si>
  <si>
    <t>20180120-0000016_63436</t>
  </si>
  <si>
    <t>20180120-0000016-14</t>
  </si>
  <si>
    <t>EH1335</t>
  </si>
  <si>
    <t>[에뛰드하우스] 선프라이즈 바이 세범 선 스틱 SPF50+/PA+++</t>
  </si>
  <si>
    <t>20180120-0000016_63434</t>
  </si>
  <si>
    <t>[Etude House] Sunprise Bye Sebum Sun Stick SPF50+/PA+++</t>
  </si>
  <si>
    <t>12g</t>
  </si>
  <si>
    <t>20180120-0000016-12</t>
  </si>
  <si>
    <t xml:space="preserve">[에뛰드하우스] 선프라이즈 바이 세범 선 스틱 SPF50+/PA+++ </t>
  </si>
  <si>
    <t>8-806199429422</t>
  </si>
  <si>
    <t>a-02-04</t>
  </si>
  <si>
    <t>EH1301V01</t>
  </si>
  <si>
    <t>[에뛰드하우스] 빅 커버 스틱 컨실러 2g #01 베이지</t>
  </si>
  <si>
    <t>20180120-0000016_63438</t>
  </si>
  <si>
    <t>[Etude House] Big Cover Stick Concealer 2g #01 Beige</t>
  </si>
  <si>
    <t>2g</t>
  </si>
  <si>
    <t>20180120-0000016-16</t>
  </si>
  <si>
    <t>[에뛰드하우스] 빅 커버 스틱 컨실러 2g 01 베이지</t>
  </si>
  <si>
    <t>8-806199426308</t>
  </si>
  <si>
    <t>b-09-06</t>
  </si>
  <si>
    <t>SF1027</t>
  </si>
  <si>
    <t>[스킨푸드] 복분자 아이 크림 포 페이스 [미백 + 주름 개선 이중 기능성 화장품] 50ml</t>
  </si>
  <si>
    <t>20180120-0000016_63425</t>
  </si>
  <si>
    <t>[Skin Food] Black Raspberry Eye Cream For Face 50ml</t>
  </si>
  <si>
    <t>20180120-0000016-03</t>
  </si>
  <si>
    <t xml:space="preserve">[스킨푸드] 복분자 아이 크림 포 페이스 [미백 + 주름 개선 이중 기능성 화장품] 50ml </t>
  </si>
  <si>
    <t>8-809511270146</t>
  </si>
  <si>
    <t>c-00-18</t>
  </si>
  <si>
    <t>SF980</t>
  </si>
  <si>
    <t>[스킨푸드] 로열허니 착한 선 젤 SPF30 PA++</t>
  </si>
  <si>
    <t>20180120-0000016_63442</t>
  </si>
  <si>
    <t>[Skin Food] Royal Honey Good Sun Gel SPF30 PA++</t>
  </si>
  <si>
    <t>20180120-0000016-20</t>
  </si>
  <si>
    <t xml:space="preserve">[스킨푸드] 로열허니 착한 선 젤 SPF30 PA++ </t>
  </si>
  <si>
    <t>8-809427865436</t>
  </si>
  <si>
    <t>A-05-18</t>
  </si>
  <si>
    <t>BC618V02</t>
  </si>
  <si>
    <t>[바닐라코] 프라임 프라이머 피팅 파운데이션 30ml #BE15</t>
  </si>
  <si>
    <t>20180120-0000016_63446</t>
  </si>
  <si>
    <t>[바닐라코] 하이 바이 수딩 시트 마스크 25ml #BE15 2017/10 신상</t>
  </si>
  <si>
    <t>[Banila Co] Prime Primer Fitting Foundation 30ml #BE15</t>
  </si>
  <si>
    <t>BE15</t>
  </si>
  <si>
    <t>20180120-0000016-24</t>
  </si>
  <si>
    <t>[바닐라코] 프라임 프라이머 피팅 파운데이션 30ml BE15</t>
  </si>
  <si>
    <t>8-809560221144</t>
  </si>
  <si>
    <t>a-34-12</t>
  </si>
  <si>
    <t>20180120-0000016_63428</t>
  </si>
  <si>
    <t>20180120-0000016-06</t>
  </si>
  <si>
    <t>20180120-0000016_63427</t>
  </si>
  <si>
    <t>20180120-0000016-05</t>
  </si>
  <si>
    <t>MS1133</t>
  </si>
  <si>
    <t>[미샤] 타임 레볼루션 뉴트리셔스 에센스 40ml</t>
  </si>
  <si>
    <t>20180120-0000016_63445</t>
  </si>
  <si>
    <t>[Missha] Time Revolution Nutritious Essence 40ml</t>
  </si>
  <si>
    <t>20180120-0000016-23</t>
  </si>
  <si>
    <t xml:space="preserve">[미샤] 타임 레볼루션 뉴트리셔스 에센스 40ml </t>
  </si>
  <si>
    <t>8-809530030677</t>
  </si>
  <si>
    <t>MS1317V12</t>
  </si>
  <si>
    <t>[미샤] 컬러핏 스틱 섀도우 1.1g #브런치 데이</t>
  </si>
  <si>
    <t>20180120-0000016_63443</t>
  </si>
  <si>
    <t>[미샤] 컬러핏 스틱 섀도우 1.1g #브런치 데이 2017/6 신상</t>
  </si>
  <si>
    <t>[Missha] Color Fit Stick Shadow 1.1g #Brunch Day</t>
  </si>
  <si>
    <t>브런치 데이</t>
  </si>
  <si>
    <t>20180120-0000016-21</t>
  </si>
  <si>
    <t>[미샤] 컬러핏 스틱 섀도우 1.1g 브런치 데이</t>
  </si>
  <si>
    <t>8-809530054628</t>
  </si>
  <si>
    <t>A-15-17</t>
  </si>
  <si>
    <t>MS1199V03</t>
  </si>
  <si>
    <t>[미샤] 커버 프라임 리퀴드 컨실러 SPF30 PA++ 8g #03 아이보리</t>
  </si>
  <si>
    <t>20180120-0000016_63439</t>
  </si>
  <si>
    <t>[Missha] Cover Prime Liquid Concealer SPF30 PA++ 8g #03 Ivory</t>
  </si>
  <si>
    <t>03 아이보리</t>
  </si>
  <si>
    <t>20180120-0000016-17</t>
  </si>
  <si>
    <t>[미샤] 커버 프라임 리퀴드 컨실러 SPF30 PA++ 8g 03 아이보리</t>
  </si>
  <si>
    <t>8-809530039342</t>
  </si>
  <si>
    <t>A-15-13</t>
  </si>
  <si>
    <t>MS1020V02</t>
  </si>
  <si>
    <t>[미샤] 스머지프루프 우드 브로우 #02 브라운</t>
  </si>
  <si>
    <t>20180120-0000016_63449</t>
  </si>
  <si>
    <t>[Missha] Smuge Proof Wood Brow #02 Brown</t>
  </si>
  <si>
    <t>3.5*90mm</t>
  </si>
  <si>
    <t>20180120-0000016-27</t>
  </si>
  <si>
    <t>[미샤] 스머지프루프 우드 브로우 02 브라운</t>
  </si>
  <si>
    <t>8-806185772594</t>
  </si>
  <si>
    <t>A-10-16</t>
  </si>
  <si>
    <t>MS1056</t>
  </si>
  <si>
    <t>[미샤] 수퍼 아쿠아 울트라 워터풀 크림 80ml</t>
  </si>
  <si>
    <t>20180120-0000016_63450</t>
  </si>
  <si>
    <t>[Missha] Super Aqua Ultra Waterful Cream 80ml</t>
  </si>
  <si>
    <t>20180120-0000016-28</t>
  </si>
  <si>
    <t xml:space="preserve">[미샤] 수퍼 아쿠아 울트라 워터풀 크림 80ml </t>
  </si>
  <si>
    <t>8-806185787086</t>
  </si>
  <si>
    <t>A-22-05</t>
  </si>
  <si>
    <t>MS1149V04</t>
  </si>
  <si>
    <t>[미샤] 세븐데이즈 컬러링 헤어 트리트먼트 25ml #04 스모크블루</t>
  </si>
  <si>
    <t>20180120-0000016_63437</t>
  </si>
  <si>
    <t>[Missha] Seven Days Coloring Hair Treatment 25ml #04 Smoke Blue</t>
  </si>
  <si>
    <t>25ml</t>
  </si>
  <si>
    <t>04 스모크블루</t>
  </si>
  <si>
    <t>20180120-0000016-15</t>
  </si>
  <si>
    <t>[미샤] 세븐데이즈 컬러링 헤어 트리트먼트 25ml 04 스모크블루</t>
  </si>
  <si>
    <t>8-809530030561</t>
  </si>
  <si>
    <t>Hair Care &amp; Styling &gt; Hair Color</t>
  </si>
  <si>
    <t>A-05-10</t>
  </si>
  <si>
    <t>MS1105V03</t>
  </si>
  <si>
    <t>[미샤] 디 오리지널 텐션 팩트 퍼펙트 커버 14g (교체용) #23</t>
  </si>
  <si>
    <t>20180120-0000016_63431</t>
  </si>
  <si>
    <t>[Missha] The Original Tension Pact Perfect Cover 14g (Refill) #23</t>
  </si>
  <si>
    <t>20180120-0000016-09</t>
  </si>
  <si>
    <t>[미샤] 디 오리지널 텐션 팩트 퍼펙트 커버 14g (교체용) 23</t>
  </si>
  <si>
    <t>8-806185791687</t>
  </si>
  <si>
    <t>FS1333V01</t>
  </si>
  <si>
    <t>[더페이스샵] 퀵 헤어 퍼프 7g #01 내추럴 브라운</t>
  </si>
  <si>
    <t>20180120-0000016_63432</t>
  </si>
  <si>
    <t>[The Face Shop] Quick Hair Puff 7g #01 Natural Brown</t>
  </si>
  <si>
    <t>7g</t>
  </si>
  <si>
    <t>01 내추럴 브라운</t>
  </si>
  <si>
    <t>20180120-0000016-10</t>
  </si>
  <si>
    <t>[더페이스샵] 퀵헤어퍼프 7g 01 내추럴 브라운</t>
  </si>
  <si>
    <t>8-806182526930</t>
  </si>
  <si>
    <t>Tool &amp; Accessories &gt; Makeup Brushes &amp; Tools / Cotton &amp; Swabs</t>
  </si>
  <si>
    <t>b-38-07</t>
  </si>
  <si>
    <t>20180120-0000016_63423</t>
  </si>
  <si>
    <t>20180120-0000016-01</t>
  </si>
  <si>
    <t>IS953</t>
  </si>
  <si>
    <t>2018-01-23 오후 4:38:00</t>
  </si>
  <si>
    <t>[잇츠스킨] 클리어 스킨 겔 패치</t>
  </si>
  <si>
    <t>2018-01-22 오전 9:22:14</t>
  </si>
  <si>
    <t>20180122-0000019_63455</t>
  </si>
  <si>
    <t>부재시 안내데스크에 부탁드립니다</t>
  </si>
  <si>
    <t>[It's Skin] Clear Skin Gel Patch</t>
  </si>
  <si>
    <t>2018-01-23 오후 4:37:41</t>
  </si>
  <si>
    <t>20180122-0000019-05</t>
  </si>
  <si>
    <t xml:space="preserve">[잇츠스킨] 클리어 스킨 겔 패치 </t>
  </si>
  <si>
    <t>8-809454022833</t>
  </si>
  <si>
    <t>A-14-15</t>
  </si>
  <si>
    <t>EH035</t>
  </si>
  <si>
    <t>[에뛰드하우스] 콜라겐 아이패치AD</t>
  </si>
  <si>
    <t>20180122-0000019_63451</t>
  </si>
  <si>
    <t>[Etude House] Collagen Eye Patch 4ml</t>
  </si>
  <si>
    <t>4ml</t>
  </si>
  <si>
    <t>20180122-0000019-01</t>
  </si>
  <si>
    <t xml:space="preserve">[에뛰드하우스] 콜라겐 아이패치AD </t>
  </si>
  <si>
    <t>8-806382609556</t>
  </si>
  <si>
    <t>EH284V02</t>
  </si>
  <si>
    <t>[에뛰드하우스] 오 마이 래쉬 마스카라 NEW 2호 베이스</t>
  </si>
  <si>
    <t>20180122-0000019_63457</t>
  </si>
  <si>
    <t>[Etude House] Oh∼mEye Lash Mascara NEW #Base 8.5g</t>
  </si>
  <si>
    <t>8.5g</t>
  </si>
  <si>
    <t>2호 베이스</t>
  </si>
  <si>
    <t>20180122-0000019-07</t>
  </si>
  <si>
    <t>8-806165931614</t>
  </si>
  <si>
    <t>b-14-02</t>
  </si>
  <si>
    <t>SF853</t>
  </si>
  <si>
    <t>[스킨푸드] 마린 푸드 겔 마스크 (진주) 25g</t>
  </si>
  <si>
    <t>20180122-0000019_63453</t>
  </si>
  <si>
    <t>[Skin Food] Marine Food Gel Mask (Pearl) 25g</t>
  </si>
  <si>
    <t>25g</t>
  </si>
  <si>
    <t>20180122-0000019-03</t>
  </si>
  <si>
    <t xml:space="preserve">[스킨푸드] 마린 푸드 겔 마스크 (진주) 25g </t>
  </si>
  <si>
    <t>8-809427862725</t>
  </si>
  <si>
    <t>D-17-09</t>
  </si>
  <si>
    <t>FS1603V02</t>
  </si>
  <si>
    <t>[더페이스샵] 집중 마스크림 인텐스 시트 20g #02 집중 보습</t>
  </si>
  <si>
    <t>20180122-0000019_63464</t>
  </si>
  <si>
    <t>[The Face Shop] Mascream Intense Sheet 20g #02 Moisturizing</t>
  </si>
  <si>
    <t>20g</t>
  </si>
  <si>
    <t>02 집중 보습</t>
  </si>
  <si>
    <t>20180122-0000019-14</t>
  </si>
  <si>
    <t>[더페이스샵] 집중 마스크림 인텐스 시트 20g 02 집중 보습</t>
  </si>
  <si>
    <t>8-806182548741</t>
  </si>
  <si>
    <t>a-31-12</t>
  </si>
  <si>
    <t>FS1603V01</t>
  </si>
  <si>
    <t>[더페이스샵] 집중 마스크림 인텐스 시트 20g #01 집중 진정</t>
  </si>
  <si>
    <t>20180122-0000019_63463</t>
  </si>
  <si>
    <t>[The Face Shop] Mascream Intense Sheet 20g #01 Soothing</t>
  </si>
  <si>
    <t>01 집중 진정</t>
  </si>
  <si>
    <t>20180122-0000019-13</t>
  </si>
  <si>
    <t>[더페이스샵] 집중 마스크림 인텐스 시트 20g 01 집중 진정</t>
  </si>
  <si>
    <t>8-806182548734</t>
  </si>
  <si>
    <t>a-32-11</t>
  </si>
  <si>
    <t>20180122-0000019_63456</t>
  </si>
  <si>
    <t>20180122-0000019-06</t>
  </si>
  <si>
    <t>TS268V05</t>
  </si>
  <si>
    <t>[더샘] 내추럴 마스크 시트 21ml #05 석류</t>
  </si>
  <si>
    <t>20180122-0000019_63461</t>
  </si>
  <si>
    <t>[The Saem] Natural Mask Sheet 21ml #05 Pomegranate</t>
  </si>
  <si>
    <t>21ml</t>
  </si>
  <si>
    <t>#05 석류</t>
  </si>
  <si>
    <t>20180122-0000019-11</t>
  </si>
  <si>
    <t>8-806164115565</t>
  </si>
  <si>
    <t>b-23-05</t>
  </si>
  <si>
    <t>TS268V04</t>
  </si>
  <si>
    <t>[더샘] 내추럴 마스크 시트 21ml #04 티트리</t>
  </si>
  <si>
    <t>20180122-0000019_63458</t>
  </si>
  <si>
    <t>[The Saem] Natural Mask Sheet 21ml #04 Tea Tree</t>
  </si>
  <si>
    <t>#04 티트리</t>
  </si>
  <si>
    <t>20180122-0000019-08</t>
  </si>
  <si>
    <t>8-806164115541</t>
  </si>
  <si>
    <t>b-08-01</t>
  </si>
  <si>
    <t>TS268V03</t>
  </si>
  <si>
    <t>[더샘] 내추럴 마스크 시트 21ml #03 오트밀</t>
  </si>
  <si>
    <t>20180122-0000019_63460</t>
  </si>
  <si>
    <t>[The Saem] Natural Mask Sheet 21ml #03 Oatmeal</t>
  </si>
  <si>
    <t>#03 오트밀</t>
  </si>
  <si>
    <t>20180122-0000019-10</t>
  </si>
  <si>
    <t>8-806164115589</t>
  </si>
  <si>
    <t>b-11-02</t>
  </si>
  <si>
    <t>TS268V02</t>
  </si>
  <si>
    <t>[더샘] 내추럴 마스크 시트 21ml #02 레몬</t>
  </si>
  <si>
    <t>20180122-0000019_63459</t>
  </si>
  <si>
    <t>[The Saem] Natural Mask Sheet 21ml #02 Lemon</t>
  </si>
  <si>
    <t>#02 레몬</t>
  </si>
  <si>
    <t>20180122-0000019-09</t>
  </si>
  <si>
    <t>8-806164115534</t>
  </si>
  <si>
    <t>a-08-01</t>
  </si>
  <si>
    <t>TS268V01</t>
  </si>
  <si>
    <t>[더샘] 내추럴 마스크 시트 21ml #01 알로에</t>
  </si>
  <si>
    <t>20180122-0000019_63462</t>
  </si>
  <si>
    <t>[The Saem] Natural Mask Sheet 21ml #01 Aloe</t>
  </si>
  <si>
    <t>#01 알로에</t>
  </si>
  <si>
    <t>20180122-0000019-12</t>
  </si>
  <si>
    <t>8-806164115527</t>
  </si>
  <si>
    <t>B-27-08</t>
  </si>
  <si>
    <t>NR1146V05</t>
  </si>
  <si>
    <t>[네이처리퍼블릭] 에코 크레용 아이즈 3g #05 다크브라운</t>
  </si>
  <si>
    <t>20180122-0000019_63454</t>
  </si>
  <si>
    <t>[Nature Republic] Eco Crayon Eyes 3g #05 Dark Brown</t>
  </si>
  <si>
    <t>05 다크브라운</t>
  </si>
  <si>
    <t>20180122-0000019-04</t>
  </si>
  <si>
    <t>[네이처리퍼블릭] 에코 크레용 아이즈 3g 05 다크브라운</t>
  </si>
  <si>
    <t>8-806173439584</t>
  </si>
  <si>
    <t>b-41-09</t>
  </si>
  <si>
    <t>IN1151V04</t>
  </si>
  <si>
    <t>2018-01-23 오후 4:34:00</t>
  </si>
  <si>
    <t>[이니스프리] 리얼 헤어 메이크업 젤리 컨실러 9.5g #04 석양에 핀 로즈 브라운</t>
  </si>
  <si>
    <t>20180122-0000028_63471</t>
  </si>
  <si>
    <t>[Innisfree] My Hair Make Up Jelly Concealer 9.5g #04 Rose Brown</t>
  </si>
  <si>
    <t>9.5g</t>
  </si>
  <si>
    <t>04 석양에 핀 로즈 브라운</t>
  </si>
  <si>
    <t>2018-01-23 오후 4:34:24</t>
  </si>
  <si>
    <t>20180122-0000028-07</t>
  </si>
  <si>
    <t>[이니스프리] 리얼 헤어 메이크업 젤리 컨실러 9.5g 04 석양에 핀 로즈 브라운</t>
  </si>
  <si>
    <t>8-809516791080</t>
  </si>
  <si>
    <t>a-07-13</t>
  </si>
  <si>
    <t>IN1151V03</t>
  </si>
  <si>
    <t>[이니스프리] 리얼 헤어 메이크업 젤리 컨실러 9.5g #03 동트기 전 어반 브라운</t>
  </si>
  <si>
    <t>20180122-0000028_63470</t>
  </si>
  <si>
    <t>[Innisfree] My Hair Make Up Jelly Concealer 9.5g #03 Urban Brown</t>
  </si>
  <si>
    <t>03 동트기 전 어반 브라운</t>
  </si>
  <si>
    <t>20180122-0000028-06</t>
  </si>
  <si>
    <t>[이니스프리] 리얼 헤어 메이크업 젤리 컨실러 9.5g 03 동트기 전 어반 브라운</t>
  </si>
  <si>
    <t>8-809516791073</t>
  </si>
  <si>
    <t>a-06-09</t>
  </si>
  <si>
    <t>EH1757</t>
  </si>
  <si>
    <t>[에뛰드하우스] 미니 투 매치 자석 홀더</t>
  </si>
  <si>
    <t>20180122-0000028_63466</t>
  </si>
  <si>
    <t>[에뛰드하우스] 미니 투 매치 자석 홀더 2018/1 신상</t>
  </si>
  <si>
    <t>[Etude House] Mini Two Match Magnetic Holder 1ea</t>
  </si>
  <si>
    <t>1ea</t>
  </si>
  <si>
    <t>20180122-0000028-02</t>
  </si>
  <si>
    <t xml:space="preserve">[에뛰드하우스] 미니 투 매치 자석 홀더 </t>
  </si>
  <si>
    <t>8-809140508375</t>
  </si>
  <si>
    <t>Tool &amp; Accessories &gt; Bags &amp; Cases / Refillable Containers</t>
  </si>
  <si>
    <t>a-08-12</t>
  </si>
  <si>
    <t>EH1761V02</t>
  </si>
  <si>
    <t>[에뛰드하우스] 미니 투 매치 립 토퍼 #RD301 장미빛 인생</t>
  </si>
  <si>
    <t>20180122-0000028_63467</t>
  </si>
  <si>
    <t>[에뛰드하우스] 미니 투 매치 립 토퍼 #RD301 장미빛 인생 2018/1 신상</t>
  </si>
  <si>
    <t>[Etude House] Mini Two Match Lip Topper 2.4g #RD301</t>
  </si>
  <si>
    <t>2.4g</t>
  </si>
  <si>
    <t>RD301 장미빛 인생</t>
  </si>
  <si>
    <t>20180122-0000028-03</t>
  </si>
  <si>
    <t>[에뛰드하우스] 미니 투 매치 립 토퍼 2.4g RD301 장미빛 인생</t>
  </si>
  <si>
    <t>8-809140505916</t>
  </si>
  <si>
    <t>b-38-09</t>
  </si>
  <si>
    <t>EH1761V01</t>
  </si>
  <si>
    <t>[에뛰드하우스] 미니 투 매치 립 토퍼 #BL601 인어 아가씨</t>
  </si>
  <si>
    <t>20180122-0000028_63468</t>
  </si>
  <si>
    <t>[에뛰드하우스] 미니 투 매치 립 토퍼 #BL601 인어 아가씨 2018/1 신상</t>
  </si>
  <si>
    <t>[Etude House] Mini Two Match Lip Topper 2.4g #BL601</t>
  </si>
  <si>
    <t>BL601 인어 아가씨</t>
  </si>
  <si>
    <t>20180122-0000028-04</t>
  </si>
  <si>
    <t>[에뛰드하우스] 미니 투 매치 립 토퍼 2.4g BL601 인어 아가씨</t>
  </si>
  <si>
    <t>8-809140505909</t>
  </si>
  <si>
    <t>MS1410V03</t>
  </si>
  <si>
    <t>[미샤] 쥬얼 드롭 리퀴드 섀도우 4.7g #로맨틱 모먼트</t>
  </si>
  <si>
    <t>20180122-0000028_63473</t>
  </si>
  <si>
    <t>[미샤] 쥬얼 드롭 리퀴드 섀도우 4.7g #로맨틱 모먼트 2017/12 신상</t>
  </si>
  <si>
    <t>[Missha] Jewel Drop Liquid Shadow 4.7g #Romantic Moment</t>
  </si>
  <si>
    <t>로맨틱 모먼트</t>
  </si>
  <si>
    <t>20180122-0000028-09</t>
  </si>
  <si>
    <t>[미샤] 쥬얼 드롭 리퀴드 섀도우 4.7g 로맨틱 모먼트</t>
  </si>
  <si>
    <t>8-809530076828</t>
  </si>
  <si>
    <t>A-08-12</t>
  </si>
  <si>
    <t>LN015</t>
  </si>
  <si>
    <t>[라네즈] 에센셜 파워 스킨 리파이너 라이트</t>
  </si>
  <si>
    <t>20180122-0000028_63465</t>
  </si>
  <si>
    <t>[Laneige] Essential Power Skin Refiner Light</t>
  </si>
  <si>
    <t>20180122-0000028-01</t>
  </si>
  <si>
    <t xml:space="preserve">[라네즈] 에센셜 파워 스킨 리파이너 라이트 </t>
  </si>
  <si>
    <t>8-801042573185</t>
  </si>
  <si>
    <t>b-41-08</t>
  </si>
  <si>
    <t>HR192</t>
  </si>
  <si>
    <t>2018-01-23 오후 4:40:00</t>
  </si>
  <si>
    <t>[헤라] 오 드 보떼 블라썸 퍼퓸드 샤워 스크럽 180ml</t>
  </si>
  <si>
    <t>2018-01-18 오후 1:10:23</t>
  </si>
  <si>
    <t>20180118-0000029_63331</t>
  </si>
  <si>
    <t>[헤라] 오 드 보떼 블라썸 퍼퓸드 샤워 스크럽 180ml 2017/7 신상</t>
  </si>
  <si>
    <t>[Hera] Eau De Beaute Blossom Perfumed Body Cream 250ml</t>
  </si>
  <si>
    <t>2018-01-23 오후 4:40:09</t>
  </si>
  <si>
    <t>20180118-0000029-07</t>
  </si>
  <si>
    <t xml:space="preserve">[헤라] 오 드 보떼 블라썸 퍼퓸드 샤워 스크럽 180ml </t>
  </si>
  <si>
    <t>8-801042560154</t>
  </si>
  <si>
    <t>b-27-06</t>
  </si>
  <si>
    <t>20180118-0000029_63330</t>
  </si>
  <si>
    <t>20180118-0000029-06</t>
  </si>
  <si>
    <t>20180118-0000029_63340</t>
  </si>
  <si>
    <t>20180118-0000029-16</t>
  </si>
  <si>
    <t>20180118-0000029_63339</t>
  </si>
  <si>
    <t>20180118-0000029-15</t>
  </si>
  <si>
    <t>BC610V01</t>
  </si>
  <si>
    <t>[바닐라코] 브이브이 바운싱 쿠션15gx2 #BE10</t>
  </si>
  <si>
    <t>20180118-0000029_63338</t>
  </si>
  <si>
    <t>[바닐라코] 브이브이 바운싱 쿠션15gx2 #BE10 2017/10 신상</t>
  </si>
  <si>
    <t>[Banila Co] V V Bouncing Cushion 15gx2 #BE10</t>
  </si>
  <si>
    <t>BE10</t>
  </si>
  <si>
    <t>20180118-0000029-14</t>
  </si>
  <si>
    <t>[바닐라코] 브이브이 바운싱 쿠션15gx2 BE10</t>
  </si>
  <si>
    <t>8-809560220529</t>
  </si>
  <si>
    <t>b-39-07</t>
  </si>
  <si>
    <t>20180118-0000029_63334</t>
  </si>
  <si>
    <t>20180118-0000029-10</t>
  </si>
  <si>
    <t>FS1532</t>
  </si>
  <si>
    <t>[더페이스샵] 닥터벨머 데일리리페어 수딩 거즈 마스크시트 30g</t>
  </si>
  <si>
    <t>20180118-0000029_63333</t>
  </si>
  <si>
    <t>[The Face Shop] Dr.Belmeur Daily Repair Soothing Gauze Mask 30g</t>
  </si>
  <si>
    <t>20180118-0000029-09</t>
  </si>
  <si>
    <t xml:space="preserve">[더페이스샵] 닥터벨머 데일리리페어 수딩 거즈 마스크시트 30g </t>
  </si>
  <si>
    <t>8-806182551420</t>
  </si>
  <si>
    <t>a-25-05</t>
  </si>
  <si>
    <t>20180118-0000038_63367</t>
  </si>
  <si>
    <t>20180118-0000038-26</t>
  </si>
  <si>
    <t>BC557</t>
  </si>
  <si>
    <t>[바닐라코] 잇 래디언트 씨씨 톤업크림 50ml</t>
  </si>
  <si>
    <t>20180118-0000038_63358</t>
  </si>
  <si>
    <t>[바닐라코] 잇 래디언트 씨씨 톤업크림 50ml 2017/10 신상</t>
  </si>
  <si>
    <t>[Banila Co] It Radiant CC Tone Up Cream 50ml</t>
  </si>
  <si>
    <t>20180118-0000038-17</t>
  </si>
  <si>
    <t xml:space="preserve">[바닐라코] 잇 래디언트 씨씨 톤업크림 50ml </t>
  </si>
  <si>
    <t>8-809147455610</t>
  </si>
  <si>
    <t>B-34-12</t>
  </si>
  <si>
    <t>BC563V02</t>
  </si>
  <si>
    <t>[바닐라코] 립라이크 모이스트 틴트 5.7g #PK01 베베</t>
  </si>
  <si>
    <t>20180118-0000038_63342</t>
  </si>
  <si>
    <t>[바닐라코] 립라이크 모이스트 틴트 5.7g #PK01 베베 2017/10 신상</t>
  </si>
  <si>
    <t>[Banila Co] Liplike Moist Tint 5.7g #PK01 Bebe</t>
  </si>
  <si>
    <t>5.7g</t>
  </si>
  <si>
    <t>PK01 베베</t>
  </si>
  <si>
    <t>20180118-0000038-01</t>
  </si>
  <si>
    <t>[바닐라코] 립라이크 모이스트 틴트 5.7g PK01 베베</t>
  </si>
  <si>
    <t>8-809560222059</t>
  </si>
  <si>
    <t>A-15-18</t>
  </si>
  <si>
    <t>20180118-0000038_63350</t>
  </si>
  <si>
    <t>20180118-0000038-09</t>
  </si>
  <si>
    <t>HR229V03</t>
  </si>
  <si>
    <t>[헤라] 트루웨어 트윈케익 13g #23 베이지</t>
  </si>
  <si>
    <t>20180118-0000048_63377</t>
  </si>
  <si>
    <t>[헤라] 트루웨어 트윈케익 13g #23 베이지 2017/11 신상</t>
  </si>
  <si>
    <t>[Hera] True Wear Twin Cake 13g #23 Beige</t>
  </si>
  <si>
    <t>23 베이지</t>
  </si>
  <si>
    <t>20180118-0000048-07</t>
  </si>
  <si>
    <t>[헤라] 트루웨어 트윈케익 13g 23 베이지</t>
  </si>
  <si>
    <t>8-809539428062</t>
  </si>
  <si>
    <t>20180118-0000048_63378</t>
  </si>
  <si>
    <t>20180118-0000048-08</t>
  </si>
  <si>
    <t>20180118-0000051_63387</t>
  </si>
  <si>
    <t>20180118-0000051-06</t>
  </si>
  <si>
    <t>20180118-0000051_63384</t>
  </si>
  <si>
    <t>20180118-0000051-03</t>
  </si>
  <si>
    <t>20180118-0000051_63398</t>
  </si>
  <si>
    <t>20180118-0000051-17</t>
  </si>
  <si>
    <t>20180119-0000011_63415</t>
  </si>
  <si>
    <t>20180119-0000011-03</t>
  </si>
  <si>
    <t>IS994</t>
  </si>
  <si>
    <t>[잇츠스킨] 잇 스타일 헤어 수분 픽싱 미스트 115ml</t>
  </si>
  <si>
    <t>20180119-0000011_63418</t>
  </si>
  <si>
    <t>[It's Skin] It Style Hair Water Fixing Mist 115ml</t>
  </si>
  <si>
    <t>115ml</t>
  </si>
  <si>
    <t>20180119-0000011-06</t>
  </si>
  <si>
    <t xml:space="preserve">[잇츠스킨] 잇 스타일 헤어 수분 픽싱 미스트 115ml </t>
  </si>
  <si>
    <t>8-809454025018</t>
  </si>
  <si>
    <t>B-34-11</t>
  </si>
  <si>
    <t>20180119-0000011_63421</t>
  </si>
  <si>
    <t>20180119-0000011-09</t>
  </si>
  <si>
    <t>20180119-0000011_63422</t>
  </si>
  <si>
    <t>20180119-0000011-10</t>
  </si>
  <si>
    <t>FS557</t>
  </si>
  <si>
    <t>[더페이스샵] 허브데이 립앤아이 리무버 티슈</t>
  </si>
  <si>
    <t>20180119-0000011_63420</t>
  </si>
  <si>
    <t>[The Face Shop] Herb Day Lip &amp; Eye Remover Tissue 30sheets</t>
  </si>
  <si>
    <t>30sheets</t>
  </si>
  <si>
    <t>20180119-0000011-08</t>
  </si>
  <si>
    <t xml:space="preserve">[더페이스샵] 허브데이 립앤아이 리무버 티슈 </t>
  </si>
  <si>
    <t>8-806364007219</t>
  </si>
  <si>
    <t>Sun Care &gt; Others</t>
  </si>
  <si>
    <t>1-00-02</t>
  </si>
  <si>
    <t>FS930</t>
  </si>
  <si>
    <t>[더페이스샵] 뉴스타일리스트 헤어젤펌프400g ＃ 하드타입</t>
  </si>
  <si>
    <t>20180119-0000011_63419</t>
  </si>
  <si>
    <t>[The Face Shop] New Stylist Hair Gel 400g # Hard Type 400g</t>
  </si>
  <si>
    <t>400g</t>
  </si>
  <si>
    <t>20180119-0000011-07</t>
  </si>
  <si>
    <t xml:space="preserve">[더페이스샵] 뉴스타일리스트 헤어젤펌프400g ＃ 하드타입 </t>
  </si>
  <si>
    <t>8-806182508301</t>
  </si>
  <si>
    <t>20180119-0000011_63417</t>
  </si>
  <si>
    <t>20180119-0000011-05</t>
  </si>
  <si>
    <t>BC476V01</t>
  </si>
  <si>
    <t>2018-01-23 오후 4:35:00</t>
  </si>
  <si>
    <t>[바닐라코] 프라임 프라이머 피팅 파운데이션 SPF30 PA++ #BE10 베이지</t>
  </si>
  <si>
    <t>2018-01-18 오후 3:07:37</t>
  </si>
  <si>
    <t>20180118-0000063_63403</t>
  </si>
  <si>
    <t>빠른배송 부탁드리고 소화전에 넣어주세요.</t>
  </si>
  <si>
    <t>[Banila Co] Prime Primer Fitting Foundation SPF30 PA++ #BE10</t>
  </si>
  <si>
    <t>BE10 베이지</t>
  </si>
  <si>
    <t>2018-01-23 오후 4:34:46</t>
  </si>
  <si>
    <t>20180118-0000063-03</t>
  </si>
  <si>
    <t>[바닐라 코] 프라임 프라이머 피팅 파운데이션 SPF30 PA++ BE10 베이지</t>
  </si>
  <si>
    <t>8-809560220635</t>
  </si>
  <si>
    <t>B-42-08</t>
  </si>
  <si>
    <t>TM1264V02</t>
  </si>
  <si>
    <t>2018-01-22 오후 4:31:00</t>
  </si>
  <si>
    <t>[토니모리] 팬더의꿈 번짐 아웃 마스카라 #02 롱래쉬</t>
  </si>
  <si>
    <t>20180118-0000029_63325</t>
  </si>
  <si>
    <t>[Tonymoly] Panda's Dream Smudge Out Mascara #02 Long Lash</t>
  </si>
  <si>
    <t>02 롱래쉬</t>
  </si>
  <si>
    <t>2018-01-22 오후 4:31:22</t>
  </si>
  <si>
    <t>20180118-0000029-01</t>
  </si>
  <si>
    <t>[토니모리] 팬더의꿈 번짐 아웃 마스카라 02 롱래쉬</t>
  </si>
  <si>
    <t>8-806358561215</t>
  </si>
  <si>
    <t>20180118-0000029_63329</t>
  </si>
  <si>
    <t>20180118-0000029-05</t>
  </si>
  <si>
    <t>EH332</t>
  </si>
  <si>
    <t>[에뛰드하우스] 키스풀 립케어 립 스크럽</t>
  </si>
  <si>
    <t>20180118-0000029_63335</t>
  </si>
  <si>
    <t>[Etude House] Kissful Lip Care Lip Scrub 10g</t>
  </si>
  <si>
    <t>20180118-0000029-11</t>
  </si>
  <si>
    <t xml:space="preserve">[에뛰드하우스] 키스풀 립케어 립 스크럽 </t>
  </si>
  <si>
    <t>8-806179484458</t>
  </si>
  <si>
    <t>B-23-05</t>
  </si>
  <si>
    <t>20180118-0000029_63341</t>
  </si>
  <si>
    <t>20180118-0000029-17</t>
  </si>
  <si>
    <t>20180118-0000029_63337</t>
  </si>
  <si>
    <t>20180118-0000029-13</t>
  </si>
  <si>
    <t>BY518</t>
  </si>
  <si>
    <t>[비욘드] 딥클린 쿨링 컨디셔너 450ml</t>
  </si>
  <si>
    <t>20180118-0000029_63336</t>
  </si>
  <si>
    <t>[비욘드] 딥클린 쿨링 컨디셔너 450ml 2017/9 신상</t>
  </si>
  <si>
    <t>[Beyond] Deep Clean Cooling Conditioner 450ml</t>
  </si>
  <si>
    <t>450ml</t>
  </si>
  <si>
    <t>20180118-0000029-12</t>
  </si>
  <si>
    <t xml:space="preserve">[비욘드] 딥클린 쿨링 컨디셔너 450ml </t>
  </si>
  <si>
    <t>8-801051762549</t>
  </si>
  <si>
    <t>b-27-09</t>
  </si>
  <si>
    <t>MS1269</t>
  </si>
  <si>
    <t>[미샤] 니어스킨 셀프 컨트롤 필링 마사지 200ml</t>
  </si>
  <si>
    <t>20180118-0000029_63327</t>
  </si>
  <si>
    <t>[Missha] Near Skin Self Control Peeling Massage 200ml</t>
  </si>
  <si>
    <t>20180118-0000029-03</t>
  </si>
  <si>
    <t xml:space="preserve">[미샤] 니어스킨 셀프 컨트롤 필링 마사지 200ml </t>
  </si>
  <si>
    <t>8-809530047842</t>
  </si>
  <si>
    <t>C-00-16</t>
  </si>
  <si>
    <t>MM086V01</t>
  </si>
  <si>
    <t>[마몽드] 오일샤인스틱 3.4g #1호 레나멜 체리</t>
  </si>
  <si>
    <t>20180118-0000029_63328</t>
  </si>
  <si>
    <t>[Mamonde] Oil Shine Stick 3.4g #1 Enamel Cherry</t>
  </si>
  <si>
    <t>1호 레나멜 체리</t>
  </si>
  <si>
    <t>20180118-0000029-04</t>
  </si>
  <si>
    <t>[마몽드] 오일샤인스틱 3.4g 1호 레나멜 체리</t>
  </si>
  <si>
    <t>8-806390573658</t>
  </si>
  <si>
    <t>B-04-05</t>
  </si>
  <si>
    <t>20180118-0000029_63332</t>
  </si>
  <si>
    <t>20180118-0000029-08</t>
  </si>
  <si>
    <t>20180118-0000029_63326</t>
  </si>
  <si>
    <t>20180118-0000029-02</t>
  </si>
  <si>
    <t>20180118-0000038_63343</t>
  </si>
  <si>
    <t>20180118-0000038-02</t>
  </si>
  <si>
    <t>HR222</t>
  </si>
  <si>
    <t>[헤라] 화이트 프로그램 톤-업 쿠션 크림 (리필) 12g</t>
  </si>
  <si>
    <t>20180118-0000038_63365</t>
  </si>
  <si>
    <t>[헤라] 화이트 프로그램 톤-업 쿠션 크림 (리필) 12g 2017/11 신상</t>
  </si>
  <si>
    <t>[Hera] White Program Tone Up Cushion Cream (Refill) 12g</t>
  </si>
  <si>
    <t>20180118-0000038-24</t>
  </si>
  <si>
    <t xml:space="preserve">[헤라] 화이트 프로그램 톤-업 쿠션 크림 (리필) 12g </t>
  </si>
  <si>
    <t>8-809516836736</t>
  </si>
  <si>
    <t>B-42-04</t>
  </si>
  <si>
    <t>20180118-0000038_63363</t>
  </si>
  <si>
    <t>20180118-0000038-22</t>
  </si>
  <si>
    <t>PM081</t>
  </si>
  <si>
    <t>[프리메라] 맨 오가니언스 올인원 에센스 50ml</t>
  </si>
  <si>
    <t>20180118-0000038_63364</t>
  </si>
  <si>
    <t>[Primera] Men Organience all in one Essence 50ml</t>
  </si>
  <si>
    <t>20180118-0000038-23</t>
  </si>
  <si>
    <t xml:space="preserve">[프리메라] 맨 오가니언스 올인원 에센스 50ml </t>
  </si>
  <si>
    <t>8-806390582995</t>
  </si>
  <si>
    <t>Men &gt; Moisturizers</t>
  </si>
  <si>
    <t>B-39-04</t>
  </si>
  <si>
    <t>20180118-0000038_63351</t>
  </si>
  <si>
    <t>20180118-0000038-10</t>
  </si>
  <si>
    <t>20180118-0000038_63354</t>
  </si>
  <si>
    <t>20180118-0000038-13</t>
  </si>
  <si>
    <t>20180118-0000038_63349</t>
  </si>
  <si>
    <t>20180118-0000038-08</t>
  </si>
  <si>
    <t>EH202</t>
  </si>
  <si>
    <t>[에뛰드하우스] 닥터마스카라 픽서 포 퍼펙트 래쉬</t>
  </si>
  <si>
    <t>20180118-0000038_63366</t>
  </si>
  <si>
    <t>[Etude House] Dr. Mascara Fixer For Perfect Lash 6ml</t>
  </si>
  <si>
    <t>20180118-0000038-25</t>
  </si>
  <si>
    <t xml:space="preserve">[에뛰드하우스] 닥터마스카라 픽서 포 퍼펙트 래쉬 </t>
  </si>
  <si>
    <t>8-806165933724</t>
  </si>
  <si>
    <t>D-20-03</t>
  </si>
  <si>
    <t>AT736V02</t>
  </si>
  <si>
    <t>[아리따움] 풀커버 크림 컨실러 2.5g #2호 올리브 그린 &amp; 핑크</t>
  </si>
  <si>
    <t>20180118-0000038_63359</t>
  </si>
  <si>
    <t>[아리따움] 풀커버 크림 컨실러 2.5g #2호 올리브 그린 &amp; 핑크 2017/6 신상</t>
  </si>
  <si>
    <t>[Aritaum] Full Cover Cream Concealer 2.5g #02 Olive Green &amp; Pink</t>
  </si>
  <si>
    <t>2호 올리브 그린 &amp; 핑크</t>
  </si>
  <si>
    <t>20180118-0000038-18</t>
  </si>
  <si>
    <t>[아리따움] 풀커버 크림 컨실러 2.5g 2호 올리브 그린 &amp; 핑크</t>
  </si>
  <si>
    <t>8-809539429588</t>
  </si>
  <si>
    <t>B-04-06</t>
  </si>
  <si>
    <t>20180118-0000038_63347</t>
  </si>
  <si>
    <t>20180118-0000038-06</t>
  </si>
  <si>
    <t>SF890</t>
  </si>
  <si>
    <t>[스킨푸드] 레몬 버베나 바디 워시 335ml</t>
  </si>
  <si>
    <t>20180118-0000038_63348</t>
  </si>
  <si>
    <t>[Skin Food] Lemon Verbena Body Wash 335ml</t>
  </si>
  <si>
    <t>335ml</t>
  </si>
  <si>
    <t>20180118-0000038-07</t>
  </si>
  <si>
    <t xml:space="preserve">[스킨푸드] 레몬 버베나 바디 워시 335ml </t>
  </si>
  <si>
    <t>8-809427862367</t>
  </si>
  <si>
    <t>20180118-0000038_63370</t>
  </si>
  <si>
    <t>20180118-0000038-29</t>
  </si>
  <si>
    <t>20180118-0000038_63357</t>
  </si>
  <si>
    <t>20180118-0000038-16</t>
  </si>
  <si>
    <t>20180118-0000038_63356</t>
  </si>
  <si>
    <t>20180118-0000038-15</t>
  </si>
  <si>
    <t>MM086V06</t>
  </si>
  <si>
    <t>[마몽드] 오일샤인스틱 3.4g #6호 팝 핑크</t>
  </si>
  <si>
    <t>20180118-0000038_63368</t>
  </si>
  <si>
    <t>[Mamonde] Oil Shine Stick 3.4g #6 Pop Pink</t>
  </si>
  <si>
    <t>6호 팝 핑크</t>
  </si>
  <si>
    <t>20180118-0000038-27</t>
  </si>
  <si>
    <t>[마몽드] 오일샤인스틱 3.4g 6호 팝 핑크</t>
  </si>
  <si>
    <t>8-806390573702</t>
  </si>
  <si>
    <t>a-04-12</t>
  </si>
  <si>
    <t>FS1517V09</t>
  </si>
  <si>
    <t>[더페이스샵] 매트 터치 립스틱 4.3g #09 RD04 데빌레드</t>
  </si>
  <si>
    <t>20180118-0000038_63361</t>
  </si>
  <si>
    <t>[The Face Shop] Matt Touch Lipstick 4.3g #09 RD04</t>
  </si>
  <si>
    <t>09 RD04 데빌레드</t>
  </si>
  <si>
    <t>20180118-0000038-20</t>
  </si>
  <si>
    <t>[더페이스샵] 매트 터치 립스틱 4.3g 09 RD04 데빌레드</t>
  </si>
  <si>
    <t>8-806182545108</t>
  </si>
  <si>
    <t>b-42-11</t>
  </si>
  <si>
    <t>FS1517V04</t>
  </si>
  <si>
    <t>[더페이스샵] 매트 터치 립스틱 4.3g #04 PK02 핑크스완</t>
  </si>
  <si>
    <t>20180118-0000038_63360</t>
  </si>
  <si>
    <t>[The Face Shop] Matt Touch Lipstick 4.3g #04 PK02</t>
  </si>
  <si>
    <t>04 PK02 핑크스완</t>
  </si>
  <si>
    <t>20180118-0000038-19</t>
  </si>
  <si>
    <t>[더페이스샵] 매트 터치 립스틱 4.3g 04 PK02 핑크스완</t>
  </si>
  <si>
    <t>8-806182545054</t>
  </si>
  <si>
    <t>B-41-11</t>
  </si>
  <si>
    <t>20180118-0000038_63362</t>
  </si>
  <si>
    <t>20180118-0000038-21</t>
  </si>
  <si>
    <t>20180118-0000038_63369</t>
  </si>
  <si>
    <t>20180118-0000038-28</t>
  </si>
  <si>
    <t>NR1299V02</t>
  </si>
  <si>
    <t>[네이처리퍼블릭] 러브 미 버블 슈가 바디 스크럽 200g #02 그레이프후르츠</t>
  </si>
  <si>
    <t>20180118-0000038_63355</t>
  </si>
  <si>
    <t>[네이처리퍼블릭] 러브 미 버블 슈가 바디 스크럽 200g #02 그레이프후르츠 2017/12 신상</t>
  </si>
  <si>
    <t>[Nature Republic] Love Me Bubble Sugar Body Scrub 200g #02 Grape Fruits</t>
  </si>
  <si>
    <t>200g</t>
  </si>
  <si>
    <t>02 그레이프후르츠</t>
  </si>
  <si>
    <t>20180118-0000038-14</t>
  </si>
  <si>
    <t>[네이처리퍼블릭] 러브 미 버블 슈가 바디 스크럽 200g 02 그레이프후르츠</t>
  </si>
  <si>
    <t>8-806173443246</t>
  </si>
  <si>
    <t>B-40-10</t>
  </si>
  <si>
    <t>HR043V02</t>
  </si>
  <si>
    <t>[헤라] HD 퍼펙트 파운데이션 30ml #21호 내추럴 베이지</t>
  </si>
  <si>
    <t>20180118-0000048_63379</t>
  </si>
  <si>
    <t>[Hera] HD Perfect Foundation 30ml #21 Natural Beige</t>
  </si>
  <si>
    <t>21호 내추럴 베이지</t>
  </si>
  <si>
    <t>20180118-0000048-09</t>
  </si>
  <si>
    <t>[헤라] HD 퍼펙트 파운데이션 30ml 21호 내추럴 베이지</t>
  </si>
  <si>
    <t>8-801042792142</t>
  </si>
  <si>
    <t>20180118-0000048_63381</t>
  </si>
  <si>
    <t>20180118-0000048-11</t>
  </si>
  <si>
    <t>20180118-0000048_63373</t>
  </si>
  <si>
    <t>20180118-0000048-03</t>
  </si>
  <si>
    <t>20180118-0000048_63371</t>
  </si>
  <si>
    <t>20180118-0000048-01</t>
  </si>
  <si>
    <t>NR1299V01</t>
  </si>
  <si>
    <t>[네이처리퍼블릭] 러브 미 버블 슈가 바디 스크럽 200g #01 플로럴 부케</t>
  </si>
  <si>
    <t>20180118-0000048_63376</t>
  </si>
  <si>
    <t>[네이처리퍼블릭] 러브 미 버블 슈가 바디 스크럽 200g #01 플로럴 부케 2017/12 신상</t>
  </si>
  <si>
    <t>[Nature Republic] Love Me Bubble Sugar Body Scrub 200g #01 Floral Bouquet</t>
  </si>
  <si>
    <t>01 플로럴 부케</t>
  </si>
  <si>
    <t>20180118-0000048-06</t>
  </si>
  <si>
    <t>[네이처리퍼블릭] 러브 미 버블 슈가 바디 스크럽 200g 01 플로럴 부케</t>
  </si>
  <si>
    <t>8-806173443253</t>
  </si>
  <si>
    <t>A-34-12</t>
  </si>
  <si>
    <t>20180118-0000051_63397</t>
  </si>
  <si>
    <t>20180118-0000051-16</t>
  </si>
  <si>
    <t>AT321V02</t>
  </si>
  <si>
    <t>[한율] 비비크림 SPF 50+ PA+++ 40ml #02 은은한 베이지</t>
  </si>
  <si>
    <t>20180118-0000051_63382</t>
  </si>
  <si>
    <t>[Hanyul] BB cream SPF 50+ PA+++ 40ml #02 Beige</t>
  </si>
  <si>
    <t>#02 은은한 베이지</t>
  </si>
  <si>
    <t>20180118-0000051-01</t>
  </si>
  <si>
    <t>8-801042689909</t>
  </si>
  <si>
    <t>TM1307</t>
  </si>
  <si>
    <t>[토니모리] 프로클린 스모키 클렌징 크림 180ml</t>
  </si>
  <si>
    <t>20180118-0000051_63388</t>
  </si>
  <si>
    <t>[Tonymoly] Pro Clean Smoky Cleansing Cream 180ml</t>
  </si>
  <si>
    <t>20180118-0000051-07</t>
  </si>
  <si>
    <t xml:space="preserve">[토니모리] 프로클린 스모키 클렌징 크림 180ml </t>
  </si>
  <si>
    <t>8-806358568405</t>
  </si>
  <si>
    <t>A-20-06</t>
  </si>
  <si>
    <t>IS962V03</t>
  </si>
  <si>
    <t>[잇츠스킨] 생생 바디 로션 #03 허니</t>
  </si>
  <si>
    <t>20180118-0000051_63393</t>
  </si>
  <si>
    <t>[It's Skin] The Fresh Body Lotion #03 Honey</t>
  </si>
  <si>
    <t>03 허니</t>
  </si>
  <si>
    <t>20180118-0000051-12</t>
  </si>
  <si>
    <t>[잇츠스킨] 생생 바디 로션 03 허니</t>
  </si>
  <si>
    <t>8-809454022888</t>
  </si>
  <si>
    <t>IS962V02</t>
  </si>
  <si>
    <t>[잇츠스킨] 생생 바디 로션 #02 모히또</t>
  </si>
  <si>
    <t>20180118-0000051_63392</t>
  </si>
  <si>
    <t>[It's Skin] The Fresh Body Lotion #02 Mojito</t>
  </si>
  <si>
    <t>02 모히또</t>
  </si>
  <si>
    <t>20180118-0000051-11</t>
  </si>
  <si>
    <t>[잇츠스킨] 생생 바디 로션 02 모히또</t>
  </si>
  <si>
    <t>8-809454022901</t>
  </si>
  <si>
    <t>B-36-11</t>
  </si>
  <si>
    <t>20180118-0000051_63385</t>
  </si>
  <si>
    <t>20180118-0000051-04</t>
  </si>
  <si>
    <t>20180118-0000051_63399</t>
  </si>
  <si>
    <t>20180118-0000051-18</t>
  </si>
  <si>
    <t>20180118-0000051_63394</t>
  </si>
  <si>
    <t>20180118-0000051-13</t>
  </si>
  <si>
    <t>BY470V02</t>
  </si>
  <si>
    <t>[비욘드] 비욘드 피토 아쿠아 워터팩트 10g #2호</t>
  </si>
  <si>
    <t>20180118-0000051_63389</t>
  </si>
  <si>
    <t>[Beyond] Phyto Aqua Water Pact 10g #02</t>
  </si>
  <si>
    <t>2호</t>
  </si>
  <si>
    <t>20180118-0000051-08</t>
  </si>
  <si>
    <t>[비욘드] 비욘드 피토 아쿠아 워터팩트 10g 2호</t>
  </si>
  <si>
    <t>8-801051945706</t>
  </si>
  <si>
    <t>b-42-12</t>
  </si>
  <si>
    <t>20180118-0000051_63390</t>
  </si>
  <si>
    <t>20180118-0000051-09</t>
  </si>
  <si>
    <t>20180118-0000051_63391</t>
  </si>
  <si>
    <t>20180118-0000051-10</t>
  </si>
  <si>
    <t>20180118-0000051_63396</t>
  </si>
  <si>
    <t>20180118-0000051-15</t>
  </si>
  <si>
    <t>20180118-0000051_63383</t>
  </si>
  <si>
    <t>20180118-0000051-02</t>
  </si>
  <si>
    <t>TS476</t>
  </si>
  <si>
    <t>[더샘] 미네랄 옴므 화이트 토너 (New) 130ml</t>
  </si>
  <si>
    <t>20180118-0000051_63386</t>
  </si>
  <si>
    <t>[The Saem] Mineral Homme White Toner (New) 130ml</t>
  </si>
  <si>
    <t>130ml</t>
  </si>
  <si>
    <t>20180118-0000051-05</t>
  </si>
  <si>
    <t xml:space="preserve">[더샘] 미네랄 옴므 화이트 토너 (New) 130ml </t>
  </si>
  <si>
    <t>8-806164128169</t>
  </si>
  <si>
    <t>B-42-06</t>
  </si>
  <si>
    <t>IN1045V10</t>
  </si>
  <si>
    <t>2018-01-22 오후 4:32:00</t>
  </si>
  <si>
    <t>[이니스프리] 리얼핏 크리미 립스틱 3.3g #10호 이슬내린 달빛 코랄</t>
  </si>
  <si>
    <t>20180118-0000063_63402</t>
  </si>
  <si>
    <t>[이니스프리] 리얼핏 크리미 립스틱 3.5g #10호 이슬내린 달빛 코랄</t>
  </si>
  <si>
    <t>[Innisfree] Real Fit Creamy Lipstick #10</t>
  </si>
  <si>
    <t>10호 이슬내린 달빛 코랄</t>
  </si>
  <si>
    <t>2018-01-22 오후 4:32:09</t>
  </si>
  <si>
    <t>20180118-0000063-02</t>
  </si>
  <si>
    <t>[이니스프리] 리얼핏 크리미 립스틱 3.3g 10호 이슬내린 달빛 코랄</t>
  </si>
  <si>
    <t>8-806173537662</t>
  </si>
  <si>
    <t>A-08-15</t>
  </si>
  <si>
    <t>SF1150V01</t>
  </si>
  <si>
    <t>[스킨푸드] 청포도 프레시 베이스 30ml #01 청포도 피치</t>
  </si>
  <si>
    <t>20180118-0000063_63401</t>
  </si>
  <si>
    <t>[Skin Food] White Grape Fresh Base 30ml #01 White Grape Peach</t>
  </si>
  <si>
    <t>01 청포도 피치</t>
  </si>
  <si>
    <t>20180118-0000063-01</t>
  </si>
  <si>
    <t>[스킨푸드] 청포도 프레시 베이스 30ml 01 청포도 피치</t>
  </si>
  <si>
    <t>8-809511273703</t>
  </si>
  <si>
    <t>A-17-14</t>
  </si>
  <si>
    <t>SF1045</t>
  </si>
  <si>
    <t>[스킨푸드] 블랙슈가 퍼펙트 버블폼 200ml</t>
  </si>
  <si>
    <t>20180118-0000063_63407</t>
  </si>
  <si>
    <t>[Skin Food] Black Sugar Perfect Bubble Foam 200ml</t>
  </si>
  <si>
    <t>20180118-0000063-07</t>
  </si>
  <si>
    <t xml:space="preserve">[스킨푸드] 블랙슈가 퍼펙트 버블폼 200ml </t>
  </si>
  <si>
    <t>8-809427869359</t>
  </si>
  <si>
    <t>MS1127</t>
  </si>
  <si>
    <t>[미샤] 퍼프 샤워 클렌저 100ml</t>
  </si>
  <si>
    <t>20180118-0000063_63409</t>
  </si>
  <si>
    <t>[Missha] Puff Shower Cleanser 100ml</t>
  </si>
  <si>
    <t>20180118-0000063-09</t>
  </si>
  <si>
    <t xml:space="preserve">[미샤] 퍼프 샤워 클렌저 100ml </t>
  </si>
  <si>
    <t>8-806185795258</t>
  </si>
  <si>
    <t>Bath &amp; Body &gt; Other</t>
  </si>
  <si>
    <t>B-37-08</t>
  </si>
  <si>
    <t>20180118-0000063_63408</t>
  </si>
  <si>
    <t>20180118-0000063-08</t>
  </si>
  <si>
    <t>NR1221V02</t>
  </si>
  <si>
    <t>[네이처리퍼블릭] 보테니컬 크림 컨실러 15g #23 네추럴베이지</t>
  </si>
  <si>
    <t>20180118-0000063_63406</t>
  </si>
  <si>
    <t>[Nature Republic] Botanical Cream Concealer 15g #Natural Beige</t>
  </si>
  <si>
    <t>23 네추럴베이지</t>
  </si>
  <si>
    <t>20180118-0000063-06</t>
  </si>
  <si>
    <t>[네이처리퍼블릭] 보테니컬 크림 컨실러 15g 23 네추럴베이지</t>
  </si>
  <si>
    <t>8-806173439607</t>
  </si>
  <si>
    <t>A-05-13</t>
  </si>
  <si>
    <t>NR1147V01</t>
  </si>
  <si>
    <t>[네이처리퍼블릭] 멀티플 터치 스틱 파운데이션 8g #01 라이트 베이지</t>
  </si>
  <si>
    <t>20180118-0000063_63411</t>
  </si>
  <si>
    <t>[Nature Republic] Multiple Touch Stick Foundation (SPF37 PA++) 8g #01 Light Beige</t>
  </si>
  <si>
    <t>01 라이트 베이지</t>
  </si>
  <si>
    <t>20180118-0000063-11</t>
  </si>
  <si>
    <t>[네이처리퍼블릭] 멀티플 터치 스틱 파운데이션 8g 01 라이트 베이지</t>
  </si>
  <si>
    <t>8-806173434817</t>
  </si>
  <si>
    <t>b-43-10</t>
  </si>
  <si>
    <t>부족수량</t>
    <phoneticPr fontId="2" type="noConversion"/>
  </si>
  <si>
    <t>가재고</t>
    <phoneticPr fontId="2" type="noConversion"/>
  </si>
  <si>
    <t>피드백날짜</t>
  </si>
  <si>
    <t>현황</t>
  </si>
  <si>
    <t>수량</t>
  </si>
  <si>
    <t>입고예정일자</t>
  </si>
  <si>
    <t>타매장발주여부</t>
  </si>
  <si>
    <t>타매장발주일자</t>
  </si>
  <si>
    <t>비고</t>
  </si>
  <si>
    <t>CE006V03</t>
  </si>
  <si>
    <t>[3CE] 3CE 벨벳 립 틴트 4g #03 DAFFODIL</t>
  </si>
  <si>
    <t>일시품절</t>
    <phoneticPr fontId="2" type="noConversion"/>
  </si>
  <si>
    <t>CE006V01</t>
  </si>
  <si>
    <t>[3CE] 3CE 벨벳 립 틴트 4g #01 TAUPE</t>
  </si>
  <si>
    <t>CE006V02</t>
  </si>
  <si>
    <t>[3CE] 3CE 벨벳 립 틴트 4g #02 GOING RIGHT</t>
  </si>
  <si>
    <t>SE001</t>
  </si>
  <si>
    <t>[세크리스] 퓨어 네이쳐 마스크팩 세트 10개</t>
  </si>
  <si>
    <t>VD136V06</t>
  </si>
  <si>
    <t>[VDL] 엑스퍼트 컬러 립 큐브 SPF10 3.5g #301 나이트 오키드</t>
  </si>
  <si>
    <t>FS1518V02</t>
  </si>
  <si>
    <t>[더페이스샵] 멀티스틱 파운데이션 SPF45 PA++ 12g V203 내추럴베이지</t>
  </si>
  <si>
    <t>FS1728</t>
  </si>
  <si>
    <t>[더페이스샵] 아보카도 바디워시 300ml</t>
  </si>
  <si>
    <t>FS1679V02</t>
  </si>
  <si>
    <t>[더페이스샵] 잉크래스팅 파운데이션 슬림핏 30ml #N203 내추럴베이지</t>
  </si>
  <si>
    <t>FS1372</t>
  </si>
  <si>
    <t>[더페이스샵] 치아씨드 수분가득크림</t>
  </si>
  <si>
    <t>FS1589V01</t>
  </si>
  <si>
    <t>[더페이스샵] CC 롱래스팅 쿠션 (리필) #V103 퓨어 베이지</t>
  </si>
  <si>
    <t>품절</t>
    <phoneticPr fontId="2" type="noConversion"/>
  </si>
  <si>
    <t>FS1587V01</t>
  </si>
  <si>
    <t>[더페이스샵] CC 인텐스 커버 쿠션 SPF50+ PA+++ (리필) #V103 퓨어 베이지</t>
  </si>
  <si>
    <t>AP021</t>
  </si>
  <si>
    <t>[어퓨] 대용량 메이크업 스폰지</t>
  </si>
  <si>
    <t>AP454V02</t>
  </si>
  <si>
    <t>[어퓨] 리얼 빅 요구르트 한 병 21g #02 딸기</t>
  </si>
  <si>
    <t>AP195</t>
  </si>
  <si>
    <t>[어퓨] 데오 암핏 파우더</t>
  </si>
  <si>
    <t>AP454V01</t>
  </si>
  <si>
    <t>[어퓨] 리얼 빅 요구르트 한 병 21g #01 사과</t>
  </si>
  <si>
    <t>AP518V06</t>
  </si>
  <si>
    <t>[어퓨] 물광 틴트 4g #RD03 쌉싸름한장미</t>
  </si>
  <si>
    <t>AP471V01</t>
  </si>
  <si>
    <t>[어퓨] 스키니 브로우 펜슬 0.05g #01 다크브라운</t>
  </si>
  <si>
    <t>AP501V02</t>
  </si>
  <si>
    <t>[어퓨] 아이싱 스윗 바 시트 마스크 21g #02 수박</t>
  </si>
  <si>
    <t>AP501V03</t>
  </si>
  <si>
    <t>[어퓨] 아이싱 스윗 바 시트 마스크 21g #03 파인애플</t>
  </si>
  <si>
    <t>AP501V04</t>
  </si>
  <si>
    <t>[어퓨] 아이싱 스윗 바 시트 마스크 21g #04 한라봉</t>
  </si>
  <si>
    <t>AP351V02</t>
  </si>
  <si>
    <t>[어퓨] 아쿠아 필링 코튼 스왑 #마일드</t>
  </si>
  <si>
    <t>AP423V02</t>
  </si>
  <si>
    <t>[어퓨] 우유 한 팩 21g #02 딸기</t>
  </si>
  <si>
    <t>AP490V01</t>
  </si>
  <si>
    <t>[어퓨] 원더 텐션 팩트 (마데카소사이드) 13g #21</t>
  </si>
  <si>
    <t>AP500</t>
  </si>
  <si>
    <t>[어퓨] 파워블록 톤업 선쿠션 SPF50+ PA++++ 14g</t>
  </si>
  <si>
    <t>AP065</t>
  </si>
  <si>
    <t>[어퓨] 포켓걸 미니 브러쉬</t>
  </si>
  <si>
    <t>NR1043V02</t>
  </si>
  <si>
    <t>[네이처리퍼블릭] 배쓰 앤 네이처 바디 워시 250ml #02 피치</t>
  </si>
  <si>
    <t>NR1193V01</t>
  </si>
  <si>
    <t>[네이처리퍼블릭] 바이플라워 트리플 무스 틴트 4.5g #01 레드무스</t>
  </si>
  <si>
    <t>NR1134</t>
  </si>
  <si>
    <t>[네이처리퍼블릭] 진생 로얄 실크 부스팅 앰플 30ml</t>
  </si>
  <si>
    <t>NR1098V02</t>
  </si>
  <si>
    <t>[네이처리퍼블릭] 키스 마이 립 오일 #02 라즈베리</t>
  </si>
  <si>
    <t>NR1142</t>
  </si>
  <si>
    <t>[네이처리퍼블릭] 허브 블렌딩 에멀전 150ml</t>
  </si>
  <si>
    <t>NR1144</t>
  </si>
  <si>
    <t>[네이처리퍼블릭] 허브 블렌딩 크림 50ml</t>
  </si>
  <si>
    <t>[미샤] [M] 매직 쿠션 모이스처 SPF50+/ PA+++ 15g #21호</t>
    <phoneticPr fontId="2" type="noConversion"/>
  </si>
  <si>
    <t>MS112</t>
  </si>
  <si>
    <t>[미샤] 더 스타일 3D 마스카라</t>
  </si>
  <si>
    <t>지연취소</t>
    <phoneticPr fontId="2" type="noConversion"/>
  </si>
  <si>
    <t>MS567</t>
  </si>
  <si>
    <t>[미샤] 더 스타일 리퀴드 샤프 아이라이너 블랙</t>
  </si>
  <si>
    <t>MS102</t>
  </si>
  <si>
    <t>[미샤] 더 스타일 언더아이 브라이트너 2호 내추럴베이지</t>
  </si>
  <si>
    <t>MS1000</t>
  </si>
  <si>
    <t>[미샤] 로토루아 스파 머드 [팩 클렌저]</t>
  </si>
  <si>
    <t>MS836V08</t>
  </si>
  <si>
    <t>[미샤] 리얼 솔루션 텐셀 시트 마스크 25g #모공관리</t>
  </si>
  <si>
    <t>MS1063</t>
  </si>
  <si>
    <t>[미샤] 리프레시 올인원 트리트먼트 에센스크림 100ml</t>
  </si>
  <si>
    <t>MS1064V03</t>
  </si>
  <si>
    <t>[미샤] 모던 섀도우 #03 MBR07 허니 포테이토</t>
  </si>
  <si>
    <t>MS1061</t>
  </si>
  <si>
    <t>[미샤] 브라운 슈가 페이셜 스크럽 120g</t>
  </si>
  <si>
    <t>MS1331</t>
  </si>
  <si>
    <t>[미샤] 셀프 네일 살롱 프렌치 스티커</t>
  </si>
  <si>
    <t>MS1213</t>
  </si>
  <si>
    <t>[미샤] 수퍼 아쿠아 미니 포어 3-STEP 노우즈 패치</t>
  </si>
  <si>
    <t>MS1214</t>
  </si>
  <si>
    <t>[미샤] 수퍼 아쿠아 미니 포어 타이트닝 토너 250ml</t>
  </si>
  <si>
    <t>MS1235</t>
  </si>
  <si>
    <t>[미샤] 수퍼 아쿠아 오일 클리어 클렌징 폼 150ml</t>
  </si>
  <si>
    <t>MS991</t>
  </si>
  <si>
    <t>[미샤] 수퍼 아쿠아 퍼펙트 클렌징 워터 인 티슈</t>
  </si>
  <si>
    <t>MS1009</t>
  </si>
  <si>
    <t>[미샤] 스피디 솔루션 [팔자 라인 패치]</t>
  </si>
  <si>
    <t>MS1039V01</t>
  </si>
  <si>
    <t>[미샤] 아쿠아 커버 파운데이션 SPF20 PA++ #13호</t>
  </si>
  <si>
    <t>MS1314</t>
  </si>
  <si>
    <t>[미샤] 엠보싱 화장솜 (270p)</t>
  </si>
  <si>
    <t>MS977V02</t>
  </si>
  <si>
    <t>[미샤] 오버 렝스닝 마스카라 #02 스완 래쉬</t>
  </si>
  <si>
    <t>MS1243</t>
  </si>
  <si>
    <t>[미샤] 올 어라운드 세이프 블록 레포츠 선 밀크 포맨 SPF50+ / PA++++ 70ml</t>
  </si>
  <si>
    <t>MS1255</t>
  </si>
  <si>
    <t>[미샤] 올 어라운드 세이프 블록 소프트 피니쉬 선밀크 SPF50+ PA+++ 40ml</t>
  </si>
  <si>
    <t>MS1230</t>
  </si>
  <si>
    <t>[미샤] 올 어라운드 세이프 블록 에센스 선 SPF45/PA+++ 50ml</t>
  </si>
  <si>
    <t>MS1239</t>
  </si>
  <si>
    <t>[미샤] 올 어라운드 세이프 블록 토탈 모이스춰 선 젤 SPF50+/PA+++ 200ml</t>
  </si>
  <si>
    <t>MS936</t>
  </si>
  <si>
    <t>[미샤] 카렌듈라 딥 클렌징 오일</t>
  </si>
  <si>
    <t>MS1293V01</t>
  </si>
  <si>
    <t>[미샤] 커버 프라임 스틱 컨실러 0.9g #17 피치</t>
  </si>
  <si>
    <t>HK121V01</t>
  </si>
  <si>
    <t>[홀리카홀리카] 꿀피부 슬리핑팩 ＃ 블루베리 꿀</t>
  </si>
  <si>
    <t>HK393V01</t>
  </si>
  <si>
    <t>[홀리카홀리카] 네이키드 페이스 커버링 비비 (SPF50+ PA+++) 40ml #21.5호 네이키드 베이지</t>
  </si>
  <si>
    <t>HK638</t>
  </si>
  <si>
    <t>[홀리카홀리카] 데일리 프레시 립앤아이 리무버 100ml</t>
  </si>
  <si>
    <t>HK473V01</t>
  </si>
  <si>
    <t>[홀리카홀리카] 디저트 타임 립밤 New 6g #01 레드 컵케익</t>
  </si>
  <si>
    <t>HK388V02</t>
  </si>
  <si>
    <t>[홀리카홀리카] 마술봉 마스카라 2X 9ml #02 롱 앤 컬</t>
  </si>
  <si>
    <t>HK389V01</t>
  </si>
  <si>
    <t>[홀리카홀리카] 마술봉 마스카라(워터프루프) 2X 9ml #03 볼륨 앤 컬</t>
  </si>
  <si>
    <t>HK637V03</t>
  </si>
  <si>
    <t>[홀리카홀리카] 스팟 밴드 패치 #03 V존</t>
  </si>
  <si>
    <t>HK705V03</t>
  </si>
  <si>
    <t>[홀리카홀리카] 아이 메탈 글리터 3.5g #03 번트오렌지</t>
  </si>
  <si>
    <t>HK002V02</t>
  </si>
  <si>
    <t>[홀리카홀리카] 아쿠아 쁘띠 젤리 비비 SPF20 PA++ 2호</t>
  </si>
  <si>
    <t>입고예정</t>
    <phoneticPr fontId="2" type="noConversion"/>
  </si>
  <si>
    <t>HK607</t>
  </si>
  <si>
    <t>[홀리카홀리카] 아쿠아 쁘띠 젤리 스타터 40ml</t>
  </si>
  <si>
    <t>HK625V03</t>
  </si>
  <si>
    <t>[홀리카홀리카] 원더드로잉 쿠션톡 틴트 브로우 1.8g 3호 애쉬 그레이</t>
  </si>
  <si>
    <t>HK606</t>
  </si>
  <si>
    <t>[홀리카홀리카] 페더리 미니 앵글 브러쉬</t>
  </si>
  <si>
    <t>HK142</t>
  </si>
  <si>
    <t>[홀리카홀리카] 페이스 2 체인지 스무딩 프라이머</t>
  </si>
  <si>
    <t>HK151</t>
  </si>
  <si>
    <t>[홀리카홀리카] 프라임 미라클 스네일 비비크림</t>
  </si>
  <si>
    <t>HK485V01</t>
  </si>
  <si>
    <t>[홀리카홀리카] 프로:뷰티 블러디 오일틴트 4ml RD801 블러디 뱀파이어</t>
  </si>
  <si>
    <t>HK662V03</t>
  </si>
  <si>
    <t>[홀리카홀리카] 홀리팝 비비크림 30ml #03 블링블링</t>
  </si>
  <si>
    <t>HK660V02</t>
  </si>
  <si>
    <t>[홀리카홀리카] 홀리팝 코렉팅 바 4g #02 민트스틱</t>
  </si>
  <si>
    <t>LN122</t>
  </si>
  <si>
    <t>[샘플][라네즈] 타임프리즈 퍼밍 슬리핑 마스크 (파우치)</t>
  </si>
  <si>
    <t>AT035</t>
  </si>
  <si>
    <t>[라네즈] 립&amp;아이리무버 (워터프루프)</t>
  </si>
  <si>
    <t>LN137</t>
  </si>
  <si>
    <t>[라네즈] 아이 슬리핑 마스크 25ml</t>
  </si>
  <si>
    <t>LN149</t>
  </si>
  <si>
    <t>[샘플][라네즈] 클리어씨 필링 세럼(파우치)</t>
    <phoneticPr fontId="2" type="noConversion"/>
  </si>
  <si>
    <t>MM110V11</t>
  </si>
  <si>
    <t>[마몽드] 크리미 틴트 컬러 밤 인텐스 2.5g #11호 벨벳레드</t>
  </si>
  <si>
    <t>MM110V16</t>
  </si>
  <si>
    <t>[마몽드] 크리미 틴트 컬러 밤 인텐스 2.5g #16호 매트팝오렌지</t>
  </si>
  <si>
    <t>MM110V18</t>
  </si>
  <si>
    <t>[마몽드] 크리미 틴트 컬러 밤 인텐스 2.5g #18호 라이트업</t>
  </si>
  <si>
    <t>MM110V01</t>
  </si>
  <si>
    <t>[마몽드] 크리미 틴트 컬러 밤 인텐스 2.5g #1호 부케누디</t>
  </si>
  <si>
    <t>MM134V03</t>
  </si>
  <si>
    <t>[마몽드] 플라워팝 아이브릭 2.3g x 4 #03 버건디팬지</t>
  </si>
  <si>
    <t>AT661V01</t>
  </si>
  <si>
    <t>[아리따움] 리얼퓨어 더 맑은 클렌징폼 #01 수분촉촉</t>
  </si>
  <si>
    <t>AT004</t>
  </si>
  <si>
    <t>[아리따움] 모디 네일 매트탑코트 10ml</t>
  </si>
  <si>
    <t>AT738V02</t>
  </si>
  <si>
    <t>[아리따움] 아이돌 래쉬 #2호 쁘띠볼륨</t>
  </si>
  <si>
    <t>AT668V01</t>
  </si>
  <si>
    <t>[아리따움] 아이돌 브러쉬라이너 #01 블랙</t>
  </si>
  <si>
    <t>AT737V08</t>
  </si>
  <si>
    <t>[아리따움] 원더 스테이 스틱 틴트 4.2g #8 체리 코크</t>
  </si>
  <si>
    <t>AT617</t>
  </si>
  <si>
    <t>[아리따움] 프레시 파워 에센스 마스크 - 알로에 20ml</t>
  </si>
  <si>
    <t>AT620</t>
  </si>
  <si>
    <t>[아리따움] 프레시 파워 에센스 마스크 - 콜라겐 20ml</t>
  </si>
  <si>
    <t>AT660V10</t>
  </si>
  <si>
    <t>[아리따움] 프레시 파워 에센스 파우치 팩 #10 대나무숯</t>
  </si>
  <si>
    <t>IP049</t>
  </si>
  <si>
    <t>[아이오페] 맨 바이오 에센스 인텐시브 컨디셔닝 145ml</t>
  </si>
  <si>
    <t>IP095V02</t>
  </si>
  <si>
    <t>[아이오페] 맨 에어쿠션 16g #어두운 피부톤</t>
  </si>
  <si>
    <t>AT397</t>
  </si>
  <si>
    <t>[아이오페] 맨 UV쉴드 선 프로텍터 SPF50+ PA+++ 50ml</t>
  </si>
  <si>
    <t>IP034</t>
  </si>
  <si>
    <t>[아이오페] 바이오 하이드로 크림</t>
  </si>
  <si>
    <t>IP032</t>
  </si>
  <si>
    <t>[아이오페] 아이디얼 소프트 클렌징 밀크</t>
  </si>
  <si>
    <t>EH1410V09</t>
  </si>
  <si>
    <t>[에뛰드하우스] 트윈샷 립스 틴트 NEW #PK002 이너x피스샷</t>
  </si>
  <si>
    <t>EH1395V16</t>
  </si>
  <si>
    <t>[에뛰드하우스] 0.2 테라피 에어 마스크 #16 카렌듈라</t>
  </si>
  <si>
    <t>EH1395V17</t>
  </si>
  <si>
    <t>[에뛰드하우스] 0.2 테라피 에어 마스크 #17 아르간</t>
  </si>
  <si>
    <t>EH1395V18</t>
  </si>
  <si>
    <t>[에뛰드하우스] 0.2 테라피 에어 마스크 #18 동백</t>
  </si>
  <si>
    <t>EH1395V19</t>
  </si>
  <si>
    <t>[에뛰드하우스] 0.2 테라피 에어 마스크 #19 올리브</t>
  </si>
  <si>
    <t>EH1255</t>
  </si>
  <si>
    <t>[에뛰드하우스] 24K 골드 테라피 콜라겐 아이 패치 [탄력] 1.4gx60Sheet</t>
  </si>
  <si>
    <t>EH1605V12</t>
  </si>
  <si>
    <t>[에뛰드하우스] 글라스 틴팅 립스 톡 케이스 #12 알약팩토리</t>
  </si>
  <si>
    <t>EH1605V13</t>
  </si>
  <si>
    <t>[에뛰드하우스] 글라스 틴팅 립스 톡 케이스 #13 젠틀라이프</t>
  </si>
  <si>
    <t>EH1605V14</t>
  </si>
  <si>
    <t>[에뛰드하우스] 글라스 틴팅 립스 톡 케이스 #14 나와라깨비</t>
  </si>
  <si>
    <t>EH1605V17</t>
  </si>
  <si>
    <t>[에뛰드하우스] 글라스 틴팅 립스 톡 케이스 #17 허그앤키스</t>
  </si>
  <si>
    <t>EH1605V02</t>
  </si>
  <si>
    <t>[에뛰드하우스] 글라스 틴팅 립스 톡 케이스 #2 바싹감튀</t>
  </si>
  <si>
    <t>EH1606V07</t>
  </si>
  <si>
    <t>[에뛰드하우스] 데싱디바 매직 프레스 #7호 여리여리 베이지</t>
  </si>
  <si>
    <t>수량부족</t>
    <phoneticPr fontId="2" type="noConversion"/>
  </si>
  <si>
    <t>EH269V08</t>
  </si>
  <si>
    <t>[에뛰드하우스] 룩 앳 마이 아이즈 카페 BR403 카라멜라떼</t>
  </si>
  <si>
    <t>EH1216</t>
  </si>
  <si>
    <t>[에뛰드하우스] 마이뷰티툴 눈썹 수정칼 1P (색상랜덤)</t>
  </si>
  <si>
    <t>EH1576</t>
  </si>
  <si>
    <t>[에뛰드하우스] 마이뷰티툴 브라우 커팅 가위</t>
  </si>
  <si>
    <t>EH1047</t>
  </si>
  <si>
    <t>[에뛰드하우스] 마이뷰티툴 브러쉬 352 브라우 스크류</t>
  </si>
  <si>
    <t>EH1217</t>
  </si>
  <si>
    <t>[에뛰드하우스] 마이뷰티툴 족집게</t>
  </si>
  <si>
    <t>EH1311V03</t>
  </si>
  <si>
    <t>[에뛰드하우스] 베리 딜리셔스 컬러 인 리퀴드 립스 #28호 베리 오렌지 드링크</t>
  </si>
  <si>
    <t>EH315V02</t>
  </si>
  <si>
    <t>[에뛰드하우스] 소프트 터치 오토 립 라이너 AD 2호 핑크 베이지</t>
  </si>
  <si>
    <t>EH315V03</t>
  </si>
  <si>
    <t>[에뛰드하우스] 소프트 터치 오토 립 라이너 AD 3호 밀키 브라운</t>
  </si>
  <si>
    <t>EH1613</t>
  </si>
  <si>
    <t>[에뛰드하우스] 순정 판텐소사이드 5 시카 밤 15ml</t>
  </si>
  <si>
    <t>EH1628V02</t>
  </si>
  <si>
    <t>[에뛰드하우스] 슈퍼 슬림 프루프 펜슬 라이너 0.08g #02 그윽한 브라운</t>
  </si>
  <si>
    <t>EH1636V06</t>
  </si>
  <si>
    <t>[에뛰드하우스] 애니 쿠션 올데이 퍼펙트 (리필) SPF50+ PA+++ 14g #23 탠</t>
  </si>
  <si>
    <t>EH116V03</t>
  </si>
  <si>
    <t>[에뛰드하우스] 오 마이 라인 AD 3호 오마이 브라운</t>
  </si>
  <si>
    <t>EH1381</t>
  </si>
  <si>
    <t>[에뛰드하우스] 제로피지 클리어링 파우더 토너</t>
  </si>
  <si>
    <t>EH1665V04</t>
  </si>
  <si>
    <t>[에뛰드하우스] 캐시미어 핏 아이즈 2g #BR402 마카다미아 토스트</t>
  </si>
  <si>
    <t>EH1431V01</t>
  </si>
  <si>
    <t>[에뛰드하우스] 플레이 101 블렌딩 펜슬 #1호 쥬얼</t>
  </si>
  <si>
    <t>EH1490V02</t>
  </si>
  <si>
    <t>[에뛰드하우스] 플레이 네일 NEW &amp; 글리터 8ml #4호 홀로여신</t>
  </si>
  <si>
    <t>EH1362</t>
  </si>
  <si>
    <t>[에뛰드하우스] AC 클린업 리퀴드 패치</t>
  </si>
  <si>
    <t>EH1369</t>
  </si>
  <si>
    <t>[에뛰드하우스] AC 클린업 시트 마스크</t>
  </si>
  <si>
    <t>DJ025</t>
  </si>
  <si>
    <t>[닥터자르트] 더마스크 마이크로젯 클리어링 솔루션 5매입</t>
  </si>
  <si>
    <t>확인 후 지우기</t>
    <phoneticPr fontId="2" type="noConversion"/>
  </si>
  <si>
    <t>MH002</t>
  </si>
  <si>
    <t>[메디힐] 프리미엄 PDF AC-디펜스 누드 겔 마스크 30g * 10ea</t>
  </si>
  <si>
    <t>SY037</t>
  </si>
  <si>
    <t>[시크릿키] 블랙 아웃 포어 클린 토너 250ml</t>
  </si>
  <si>
    <t>SY004</t>
  </si>
  <si>
    <t>[시크릿키] 스네일 리페어링 젤 크림 50g</t>
  </si>
  <si>
    <t>SY016</t>
  </si>
  <si>
    <t>[시크릿키] 스네일+EGF 리페어링 에센스 60ml</t>
  </si>
  <si>
    <t>LO011V02</t>
  </si>
  <si>
    <t>[라비오뜨] 샤또 라비오뜨 와인 립 틴트 7g #02 OR01 샤르도네오렌지</t>
  </si>
  <si>
    <t>주문예정</t>
    <phoneticPr fontId="2" type="noConversion"/>
  </si>
  <si>
    <t>LO011V04</t>
  </si>
  <si>
    <t>[라비오뜨] 샤또 라비오뜨 와인 립 틴트 7g #04 RD01 쉬라즈레드</t>
  </si>
  <si>
    <t>LO012V08</t>
  </si>
  <si>
    <t>[라비오뜨] 샤또 라비오뜨 와인 립스틱 (멜팅) 3.7g #08 RD01 그르나슈레드</t>
  </si>
  <si>
    <t>SY196</t>
  </si>
  <si>
    <t>[시크릿키] 라쿠니_핑크 라쿠니 하이드로 겔 아이 &amp; 볼 패치 30세트(60패치)</t>
  </si>
  <si>
    <t>SY199</t>
  </si>
  <si>
    <t>[시크릿키] 로즈워터 오일 클리어 파우더 5g</t>
  </si>
  <si>
    <t>SY175</t>
  </si>
  <si>
    <t>[시크릿키] 블랙 아웃 포어 3스텝 코팩 1pcs</t>
  </si>
  <si>
    <t>SY015</t>
  </si>
  <si>
    <t>[시크릿키] 스네일+EGF 리페어링 크림 50g</t>
  </si>
  <si>
    <t>SY044</t>
  </si>
  <si>
    <t>[시크릿키] 스네일+EGF 리페어링 폼 클렌저 100ml</t>
  </si>
  <si>
    <t>SY178V01</t>
  </si>
  <si>
    <t>[시크릿키] 스윗 글램 투톤 글로우 3.5g #01 시크 레드(투톤 시크 레드)</t>
  </si>
  <si>
    <t>SY178V05</t>
  </si>
  <si>
    <t>[시크릿키] 스윗 글램 투톤 글로우 3.5g #05 말린 장미(투톤 말린 장미)</t>
  </si>
  <si>
    <t>SY180V01</t>
  </si>
  <si>
    <t>[시크릿키] 타투 커버 쿠션 (핑크에디션) 14g #21 라이트 베이지</t>
  </si>
  <si>
    <t>EZ049</t>
  </si>
  <si>
    <t>[엘리자베카] 실키 크리미 덩키 스팀 크림 모이스쳐 밀키 크림 100ml</t>
  </si>
  <si>
    <t>CS037</t>
  </si>
  <si>
    <t>[샘플][코스알엑스] 꿀잠팩 1.2ml</t>
  </si>
  <si>
    <t>CS60</t>
  </si>
  <si>
    <t>[코스알엑스] TU 포인트 위클리 타올 1개</t>
  </si>
  <si>
    <t>TW001</t>
  </si>
  <si>
    <t>[토소웅] 더블 이펙트 포어 알엑스 타이트닝 세럼 (미백+주름개선 2중 기능성) 30ml</t>
  </si>
  <si>
    <t>TW078</t>
  </si>
  <si>
    <t>[토소웅] 세븐데이즈 아이브로우 0.8g</t>
  </si>
  <si>
    <t>TW087</t>
  </si>
  <si>
    <t>[토소웅] 핑크 캔디쿠션 리필 15g</t>
  </si>
  <si>
    <t>HM003</t>
  </si>
  <si>
    <t>[헤이미쉬] 데일리즘 아이 팔레트 러브썸 브링크 7.5g</t>
  </si>
  <si>
    <t>SH014</t>
  </si>
  <si>
    <t>[샘플][설화수] 탄력 크림</t>
  </si>
  <si>
    <t>SH012</t>
  </si>
  <si>
    <t>[샘플][설화수] 진설 아이크림</t>
  </si>
  <si>
    <t>SH093V02</t>
  </si>
  <si>
    <t>[설화수] 에센셜 립세럼 스틱 #02호 블라썸 세럼</t>
  </si>
  <si>
    <t>SH152V02</t>
  </si>
  <si>
    <t>[설화수] 퍼펙팅쿠션 SPF50+/PA+++ 15g+15g #21 내추럴(핑크)</t>
  </si>
  <si>
    <t>SM117</t>
  </si>
  <si>
    <t>[숨37도] 브라이트 어워드 버블-디 마스크 블랙 100ml</t>
  </si>
  <si>
    <t>SM019</t>
  </si>
  <si>
    <t>[숨37도] 시크릿 리페어 컨센트레이티드 크림</t>
  </si>
  <si>
    <t>HR175</t>
  </si>
  <si>
    <t>[헤라] 아쿠아볼릭 슬리핑 마스크 80ml</t>
  </si>
  <si>
    <t>HR172</t>
  </si>
  <si>
    <t>[헤라] 아쿠아볼릭 에센셜 에멀젼 120ml</t>
  </si>
  <si>
    <t>HR171</t>
  </si>
  <si>
    <t>[헤라] 아쿠아볼릭 에센셜 워터 150ml</t>
  </si>
  <si>
    <t>HR128V08</t>
  </si>
  <si>
    <t>[헤라] NEW UV 미스트 쿠션 SPF50+ PA+++ (리필) #누드 25호 엠버</t>
  </si>
  <si>
    <t>IN1127</t>
  </si>
  <si>
    <t>[이니스프리] 제주한란 아이크림 30ml</t>
  </si>
  <si>
    <t>IN808</t>
  </si>
  <si>
    <t>[이니스프리] 그린 티 모이스처 클렌징 오일 150ml</t>
  </si>
  <si>
    <t>IN745</t>
  </si>
  <si>
    <t>[이니스프리] 그린티 모이스처 에센스 50ml</t>
  </si>
  <si>
    <t>IN528</t>
  </si>
  <si>
    <t>[이니스프리] 그린티 민트 프레시 샴푸 300ml</t>
  </si>
  <si>
    <t>IN534</t>
  </si>
  <si>
    <t>[이니스프리] 그린티 민트 프레시 스칼프 컨디셔너 200ml</t>
  </si>
  <si>
    <t>IN1257</t>
  </si>
  <si>
    <t>[이니스프리] 그린티 밸런싱 로션 160ml</t>
  </si>
  <si>
    <t>IN1134</t>
  </si>
  <si>
    <t>[이니스프리] 그린티 퓨어 바디 스크럽 150ml</t>
  </si>
  <si>
    <t>IN751</t>
  </si>
  <si>
    <t>[이니스프리] 그린티 프레시 크림 50ml</t>
  </si>
  <si>
    <t>IN916V03</t>
  </si>
  <si>
    <t>[이니스프리] 납작 아이브로우 펜슬(AD) #꿈꾸는 새벽녘 그레이</t>
  </si>
  <si>
    <t>IN916V04</t>
  </si>
  <si>
    <t>[이니스프리] 납작 아이브로우 펜슬(AD) #새벽 이슬 애쉬 브라운</t>
  </si>
  <si>
    <t>IN1081</t>
  </si>
  <si>
    <t>[이니스프리] 네일 탑 코트 6ml</t>
  </si>
  <si>
    <t>IN040</t>
  </si>
  <si>
    <t>[이니스프리] 노세범 미네랄 파우더</t>
  </si>
  <si>
    <t>IN787</t>
  </si>
  <si>
    <t>[이니스프리] 노세범 블러 파우더 5g</t>
  </si>
  <si>
    <t>IN786</t>
  </si>
  <si>
    <t>[이니스프리] 노세범 블러 팩트 8.5g</t>
  </si>
  <si>
    <t>IN1136</t>
  </si>
  <si>
    <t>[이니스프리] 더 그린티 씨드 세럼 80ml</t>
  </si>
  <si>
    <t>IN1015V42</t>
  </si>
  <si>
    <t>[이니스프리] 리얼 컬러 네일 #42호 발레토 슈즈</t>
  </si>
  <si>
    <t>IN1254V02</t>
  </si>
  <si>
    <t>[이니스프리] 마이팔레트 마이 아이브로우 2.4g #02 고요한 오솔길</t>
  </si>
  <si>
    <t>IN600</t>
  </si>
  <si>
    <t>[이니스프리] 미니 포켓 브러쉬</t>
  </si>
  <si>
    <t>IN1210</t>
  </si>
  <si>
    <t>[이니스프리] 뷰티툴 공용기_캡 2P 30ml</t>
  </si>
  <si>
    <t>IN1211</t>
  </si>
  <si>
    <t>[이니스프리] 뷰티툴 공용기_펌프 30ml</t>
  </si>
  <si>
    <t>IN1190</t>
  </si>
  <si>
    <t>[이니스프리] 뷰티툴 압출기 1P</t>
  </si>
  <si>
    <t>IN1180</t>
  </si>
  <si>
    <t>[이니스프리] 뷰티툴 오일 컨트롤 필름 50매</t>
  </si>
  <si>
    <t>IN1092</t>
  </si>
  <si>
    <t>[이니스프리] 뷰티툴 일반 화장솜 80매</t>
  </si>
  <si>
    <t>IN1176</t>
  </si>
  <si>
    <t>[이니스프리] 뷰티툴 화산송이 곤약 클렌징 스펀지 1P</t>
  </si>
  <si>
    <t>IN1085</t>
    <phoneticPr fontId="2" type="noConversion"/>
  </si>
  <si>
    <t>[이니스프리] 블랙 그린티 크림 60ml</t>
    <phoneticPr fontId="2" type="noConversion"/>
  </si>
  <si>
    <t>IN1117V03</t>
  </si>
  <si>
    <t>[이니스프리] 세컨드 스킨 마스크 20g #03 브라이트닝</t>
  </si>
  <si>
    <t>IN1316</t>
  </si>
  <si>
    <t>[이니스프리] 슈퍼푸드_무화과 브라이트닝 스킨 150mL</t>
  </si>
  <si>
    <t>IN1290V02</t>
  </si>
  <si>
    <t>[이니스프리] 스마트 드로잉 [컬러 코렉팅] SPF26 PA++ 12ml #02 바닐라그린</t>
  </si>
  <si>
    <t>IN1290V03</t>
  </si>
  <si>
    <t>[이니스프리] 스마트 드로잉 [컬러 코렉팅] SPF26 PA++ 12ml #03 크림퍼플</t>
  </si>
  <si>
    <t>IN1027</t>
  </si>
  <si>
    <t>[이니스프리] 스키니 픽서카라</t>
  </si>
  <si>
    <t>IN1119V05</t>
  </si>
  <si>
    <t>[이니스프리] 아이 컨투어링 스틱 엣지 2.3g #05 사르르생초콜릿</t>
  </si>
  <si>
    <t>IN1058</t>
  </si>
  <si>
    <t>[이니스프리] 애플 씨드 딥 클렌징 폼 150ml</t>
  </si>
  <si>
    <t>IN1048</t>
  </si>
  <si>
    <t>[이니스프리] 애플 씨드 클렌징 오일 150ml</t>
  </si>
  <si>
    <t>IN1263V02</t>
  </si>
  <si>
    <t>[이니스프리] 에코 내추럴 그린티 비비크림 SPF29 PA++ 40ml #2호 내추럴 촉촉 피부</t>
  </si>
  <si>
    <t>IN401</t>
  </si>
  <si>
    <t>[이니스프리] 에코 네일 리무버</t>
  </si>
  <si>
    <t>IN943</t>
  </si>
  <si>
    <t>[이니스프리] 에코 패들 헤어 브러쉬</t>
  </si>
  <si>
    <t>IN1310</t>
  </si>
  <si>
    <t>[이니스프리] 올리브 리얼 스킨 Ex 200ml</t>
  </si>
  <si>
    <t>IN1104</t>
  </si>
  <si>
    <t>[이니스프리] 올리브 리얼 클렌징 폼 150ml</t>
  </si>
  <si>
    <t>IN905</t>
  </si>
  <si>
    <t>[이니스프리] 퍼펙트9 리페어 아이크림</t>
  </si>
  <si>
    <t>IN1346</t>
  </si>
  <si>
    <t>[이니스프리] 한란 아이크림 30ml</t>
  </si>
  <si>
    <t>IN1343</t>
  </si>
  <si>
    <t>[이니스프리] 한란 인리치드 크림 50ml</t>
  </si>
  <si>
    <t>IN1341</t>
  </si>
  <si>
    <t>[이니스프리] 한란 젤 크림 50ml</t>
  </si>
  <si>
    <t>IN733</t>
  </si>
  <si>
    <t>[이니스프리] 화산송이 블랙헤드 3스텝 시트</t>
  </si>
  <si>
    <t>BC611V01</t>
  </si>
  <si>
    <t>[바닐라코] 브이브이 바운싱 쿠션 15g(리필) #BE10</t>
  </si>
  <si>
    <t>BC470</t>
  </si>
  <si>
    <t>[바닐라코] 서울 폭스테일 워터프루프 마스카라</t>
  </si>
  <si>
    <t>BC574V01</t>
  </si>
  <si>
    <t>[바닐라코] 치어 그라데이션 치크 9.2g #OR01 퓨어 피치</t>
  </si>
  <si>
    <t>BC574V02</t>
  </si>
  <si>
    <t>[바닐라코] 치어 그라데이션 치크 9.2g #RD01 옐로우 로즈</t>
  </si>
  <si>
    <t>BC165V02</t>
  </si>
  <si>
    <t>[바닐라코] 클린 잇 제로 ＃ 레스베라트롤 100ml</t>
  </si>
  <si>
    <t>TM1124V05</t>
  </si>
  <si>
    <t>[토니모리] 러블리 아이브로우 펜슬 2mm/25mm 5호 블랙 브라운</t>
  </si>
  <si>
    <t>TM1261V02</t>
  </si>
  <si>
    <t>[토니모리] 마스터랩 마스크시트 #02 달팽이 뮤신</t>
  </si>
  <si>
    <t>TM1261V04</t>
  </si>
  <si>
    <t>[토니모리] 마스터랩 마스크시트 #04 비타민</t>
  </si>
  <si>
    <t>TM1475</t>
  </si>
  <si>
    <t>[토니모리] 바디 위드 모이스처 바디 로션 300ml</t>
  </si>
  <si>
    <t>TM1356</t>
  </si>
  <si>
    <t>[토니모리] 바디 위드 모이스처 바디 스크럽 150ml</t>
  </si>
  <si>
    <t>TM022</t>
  </si>
  <si>
    <t>[토니모리] 에그포어 실키 스무드 밤</t>
  </si>
  <si>
    <t>TM1491V01</t>
  </si>
  <si>
    <t>[토니모리] 잉크드 라스팅 마스카라 8g #01 볼륨</t>
  </si>
  <si>
    <t>TM1490V03</t>
  </si>
  <si>
    <t>[토니모리] 잉크드 컬러링 브로우 4g #03 다크 브라운</t>
  </si>
  <si>
    <t>TM1169V08</t>
  </si>
  <si>
    <t>[토니모리] 키스러버 스타일 S(소프트타입) 3.4g RD03 청순레드</t>
  </si>
  <si>
    <t>TM1169V10</t>
  </si>
  <si>
    <t>[토니모리] 키스러버 스타일 S(소프트타입) 3.4g RD05 레드비키니</t>
  </si>
  <si>
    <t>TM1456</t>
  </si>
  <si>
    <t>[토니모리] 타코포어 버블 모공 팩 65g</t>
  </si>
  <si>
    <t>TS155V02</t>
  </si>
  <si>
    <t>[더샘] 커버 퍼펙션 팁 컨실러 6.5g #1.5 내추럴 베이지</t>
  </si>
  <si>
    <t>TS689</t>
  </si>
  <si>
    <t>[더샘] 바디 앤 소울 러브 하와이 바디 로션</t>
  </si>
  <si>
    <t>TS187V03</t>
  </si>
  <si>
    <t>[더샘] 샘물 브로우카라 4.5g #03 다크브라운</t>
  </si>
  <si>
    <t>TS627V03</t>
  </si>
  <si>
    <t>[더샘] 샘물 우드 아이브로우 #03 흑갈색</t>
  </si>
  <si>
    <t>TS169V04</t>
  </si>
  <si>
    <t>[더샘] 에코 소울 파워 엣지 젤 라이너 3.2g #04 크랜베리</t>
  </si>
  <si>
    <t>취급x</t>
    <phoneticPr fontId="2" type="noConversion"/>
  </si>
  <si>
    <t>TS124V01</t>
  </si>
  <si>
    <t>[더샘] 커버 퍼펙션 리퀴드 컨실러 15ml #01 클리어 베이지</t>
  </si>
  <si>
    <t>TS126V02</t>
  </si>
  <si>
    <t>[더샘] 커버 퍼펙션 팟 컨실러 4g #02 리치 베이지</t>
  </si>
  <si>
    <t>CC062</t>
  </si>
  <si>
    <t>[씨라클] 비타민 소스 C-20 30ml</t>
    <phoneticPr fontId="2" type="noConversion"/>
  </si>
  <si>
    <t>CC048</t>
  </si>
  <si>
    <t>[씨라클] 제주 화산송이 모공 마스크 135g</t>
  </si>
  <si>
    <t>GD076V03</t>
  </si>
  <si>
    <t>[구달] 구달 순한 마스크 1개 #03 쑥(수분진정)</t>
  </si>
  <si>
    <t>GD076V05</t>
  </si>
  <si>
    <t>[구달] 구달 순한 마스크 1개 #05 연꽃(모공수축)</t>
  </si>
  <si>
    <t>GD076V08</t>
  </si>
  <si>
    <t>[구달] 구달 순한 마스크 1개 #08 인삼(집중보습)</t>
  </si>
  <si>
    <t>CO062</t>
  </si>
  <si>
    <t>[클리오] 시크 매트 볼륨 카라 10ml</t>
  </si>
  <si>
    <t>CO049V02</t>
  </si>
  <si>
    <t>[클리오] 킬브로우 틴티드 타투 펜 XP 2.8g #2 소프트브라운</t>
  </si>
  <si>
    <t>CO031V02</t>
  </si>
  <si>
    <t>[클리오] 킬커버 하이스트웨어 파운데이션(AD) #03 리넨</t>
  </si>
  <si>
    <t>PP033V03</t>
  </si>
  <si>
    <t>[페리페라] 비비드 틴트 워터 5.5ml #3호 달콤 사과 에이드</t>
  </si>
  <si>
    <t>PP072V03</t>
  </si>
  <si>
    <t>[페리페라] 잉크 더 포근 벨벳 #03 프로청순러</t>
  </si>
  <si>
    <t>PP053V02</t>
  </si>
  <si>
    <t>[페리페라] 잉크래스팅 민트 쿠션 14g #2 베이지</t>
  </si>
  <si>
    <t>LE123</t>
  </si>
  <si>
    <t>[리오엘리] 돌리쉬 마스카라 5ml</t>
  </si>
  <si>
    <t>LE159</t>
  </si>
  <si>
    <t>[리오엘리] 포어 클린 앤 타이트닝 팩 140g</t>
  </si>
  <si>
    <t>RC011V02</t>
  </si>
  <si>
    <t>[리브코이] 스킨볼륨 파우더 팩트 #21 네추럴베이지</t>
  </si>
  <si>
    <t>SF118</t>
  </si>
  <si>
    <t>[스킨푸드] 네일 비타 탑 코트</t>
  </si>
  <si>
    <t>SF1146</t>
  </si>
  <si>
    <t>[스킨푸드] 네일&amp;아이 리무버 공용기</t>
  </si>
  <si>
    <t>SF351</t>
  </si>
  <si>
    <t>[스킨푸드] 라이스 마스크</t>
  </si>
  <si>
    <t>SF829</t>
  </si>
  <si>
    <t>[스킨푸드] 라이스 백미 스크럽 폼 150ml</t>
  </si>
  <si>
    <t>SF1208V08</t>
  </si>
  <si>
    <t>[스킨푸드] 마이 디저트 파티 아이섀도우 #M08 캬라멜 마카롱</t>
  </si>
  <si>
    <t>SF776</t>
  </si>
  <si>
    <t>[스킨푸드] 미라클 푸드 10 솔루션 세럼 60ml</t>
  </si>
  <si>
    <t>SF830V23</t>
  </si>
  <si>
    <t>[스킨푸드] 미인(美-in) 푸드 마스크 시트 20ml #마카 뿌리</t>
  </si>
  <si>
    <t>SF830V22</t>
  </si>
  <si>
    <t>[스킨푸드] 미인(美-in) 푸드 마스크 시트 20ml #방울 양배추</t>
  </si>
  <si>
    <t>SF830V13</t>
  </si>
  <si>
    <t>[스킨푸드] 미인(美-in) 푸드 마스크 시트 20ml #병풀</t>
  </si>
  <si>
    <t>SF830V18</t>
  </si>
  <si>
    <t>[스킨푸드] 미인(美-in) 푸드 마스크 시트 20ml #블루베리</t>
  </si>
  <si>
    <t>SF830V12</t>
  </si>
  <si>
    <t>[스킨푸드] 미인(美-in) 푸드 마스크 시트 20ml #수박</t>
  </si>
  <si>
    <t>SF830V15</t>
  </si>
  <si>
    <t>[스킨푸드] 미인(美-in) 푸드 마스크 시트 20ml #캐비어</t>
  </si>
  <si>
    <t>SF830V20</t>
  </si>
  <si>
    <t>[스킨푸드] 미인(美-in) 푸드 마스크 시트 20ml #케일</t>
  </si>
  <si>
    <t>SF1217</t>
  </si>
  <si>
    <t>[스킨푸드] 민트 스파클링 풋 크림 80ml</t>
  </si>
  <si>
    <t>SF597V01</t>
  </si>
  <si>
    <t>[스킨푸드] 바나나 컨실러 스틱 1호 라이트 바나나</t>
  </si>
  <si>
    <t>SF648V03</t>
  </si>
  <si>
    <t>[스킨푸드] 블랙빈 아이라인 펜슬 3호 브라운</t>
  </si>
  <si>
    <t>SF711V04</t>
  </si>
  <si>
    <t>[스킨푸드] 샤이니 네일 스톤 4호</t>
  </si>
  <si>
    <t>SF844</t>
  </si>
  <si>
    <t>[스킨푸드] 석류 콜라겐 아이 마스크 (미백+주름개선 이중기능성 화장품) 3g</t>
  </si>
  <si>
    <t>SF1143</t>
  </si>
  <si>
    <t>[스킨푸드] 수분 포도 바운스 버블 세럼 120ml</t>
  </si>
  <si>
    <t>SF1142</t>
  </si>
  <si>
    <t>[스킨푸드] 수분 포도 바운스 에센스 로션 120ml</t>
  </si>
  <si>
    <t>SF953V02</t>
  </si>
  <si>
    <t>[스킨푸드] 슈가 스틱 치크 2호 피치 플리즈</t>
  </si>
  <si>
    <t>SF970</t>
  </si>
  <si>
    <t>[스킨푸드] 알로에 워터리 선 노세범 SPF50+ PA+++</t>
  </si>
  <si>
    <t>SF949</t>
  </si>
  <si>
    <t>[스킨푸드] 유자 수분씨 세럼</t>
  </si>
  <si>
    <t>SF1099V01</t>
  </si>
  <si>
    <t>[스킨푸드] 이지 드라이 데칼 네일 스티커 (BBH) 1EA 5호 딜리셔스푸드파티</t>
  </si>
  <si>
    <t>SF358</t>
  </si>
  <si>
    <t>[스킨푸드] 파인애플 필링젤</t>
  </si>
  <si>
    <t>SF790</t>
  </si>
  <si>
    <t>[스킨푸드] 프리미엄 아보카도 리치 에센스 50ml</t>
  </si>
  <si>
    <t>SF1105</t>
  </si>
  <si>
    <t>[스킨푸드] 프리미엄 오토 립 브러쉬</t>
  </si>
  <si>
    <t>SF1102</t>
  </si>
  <si>
    <t>[스킨푸드] 프리미엄 컨실러 브러쉬</t>
  </si>
  <si>
    <t>KL002</t>
  </si>
  <si>
    <t>[클레어스] 서플 프레퍼레이션 페이셜 토너 180ml</t>
  </si>
  <si>
    <t>VD219V03</t>
  </si>
  <si>
    <t>[VDL] 브이디엘 엑스퍼트 컬러 립 큐브 마블 글로우 (팬톤17) 3.3g #3호 민트 페이버</t>
  </si>
  <si>
    <t>VD217</t>
  </si>
  <si>
    <t>[VDL] 새틴 베일 피니쉬 파우더 그리너리 (팬톤17) 10g</t>
  </si>
  <si>
    <t>VD221</t>
  </si>
  <si>
    <t>[VDL] 엑스퍼트 컬러 아이 북 6.4 NO.6 (팬톤17) 9.6g</t>
  </si>
  <si>
    <t>FS1559</t>
  </si>
  <si>
    <t>[샘플][더페이스샵] 명한 미인도 천삼송이 미백환에센스 (파우치)</t>
  </si>
  <si>
    <t>FS544</t>
  </si>
  <si>
    <t>[더페이스샵] 미감수 브라이트 클렌징 크림 200ml</t>
  </si>
  <si>
    <t>FS1357</t>
  </si>
  <si>
    <t>[더페이스샵] 치아씨드 산뜻개운 클렌징 워터 300ml</t>
  </si>
  <si>
    <t>AP010</t>
  </si>
  <si>
    <t>[어퓨] 극세사 파우더 퍼프</t>
  </si>
  <si>
    <t>AP462V01</t>
  </si>
  <si>
    <t>[어퓨] 슈가팟 8g #01 매직</t>
  </si>
  <si>
    <t>AP317V04</t>
  </si>
  <si>
    <t>[어퓨] 프레시 메이트 마스크 #04 티트리- 진정</t>
  </si>
  <si>
    <t>NR1109V04</t>
  </si>
  <si>
    <t>[네이처리퍼블릭] 롱라스팅 스머지 틴트 스틱 #04 레드 마티니</t>
  </si>
  <si>
    <t>취급x</t>
  </si>
  <si>
    <t>MM088</t>
  </si>
  <si>
    <t>[마몽드] 페탈 스파 클렌징 밤 80ml (구형)</t>
  </si>
  <si>
    <t>리뉴얼</t>
  </si>
  <si>
    <t>LN119</t>
  </si>
  <si>
    <t>[샘플][라네즈] 스킨 베일 베이스 이엑스 SPF 22 PA+++ 60호 라이트 그린 (파우치)</t>
  </si>
  <si>
    <t>MM152</t>
  </si>
  <si>
    <t>[마몽드] 트리플 멀티 클렌징 티슈 80Sheets</t>
  </si>
  <si>
    <t>MM058</t>
  </si>
  <si>
    <t>[마몽드] AC 밸런스 스팟 패치</t>
  </si>
  <si>
    <t>EH1064V07</t>
  </si>
  <si>
    <t>[에뛰드하우스] 에나멜팅 젤 네일즈 5g 7호 어딕션</t>
  </si>
  <si>
    <t>EH1646</t>
  </si>
  <si>
    <t>[에뛰드하우스] 몬스터 미셀라 클렌징 워터 700ml</t>
  </si>
  <si>
    <t>수량부족</t>
  </si>
  <si>
    <t>EH1064V01</t>
  </si>
  <si>
    <t>[에뛰드하우스] 에나멜팅 젤 네일즈 5g 1호 마쉬멜로우</t>
  </si>
  <si>
    <t>EH1064V34</t>
  </si>
  <si>
    <t>[에뛰드하우스] 에나멜팅 젤 네일즈 5g 34호 UFO</t>
  </si>
  <si>
    <t>EH1439V01</t>
  </si>
  <si>
    <t>[에뛰드하우스] 핫 스타일 포토 헤어 라이너 2.7g #1호 다크브라운</t>
  </si>
  <si>
    <t>SY005</t>
  </si>
  <si>
    <t>[시크릿키] 골드 라쿠니 하이드로겔 아이&amp;스팟패치 90P(아이60P&amp;스팟30P)</t>
  </si>
  <si>
    <t>SH159</t>
  </si>
  <si>
    <t>[설화수] 실란 컬러팩트 10g</t>
  </si>
  <si>
    <t>IN975</t>
  </si>
  <si>
    <t>[샘플][이니스프리] 제주 용암해수 딥 에센스</t>
  </si>
  <si>
    <t>IN1276</t>
  </si>
  <si>
    <t>[샘플][이니스프리] 화산송이 컬러 클레이 마스크_수분</t>
  </si>
  <si>
    <t>입고예정</t>
  </si>
  <si>
    <t>IS391</t>
  </si>
  <si>
    <t>[잇츠스킨] 클리어 스킨 필링 스왑</t>
  </si>
  <si>
    <t>BC511V01</t>
  </si>
  <si>
    <t>[바닐라코] 쏘 컨투어링 틴티드 젤리 8g #01 소프트브라운</t>
  </si>
  <si>
    <t>TM1080</t>
  </si>
  <si>
    <t>[샘플][토니모리] 플로리아 뉴트라 에너지 100시간 크림 1개</t>
  </si>
  <si>
    <t>PP061</t>
  </si>
  <si>
    <t>[페리페라] 비비드 틴트 워터 미니미니 주스 박스 3.5g x 6ea</t>
  </si>
  <si>
    <t>AY000641</t>
  </si>
  <si>
    <t>[애터미] 애터미 바디리치 300ml</t>
  </si>
  <si>
    <t>SF1012</t>
  </si>
  <si>
    <t>[스킨푸드] 슈니발렌 밤 브러쉬</t>
  </si>
  <si>
    <t>BY390V02</t>
  </si>
  <si>
    <t>[비욘드] 트리플-프루프 오토 젤 라이너 0.5g #2호 시나몬</t>
  </si>
  <si>
    <t>BY466V02</t>
  </si>
  <si>
    <t>[비욘드] 제주 가득한 마스크 22ml #02 동백</t>
  </si>
  <si>
    <t>BY377</t>
  </si>
  <si>
    <t>[비욘드] 카렌듈라 허브 스킨 워터 220ml</t>
  </si>
  <si>
    <t>FS1661V02</t>
  </si>
  <si>
    <t>[더페이스샵] 싱글 섀도우(글리터) 2017 S/S 1.4g #02 글리터 BR05</t>
  </si>
  <si>
    <t>FS1288V02</t>
  </si>
  <si>
    <t>[더페이스샵] 오일클리어 매끈뽀얀 팩트 SPF30 PA++ 9g N203</t>
  </si>
  <si>
    <t>FS1288V01</t>
  </si>
  <si>
    <t>[더페이스샵] 오일클리어 매끈뽀얀 팩트 SPF30 PA++ 9g V201</t>
  </si>
  <si>
    <t>FS1371</t>
  </si>
  <si>
    <t>[더페이스샵] 제주 화산토 클레이 마스크시트</t>
  </si>
  <si>
    <t>FS1731V01</t>
  </si>
  <si>
    <t>[더페이스샵] 후드라이언 모노팝 아이즈 9.5g #01 모래놀이 라이언</t>
  </si>
  <si>
    <t>AP476V01</t>
  </si>
  <si>
    <t>[어퓨] 컬러 립 스테인(매트플루이드) 4.4g #01 RD01 핫앤스파이시</t>
  </si>
  <si>
    <t>AP244V01</t>
  </si>
  <si>
    <t>[어퓨] 미네랄 모노 섀도우 #01 BE01</t>
  </si>
  <si>
    <t>AP477V01</t>
  </si>
  <si>
    <t>[어퓨] 컬러 립 스테인(벨벳틴트) #01 RD01 어텐션</t>
  </si>
  <si>
    <t>AP064</t>
  </si>
  <si>
    <t>[어퓨] 코튼 퍼프 100</t>
  </si>
  <si>
    <t>NR923</t>
  </si>
  <si>
    <t>[네이처리퍼블릭] 셀부스팅 나이트 크림 55ml</t>
  </si>
  <si>
    <t>NR1219</t>
  </si>
  <si>
    <t>[네이처리퍼블릭] 프리미엄 실버 호일 필오프팩 70ml</t>
  </si>
  <si>
    <t>MS749</t>
  </si>
  <si>
    <t>[미샤] 타임 레볼루션 클리어 토너 250ml</t>
  </si>
  <si>
    <t>HK658</t>
  </si>
  <si>
    <t>[홀리카홀리카] 알로에 에센셜 98% 수딩 토너 300ml</t>
  </si>
  <si>
    <t>HK499V07</t>
  </si>
  <si>
    <t>[홀리카홀리카] 프로:뷰티 폭시 아이라이너 0.5g 07. 샤벳베이지</t>
  </si>
  <si>
    <t>HK672V01</t>
  </si>
  <si>
    <t>[홀리카홀리카] 하드 커버 글로우 쿠션 SPF50+ PA+++ 14g+14g(Refill) #01 웜아이보리</t>
  </si>
  <si>
    <t>MM042V01</t>
  </si>
  <si>
    <t>[마몽드] 비비드 터치 스틱 섀도우 1호 블레싱</t>
  </si>
  <si>
    <t>EH1594V04</t>
  </si>
  <si>
    <t>[에뛰드하우스] 마이뷰티툴 속눈썹 3단계 &amp; 4단계 #LONGLASH 04</t>
  </si>
  <si>
    <t>에뛰드 풍덕천</t>
  </si>
  <si>
    <t>EH1594V02</t>
  </si>
  <si>
    <t>[에뛰드하우스] 마이뷰티툴 속눈썹 3단계 &amp; 4단계 #VOLUME 04</t>
  </si>
  <si>
    <t>EH1065</t>
  </si>
  <si>
    <t>[에뛰드하우스] 에나멜팅 베이스 젤 5g</t>
  </si>
  <si>
    <t>EH1005</t>
  </si>
  <si>
    <t>[에뛰드하우스] 마이뷰티툴 하트 뿅뿅 엠보 코튼 150P</t>
  </si>
  <si>
    <t>EH1594V01</t>
  </si>
  <si>
    <t>[에뛰드하우스] 마이뷰티툴 속눈썹 3단계 &amp; 4단계 #VOLUME 03</t>
  </si>
  <si>
    <t>EH1751V08</t>
  </si>
  <si>
    <t>[에뛰드하우스] 윈터풀 스윗츠 아이즈 2g #BR413 귀신 쫒는 단팥죽</t>
  </si>
  <si>
    <t>EH1538</t>
  </si>
  <si>
    <t>[에뛰드하우스] 페이스 컨디셔닝 픽서 80ml</t>
  </si>
  <si>
    <t>HR136</t>
  </si>
  <si>
    <t>[헤라] 셀 에센스 150ml</t>
  </si>
  <si>
    <t>HR029V04</t>
  </si>
  <si>
    <t>[헤라] 에이지 리버스 쿠션 SPF38/ PA+++ 15g+15g(본품과리필) #N23 베이지 내추럴</t>
  </si>
  <si>
    <t>IN1265V01</t>
  </si>
  <si>
    <t>[이니스프리] 그린티 밸런싱 크림 [리미티드] 100ml #1 비자림</t>
  </si>
  <si>
    <t>이니스프리 야탑</t>
  </si>
  <si>
    <t>IS079</t>
  </si>
  <si>
    <t>[잇츠스킨] 프레스티지 마스끄 데스까르고 5매(25g*5)</t>
  </si>
  <si>
    <t>IS1019</t>
  </si>
  <si>
    <t>[잇츠스킨] 바디 블라썸 블루 멜로우 바디 스크럽 150ml</t>
  </si>
  <si>
    <t>TM1128V01</t>
  </si>
  <si>
    <t>[토니모리] 아이톤 싱글 섀도우 글리터타입 G01 실버트윙클</t>
  </si>
  <si>
    <t>TM1127V01</t>
  </si>
  <si>
    <t>[토니모리] 아이톤 싱글 섀도우 매트타입 M01 마이베이지</t>
  </si>
  <si>
    <t>PP036V02</t>
  </si>
  <si>
    <t>[페리페라] 밀크 퐁당 팩트 14g #1호 밀크아이보리</t>
  </si>
  <si>
    <t>PP034V05</t>
  </si>
  <si>
    <t>[페리페라] 페리스 잉크 뽀송 스틱 3.5g #5호 넘나예쁨</t>
  </si>
  <si>
    <t>GD055V01</t>
  </si>
  <si>
    <t>[구달] 동백 립 오일 5.5ml #001 영양</t>
  </si>
  <si>
    <t>SF1223</t>
  </si>
  <si>
    <t>[스킨푸드] 로열허니 프로폴리스 인리치 에센스 50ml</t>
  </si>
  <si>
    <t>FS1561</t>
  </si>
  <si>
    <t>[샘플][더페이스샵] 더테라피 수분항노화 오일컨트롤크림 (파우치)</t>
  </si>
  <si>
    <t>AP461</t>
  </si>
  <si>
    <t>[어퓨] 비타민 C 80 마스크 키트 27ml</t>
  </si>
  <si>
    <t>MS1186</t>
  </si>
  <si>
    <t>[샘플][미샤] 미사 금설 유액 (파우치)</t>
  </si>
  <si>
    <t>MS770</t>
  </si>
  <si>
    <t>[샘플][미샤] M 시그너처 리얼 컴플릿 비비크림 #21 SPF25 PA++</t>
  </si>
  <si>
    <t>MS1217</t>
  </si>
  <si>
    <t>[미샤] 아무때나 필링 패드 1EA</t>
  </si>
  <si>
    <t>HK649</t>
  </si>
  <si>
    <t>[홀리카홀리카] 비오틴 데미지 케어 샴푸 400ml</t>
  </si>
  <si>
    <t>HK669</t>
  </si>
  <si>
    <t>[홀리카홀리카] 아보카도 바디 로션 390ml</t>
  </si>
  <si>
    <t>HK217V01</t>
  </si>
  <si>
    <t>[홀리카홀리카] 쥬얼라이트 동안 애교살 메이커 ＃01 통통화이트 (구형)</t>
  </si>
  <si>
    <t>HK211V06</t>
  </si>
  <si>
    <t>[홀리카홀리카] 쥬얼라이트 워터프루프 아이라이너 ＃10 초콜릿 시트린</t>
  </si>
  <si>
    <t>HK696V02</t>
  </si>
  <si>
    <t>[홀리카홀리카] 하트풀 플루이드 무스 2.2ml #02 RD10 딸기타르트</t>
  </si>
  <si>
    <t>HK663</t>
  </si>
  <si>
    <t>[홀리카홀리카] 홀리팝 블러크림 30ml</t>
  </si>
  <si>
    <t>EH1064V13</t>
  </si>
  <si>
    <t>[에뛰드하우스] 에나멜팅 젤 네일즈 5g 13호 모카다미아</t>
  </si>
  <si>
    <t>EH147V02</t>
  </si>
  <si>
    <t>[에뛰드하우스] 스타일링 아이라이너 ＃2 화이트</t>
  </si>
  <si>
    <t>EH1593V02</t>
  </si>
  <si>
    <t>[에뛰드하우스] 마이뷰티툴 속눈썹 1단계 &amp; 2단계 #VOLUME 02</t>
  </si>
  <si>
    <t>EH1758</t>
  </si>
  <si>
    <t>[에뛰드하우스] 미니 투 매치 트레이</t>
  </si>
  <si>
    <t>EH1389V01</t>
  </si>
  <si>
    <t>[에뛰드하우스] AC 클린업 마일드 BB쿠션 SPF50+/PA+++ #01 라이트베이지</t>
  </si>
  <si>
    <t>CS043</t>
  </si>
  <si>
    <t>[샘플][코스알엑스] 어드벤스드 스네일96 뮤신 파워에센스</t>
  </si>
  <si>
    <t>SH044</t>
  </si>
  <si>
    <t>[샘플][설화수] 상백크림</t>
  </si>
  <si>
    <t>SH158V01</t>
  </si>
  <si>
    <t>[설화수] 실란 콤팩트 본품10g+리필10g #01 은은한색</t>
  </si>
  <si>
    <t>OH037</t>
  </si>
  <si>
    <t>[오휘] 익스트림 화이트 3D 블랙마스크 6매</t>
  </si>
  <si>
    <t>IS285V01</t>
  </si>
  <si>
    <t>[잇츠스킨] 잇츠 탑 프로페셔널 터치 피니쉬 투웨이 케이크 9g 21호</t>
  </si>
  <si>
    <t>IS366</t>
  </si>
  <si>
    <t>[잇츠스킨] 히아루론산 보습 아이크림 25ml</t>
  </si>
  <si>
    <t>BC484</t>
  </si>
  <si>
    <t>[바닐라코] 클린 잇 제로 대용량 X 핑크팬더 180ml</t>
  </si>
  <si>
    <t>BC467V08</t>
  </si>
  <si>
    <t>[바닐라코] 투키세스 듀얼 틴트 6g x 2 #08 웨이크업 코랄</t>
  </si>
  <si>
    <t>TM1479V08</t>
  </si>
  <si>
    <t>[토니모리] 크리스탈 싱글 아이섀도우 1.5g #S03코랄밸런스</t>
  </si>
  <si>
    <t>TM1275</t>
  </si>
  <si>
    <t>[토니모리] 타임리스 이지에프(EGF) 에센스</t>
  </si>
  <si>
    <t>TM1357</t>
  </si>
  <si>
    <t>[토니모리] 포켓몬_땅위로 나온 디그다 필 오프 팩 100ml</t>
  </si>
  <si>
    <t>TM1315V01</t>
  </si>
  <si>
    <t>[토니모리] 포켓몬_피카츄 미니 쿠션 블러셔 9g #01 핑크 판타지</t>
  </si>
  <si>
    <t>TS884</t>
  </si>
  <si>
    <t>[더샘] 실크 헤어 컬러 블리치 10g+30ml</t>
  </si>
  <si>
    <t>TS770V10</t>
  </si>
  <si>
    <t>[더샘] 에코 소울 모션 립스 2g #10 온스테이지</t>
  </si>
  <si>
    <t>TS841V01</t>
  </si>
  <si>
    <t>[더샘] 에코 소울 키스 버튼 립스 코트니 2g #01 보타이</t>
  </si>
  <si>
    <t>TS865</t>
  </si>
  <si>
    <t>[더샘] 피토 세븐 오일 투 폼 클렌저 180ml</t>
  </si>
  <si>
    <t>GD070</t>
  </si>
  <si>
    <t>[구달] 마일드 프로텍트 에센스 선(AD) 50ml</t>
  </si>
  <si>
    <t>PP072V05</t>
  </si>
  <si>
    <t>[페리페라] 잉크 더 포근 벨벳 #05 분위기장착</t>
  </si>
  <si>
    <t>PP051V03</t>
  </si>
  <si>
    <t>[페리페라] 매끈 우유 립밤 10g #03 복숭아 우유</t>
  </si>
  <si>
    <t>PP030V01</t>
  </si>
  <si>
    <t>[페리페라] 오일 캡쳐 블러 쿠션 #1 짱짱한커버쿠션</t>
  </si>
  <si>
    <t>SF946V05</t>
  </si>
  <si>
    <t>[스킨푸드] 시어버터 립 케어 바 인텐스 #5호 애프리콧버터</t>
  </si>
  <si>
    <t>SF1240</t>
  </si>
  <si>
    <t>[스킨푸드] 메리 스윗 생과일 립 앤 치크 스윗 캔디[홀리데이 에디션]</t>
  </si>
  <si>
    <t>SF946V03</t>
  </si>
  <si>
    <t>[스킨푸드] 시어버터 립 케어 바 인텐스 #3호 민티버터</t>
  </si>
  <si>
    <t>BY306</t>
  </si>
  <si>
    <t>[비욘드] 힐링 포스 프로페셔널 컨디셔너 250ml</t>
  </si>
  <si>
    <t>AP187V05</t>
  </si>
  <si>
    <t>[어퓨] 트루 매트 립스틱 RD02 앨리스</t>
  </si>
  <si>
    <t>AP460V02</t>
  </si>
  <si>
    <t>[어퓨] 3D 컨투어링 키트 9g #02 뉴트럴 쿨</t>
  </si>
  <si>
    <t>AP103</t>
  </si>
  <si>
    <t>[어퓨] 난코 블랙티 포맨 올인원 아쿠아 크림</t>
  </si>
  <si>
    <t>AP437V01</t>
  </si>
  <si>
    <t>[어퓨] 스키니 디파인 마스카라 4g #01 롱래쉬</t>
  </si>
  <si>
    <t>AP046</t>
  </si>
  <si>
    <t>[어퓨] 오일 컨트롤 필름</t>
  </si>
  <si>
    <t>AP227V02</t>
  </si>
  <si>
    <t>[어퓨] 테이크 마이 핸드 네일 시트 팩 #아보카도</t>
  </si>
  <si>
    <t>AP428V06</t>
  </si>
  <si>
    <t>[어퓨] 트루 피팅 립스틱 4.5g #06 RD03 레베카</t>
  </si>
  <si>
    <t>AP419V02</t>
  </si>
  <si>
    <t>[어퓨] 포 유어 섀도우 7.6g 2호 느낌적인코랄</t>
  </si>
  <si>
    <t>AP231V01</t>
  </si>
  <si>
    <t>[어퓨] 헤어 윤곽 라이너 #1호</t>
  </si>
  <si>
    <t>NR1083</t>
  </si>
  <si>
    <t>[네이처리퍼블릭] 배쓰 앤 네이처 프로방스 피치 바디 버터</t>
  </si>
  <si>
    <t>MS1066V03</t>
  </si>
  <si>
    <t>[미샤] 멜팅 버터 핸드크림 50ml #03 프루트 바스켓</t>
  </si>
  <si>
    <t>MS1209</t>
  </si>
  <si>
    <t>[미샤] 셀프 네일 살롱 케어룩 #캡슐 에센스 9ml</t>
  </si>
  <si>
    <t>MS1376</t>
  </si>
  <si>
    <t>[미샤] 수퍼 아쿠아 필링젤 100ml</t>
  </si>
  <si>
    <t>MS1330V01</t>
  </si>
  <si>
    <t>[미샤] 톤 컨트롤 코렉터 4.5ml #로즈</t>
  </si>
  <si>
    <t>MS1307</t>
  </si>
  <si>
    <t>[미샤] 포맨 리프레시 올인원 트리트먼트 에센스로션 150ml</t>
  </si>
  <si>
    <t>LN011V03</t>
  </si>
  <si>
    <t>[라네즈] 새틴 커버 젤리 팩트 11g #21P 쿨핑크 베이지</t>
  </si>
  <si>
    <t>AT300V04</t>
  </si>
  <si>
    <t>[미쟝센] 쉽고 빠른 거품 염색 40g+40g #5N 갈색</t>
  </si>
  <si>
    <t>IP098</t>
  </si>
  <si>
    <t>[샘플][아이오페] 슈퍼 바이탈 크림 바이오 엑설런트(파우치)</t>
  </si>
  <si>
    <t>MM106</t>
  </si>
  <si>
    <t>[샘플][마몽드] 인리치드 뉴트리 오일 세럼 (파우치)</t>
  </si>
  <si>
    <t>MM108</t>
  </si>
  <si>
    <t>[샘플][마몽드] 플라워 에센스 장미 마스크-보습</t>
  </si>
  <si>
    <t>MM054V08</t>
  </si>
  <si>
    <t>[마몽드] 플라워 에센스 마스크 #08 무궁화-고보습</t>
  </si>
  <si>
    <t>EH193V01</t>
  </si>
  <si>
    <t>[에뛰드하우스] 앵두알 맑은 틴트 NEW OR201 앵두알 피치</t>
  </si>
  <si>
    <t>EH193V04</t>
  </si>
  <si>
    <t>[에뛰드하우스] 앵두알 맑은 틴트 NEW RD301 앵두알 레드</t>
  </si>
  <si>
    <t>EH1275</t>
  </si>
  <si>
    <t>[에뛰드하우스] 허니세라 퍼밍 바디크림 200ml</t>
  </si>
  <si>
    <t>IN1228V02</t>
  </si>
  <si>
    <t>[이니스프리] 데싱디바 프리미엄 #2호 진주 장식 티아라</t>
  </si>
  <si>
    <t>IN660V02</t>
  </si>
  <si>
    <t>[이니스프리] 에어 스킨핏 비비 SPF35 PA++ 40ml 2호 내추럴 베이지</t>
  </si>
  <si>
    <t>IN720</t>
  </si>
  <si>
    <t>[이니스프리] 카멜리아 에센셜 컬링에센스 120ml</t>
  </si>
  <si>
    <t>DJ045</t>
  </si>
  <si>
    <t>[닥터자르트] 더마스크 마이크로젯 브라이트닝 솔루션 1매</t>
  </si>
  <si>
    <t>SH039V01</t>
  </si>
  <si>
    <t>[설화수] 퍼펙팅 쿠션 SPF50+/PA+++ 15g(리필만) #13 라이트 핑크(구형)</t>
  </si>
  <si>
    <t>HR226</t>
  </si>
  <si>
    <t>[헤라] 오렌지 피버 퍼퓸드 바디 로션 250ml</t>
  </si>
  <si>
    <t>Reference #</t>
    <phoneticPr fontId="2" type="noConversion"/>
  </si>
  <si>
    <t>날짜</t>
    <phoneticPr fontId="2" type="noConversion"/>
  </si>
  <si>
    <t>바코드번호</t>
    <phoneticPr fontId="2" type="noConversion"/>
  </si>
  <si>
    <t>상품코드</t>
    <phoneticPr fontId="2" type="noConversion"/>
  </si>
  <si>
    <t>상품위치</t>
  </si>
  <si>
    <t>상품명</t>
  </si>
  <si>
    <t>삼일평균주문수량</t>
  </si>
  <si>
    <t>품절여부</t>
  </si>
  <si>
    <t>시중가</t>
    <phoneticPr fontId="2" type="noConversion"/>
  </si>
  <si>
    <t>미발송수량</t>
  </si>
  <si>
    <t>현재재고</t>
  </si>
  <si>
    <t>공급처분류명</t>
  </si>
  <si>
    <t>옵션관리등급</t>
  </si>
  <si>
    <t>현 재고 + 전날  가재고</t>
    <phoneticPr fontId="2" type="noConversion"/>
  </si>
  <si>
    <t>전날 가재고</t>
    <phoneticPr fontId="2" type="noConversion"/>
  </si>
  <si>
    <t>피드백날짜</t>
    <phoneticPr fontId="2" type="noConversion"/>
  </si>
  <si>
    <t>현황</t>
    <phoneticPr fontId="2" type="noConversion"/>
  </si>
  <si>
    <t>수량</t>
    <phoneticPr fontId="2" type="noConversion"/>
  </si>
  <si>
    <t>입고예정일자</t>
    <phoneticPr fontId="2" type="noConversion"/>
  </si>
  <si>
    <t>타매장발주여부</t>
    <phoneticPr fontId="2" type="noConversion"/>
  </si>
  <si>
    <t>타매장발주일자</t>
    <phoneticPr fontId="2" type="noConversion"/>
  </si>
  <si>
    <t>비고</t>
    <phoneticPr fontId="2" type="noConversion"/>
  </si>
  <si>
    <t>주문취소할것</t>
    <phoneticPr fontId="2" type="noConversion"/>
  </si>
  <si>
    <t>20180119TS622</t>
  </si>
  <si>
    <t>TS622</t>
  </si>
  <si>
    <t>[더샘] 빌리브미 히팅 마스크 시트</t>
  </si>
  <si>
    <t>일반관리</t>
  </si>
  <si>
    <t>20180119TS884</t>
  </si>
  <si>
    <t>C-00-43</t>
  </si>
  <si>
    <t>O</t>
    <phoneticPr fontId="2" type="noConversion"/>
  </si>
  <si>
    <t>20180119TS155V02</t>
  </si>
  <si>
    <t>f-01-04</t>
  </si>
  <si>
    <t>특별관리</t>
  </si>
  <si>
    <t>20180119TS582</t>
  </si>
  <si>
    <t>TS582</t>
  </si>
  <si>
    <t>B-31-11</t>
  </si>
  <si>
    <t>[더샘] 터치 온 바디 코코넛 바디 워시 260ml</t>
  </si>
  <si>
    <t>20180119LE123</t>
  </si>
  <si>
    <t>c-00-68</t>
  </si>
  <si>
    <t>20180119AT225V01</t>
  </si>
  <si>
    <t>AT225V01</t>
  </si>
  <si>
    <t>[마몽드] 볼륨 베러 샤인 글로스 5g #01 허니 핑크</t>
  </si>
  <si>
    <t>20180119AT225V03</t>
  </si>
  <si>
    <t>AT225V03</t>
  </si>
  <si>
    <t>[마몽드] 볼륨 베러 샤인 글로스 5g #04 인더핑크</t>
  </si>
  <si>
    <t>20180119SW017</t>
  </si>
  <si>
    <t>SW017</t>
  </si>
  <si>
    <t>b-26-05</t>
  </si>
  <si>
    <t>[스킨와쳐스] AC 클리어링 토너 125ml</t>
  </si>
  <si>
    <t>품목별</t>
  </si>
  <si>
    <t>20180119EH1636V06</t>
  </si>
  <si>
    <t>20180119EH1538</t>
  </si>
  <si>
    <t>c-00-84</t>
  </si>
  <si>
    <t>20180119IN891</t>
  </si>
  <si>
    <t>IN891</t>
  </si>
  <si>
    <t>B-22-05</t>
  </si>
  <si>
    <t>[이니스프리] 제주 한란 인리치드 에센스</t>
  </si>
  <si>
    <t>20180119IN1127</t>
  </si>
  <si>
    <t>B-42-12</t>
  </si>
  <si>
    <t>20180119IN754</t>
  </si>
  <si>
    <t>IN754</t>
  </si>
  <si>
    <t>b-41-03</t>
  </si>
  <si>
    <t>[이니스프리] 제주한란 인텐스 크림 50ml</t>
  </si>
  <si>
    <t>20180119CE006V01</t>
  </si>
  <si>
    <t>3CE</t>
  </si>
  <si>
    <t>20180119NE001</t>
  </si>
  <si>
    <t>NE001</t>
  </si>
  <si>
    <t>D-38-03</t>
  </si>
  <si>
    <t>[네오젠] 네오젠 더마로지 리얼 프레쉬 폼 그린티 160g</t>
  </si>
  <si>
    <t>20180119NR1178</t>
  </si>
  <si>
    <t>NR1178</t>
  </si>
  <si>
    <t>[네이처리퍼블릭] 코코넛 바이오 스킨 멀티 패치 5ml</t>
  </si>
  <si>
    <t>20180119LN122</t>
  </si>
  <si>
    <t>1-01-02</t>
  </si>
  <si>
    <t>20180119MS1307</t>
  </si>
  <si>
    <t>a-22-09</t>
  </si>
  <si>
    <t>20180119MS910</t>
  </si>
  <si>
    <t>MS910</t>
  </si>
  <si>
    <t>A-33-04</t>
  </si>
  <si>
    <t>[미샤] 포맨 세범 브레이커 클렌징 폼</t>
  </si>
  <si>
    <t>20180119MS770</t>
  </si>
  <si>
    <t>1-04-26</t>
  </si>
  <si>
    <t>20180119SH014</t>
  </si>
  <si>
    <t>D-27-05</t>
  </si>
  <si>
    <t>20180119SF358</t>
  </si>
  <si>
    <t>c-00-09</t>
  </si>
  <si>
    <t>20180119SY170V01</t>
  </si>
  <si>
    <t>SY170V01</t>
  </si>
  <si>
    <t>[시크릿키] 네이처 레시피 마스크 팩 #01 꿀</t>
  </si>
  <si>
    <t>20180119SY170V02</t>
  </si>
  <si>
    <t>SY170V02</t>
  </si>
  <si>
    <t>[시크릿키] 네이처 레시피 마스크 팩 #02 석류</t>
  </si>
  <si>
    <t>20180119SY170V03</t>
  </si>
  <si>
    <t>SY170V03</t>
  </si>
  <si>
    <t>[시크릿키] 네이처 레시피 마스크 팩 #03 알로에</t>
  </si>
  <si>
    <t>20180119SY170V04</t>
  </si>
  <si>
    <t>SY170V04</t>
  </si>
  <si>
    <t>[시크릿키] 네이처 레시피 마스크 팩 #04 진주</t>
  </si>
  <si>
    <t>20180119SY127</t>
  </si>
  <si>
    <t>SY127</t>
  </si>
  <si>
    <t>[시크릿키] 멀티셀 나이트 리페어 마스크 팩</t>
  </si>
  <si>
    <t>20180119SY121</t>
  </si>
  <si>
    <t>SY121</t>
  </si>
  <si>
    <t>[시크릿키] 스타팅 트리트먼트 에셀셜 마스크팩</t>
  </si>
  <si>
    <t>20180119AT668V01</t>
  </si>
  <si>
    <t>A-04-16</t>
  </si>
  <si>
    <t>20180119AP021</t>
  </si>
  <si>
    <t>B-26-08</t>
  </si>
  <si>
    <t>20180119AP454V02</t>
  </si>
  <si>
    <t>A-22-04</t>
  </si>
  <si>
    <t>20180119EH1455</t>
  </si>
  <si>
    <t>EH1455</t>
  </si>
  <si>
    <t>E-00-02</t>
  </si>
  <si>
    <t>[샘플][에뛰드하우스] 뷰티샷 페이스 블러 SPF33 AD</t>
  </si>
  <si>
    <t>20180119EH1381</t>
  </si>
  <si>
    <t>B-40-09</t>
  </si>
  <si>
    <t>20180119IN975</t>
  </si>
  <si>
    <t>1-04-01</t>
  </si>
  <si>
    <t>20180119CS037</t>
  </si>
  <si>
    <t>1-04-05</t>
  </si>
  <si>
    <t>20180119CS043</t>
  </si>
  <si>
    <t>1-04-03</t>
  </si>
  <si>
    <t>20180119TM1080</t>
  </si>
  <si>
    <t>A-23-05</t>
  </si>
  <si>
    <t>20180119TM1479V01</t>
  </si>
  <si>
    <t>TM1479V01</t>
  </si>
  <si>
    <t>[토니모리] 크리스탈 싱글 아이섀도우 1.5g #M01솔로베이지</t>
  </si>
  <si>
    <t>20180119TM1479V02</t>
  </si>
  <si>
    <t>TM1479V02</t>
  </si>
  <si>
    <t>[토니모리] 크리스탈 싱글 아이섀도우 1.5g #S01로디드베이지</t>
  </si>
  <si>
    <t>20180119TM1479V08</t>
  </si>
  <si>
    <t>20180119GD076V03</t>
  </si>
  <si>
    <t>a-09-08</t>
  </si>
  <si>
    <t>20180119GD076V05</t>
  </si>
  <si>
    <t>A-12-13</t>
  </si>
  <si>
    <t>20180119GD076V08</t>
  </si>
  <si>
    <t>C-00-06</t>
  </si>
  <si>
    <t>20180119NR1299V01</t>
  </si>
  <si>
    <t>20180119NR1299V02</t>
  </si>
  <si>
    <t>20180119NR1149V03</t>
  </si>
  <si>
    <t>NR1149V03</t>
  </si>
  <si>
    <t>A-01-13</t>
  </si>
  <si>
    <t>[네이처리퍼블릭] 멀티플 터치 스틱 블러셔 8g #08 파스텔 핑크</t>
  </si>
  <si>
    <t>20180119NR1147V01</t>
  </si>
  <si>
    <t>20180119NR1193V01</t>
  </si>
  <si>
    <t>A-01-14</t>
  </si>
  <si>
    <t>20180119NR1221V02</t>
  </si>
  <si>
    <t>20180119NR1114</t>
  </si>
  <si>
    <t>NR1114</t>
  </si>
  <si>
    <t>[네이처리퍼블릭] 뷰티 툴 대용량 메이크업 퍼프 20P</t>
  </si>
  <si>
    <t>20180119NR1277</t>
  </si>
  <si>
    <t>NR1277</t>
  </si>
  <si>
    <t>b-29-01</t>
  </si>
  <si>
    <t>[네이처리퍼블릭] 수딩 앤 모이스처 알로에 베라 바디 크림 150ml</t>
  </si>
  <si>
    <t>20180119NR1257</t>
  </si>
  <si>
    <t>NR1257</t>
  </si>
  <si>
    <t>b-34-10</t>
  </si>
  <si>
    <t>[네이처리퍼블릭] 캘리포니아 알로에 아쿠아 선 젤 SPF50+ PA++++ 60ml</t>
  </si>
  <si>
    <t>20180119NR1196</t>
  </si>
  <si>
    <t>20180119NR1098V02</t>
  </si>
  <si>
    <t>A-02-05</t>
  </si>
  <si>
    <t>20180119NR1290</t>
  </si>
  <si>
    <t>NR1290</t>
  </si>
  <si>
    <t>[네이처리퍼블릭] 하와이안 딥 씨 프레시 립 앤 아이 리무버 300ml</t>
  </si>
  <si>
    <t>20180119NR1142</t>
  </si>
  <si>
    <t>20180119NR1144</t>
  </si>
  <si>
    <t>B-37-12</t>
  </si>
  <si>
    <t>20180119DJ025</t>
  </si>
  <si>
    <t>20180119DJ018</t>
  </si>
  <si>
    <t>DJ018</t>
  </si>
  <si>
    <t>[닥터자르트] 더마클리어 트랜스 폼 클레이</t>
  </si>
  <si>
    <t>20180119TS717</t>
  </si>
  <si>
    <t>TS717</t>
  </si>
  <si>
    <t>A-34-03</t>
  </si>
  <si>
    <t>[더샘] 골드 리프팅 에센스 40ml</t>
  </si>
  <si>
    <t>20180119TS817V02</t>
  </si>
  <si>
    <t>TS817V02</t>
  </si>
  <si>
    <t>[더샘] 내추럴 컨디션 클렌징 오일 180ml #02 마일드</t>
  </si>
  <si>
    <t>20180119TS840V02</t>
  </si>
  <si>
    <t>TS840V02</t>
  </si>
  <si>
    <t>[더샘] 더샘 바이 함경식 립 앤 치크 4g #02 제닛핑크</t>
  </si>
  <si>
    <t>20180119TS479</t>
  </si>
  <si>
    <t>TS479</t>
  </si>
  <si>
    <t>B-27-05</t>
  </si>
  <si>
    <t>[더샘] 미네랄 옴므 블랙 에센스 100ml</t>
  </si>
  <si>
    <t>20180119TS481</t>
  </si>
  <si>
    <t>TS481</t>
  </si>
  <si>
    <t>[더샘] 미네랄 옴므 블랙 토너 130ml</t>
  </si>
  <si>
    <t>20180119TS476</t>
  </si>
  <si>
    <t>20180119TS689</t>
  </si>
  <si>
    <t>D-25-11</t>
  </si>
  <si>
    <t>20180119TS616V01</t>
  </si>
  <si>
    <t>TS616V01</t>
  </si>
  <si>
    <t>[더샘] 샘물 듀얼 팁 아이즈 #01 차이 티</t>
  </si>
  <si>
    <t>20180119TS187V03</t>
  </si>
  <si>
    <t>20180119TS535V04</t>
  </si>
  <si>
    <t>TS535V04</t>
  </si>
  <si>
    <t>A-06-13</t>
  </si>
  <si>
    <t>[더샘] 샘물 싱글 섀도우(글리터) 2g BE03 이슈강탈 베이지</t>
  </si>
  <si>
    <t>20180119TS627V03</t>
  </si>
  <si>
    <t>B-02-06</t>
  </si>
  <si>
    <t>20180119TS847</t>
  </si>
  <si>
    <t>TS847</t>
  </si>
  <si>
    <t>[더샘] 어반 에코 하라케케 프레쉬 크림 60ml</t>
  </si>
  <si>
    <t>20180119TS845V06</t>
  </si>
  <si>
    <t>TS845V06</t>
  </si>
  <si>
    <t>[더샘] 에코 소울 스킨 웨어 파운데이션 30ml #03</t>
  </si>
  <si>
    <t>20180119TS124V01</t>
  </si>
  <si>
    <t>B-43-10</t>
  </si>
  <si>
    <t>20180119TS672V02</t>
  </si>
  <si>
    <t>TS672V02</t>
  </si>
  <si>
    <t>B-36-10</t>
  </si>
  <si>
    <t>[더샘] 커버 퍼펙션 컨실러 파운데이션 #02 리치 베이지</t>
  </si>
  <si>
    <t>20180119TS797</t>
  </si>
  <si>
    <t>TS797</t>
  </si>
  <si>
    <t>a-05-03</t>
  </si>
  <si>
    <t>[더샘] 커버 퍼펙션 팁 컨실러 컨투어 베이지 6.5g</t>
  </si>
  <si>
    <t>20180119TS126V02</t>
  </si>
  <si>
    <t>a-01-12</t>
  </si>
  <si>
    <t>20180119TS736V03</t>
  </si>
  <si>
    <t>TS736V03</t>
  </si>
  <si>
    <t>[더샘] 키스홀릭 립스틱S 4.1g #03 OR01</t>
  </si>
  <si>
    <t>20180119FS1532</t>
  </si>
  <si>
    <t>20180119FS1631</t>
  </si>
  <si>
    <t>FS1631</t>
  </si>
  <si>
    <t>[더페이스샵] 더테라피 로얄메이드 수분 블렌딩 톤업 크림 50ml</t>
  </si>
  <si>
    <t>20180119FS1549V01</t>
  </si>
  <si>
    <t>20180119FS1549V02</t>
  </si>
  <si>
    <t>20180119FS013V02</t>
  </si>
  <si>
    <t>20180119FS1517V04</t>
  </si>
  <si>
    <t>20180119FS1517V09</t>
  </si>
  <si>
    <t>20180119FS1518V02</t>
  </si>
  <si>
    <t>B-34-05</t>
  </si>
  <si>
    <t>20180119FS1579V03</t>
  </si>
  <si>
    <t>FS1579V03</t>
  </si>
  <si>
    <t>A-30-04</t>
  </si>
  <si>
    <t>[더페이스샵] 베이비페이스 팩 50ml #03 수면팩</t>
  </si>
  <si>
    <t>20180119FS1728</t>
  </si>
  <si>
    <t>A-32-09</t>
  </si>
  <si>
    <t>20180119FS1679V02</t>
  </si>
  <si>
    <t>B-33-05</t>
  </si>
  <si>
    <t>20180119FS1362</t>
  </si>
  <si>
    <t>FS1362</t>
  </si>
  <si>
    <t>[더페이스샵] 제주 화산토 클레이 필오프 코팩</t>
  </si>
  <si>
    <t>20180119FS1603V01</t>
  </si>
  <si>
    <t>20180119FS1603V02</t>
  </si>
  <si>
    <t>20180119FS1372</t>
  </si>
  <si>
    <t>20180119FS1636V01</t>
  </si>
  <si>
    <t>FS1636V01</t>
  </si>
  <si>
    <t>A-17-03</t>
  </si>
  <si>
    <t>[더페이스샵] 캐릭터 마스크 (더심슨가족 에디션) 25g #01 엄마(마지)</t>
  </si>
  <si>
    <t>20180119FS1433V01</t>
  </si>
  <si>
    <t>FS1433V01</t>
  </si>
  <si>
    <t>A-08-17</t>
  </si>
  <si>
    <t>[더페이스샵] 틴트 스틱 #01 소프트 핑크</t>
  </si>
  <si>
    <t>20180119FS1145</t>
  </si>
  <si>
    <t>20180119FS557</t>
  </si>
  <si>
    <t>A-18-08</t>
  </si>
  <si>
    <t>20180119FS1591</t>
  </si>
  <si>
    <t>20180119FS1488V01</t>
  </si>
  <si>
    <t>FS1488V01</t>
  </si>
  <si>
    <t>[더페이스샵] CC 울트라 모이스트 쿠션 SPF50+ PA+++ 15g V103</t>
  </si>
  <si>
    <t>20180119FS1587V01</t>
  </si>
  <si>
    <t>20180119FS1587V02</t>
  </si>
  <si>
    <t>20180119AT049V03</t>
  </si>
  <si>
    <t>20180119AT035</t>
  </si>
  <si>
    <t>B-33-09</t>
  </si>
  <si>
    <t>20180119LN137</t>
  </si>
  <si>
    <t>1-02-03</t>
  </si>
  <si>
    <t>20180119LN132V01</t>
  </si>
  <si>
    <t>LN132V01</t>
  </si>
  <si>
    <t>[라네즈] 워터 글로우 베이스 코렉터 35ml #20호 로지핑크</t>
  </si>
  <si>
    <t>20180119LN097V07</t>
  </si>
  <si>
    <t>LN097V07</t>
  </si>
  <si>
    <t>A-33-08</t>
  </si>
  <si>
    <t>[라네즈] 투톤 틴트 립 바 2g #07 롤리팝 레드</t>
  </si>
  <si>
    <t>20180119LO011V02</t>
  </si>
  <si>
    <t>B-43-08</t>
  </si>
  <si>
    <t>라비오뜨</t>
  </si>
  <si>
    <t>주문예정</t>
  </si>
  <si>
    <t>20180119LO011V04</t>
  </si>
  <si>
    <t>20180119LO012V08</t>
  </si>
  <si>
    <t>C-00-72</t>
  </si>
  <si>
    <t>20180119RC011V02</t>
  </si>
  <si>
    <t>20180119MM097V03</t>
  </si>
  <si>
    <t>MM097V03</t>
  </si>
  <si>
    <t>[마몽드] 듀얼 틴트 립 밤 3g #3 스타일리쉬 레드</t>
  </si>
  <si>
    <t>20180119MM002</t>
  </si>
  <si>
    <t>C-00-48</t>
  </si>
  <si>
    <t>20180119MM086V01</t>
  </si>
  <si>
    <t>20180119MM086V06</t>
  </si>
  <si>
    <t>20180119MM124V01</t>
  </si>
  <si>
    <t>MM124V01</t>
  </si>
  <si>
    <t>[마몽드] 이지드로잉 젤아이라이너 6g #01 블랙</t>
  </si>
  <si>
    <t>20180119MM096V01</t>
  </si>
  <si>
    <t>MM096V01</t>
  </si>
  <si>
    <t>A-09-14</t>
  </si>
  <si>
    <t>[마몽드] 크리미 컬러 립 라이너 0.3g #1 더 히비스커스</t>
  </si>
  <si>
    <t>20180119MM110V10</t>
  </si>
  <si>
    <t>MM110V10</t>
  </si>
  <si>
    <t>A-09-13</t>
  </si>
  <si>
    <t>[마몽드] 크리미 틴트 컬러 밤 인텐스 2.5g #10호 클래식버건디</t>
  </si>
  <si>
    <t>20180119MM110V11</t>
  </si>
  <si>
    <t>A-01-07</t>
  </si>
  <si>
    <t>20180119MM110V13</t>
  </si>
  <si>
    <t>MM110V13</t>
  </si>
  <si>
    <t>A-35-02</t>
  </si>
  <si>
    <t>[마몽드] 크리미 틴트 컬러 밤 인텐스 2.5g #13호 벨벳로즈</t>
  </si>
  <si>
    <t>20180119MM110V15</t>
  </si>
  <si>
    <t>MM110V15</t>
  </si>
  <si>
    <t>A-04-13</t>
  </si>
  <si>
    <t>[마몽드] 크리미 틴트 컬러 밤 인텐스 2.5g #15호 벨벳코랄</t>
  </si>
  <si>
    <t>20180119MM110V16</t>
  </si>
  <si>
    <t>A-15-19</t>
  </si>
  <si>
    <t>20180119MM110V18</t>
  </si>
  <si>
    <t>20180119MM110V01</t>
  </si>
  <si>
    <t>A-14-12</t>
  </si>
  <si>
    <t>20180119MM110V03</t>
  </si>
  <si>
    <t>MM110V03</t>
  </si>
  <si>
    <t>[마몽드] 크리미 틴트 컬러 밤 인텐스 2.5g #3호 벨벳코스모스</t>
  </si>
  <si>
    <t>20180119MM110V05</t>
  </si>
  <si>
    <t>MM110V05</t>
  </si>
  <si>
    <t>A-01-06</t>
  </si>
  <si>
    <t>[마몽드] 크리미 틴트 컬러 밤 인텐스 2.5g #5호 블루밍로즈</t>
  </si>
  <si>
    <t>20180119MM110V07</t>
  </si>
  <si>
    <t>MM110V07</t>
  </si>
  <si>
    <t>B-38-09</t>
  </si>
  <si>
    <t>[마몽드] 크리미 틴트 컬러 밤 인텐스 2.5g #7호 키싱유</t>
  </si>
  <si>
    <t>20180119MM157</t>
  </si>
  <si>
    <t>MM157</t>
  </si>
  <si>
    <t>A-36-09</t>
  </si>
  <si>
    <t>[마몽드] 페탈 퓨리파잉 버블 마스크 100ml</t>
  </si>
  <si>
    <t>20180119MM065</t>
  </si>
  <si>
    <t>20180119MM134V03</t>
  </si>
  <si>
    <t>20180119MH002</t>
  </si>
  <si>
    <t>에어컨 앞</t>
  </si>
  <si>
    <t>20180119MS800V01</t>
  </si>
  <si>
    <t>D-02-02</t>
  </si>
  <si>
    <t>20180119MS760V02</t>
  </si>
  <si>
    <t>d-21-02</t>
  </si>
  <si>
    <t>20180119MS1269</t>
  </si>
  <si>
    <t>20180119MS112</t>
  </si>
  <si>
    <t>A-09-04</t>
  </si>
  <si>
    <t>지연취소</t>
  </si>
  <si>
    <t>20180119MS567</t>
  </si>
  <si>
    <t>A-08-05</t>
  </si>
  <si>
    <t>20180119MS102</t>
  </si>
  <si>
    <t>A-15-11</t>
  </si>
  <si>
    <t>20180119MS1023V06</t>
  </si>
  <si>
    <t>MS1023V06</t>
  </si>
  <si>
    <t>[미샤] 듀얼 블렌딩 쿠션 섀도우 #06 매직 더스트</t>
  </si>
  <si>
    <t>20180119MS1000</t>
  </si>
  <si>
    <t>20180119MS1040V09</t>
  </si>
  <si>
    <t>MS1040V09</t>
  </si>
  <si>
    <t>b-08-06</t>
  </si>
  <si>
    <t>[미샤] 루시드 네일 폴리쉬 #G011 골드 플래쉬</t>
  </si>
  <si>
    <t>20180119MS836V08</t>
  </si>
  <si>
    <t>a-04-05</t>
  </si>
  <si>
    <t>20180119MS836V04</t>
  </si>
  <si>
    <t>MS836V04</t>
  </si>
  <si>
    <t>A-16-10</t>
  </si>
  <si>
    <t>[미샤] 리얼 솔루션 텐셀 시트 마스크 25g #집중미백</t>
  </si>
  <si>
    <t>20180119MS836V01</t>
  </si>
  <si>
    <t>MS836V01</t>
  </si>
  <si>
    <t>[미샤] 리얼 솔루션 텐셀 시트 마스크 25g #토탈케어</t>
  </si>
  <si>
    <t>20180119MS1251V01</t>
  </si>
  <si>
    <t>A-02-12</t>
  </si>
  <si>
    <t>20180119MS1064V03</t>
  </si>
  <si>
    <t>A-05-17</t>
  </si>
  <si>
    <t>20180119MS1061</t>
  </si>
  <si>
    <t>B-30-11</t>
  </si>
  <si>
    <t>20180119MS1296V02</t>
  </si>
  <si>
    <t>MS1296V02</t>
  </si>
  <si>
    <t>A-12-08</t>
  </si>
  <si>
    <t>[미샤] 세범 컷 파우더 팩트 11g #02 클리어 피치</t>
  </si>
  <si>
    <t>20180119MS1336</t>
  </si>
  <si>
    <t>MS1336</t>
  </si>
  <si>
    <t>[미샤] 셀프 네일 살롱 베이직 에머리 보드</t>
  </si>
  <si>
    <t>20180119MS1213</t>
  </si>
  <si>
    <t>A-32-12</t>
  </si>
  <si>
    <t>20180119MS1235</t>
  </si>
  <si>
    <t>A-36-03</t>
  </si>
  <si>
    <t>20180119MS1005</t>
  </si>
  <si>
    <t>MS1005</t>
  </si>
  <si>
    <t>A-20-07</t>
  </si>
  <si>
    <t>[미샤] 스피디 솔루션 [브라이트닝 아이 패치]</t>
  </si>
  <si>
    <t>20180119MS1009</t>
  </si>
  <si>
    <t>B-37-05</t>
  </si>
  <si>
    <t>20180119MS1039V01</t>
  </si>
  <si>
    <t>20180119MS1328V01</t>
  </si>
  <si>
    <t>MS1328V01</t>
  </si>
  <si>
    <t>B-21-03</t>
  </si>
  <si>
    <t>[미샤] 엠보 겔 마스크 30g #01 너리싱 밤</t>
  </si>
  <si>
    <t>20180119MS1328V05</t>
  </si>
  <si>
    <t>MS1328V05</t>
  </si>
  <si>
    <t>b-21-02</t>
  </si>
  <si>
    <t>[미샤] 엠보 겔 마스크 30g #05 워터풀 밤</t>
  </si>
  <si>
    <t>20180119MS1314</t>
  </si>
  <si>
    <t>20180119MS977V01</t>
  </si>
  <si>
    <t>20180119MS977V02</t>
  </si>
  <si>
    <t>20180119MS1243</t>
  </si>
  <si>
    <t>C-00-69</t>
  </si>
  <si>
    <t>20180119MS1259</t>
  </si>
  <si>
    <t>MS1259</t>
  </si>
  <si>
    <t>A-32-10</t>
  </si>
  <si>
    <t>[미샤] 올 어라운드 세이프 블록 벨벳 피니쉬 선밀크 SPF50+ PA++++ 40ml</t>
  </si>
  <si>
    <t>20180119MS1255</t>
  </si>
  <si>
    <t>C-00-07</t>
  </si>
  <si>
    <t>20180119MS1230</t>
  </si>
  <si>
    <t>C-00-57</t>
  </si>
  <si>
    <t>20180119MS1253</t>
  </si>
  <si>
    <t>MS1253</t>
  </si>
  <si>
    <t>A-09-17</t>
  </si>
  <si>
    <t>[미샤] 올 어라운드 세이프 블록 에센스 선밀크 SPF50+ PA+++ 40ml</t>
  </si>
  <si>
    <t>20180119MS1257</t>
  </si>
  <si>
    <t>MS1257</t>
  </si>
  <si>
    <t>A-11-18</t>
  </si>
  <si>
    <t>[미샤] 올 어라운드 세이프 블록 워터프루프 선밀크 SPF50+ PA++++ 40ml</t>
  </si>
  <si>
    <t>20180119MS1239</t>
  </si>
  <si>
    <t>C-00-42</t>
  </si>
  <si>
    <t>20180119MS1356V01</t>
  </si>
  <si>
    <t>MS1356V01</t>
  </si>
  <si>
    <t>E-02-01</t>
  </si>
  <si>
    <t>[미샤] 천연 곤약 클렌징 퍼프 #대나무 숯</t>
  </si>
  <si>
    <t>20180119MS831</t>
  </si>
  <si>
    <t>MS831</t>
  </si>
  <si>
    <t>[미샤] 초공진 수액 150ml</t>
  </si>
  <si>
    <t>20180119MS936</t>
  </si>
  <si>
    <t>a-35-09</t>
  </si>
  <si>
    <t>20180119MS1293V01</t>
  </si>
  <si>
    <t>a-17-17</t>
  </si>
  <si>
    <t>20180119MS1293V02</t>
  </si>
  <si>
    <t>MS1293V02</t>
  </si>
  <si>
    <t>a-14-16</t>
  </si>
  <si>
    <t>[미샤] 커버 프라임 스틱 컨실러 0.9g #21 베이지</t>
  </si>
  <si>
    <t>20180119MS880V01</t>
  </si>
  <si>
    <t>MS880V01</t>
  </si>
  <si>
    <t>[미샤] 컬러링 틴트 밤 #01 해피투유</t>
  </si>
  <si>
    <t>20180119MS846V07</t>
  </si>
  <si>
    <t>MS846V07</t>
  </si>
  <si>
    <t>A-12-17</t>
  </si>
  <si>
    <t>[미샤] 컬러빔 블러셔 5g #07 VL01 라벤더 폴렌</t>
  </si>
  <si>
    <t>20180119MS1313</t>
  </si>
  <si>
    <t>MS1313</t>
  </si>
  <si>
    <t>1-00-03</t>
  </si>
  <si>
    <t>[미샤] 코튼 100 화장솜 (100p)</t>
  </si>
  <si>
    <t>20180119MS1019V01</t>
  </si>
  <si>
    <t>MS1019V01</t>
  </si>
  <si>
    <t>c-00-42</t>
  </si>
  <si>
    <t>[미샤] 쿨링 바디 소르베 #01 아이스망고</t>
  </si>
  <si>
    <t>20180119MS1354</t>
  </si>
  <si>
    <t>MS1354</t>
  </si>
  <si>
    <t>a-34-05</t>
  </si>
  <si>
    <t>[미샤] 클렌징 패드 1pad</t>
  </si>
  <si>
    <t>20180119MS1338</t>
  </si>
  <si>
    <t>MS1338</t>
  </si>
  <si>
    <t>[미샤] 퍼펙트 아이래쉬 컬러</t>
  </si>
  <si>
    <t>20180119MS1127</t>
  </si>
  <si>
    <t>20180119MS801V01</t>
  </si>
  <si>
    <t>MS801V01</t>
  </si>
  <si>
    <t>[미샤] 페인팅 루즈 쉬폰 6.4g COR01</t>
  </si>
  <si>
    <t>20180119MS1294</t>
  </si>
  <si>
    <t>MS1294</t>
  </si>
  <si>
    <t>[미샤] 포맨 트래블 키트(50ml+50ml+45ml+30ml)</t>
  </si>
  <si>
    <t>20180119MS1327V01</t>
  </si>
  <si>
    <t>MS1327V01</t>
  </si>
  <si>
    <t>a-12-07</t>
  </si>
  <si>
    <t>[미샤] 퓨어 소스 포켓 팩 10ml #01 그린티</t>
  </si>
  <si>
    <t>20180119MS1327V03</t>
  </si>
  <si>
    <t>MS1327V03</t>
  </si>
  <si>
    <t>A-31-11</t>
  </si>
  <si>
    <t>[미샤] 퓨어 소스 포켓 팩 10ml #03 레몬</t>
  </si>
  <si>
    <t>20180119MS1327V04</t>
  </si>
  <si>
    <t>MS1327V04</t>
  </si>
  <si>
    <t>a-17-11</t>
  </si>
  <si>
    <t>[미샤] 퓨어 소스 포켓 팩 10ml #04 석류</t>
  </si>
  <si>
    <t>20180119MS1327V05</t>
  </si>
  <si>
    <t>MS1327V05</t>
  </si>
  <si>
    <t>[미샤] 퓨어 소스 포켓 팩 10ml #05 시어버터</t>
  </si>
  <si>
    <t>20180119MS1327V06</t>
  </si>
  <si>
    <t>MS1327V06</t>
  </si>
  <si>
    <t>[미샤] 퓨어 소스 포켓 팩 10ml #06 쌀</t>
  </si>
  <si>
    <t>20180119MS1327V07</t>
  </si>
  <si>
    <t>MS1327V07</t>
  </si>
  <si>
    <t>B-41-04</t>
  </si>
  <si>
    <t>[미샤] 퓨어 소스 포켓 팩 10ml #07 알로에</t>
  </si>
  <si>
    <t>20180119MS1327V09</t>
  </si>
  <si>
    <t>MS1327V09</t>
  </si>
  <si>
    <t>[미샤] 퓨어 소스 포켓 팩 10ml #09 진주</t>
  </si>
  <si>
    <t>20180119MS1327V10</t>
  </si>
  <si>
    <t>MS1327V10</t>
  </si>
  <si>
    <t>a-12-10</t>
  </si>
  <si>
    <t>[미샤] 퓨어 소스 포켓 팩 10ml #10 티트리</t>
  </si>
  <si>
    <t>20180119MS851</t>
  </si>
  <si>
    <t>MS851</t>
  </si>
  <si>
    <t>A-04-17</t>
  </si>
  <si>
    <t>[미샤] 프로큐어 피스타치오 헤어 오일 85ml</t>
  </si>
  <si>
    <t>20180119MS1337</t>
  </si>
  <si>
    <t>MS1337</t>
  </si>
  <si>
    <t>[미샤] 프로페셔널 아이래쉬 컬러</t>
  </si>
  <si>
    <t>20180119MS1096</t>
  </si>
  <si>
    <t>MS1096</t>
  </si>
  <si>
    <t>[미샤] M 래디언스 메이크업베이스 SPF15 PA+ 35ml #1호 그린</t>
  </si>
  <si>
    <t>20180119MS1098V01</t>
  </si>
  <si>
    <t>MS1098V01</t>
  </si>
  <si>
    <t>C-00-51</t>
  </si>
  <si>
    <t>[미샤] M 래디언스 투웨이 팩트 SPF27 PA++ 11g #21호</t>
  </si>
  <si>
    <t>20180119ME002V02</t>
  </si>
  <si>
    <t>ME002V02</t>
  </si>
  <si>
    <t>[미쟝센] 헬로 버블 30g+60g #5BR 딥보르도 로즈</t>
  </si>
  <si>
    <t>20180119BC558V06</t>
  </si>
  <si>
    <t>BC558V06</t>
  </si>
  <si>
    <t>[바닐라코] 립라이크 립슬립 5.9g #PP01 크러쉬 와인</t>
  </si>
  <si>
    <t>바닐라코 뉴코아</t>
  </si>
  <si>
    <t>20180119BC563V02</t>
  </si>
  <si>
    <t>20180119BC538</t>
  </si>
  <si>
    <t>BC538</t>
  </si>
  <si>
    <t>b-17-03</t>
  </si>
  <si>
    <t>[바닐라코] 미스 플라워 앤 미스터 허니 크림 70ml</t>
  </si>
  <si>
    <t>20180119BC611V01</t>
  </si>
  <si>
    <t>20180119BC610V01</t>
  </si>
  <si>
    <t>20180119BC610V03</t>
  </si>
  <si>
    <t>B-37-09</t>
  </si>
  <si>
    <t>20180119BC470</t>
  </si>
  <si>
    <t>20180119BC557</t>
  </si>
  <si>
    <t>20180119BC574V01</t>
  </si>
  <si>
    <t>b-34-05</t>
  </si>
  <si>
    <t>20180119BC165V02</t>
  </si>
  <si>
    <t>A-34-09</t>
  </si>
  <si>
    <t>20180119BC476V01</t>
  </si>
  <si>
    <t>20180119BY518</t>
  </si>
  <si>
    <t>20180119BY470V02</t>
  </si>
  <si>
    <t>20180119BY251</t>
  </si>
  <si>
    <t>C-00-09</t>
  </si>
  <si>
    <t>20180119BY151</t>
  </si>
  <si>
    <t>20180119SH012</t>
  </si>
  <si>
    <t>D-27-06</t>
  </si>
  <si>
    <t>20180119SH021</t>
  </si>
  <si>
    <t>SH021</t>
  </si>
  <si>
    <t>B-31-09</t>
  </si>
  <si>
    <t>[설화수] 순행 클렌징 오일 200ml</t>
  </si>
  <si>
    <t>20180119SH093V02</t>
  </si>
  <si>
    <t>A-11-10</t>
  </si>
  <si>
    <t>20180119SH059</t>
  </si>
  <si>
    <t>SH059</t>
  </si>
  <si>
    <t>b-36-02</t>
  </si>
  <si>
    <t>[설화수] 자정클렌징폼</t>
  </si>
  <si>
    <t>20180119SH153V02</t>
  </si>
  <si>
    <t>SH153V02</t>
  </si>
  <si>
    <t>b-04-05</t>
  </si>
  <si>
    <t>[설화수] 퍼펙팅쿠션 SPF50+/PA+++ 15g(리필) #21 내추럴(핑크)</t>
  </si>
  <si>
    <t>20180119SH152V02</t>
  </si>
  <si>
    <t>20180119SE001</t>
  </si>
  <si>
    <t>세크리스</t>
  </si>
  <si>
    <t>20180119SM117</t>
  </si>
  <si>
    <t>20180119SM019</t>
  </si>
  <si>
    <t>20180119SK013</t>
  </si>
  <si>
    <t>SK013</t>
  </si>
  <si>
    <t>D-21-04</t>
  </si>
  <si>
    <t>[스킨79] 핫핑크 수퍼플러스 비블레쉬 밤 트리플 펑션 40g 펌프형</t>
  </si>
  <si>
    <t>20180119SF116V08</t>
  </si>
  <si>
    <t>SF116V08</t>
  </si>
  <si>
    <t>[스킨푸드] 네일 비타 ＃ BR612 카푸치노</t>
  </si>
  <si>
    <t>20180119SF116V21</t>
  </si>
  <si>
    <t>SF116V21</t>
  </si>
  <si>
    <t>B-09-05</t>
  </si>
  <si>
    <t>[스킨푸드] 네일 비타 ＃ PK216 비타 핑크</t>
  </si>
  <si>
    <t>20180119SF116V26</t>
  </si>
  <si>
    <t>SF116V26</t>
  </si>
  <si>
    <t>B-11-04</t>
  </si>
  <si>
    <t>[스킨푸드] 네일 비타 ＃ VI408 퍼플 스톤</t>
  </si>
  <si>
    <t>20180119SF117</t>
  </si>
  <si>
    <t>SF117</t>
  </si>
  <si>
    <t>B-36-04</t>
  </si>
  <si>
    <t>[스킨푸드] 네일 비타 베이스 코트</t>
  </si>
  <si>
    <t>20180119SF118</t>
  </si>
  <si>
    <t>B-36-02</t>
  </si>
  <si>
    <t>20180119SF1146</t>
  </si>
  <si>
    <t>20180119SF351</t>
  </si>
  <si>
    <t>20180119SF829</t>
  </si>
  <si>
    <t>B-31-10</t>
  </si>
  <si>
    <t>20180119SF890</t>
  </si>
  <si>
    <t>20180119SF736</t>
  </si>
  <si>
    <t>SF736</t>
  </si>
  <si>
    <t>B-43-11</t>
  </si>
  <si>
    <t>[스킨푸드] 로즈 쉐이크 포인트 메이크업 리무버 160ml</t>
  </si>
  <si>
    <t>20180119SF859</t>
  </si>
  <si>
    <t>SF859</t>
  </si>
  <si>
    <t>a-20-07</t>
  </si>
  <si>
    <t>[스킨푸드] 리얼 티 겔 마스크 (캐모마일) 30g</t>
  </si>
  <si>
    <t>20180119SF1048</t>
  </si>
  <si>
    <t>SF1048</t>
  </si>
  <si>
    <t>A-14-17</t>
  </si>
  <si>
    <t>[스킨푸드] 미네랄 아이 컬러 프라이머 4.4g</t>
  </si>
  <si>
    <t>20180119SF776</t>
  </si>
  <si>
    <t>20180119SF830V23</t>
  </si>
  <si>
    <t>20180119SF830V22</t>
  </si>
  <si>
    <t>b-37-07</t>
  </si>
  <si>
    <t>20180119SF830V13</t>
  </si>
  <si>
    <t>20180119SF830V18</t>
  </si>
  <si>
    <t>A-01-08</t>
  </si>
  <si>
    <t>20180119SF830V12</t>
  </si>
  <si>
    <t>b-37-06</t>
  </si>
  <si>
    <t>20180119SF830V15</t>
  </si>
  <si>
    <t>D-28-07</t>
  </si>
  <si>
    <t>20180119SF830V20</t>
  </si>
  <si>
    <t>A-32-11</t>
  </si>
  <si>
    <t>20180119SF1217</t>
  </si>
  <si>
    <t>B-30-10</t>
  </si>
  <si>
    <t>20180119SF597V01</t>
  </si>
  <si>
    <t>20180119SF1157V03</t>
  </si>
  <si>
    <t>SF1157V03</t>
  </si>
  <si>
    <t>c-00-56</t>
  </si>
  <si>
    <t>[스킨푸드] 백위트 루스 파우더 23g #23호 내추럴 베이지</t>
  </si>
  <si>
    <t>20180119SF648V03</t>
  </si>
  <si>
    <t>a-17-15</t>
  </si>
  <si>
    <t>20180119SF1045</t>
  </si>
  <si>
    <t>20180119SF868</t>
  </si>
  <si>
    <t>B-35-05</t>
  </si>
  <si>
    <t>20180119SF982</t>
  </si>
  <si>
    <t>SF982</t>
  </si>
  <si>
    <t>[스킨푸드] 비터 그린 딥 클렌징 젤</t>
  </si>
  <si>
    <t>20180119SF711V04</t>
  </si>
  <si>
    <t>20180119SF844</t>
  </si>
  <si>
    <t>c-00-60</t>
  </si>
  <si>
    <t>20180119SF1026</t>
  </si>
  <si>
    <t>SF1026</t>
  </si>
  <si>
    <t>[스킨푸드] 센텔라스카 연고 [그린티] 의약외품 20g</t>
  </si>
  <si>
    <t>20180119SF1143</t>
  </si>
  <si>
    <t>A-32-02</t>
  </si>
  <si>
    <t>20180119SF1142</t>
  </si>
  <si>
    <t>20180119SF953V02</t>
  </si>
  <si>
    <t>A-06-16</t>
  </si>
  <si>
    <t>20180119SF1211V02</t>
  </si>
  <si>
    <t>SF1211V02</t>
  </si>
  <si>
    <t>A-36-08</t>
  </si>
  <si>
    <t>[스킨푸드] 슈가 토핑 마스크 50ml #02 리얼 코코넛</t>
  </si>
  <si>
    <t>20180119SF1012</t>
  </si>
  <si>
    <t>20180119SF1034</t>
  </si>
  <si>
    <t>SF1034</t>
  </si>
  <si>
    <t>A-06-10</t>
  </si>
  <si>
    <t>[스킨푸드] 실리콘 멀티 브러쉬</t>
  </si>
  <si>
    <t>20180119SF939</t>
  </si>
  <si>
    <t>20180119SF970</t>
  </si>
  <si>
    <t>B-32-05</t>
  </si>
  <si>
    <t>20180119SF1182</t>
  </si>
  <si>
    <t>SF1182</t>
  </si>
  <si>
    <t>[스킨푸드] 알로에 워터리 쿨링 선쿠션 13g</t>
  </si>
  <si>
    <t>20180119SF949</t>
  </si>
  <si>
    <t>a-31-10</t>
  </si>
  <si>
    <t>20180119SF1145</t>
  </si>
  <si>
    <t>SF1145</t>
  </si>
  <si>
    <t>d-38-03</t>
  </si>
  <si>
    <t>[스킨푸드] 참숯 곤약 클렌징 퍼프</t>
  </si>
  <si>
    <t>20180119SF1150V01</t>
  </si>
  <si>
    <t>20180119SF1013V04</t>
  </si>
  <si>
    <t>SF1013V04</t>
  </si>
  <si>
    <t>B-42-10</t>
  </si>
  <si>
    <t>[스킨푸드] 프레쉬메이드 마스크 #04 레몬</t>
  </si>
  <si>
    <t>20180119SF790</t>
  </si>
  <si>
    <t>D-25-07</t>
  </si>
  <si>
    <t>20180119SF1102</t>
  </si>
  <si>
    <t>B-32-04</t>
  </si>
  <si>
    <t>20180119SF1135</t>
  </si>
  <si>
    <t>20180119SF803</t>
  </si>
  <si>
    <t>SF803</t>
  </si>
  <si>
    <t>a-16-02</t>
  </si>
  <si>
    <t>[스킨푸드] 흑석류 링클 앤 라인 크림 (주름 기능성) 30ml</t>
  </si>
  <si>
    <t>20180119SY196</t>
  </si>
  <si>
    <t>A-20-09</t>
  </si>
  <si>
    <t>20180119SY199</t>
  </si>
  <si>
    <t>c-00-34</t>
  </si>
  <si>
    <t>20180119SY001</t>
  </si>
  <si>
    <t>SY001</t>
  </si>
  <si>
    <t>[시크릿키] 스노우 화이트 밀키 팩 200g</t>
  </si>
  <si>
    <t>20180119SY178V01</t>
  </si>
  <si>
    <t>20180119SY178V05</t>
  </si>
  <si>
    <t>A-01-10</t>
  </si>
  <si>
    <t>20180119CC008</t>
  </si>
  <si>
    <t>CC008</t>
  </si>
  <si>
    <t>a-36-06</t>
  </si>
  <si>
    <t>[씨라클] 레드 스팟 크림 30ml</t>
  </si>
  <si>
    <t>파이어웍스</t>
  </si>
  <si>
    <t>20180119CC062</t>
  </si>
  <si>
    <t>D-17-07</t>
  </si>
  <si>
    <t>[씨라클] 비타민 소스 C-20 30ml</t>
  </si>
  <si>
    <t>20180119CC028</t>
  </si>
  <si>
    <t>CC028</t>
  </si>
  <si>
    <t>a-04-08</t>
  </si>
  <si>
    <t>[씨라클] 아이 컨투어 젤 15ml</t>
  </si>
  <si>
    <t>20180119CC048</t>
  </si>
  <si>
    <t>F-03-03</t>
  </si>
  <si>
    <t>20180119AT661V01</t>
  </si>
  <si>
    <t>20180119AT004</t>
  </si>
  <si>
    <t>20180119AT726V04</t>
  </si>
  <si>
    <t>20180119AT738V02</t>
  </si>
  <si>
    <t>20180119AT692V02</t>
  </si>
  <si>
    <t>AT692V02</t>
  </si>
  <si>
    <t>A-07-14</t>
  </si>
  <si>
    <t>[아리따움] 아이돌 브로우 마스카라 4.5g #02 내추럴 브라운</t>
  </si>
  <si>
    <t>20180119AT521</t>
  </si>
  <si>
    <t>AT521</t>
  </si>
  <si>
    <t>[아리따움] 알로에 수딩 젤 320ml</t>
  </si>
  <si>
    <t>20180119AT737V08</t>
  </si>
  <si>
    <t>20180119AT712V01</t>
  </si>
  <si>
    <t>20180119AT712V02</t>
  </si>
  <si>
    <t>20180119AT673</t>
  </si>
  <si>
    <t>AT673</t>
  </si>
  <si>
    <t>A-17-09</t>
  </si>
  <si>
    <t>[아리따움] 티트리 솔루션 스팟 톡 롤 온 오일 7ml</t>
  </si>
  <si>
    <t>20180119AT670</t>
  </si>
  <si>
    <t>AT670</t>
  </si>
  <si>
    <t>[아리따움] 티트리 솔루션 시카포커스 크림 35ml</t>
  </si>
  <si>
    <t>20180119AT729V01</t>
  </si>
  <si>
    <t>AT729V01</t>
  </si>
  <si>
    <t>B-05-05</t>
  </si>
  <si>
    <t>[아리따움] 포어마스터 세범 컨트롤 파우더 5g #1호 화이트</t>
  </si>
  <si>
    <t>20180119AT729V02</t>
  </si>
  <si>
    <t>AT729V02</t>
  </si>
  <si>
    <t>A-37-02</t>
  </si>
  <si>
    <t>[아리따움] 포어마스터 세범 컨트롤 파우더 5g #2호 핑크베이지</t>
  </si>
  <si>
    <t>20180119AT728V01</t>
  </si>
  <si>
    <t>AT728V01</t>
  </si>
  <si>
    <t>a-13-10</t>
  </si>
  <si>
    <t>[아리따움] 포어마스터 세범 컨트롤 팩트 10g #1호 화이트</t>
  </si>
  <si>
    <t>20180119AT728V02</t>
  </si>
  <si>
    <t>AT728V02</t>
  </si>
  <si>
    <t>A-08-16</t>
  </si>
  <si>
    <t>[아리따움] 포어마스터 세범 컨트롤 팩트 10g #2호 핑크베이지</t>
  </si>
  <si>
    <t>20180119AT736V02</t>
  </si>
  <si>
    <t>20180119AT617</t>
  </si>
  <si>
    <t>20180119AT620</t>
  </si>
  <si>
    <t>a-26-03</t>
  </si>
  <si>
    <t>20180119AT660V09</t>
  </si>
  <si>
    <t>AT660V09</t>
  </si>
  <si>
    <t>a-07-02</t>
  </si>
  <si>
    <t>[아리따움] 프레시 파워 에센스 파우치 팩 #09 콜라겐</t>
  </si>
  <si>
    <t>20180119AT660V10</t>
  </si>
  <si>
    <t>20180119IP049</t>
  </si>
  <si>
    <t>20180119IP095V02</t>
  </si>
  <si>
    <t>20180119AT397</t>
  </si>
  <si>
    <t>c-00-79</t>
  </si>
  <si>
    <t>20180119IP034</t>
  </si>
  <si>
    <t>20180119IP032</t>
  </si>
  <si>
    <t>20180119IP073V04</t>
  </si>
  <si>
    <t>IP073V04</t>
  </si>
  <si>
    <t>[아이오페] 에어쿠션 내추럴 15g (리필) #23호 베이지</t>
  </si>
  <si>
    <t>20180119AY000672</t>
  </si>
  <si>
    <t>AY000672</t>
  </si>
  <si>
    <t>a-22-03</t>
  </si>
  <si>
    <t>[애터미] 버블앤 컬러 진한갈색G</t>
  </si>
  <si>
    <t>20180119AY000266</t>
  </si>
  <si>
    <t>AY000266</t>
  </si>
  <si>
    <t>D-24-07</t>
  </si>
  <si>
    <t>[애터미] 헬시글로우 베이스 33ml</t>
  </si>
  <si>
    <t>20180119AP090</t>
  </si>
  <si>
    <t>AP090</t>
  </si>
  <si>
    <t>A-05-08</t>
  </si>
  <si>
    <t>[어퓨] 난코 티트리 스틱</t>
  </si>
  <si>
    <t>20180119AP195</t>
  </si>
  <si>
    <t>B-39-10</t>
  </si>
  <si>
    <t>20180119AP173V03</t>
  </si>
  <si>
    <t>AP173V03</t>
  </si>
  <si>
    <t>A-06-15</t>
  </si>
  <si>
    <t>[어퓨] 래스팅 립 틴트 RD03 헤일리</t>
  </si>
  <si>
    <t>20180119AP454V01</t>
  </si>
  <si>
    <t>20180119AP174V01</t>
  </si>
  <si>
    <t>AP174V01</t>
  </si>
  <si>
    <t>[어퓨] 마커 펜 틴트 CR01 콜미코랄</t>
  </si>
  <si>
    <t>20180119AP174V04</t>
  </si>
  <si>
    <t>AP174V04</t>
  </si>
  <si>
    <t>C-00-45</t>
  </si>
  <si>
    <t>[어퓨] 마커 펜 틴트 PK01 픽업핑크</t>
  </si>
  <si>
    <t>20180119AP518V01</t>
  </si>
  <si>
    <t>AP518V01</t>
  </si>
  <si>
    <t>c-00-81</t>
  </si>
  <si>
    <t>[어퓨] 물광 틴트 4g #CR01 덜익은 자몽</t>
  </si>
  <si>
    <t>20180119AP518V06</t>
  </si>
  <si>
    <t>A-04-15</t>
  </si>
  <si>
    <t>20180119AP471V01</t>
  </si>
  <si>
    <t>20180119AP246V01</t>
  </si>
  <si>
    <t>AP246V01</t>
  </si>
  <si>
    <t>A-08-14</t>
  </si>
  <si>
    <t>[어퓨] 스키니 워터프루프 마스카라 롱래쉬</t>
  </si>
  <si>
    <t>20180119AP501V03</t>
  </si>
  <si>
    <t>a-05-02</t>
  </si>
  <si>
    <t>20180119AP501V04</t>
  </si>
  <si>
    <t>20180119AP351V02</t>
  </si>
  <si>
    <t>20180119AP423V02</t>
  </si>
  <si>
    <t>d-07-04</t>
  </si>
  <si>
    <t>20180119AP490V01</t>
  </si>
  <si>
    <t>b-41-10</t>
  </si>
  <si>
    <t>20180119AP456V01</t>
  </si>
  <si>
    <t>AP456V01</t>
  </si>
  <si>
    <t>A-07-03</t>
  </si>
  <si>
    <t>[어퓨] 원더 텐션 팩트 모이스트 13g #21</t>
  </si>
  <si>
    <t>20180119AP500</t>
  </si>
  <si>
    <t>A-12-09</t>
  </si>
  <si>
    <t>20180119AP478</t>
  </si>
  <si>
    <t>AP478</t>
  </si>
  <si>
    <t>[어퓨] 포근온팩 22g</t>
  </si>
  <si>
    <t>20180119EH1214</t>
  </si>
  <si>
    <t>EH1214</t>
  </si>
  <si>
    <t>1-06-02</t>
  </si>
  <si>
    <t>[샘플][에뛰드하우스] 수분가득 콜라겐 스킨 5ml</t>
  </si>
  <si>
    <t>20180119EH1395V16</t>
  </si>
  <si>
    <t>D-16-06</t>
  </si>
  <si>
    <t>20180119EH1395V17</t>
  </si>
  <si>
    <t>B-33-12</t>
  </si>
  <si>
    <t>20180119EH1395V18</t>
  </si>
  <si>
    <t>20180119EH1395V19</t>
  </si>
  <si>
    <t>b-19-05</t>
  </si>
  <si>
    <t>20180119EH1255</t>
  </si>
  <si>
    <t>b-37-05</t>
  </si>
  <si>
    <t>20180119EH1605V12</t>
  </si>
  <si>
    <t>a-13-14</t>
  </si>
  <si>
    <t>20180119EH1605V13</t>
  </si>
  <si>
    <t>20180119EH1605V14</t>
  </si>
  <si>
    <t>A-09-16</t>
  </si>
  <si>
    <t>20180119EH1605V17</t>
  </si>
  <si>
    <t>20180119EH1605V02</t>
  </si>
  <si>
    <t>a-16-15</t>
  </si>
  <si>
    <t>20180119EH1480</t>
  </si>
  <si>
    <t>EH1480</t>
  </si>
  <si>
    <t>A-32-07</t>
  </si>
  <si>
    <t>[에뛰드하우스] 꼭꼭 숨어라 바디 스팟 패치</t>
  </si>
  <si>
    <t>20180119EH1606V07</t>
  </si>
  <si>
    <t>A-05-16</t>
  </si>
  <si>
    <t>20180119EH1748V05</t>
  </si>
  <si>
    <t>EH1748V05</t>
  </si>
  <si>
    <t>[에뛰드하우스] 디어 달링 워터젤 틴트_아이스크림 4.5g #RD306 샤크레드</t>
  </si>
  <si>
    <t>20180119EH269V08</t>
  </si>
  <si>
    <t>A-04-12</t>
  </si>
  <si>
    <t>20180119EH1541</t>
  </si>
  <si>
    <t>EH1541</t>
  </si>
  <si>
    <t>B-17-03</t>
  </si>
  <si>
    <t>[에뛰드하우스] 립 앤 아이 리무버 대용량 250ml</t>
  </si>
  <si>
    <t>20180119EH1216</t>
  </si>
  <si>
    <t>a-03-18</t>
  </si>
  <si>
    <t>20180119EH1576</t>
  </si>
  <si>
    <t>A-13-20</t>
  </si>
  <si>
    <t>20180119EH1047</t>
  </si>
  <si>
    <t>A-16-19</t>
  </si>
  <si>
    <t>20180119EH1217</t>
  </si>
  <si>
    <t>A-10-17</t>
  </si>
  <si>
    <t>20180119EH1311V02</t>
  </si>
  <si>
    <t>20180119EH1311V03</t>
  </si>
  <si>
    <t>20180119EH1279V04</t>
  </si>
  <si>
    <t>EH1279V04</t>
  </si>
  <si>
    <t>a-10-12</t>
  </si>
  <si>
    <t>[에뛰드하우스] 블렌드 포 아이즈 9g 4호 코지베이지</t>
  </si>
  <si>
    <t>20180119EH272V13</t>
  </si>
  <si>
    <t>EH272V13</t>
  </si>
  <si>
    <t>A-14-19</t>
  </si>
  <si>
    <t>[에뛰드하우스] 블링블링 아이스틱 #13호 금빛 햇살별</t>
  </si>
  <si>
    <t>20180119EH1301V02</t>
  </si>
  <si>
    <t>EH1301V02</t>
  </si>
  <si>
    <t>A-17-13</t>
  </si>
  <si>
    <t>[에뛰드하우스] 빅 커버 스틱 컨실러 2g #02 샌드</t>
  </si>
  <si>
    <t>20180119EH1743V01</t>
  </si>
  <si>
    <t>EH1743V01</t>
  </si>
  <si>
    <t>[에뛰드하우스] 샤이닝 파우더 치크 듀오 9g #1호 코랄크러쉬 듀오</t>
  </si>
  <si>
    <t>20180119EH315V02</t>
  </si>
  <si>
    <t>20180119EH315V03</t>
  </si>
  <si>
    <t>A-05-11</t>
  </si>
  <si>
    <t>20180119EH1616</t>
  </si>
  <si>
    <t>EH1616</t>
  </si>
  <si>
    <t>[에뛰드하우스] 순정 10 무 진정 수분 에멀전 72ml</t>
  </si>
  <si>
    <t>20180119EH1618</t>
  </si>
  <si>
    <t>20180119EH1613</t>
  </si>
  <si>
    <t>20180119EH1693V10</t>
  </si>
  <si>
    <t>EH1693V10</t>
  </si>
  <si>
    <t>[에뛰드하우스] 슈퍼 슬림 프루프 젤 펜슬 라이너 0.08 g #10호 딥씨 네이비</t>
  </si>
  <si>
    <t>20180119EH1693V08</t>
  </si>
  <si>
    <t>EH1693V08</t>
  </si>
  <si>
    <t>[에뛰드하우스] 슈퍼 슬림 프루프 젤 펜슬 라이너 0.08 g #8호 와인 버건디</t>
  </si>
  <si>
    <t>20180119EH1628V02</t>
  </si>
  <si>
    <t>20180119EH116V03</t>
  </si>
  <si>
    <t>A-11-11</t>
  </si>
  <si>
    <t>20180119EH292</t>
  </si>
  <si>
    <t>EH292</t>
  </si>
  <si>
    <t>[에뛰드하우스] 오 마이 래쉬 밀착카라 볼륨 ＆ 컬</t>
  </si>
  <si>
    <t>20180119EH1401</t>
  </si>
  <si>
    <t>EH1401</t>
  </si>
  <si>
    <t>[에뛰드하우스] 오레몽 원샷 모닝 젤 클렌저</t>
  </si>
  <si>
    <t>20180119EH1402</t>
  </si>
  <si>
    <t>EH1402</t>
  </si>
  <si>
    <t>c-00-08</t>
  </si>
  <si>
    <t>[에뛰드하우스] 오레몽 원샷 산뜻 수분 폼</t>
  </si>
  <si>
    <t>20180119EH1224</t>
  </si>
  <si>
    <t>20180119EH1553V01</t>
  </si>
  <si>
    <t>EH1553V01</t>
  </si>
  <si>
    <t>[에뛰드하우스] 진주알 맑은 비비크림 매트 SPF50+PA+++ 45g #01 바닐라</t>
  </si>
  <si>
    <t>20180119EH1553V04</t>
  </si>
  <si>
    <t>EH1553V04</t>
  </si>
  <si>
    <t>B-37-04</t>
  </si>
  <si>
    <t>[에뛰드하우스] 진주알 맑은 비비크림 매트 SPF50+PA+++ 45g #04 샌드</t>
  </si>
  <si>
    <t>20180119EH1551V03</t>
  </si>
  <si>
    <t>20180119EH038V05</t>
  </si>
  <si>
    <t>EH038V05</t>
  </si>
  <si>
    <t>a-11-17</t>
  </si>
  <si>
    <t>[에뛰드하우스] 청순거짓 브라우카라 5호 블론디 브라운 Color My Brows</t>
  </si>
  <si>
    <t>20180119EH1466</t>
  </si>
  <si>
    <t>EH1466</t>
  </si>
  <si>
    <t>a-27-07</t>
  </si>
  <si>
    <t>[에뛰드하우스] 체리 쪽 젤리 입술 패치 (생기) 10ml</t>
  </si>
  <si>
    <t>20180119EH1665V04</t>
  </si>
  <si>
    <t>C-00-47</t>
  </si>
  <si>
    <t>20180119EH332</t>
  </si>
  <si>
    <t>20180119EH1431V01</t>
  </si>
  <si>
    <t>B-36-03</t>
  </si>
  <si>
    <t>20180119EH1490V02</t>
  </si>
  <si>
    <t>20180119EH062V01</t>
  </si>
  <si>
    <t>EH062V01</t>
  </si>
  <si>
    <t>[에뛰드하우스] 핸드부케 핸드크림 리치버터 50ml</t>
  </si>
  <si>
    <t>20180119EH1362</t>
  </si>
  <si>
    <t>A-01-18</t>
  </si>
  <si>
    <t>20180119EH1369</t>
  </si>
  <si>
    <t>C-00-12</t>
  </si>
  <si>
    <t>20180119AO004</t>
  </si>
  <si>
    <t>AO004</t>
  </si>
  <si>
    <t>[에이컨셉] 아이 베이스 브러쉬 1개</t>
  </si>
  <si>
    <t>20180119EZ052</t>
  </si>
  <si>
    <t>EZ052</t>
  </si>
  <si>
    <t>D-38-02</t>
  </si>
  <si>
    <t>[엘리자베카] 엘리자베카 위치피기 히알루론산 97% 50ml</t>
  </si>
  <si>
    <t>20180119IN1221</t>
  </si>
  <si>
    <t>IN1221</t>
  </si>
  <si>
    <t>A-22-08</t>
  </si>
  <si>
    <t>[샘플][이니스프리] 슈퍼푸드 케일 안티옥시던트 크림 &amp; 오트 마일드 모이스처 올인원 로션 &amp; 블루베리 리밸런싱 5.5 클렌저 (파우치)</t>
  </si>
  <si>
    <t>20180119IN746</t>
  </si>
  <si>
    <t>IN746</t>
  </si>
  <si>
    <t>b-18-03</t>
  </si>
  <si>
    <t>[이니스프리] 그린티 모이스처 크림 50ml</t>
  </si>
  <si>
    <t>20180119IN1231V05</t>
  </si>
  <si>
    <t>IN1231V05</t>
  </si>
  <si>
    <t>A-01-11</t>
  </si>
  <si>
    <t>[이니스프리] 글로우 틴트 립밤 3.5g #5호 장미</t>
  </si>
  <si>
    <t>20180119IN916V05</t>
  </si>
  <si>
    <t>IN916V05</t>
  </si>
  <si>
    <t>a-06-13</t>
  </si>
  <si>
    <t>[이니스프리] 납작 아이브로우 펜슬(AD) #깊은밤 에스프레소 브라운</t>
  </si>
  <si>
    <t>20180119IN916V03</t>
  </si>
  <si>
    <t>A-10-09</t>
  </si>
  <si>
    <t>20180119IN916V04</t>
  </si>
  <si>
    <t>a-12-17</t>
  </si>
  <si>
    <t>20180119IN1352</t>
  </si>
  <si>
    <t>IN1352</t>
  </si>
  <si>
    <t>[이니스프리] 노세범 미네랄 파우더 [스누피 리미티드 에디션] 5g</t>
  </si>
  <si>
    <t>20180119IN039</t>
  </si>
  <si>
    <t>IN039</t>
  </si>
  <si>
    <t>C-00-21</t>
  </si>
  <si>
    <t>[이니스프리] 노세범 미네랄 팩트</t>
  </si>
  <si>
    <t>20180119IN787</t>
  </si>
  <si>
    <t>20180119IN786</t>
  </si>
  <si>
    <t>b-30-11</t>
  </si>
  <si>
    <t>20180119IN1136</t>
  </si>
  <si>
    <t>C-02-01</t>
  </si>
  <si>
    <t>20180119IN167</t>
  </si>
  <si>
    <t>IN167</t>
  </si>
  <si>
    <t>[이니스프리] 더 그린티 씨드 오일 30ml 초록색</t>
  </si>
  <si>
    <t>20180119IN1227V06</t>
  </si>
  <si>
    <t>IN1227V06</t>
  </si>
  <si>
    <t>a-08-13</t>
  </si>
  <si>
    <t>[이니스프리] 데싱디바 매직 프레스 #6호 흩날리는 스카프</t>
  </si>
  <si>
    <t>20180119IN1011</t>
  </si>
  <si>
    <t>20180119IN1003</t>
  </si>
  <si>
    <t>20180119IN1015V18</t>
  </si>
  <si>
    <t>IN1015V18</t>
  </si>
  <si>
    <t>A-15-05</t>
  </si>
  <si>
    <t>[이니스프리] 리얼 컬러 네일 #18호 설레는 봄 나들이</t>
  </si>
  <si>
    <t>20180119IN1015V06</t>
  </si>
  <si>
    <t>IN1015V06</t>
  </si>
  <si>
    <t>c-00-45</t>
  </si>
  <si>
    <t>[이니스프리] 리얼 컬러 네일 #6호 작은 벚꽃 핑크</t>
  </si>
  <si>
    <t>20180119IN846V03</t>
  </si>
  <si>
    <t>IN846V03</t>
  </si>
  <si>
    <t>A-01-16</t>
  </si>
  <si>
    <t>[이니스프리] 리얼핏 립스틱 3.3g 자몽 닮은 피치</t>
  </si>
  <si>
    <t>20180119IN1045V10</t>
  </si>
  <si>
    <t>20180119IN1323V02</t>
  </si>
  <si>
    <t>IN1323V02</t>
  </si>
  <si>
    <t>b-42-07</t>
  </si>
  <si>
    <t>[이니스프리] 마이 리얼 스퀴즈 마스크 20ml #대나무</t>
  </si>
  <si>
    <t>20180119IN1323V01</t>
  </si>
  <si>
    <t>IN1323V01</t>
  </si>
  <si>
    <t>A-06-17</t>
  </si>
  <si>
    <t>[이니스프리] 마이 리얼 스퀴즈 마스크 20ml #오이</t>
  </si>
  <si>
    <t>20180119IN1351V01</t>
  </si>
  <si>
    <t>IN1351V01</t>
  </si>
  <si>
    <t>[이니스프리] 마이 바디 바디 로션 [스누피 리미티드 에디션] 300ml #01.시더우드</t>
  </si>
  <si>
    <t>20180119IN1351V02</t>
  </si>
  <si>
    <t>IN1351V02</t>
  </si>
  <si>
    <t>[이니스프리] 마이 바디 바디 로션 [스누피 리미티드 에디션] 300ml #02.코튼플라워</t>
  </si>
  <si>
    <t>20180119IN1033</t>
  </si>
  <si>
    <t>IN1033</t>
  </si>
  <si>
    <t>c-00-47</t>
  </si>
  <si>
    <t>[이니스프리] 매끈 립 스크럽</t>
  </si>
  <si>
    <t>20180119IN1191</t>
  </si>
  <si>
    <t>IN1191</t>
  </si>
  <si>
    <t>[이니스프리] 뷰티툴 눈썹 수정칼 2P</t>
  </si>
  <si>
    <t>20180119IN1167</t>
  </si>
  <si>
    <t>IN1167</t>
  </si>
  <si>
    <t>c-00-58</t>
  </si>
  <si>
    <t>[이니스프리] 뷰티툴 블랙헤드 듀얼 클리너 1pcs</t>
  </si>
  <si>
    <t>20180119IN1203</t>
  </si>
  <si>
    <t>IN1203</t>
  </si>
  <si>
    <t>b-13-04</t>
  </si>
  <si>
    <t>[이니스프리] 뷰티툴 샤워 타월_혼방 1P</t>
  </si>
  <si>
    <t>20180119IN1180</t>
  </si>
  <si>
    <t>A-37-09</t>
  </si>
  <si>
    <t>20180119IN1193</t>
  </si>
  <si>
    <t>IN1193</t>
  </si>
  <si>
    <t>[이니스프리] 뷰티툴 우드 스틱 10P</t>
  </si>
  <si>
    <t>20180119IN1092</t>
  </si>
  <si>
    <t>20180119IN1177</t>
  </si>
  <si>
    <t>IN1177</t>
  </si>
  <si>
    <t>b-12-01</t>
  </si>
  <si>
    <t>[이니스프리] 뷰티툴 팩 마스크 시트 10매</t>
  </si>
  <si>
    <t>20180119IN1176</t>
  </si>
  <si>
    <t>20180119IN1182</t>
  </si>
  <si>
    <t>IN1182</t>
  </si>
  <si>
    <t>B-18-01</t>
  </si>
  <si>
    <t>[이니스프리] 뷰티툴 화산송이 한지 기름종이 50매</t>
  </si>
  <si>
    <t>20180119IN1085</t>
  </si>
  <si>
    <t>IN1085</t>
  </si>
  <si>
    <t>B-40-12</t>
  </si>
  <si>
    <t>[이니스프리] 블랙 그린티 크림 60ml</t>
  </si>
  <si>
    <t>20180119IN1358V02</t>
  </si>
  <si>
    <t>IN1358V02</t>
  </si>
  <si>
    <t>[이니스프리] 비비드 후르츠 틴트 9ml #2호 물 먹은 오렌지</t>
  </si>
  <si>
    <t>20180119IN1152</t>
  </si>
  <si>
    <t>IN1152</t>
  </si>
  <si>
    <t>[이니스프리] 비자 시카 밤 40ml</t>
  </si>
  <si>
    <t>20180119IN1163</t>
  </si>
  <si>
    <t>IN1163</t>
  </si>
  <si>
    <t>c-00-43</t>
  </si>
  <si>
    <t>[이니스프리] 슈퍼푸드_오트 마일드 모이스처 필링젤 100ml</t>
  </si>
  <si>
    <t>20180119IN1293V01</t>
  </si>
  <si>
    <t>IN1293V01</t>
  </si>
  <si>
    <t>A-16-17</t>
  </si>
  <si>
    <t>[이니스프리] 스마트 드로잉 [블러셔] SPF26 PA++ 12ml #01 데이지핑크</t>
  </si>
  <si>
    <t>20180119IN841</t>
  </si>
  <si>
    <t>IN841</t>
  </si>
  <si>
    <t>A-02-15</t>
  </si>
  <si>
    <t>[이니스프리] 스키니 워터프루프 꼼꼼카라 5g</t>
  </si>
  <si>
    <t>20180119IN1027</t>
  </si>
  <si>
    <t>20180119IN1116V04</t>
  </si>
  <si>
    <t>IN1116V04</t>
  </si>
  <si>
    <t>A-09-09</t>
  </si>
  <si>
    <t>[이니스프리] 스킨 클리닉 마스크 20ml #04 콜라겐</t>
  </si>
  <si>
    <t>20180119IN1329</t>
  </si>
  <si>
    <t>IN1329</t>
  </si>
  <si>
    <t>[이니스프리] 스팟 하이드로콜로이드 밴드 1개 (15패치)</t>
  </si>
  <si>
    <t>20180119IN1119V05</t>
  </si>
  <si>
    <t>20180119IN1303</t>
  </si>
  <si>
    <t>IN1303</t>
  </si>
  <si>
    <t>[이니스프리] 아쿠아 UV프로텍션 크림 워터드롭 SPF50+ PA++++ 50 mL</t>
  </si>
  <si>
    <t>20180119IN805</t>
  </si>
  <si>
    <t>IN805</t>
  </si>
  <si>
    <t>B-19-02</t>
  </si>
  <si>
    <t>[이니스프리] 알로에 리바이탈 수딩젤 300ml</t>
  </si>
  <si>
    <t>20180119IN1057</t>
  </si>
  <si>
    <t>IN1057</t>
  </si>
  <si>
    <t>b-35-05</t>
  </si>
  <si>
    <t>[이니스프리] 애플 씨드 립앤아이 리무버 100ml</t>
  </si>
  <si>
    <t>20180119IN1069</t>
  </si>
  <si>
    <t>IN1069</t>
  </si>
  <si>
    <t>a-17-12</t>
  </si>
  <si>
    <t>[이니스프리] 애플 씨드 클렌징 티슈 15매</t>
  </si>
  <si>
    <t>20180119IN1040</t>
  </si>
  <si>
    <t>IN1040</t>
  </si>
  <si>
    <t>B-25-09</t>
  </si>
  <si>
    <t>[이니스프리] 에코 뷰티툴 리본 헤어밴드</t>
  </si>
  <si>
    <t>20180119IN060</t>
  </si>
  <si>
    <t>IN060</t>
  </si>
  <si>
    <t>C-00-24</t>
  </si>
  <si>
    <t>[이니스프리] 에코 사이언스 아이 크림 30ml</t>
  </si>
  <si>
    <t>20180119IN1097</t>
  </si>
  <si>
    <t>IN1097</t>
  </si>
  <si>
    <t>[이니스프리] 올리브 리얼 아이크림 30ml</t>
  </si>
  <si>
    <t>20180119IN1103</t>
  </si>
  <si>
    <t>IN1103</t>
  </si>
  <si>
    <t>[이니스프리] 올리브 리얼 클렌징 오일 150ml</t>
  </si>
  <si>
    <t>20180119IN1232V01</t>
  </si>
  <si>
    <t>IN1232V01</t>
  </si>
  <si>
    <t>[이니스프리] 유채꿀 립 밤 3.5g #1 유채꿀</t>
  </si>
  <si>
    <t>20180119IN1005</t>
  </si>
  <si>
    <t>IN1005</t>
  </si>
  <si>
    <t>A-15-06</t>
  </si>
  <si>
    <t>[이니스프리] 익스트림 유브이 프로텍션 젤 로션 60 워터베이스 SPF50+ PA+++</t>
  </si>
  <si>
    <t>20180119IN1229</t>
  </si>
  <si>
    <t>IN1229</t>
  </si>
  <si>
    <t>[이니스프리] 제주 용암해수 부스팅 앰플 25ml</t>
  </si>
  <si>
    <t>20180119IN1047</t>
  </si>
  <si>
    <t>IN1047</t>
  </si>
  <si>
    <t>B-32-08</t>
  </si>
  <si>
    <t>[이니스프리] 제주 용암해수 인텐시브 앰플 30ml</t>
  </si>
  <si>
    <t>20180119IN543V04</t>
  </si>
  <si>
    <t>IN543V04</t>
  </si>
  <si>
    <t>B-41-03</t>
  </si>
  <si>
    <t>[이니스프리] 카멜리아 버블 헤어 컬러 #4호 (버건디 레드)</t>
  </si>
  <si>
    <t>20180119IN1079V01</t>
  </si>
  <si>
    <t>IN1079V01</t>
  </si>
  <si>
    <t>B-32-11</t>
  </si>
  <si>
    <t>[이니스프리] 카멜리아 에센셜 헤어 마스크팩 35g #리페어</t>
  </si>
  <si>
    <t>20180119IN817</t>
  </si>
  <si>
    <t>IN817</t>
  </si>
  <si>
    <t>B-26-07</t>
  </si>
  <si>
    <t>[이니스프리] 카멜리아 에센셜 헤어 오일 세럼 100ml</t>
  </si>
  <si>
    <t>20180119IN613</t>
  </si>
  <si>
    <t>IN613</t>
  </si>
  <si>
    <t>[이니스프리] 팩 브러쉬</t>
  </si>
  <si>
    <t>20180119IN905</t>
  </si>
  <si>
    <t>B-36-08</t>
  </si>
  <si>
    <t>20180119IN1354V01</t>
  </si>
  <si>
    <t>IN1354V01</t>
  </si>
  <si>
    <t>[이니스프리] 퍼퓸드 핸드크림 [스누피 리미티드 에디션] 30ml #01.스몰웨딩 부케</t>
  </si>
  <si>
    <t>20180119IN1354V02</t>
  </si>
  <si>
    <t>IN1354V02</t>
  </si>
  <si>
    <t>[이니스프리] 퍼퓸드 핸드크림 [스누피 리미티드 에디션] 30ml #02.햇살 아래 산딸기</t>
  </si>
  <si>
    <t>20180119IN1354V03</t>
  </si>
  <si>
    <t>IN1354V03</t>
  </si>
  <si>
    <t>[이니스프리] 퍼퓸드 핸드크림 [스누피 리미티드 에디션] 30ml #03.가을비</t>
  </si>
  <si>
    <t>20180119IN810</t>
  </si>
  <si>
    <t>IN810</t>
  </si>
  <si>
    <t>b-29-07</t>
  </si>
  <si>
    <t>[이니스프리] 포레스트 포맨 노세범 선블록 70ml</t>
  </si>
  <si>
    <t>20180119IN1346</t>
  </si>
  <si>
    <t>C-21-04</t>
  </si>
  <si>
    <t>20180119IN1343</t>
  </si>
  <si>
    <t>b-32-06</t>
  </si>
  <si>
    <t>20180119IN1341</t>
  </si>
  <si>
    <t>20180119IN701</t>
  </si>
  <si>
    <t>20180119IN1248V03</t>
  </si>
  <si>
    <t>IN1248V03</t>
  </si>
  <si>
    <t>a-20-10</t>
  </si>
  <si>
    <t>[이니스프리] 화산송이 컬러 클레이 마스크 70ml #03 핑크 (생기)</t>
  </si>
  <si>
    <t>20180119IN1249V02</t>
  </si>
  <si>
    <t>IN1249V02</t>
  </si>
  <si>
    <t>a-02-12</t>
  </si>
  <si>
    <t>[이니스프리]마이팔레트 마이 컬러코렉터 1.2-1.4g #02 차분한 민트</t>
  </si>
  <si>
    <t>20180119IS942</t>
  </si>
  <si>
    <t>IS942</t>
  </si>
  <si>
    <t>c-00-10</t>
  </si>
  <si>
    <t>[잇츠스킨] 그린티 수분 세럼</t>
  </si>
  <si>
    <t>20180119IS940</t>
  </si>
  <si>
    <t>IS940</t>
  </si>
  <si>
    <t>[잇츠스킨] 그린티 수분 토너</t>
  </si>
  <si>
    <t>20180119IS003</t>
  </si>
  <si>
    <t>IS003</t>
  </si>
  <si>
    <t>[잇츠스킨] 그린티 카밍 클렌징 오일 145ml</t>
  </si>
  <si>
    <t>20180119IS006</t>
  </si>
  <si>
    <t>20180119IS174V04</t>
  </si>
  <si>
    <t>IS174V04</t>
  </si>
  <si>
    <t>a-05-04</t>
  </si>
  <si>
    <t>[잇츠스킨] 베이비 페이스 내츄럴 아이브로우 0.3g 4호 그레이브라운</t>
  </si>
  <si>
    <t>20180119IS170V02</t>
  </si>
  <si>
    <t>20180119IS298V02</t>
  </si>
  <si>
    <t>IS298V02</t>
  </si>
  <si>
    <t>A-04-09</t>
  </si>
  <si>
    <t>[잇츠스킨] 베이비페이스 쁘띠 마스카라 7.5g #02 볼륨</t>
  </si>
  <si>
    <t>20180119IS155V04</t>
  </si>
  <si>
    <t>IS155V04</t>
  </si>
  <si>
    <t>A-06-14</t>
  </si>
  <si>
    <t>[잇츠스킨] 베이비페이스 쁘띠 블러셔 4g #4호 스윗피치</t>
  </si>
  <si>
    <t>20180119IS1001V03</t>
  </si>
  <si>
    <t>IS1001V03</t>
  </si>
  <si>
    <t>C-00-67</t>
  </si>
  <si>
    <t>[잇츠스킨] 베이비페이스 쁘띠 틴트 글로스 8g #03살구과즙</t>
  </si>
  <si>
    <t>20180119IS168V02</t>
  </si>
  <si>
    <t>IS168V02</t>
  </si>
  <si>
    <t>a-14-13</t>
  </si>
  <si>
    <t>[잇츠스킨] 베이비페이스 쁘띠팩트 [SPF 25, PA++] 5g 02호 자연스러운 피부</t>
  </si>
  <si>
    <t>20180119IS248</t>
  </si>
  <si>
    <t>IS248</t>
  </si>
  <si>
    <t>[잇츠스킨] 브라이트닝 시스템 아이 크림 30ml</t>
  </si>
  <si>
    <t>20180119IS962V02</t>
  </si>
  <si>
    <t>20180119IS962V03</t>
  </si>
  <si>
    <t>20180119IS054</t>
  </si>
  <si>
    <t>IS054</t>
  </si>
  <si>
    <t>b-28-04</t>
  </si>
  <si>
    <t>[잇츠스킨] 셀프케어 풋 모이스처 마스크 20g(1회분)</t>
  </si>
  <si>
    <t>20180119IS127</t>
  </si>
  <si>
    <t>IS127</t>
  </si>
  <si>
    <t>b-32-12</t>
  </si>
  <si>
    <t>[잇츠스킨] 셀프케어 풋 필링 20ml*2ea</t>
  </si>
  <si>
    <t>20180119IS207</t>
  </si>
  <si>
    <t>IS207</t>
  </si>
  <si>
    <t>A-36-05</t>
  </si>
  <si>
    <t>[잇츠스킨] 스마트솔루션365 실키 선블록 50ml</t>
  </si>
  <si>
    <t>20180119IS391</t>
  </si>
  <si>
    <t>a-09-09</t>
  </si>
  <si>
    <t>20180119IS1042V02</t>
  </si>
  <si>
    <t>IS1042V02</t>
  </si>
  <si>
    <t>[잇츠스킨] 타이거 시카 블레미쉬 커버 쿠션 15g #02 내추럴 스킨</t>
  </si>
  <si>
    <t>20180119IS318</t>
  </si>
  <si>
    <t>IS318</t>
  </si>
  <si>
    <t>[잇츠스킨] 파워 10 포뮬라 브이씨 이펙터 대용량 60ml</t>
  </si>
  <si>
    <t>20180119IS126</t>
  </si>
  <si>
    <t>IS126</t>
  </si>
  <si>
    <t>A-07-02</t>
  </si>
  <si>
    <t>[잇츠스킨] 파워10 포뮬라 시네이크 30ml</t>
  </si>
  <si>
    <t>20180119IS222V06</t>
  </si>
  <si>
    <t>IS222V06</t>
  </si>
  <si>
    <t>[잇츠스킨] 파워10 포뮬라 이펙터 30ml 브이비(VB)</t>
  </si>
  <si>
    <t>20180119IS222V07</t>
  </si>
  <si>
    <t>IS222V07</t>
  </si>
  <si>
    <t>A-21-01</t>
  </si>
  <si>
    <t>[잇츠스킨] 파워10 포뮬라 이펙터 30ml 브이씨(VC)</t>
  </si>
  <si>
    <t>20180119IS073</t>
  </si>
  <si>
    <t>IS073</t>
  </si>
  <si>
    <t>[잇츠스킨] 프레스티지 끄렘 데스까르고 비비 50ml</t>
  </si>
  <si>
    <t>20180119IS083</t>
  </si>
  <si>
    <t>IS083</t>
  </si>
  <si>
    <t>D-21-02</t>
  </si>
  <si>
    <t>[잇츠스킨] 프레스티지 끄렘 진생 데스까르고 60ml</t>
  </si>
  <si>
    <t>20180119IS948</t>
  </si>
  <si>
    <t>IS948</t>
  </si>
  <si>
    <t>a-27-08</t>
  </si>
  <si>
    <t>[잇츠스킨] 프레스티지 로즈 드 블랙 마스크 시트</t>
  </si>
  <si>
    <t>20180119IS118</t>
  </si>
  <si>
    <t>IS118</t>
  </si>
  <si>
    <t>B-26-03</t>
  </si>
  <si>
    <t>[잇츠스킨] 헤브어 보들보들 바나나 클렌징 폼 150ml</t>
  </si>
  <si>
    <t>20180119CS048</t>
  </si>
  <si>
    <t>CS048</t>
  </si>
  <si>
    <t>[코스알엑스] PHA 모이스쳐 리뉴얼 파워 크림 50ml</t>
  </si>
  <si>
    <t>20180119CS60</t>
  </si>
  <si>
    <t>20180119KL002</t>
  </si>
  <si>
    <t>F-02-02</t>
  </si>
  <si>
    <t>클레어스</t>
  </si>
  <si>
    <t>20180119CO063V09</t>
  </si>
  <si>
    <t>CO063V09</t>
  </si>
  <si>
    <t>a-14-12</t>
  </si>
  <si>
    <t>[클리오] 매드 매트 립 4.5g #09 멜로우 로즈</t>
  </si>
  <si>
    <t>20180119CO062</t>
  </si>
  <si>
    <t>A-17-12</t>
  </si>
  <si>
    <t>20180119CO049V02</t>
  </si>
  <si>
    <t>c-00-04</t>
  </si>
  <si>
    <t>20180119CO031V02</t>
  </si>
  <si>
    <t>20180119TM1132V01</t>
  </si>
  <si>
    <t>TM1132V01</t>
  </si>
  <si>
    <t>D-24-06</t>
  </si>
  <si>
    <t>[토니모리] 내추럴스 산양유 맑은 씨씨크림 SPF30/ PA++ 40g #01 퓨어 밀크</t>
  </si>
  <si>
    <t>20180119TM1124V05</t>
  </si>
  <si>
    <t>A-14-07</t>
  </si>
  <si>
    <t>20180119TM1124V06</t>
  </si>
  <si>
    <t>TM1124V06</t>
  </si>
  <si>
    <t>a-11-04</t>
  </si>
  <si>
    <t>[토니모리] 러블리 아이브로우 펜슬 2mm/25mm 6호 라떼 브라운</t>
  </si>
  <si>
    <t>20180119TM1261V02</t>
  </si>
  <si>
    <t>20180119TM1261V04</t>
  </si>
  <si>
    <t>20180119TM1483V01</t>
  </si>
  <si>
    <t>TM1483V01</t>
  </si>
  <si>
    <t>A-36-12</t>
  </si>
  <si>
    <t>[토니모리] 마크 워터프루프 젤 라이너 3.5g #블랙</t>
  </si>
  <si>
    <t>20180119TM1475</t>
  </si>
  <si>
    <t>A-34-01</t>
  </si>
  <si>
    <t>20180119TM1356</t>
  </si>
  <si>
    <t>20180119TM845</t>
  </si>
  <si>
    <t>TM845</t>
  </si>
  <si>
    <t>b-34-04</t>
  </si>
  <si>
    <t>[토니모리] 속눈썹 접착제, 쌍꺼풀액</t>
  </si>
  <si>
    <t>20180119TM022</t>
  </si>
  <si>
    <t>D-03-01</t>
  </si>
  <si>
    <t>20180119TM1491V01</t>
  </si>
  <si>
    <t>B-32-03</t>
  </si>
  <si>
    <t>20180119TM1490V03</t>
  </si>
  <si>
    <t>20180119TM1488V01</t>
  </si>
  <si>
    <t>TM1488V01</t>
  </si>
  <si>
    <t>A-33-07</t>
  </si>
  <si>
    <t>[토니모리] 크리스탈 미니 쿠션 블러셔 9g #01 핑크 판타지</t>
  </si>
  <si>
    <t>20180119TM1169V08</t>
  </si>
  <si>
    <t>B-33-06</t>
  </si>
  <si>
    <t>20180119TM1169V10</t>
  </si>
  <si>
    <t>B-32-06</t>
  </si>
  <si>
    <t>20180119TM1456</t>
  </si>
  <si>
    <t>B-29-02</t>
  </si>
  <si>
    <t>20180119TM074</t>
  </si>
  <si>
    <t>TM074</t>
  </si>
  <si>
    <t>[토니모리] 탠저린 화이트닝 핸드크림</t>
  </si>
  <si>
    <t>20180119TM1264V01</t>
  </si>
  <si>
    <t>20180119TM1264V02</t>
  </si>
  <si>
    <t>20180119TM993</t>
  </si>
  <si>
    <t>20180119TM1011V02</t>
  </si>
  <si>
    <t>TM1011V02</t>
  </si>
  <si>
    <t>B-40-05</t>
  </si>
  <si>
    <t>[토니모리] 페이스믹스 피니시 루스파우더 10g #23 믹스베이지</t>
  </si>
  <si>
    <t>20180119TM1395V04</t>
  </si>
  <si>
    <t>TM1395V04</t>
  </si>
  <si>
    <t>a-14-09</t>
  </si>
  <si>
    <t>[토니모리] 페인팅 테라피 팩 30g #블루 컬러 클레이</t>
  </si>
  <si>
    <t>20180119TM1305</t>
  </si>
  <si>
    <t>TM1305</t>
  </si>
  <si>
    <t>C-00-56</t>
  </si>
  <si>
    <t>[토니모리] 프로클린 소프트 셔벗 클렌저 90g</t>
  </si>
  <si>
    <t>20180119TM1309</t>
  </si>
  <si>
    <t>20180119TM1307</t>
  </si>
  <si>
    <t>20180119TW001</t>
  </si>
  <si>
    <t>토소웅</t>
  </si>
  <si>
    <t>20180119TW078</t>
  </si>
  <si>
    <t>a-33-04</t>
  </si>
  <si>
    <t>20180119TW042</t>
  </si>
  <si>
    <t>TW042</t>
  </si>
  <si>
    <t>E-00-06</t>
  </si>
  <si>
    <t>[토소웅] 엔자임 파우더워시(효소세안제) 70g</t>
  </si>
  <si>
    <t>20180119TW087</t>
  </si>
  <si>
    <t>20180119PP033V03</t>
  </si>
  <si>
    <t>a-06-08</t>
  </si>
  <si>
    <t>20180119PP049</t>
  </si>
  <si>
    <t>PP049</t>
  </si>
  <si>
    <t>d-20-02</t>
  </si>
  <si>
    <t>[페리페라] 빛 좋은 살구 톤 업 크림 50ml</t>
  </si>
  <si>
    <t>20180119PP072V03</t>
  </si>
  <si>
    <t>20180119PP053V02</t>
  </si>
  <si>
    <t>b-37-12</t>
  </si>
  <si>
    <t>20180119AT321V02</t>
  </si>
  <si>
    <t>20180119HX006</t>
  </si>
  <si>
    <t>HX006</t>
  </si>
  <si>
    <t>헉슬리</t>
  </si>
  <si>
    <t>[헉슬리] 헉슬리 립 밤 모이스처 웨어 5ml</t>
  </si>
  <si>
    <t>20180119HX008</t>
  </si>
  <si>
    <t>HX008</t>
  </si>
  <si>
    <t>A-22-06</t>
  </si>
  <si>
    <t>[헉슬리] 헉슬리 슬립 마스크 굿 나잇 100ml</t>
  </si>
  <si>
    <t>20180119HX013</t>
  </si>
  <si>
    <t>HX013</t>
  </si>
  <si>
    <t>A-35-01</t>
  </si>
  <si>
    <t>[헉슬리] 헉슬리 클렌징 젤 비 클린 비 모이스트 200ml</t>
  </si>
  <si>
    <t>20180119HX014</t>
  </si>
  <si>
    <t>HX014</t>
  </si>
  <si>
    <t>E-02-03</t>
  </si>
  <si>
    <t>[헉슬리] 헉슬리 토너 익스트랙트 잇 120ml</t>
  </si>
  <si>
    <t>20180119HR221</t>
  </si>
  <si>
    <t>20180119HR023</t>
  </si>
  <si>
    <t>HR023</t>
  </si>
  <si>
    <t>[헤라] 선 메이트 데일리 SPF35/ PA+++ 70ml</t>
  </si>
  <si>
    <t>20180119HR175</t>
  </si>
  <si>
    <t>20180119HR172</t>
  </si>
  <si>
    <t>20180119HR171</t>
  </si>
  <si>
    <t>20180119HR192</t>
  </si>
  <si>
    <t>B-28-07</t>
  </si>
  <si>
    <t>20180119HR180V02</t>
  </si>
  <si>
    <t>20180119HR229V03</t>
  </si>
  <si>
    <t>20180119HR228V04</t>
  </si>
  <si>
    <t>HR228V04</t>
  </si>
  <si>
    <t>[헤라] 트루웨어 파운데이션 30ml #23 베이지</t>
  </si>
  <si>
    <t>20180119HR222</t>
  </si>
  <si>
    <t>20180119HR043V02</t>
  </si>
  <si>
    <t>20180119HR128V08</t>
  </si>
  <si>
    <t>b-39-10</t>
  </si>
  <si>
    <t>20180119HM003</t>
  </si>
  <si>
    <t>헤이미쉬</t>
  </si>
  <si>
    <t>20180119HK702</t>
  </si>
  <si>
    <t>HK702</t>
  </si>
  <si>
    <t>b-22-03</t>
  </si>
  <si>
    <t>[홀리카홀리카] 굳세라 수퍼 세라마이드 에멀젼 130ml</t>
  </si>
  <si>
    <t>20180119HK121V01</t>
  </si>
  <si>
    <t>20180119HK638</t>
  </si>
  <si>
    <t>A-34-11</t>
  </si>
  <si>
    <t>20180119HK473V01</t>
  </si>
  <si>
    <t>a-09-14</t>
  </si>
  <si>
    <t>20180119HK388V02</t>
  </si>
  <si>
    <t>B-37-11</t>
  </si>
  <si>
    <t>20180119HK389V01</t>
  </si>
  <si>
    <t>20180119HK580V03</t>
  </si>
  <si>
    <t>HK580V03</t>
  </si>
  <si>
    <t>[홀리카홀리카] 물방울 틴티드 파운데이션 SPF30 PA++ #03 페탈</t>
  </si>
  <si>
    <t>20180119HK637V03</t>
  </si>
  <si>
    <t>A-24-10</t>
  </si>
  <si>
    <t>20180119HK705V03</t>
  </si>
  <si>
    <t>A-08-18</t>
  </si>
  <si>
    <t>20180119HK002V02</t>
  </si>
  <si>
    <t>A-37-11</t>
  </si>
  <si>
    <t>20180119HK607</t>
  </si>
  <si>
    <t>B-35-09</t>
  </si>
  <si>
    <t>20180119HK658</t>
  </si>
  <si>
    <t>20180119HK528V01</t>
  </si>
  <si>
    <t>HK528V01</t>
  </si>
  <si>
    <t>A-12-14</t>
  </si>
  <si>
    <t>[홀리카홀리카] 원더드로잉 24hr 오토 아이라이너 #01 블랙</t>
  </si>
  <si>
    <t>20180119HK625V02</t>
  </si>
  <si>
    <t>HK625V02</t>
  </si>
  <si>
    <t>[홀리카홀리카] 원더드로잉 쿠션톡 틴트 브로우 1.8g 2호 다크 브라운</t>
  </si>
  <si>
    <t>20180119HK625V03</t>
  </si>
  <si>
    <t>20180119HK211V07</t>
  </si>
  <si>
    <t>HK211V07</t>
  </si>
  <si>
    <t>[홀리카홀리카] 쥬얼라이트 워터프루프 아이라이너 ＃11 라이트 브라운 앰버</t>
  </si>
  <si>
    <t>20180119HK485V01</t>
  </si>
  <si>
    <t>20180119HK110</t>
  </si>
  <si>
    <t>HK110</t>
  </si>
  <si>
    <t>A-03-07</t>
  </si>
  <si>
    <t>[홀리카홀리카] 피그노즈 클리어 블랙헤드 클렌징 슈가 스크럽</t>
  </si>
  <si>
    <t>20180119HK662V03</t>
  </si>
  <si>
    <t>A-12-20</t>
  </si>
  <si>
    <t>20180119HK652V06</t>
  </si>
  <si>
    <t>HK652V06</t>
  </si>
  <si>
    <t>A-07-05</t>
  </si>
  <si>
    <t>[홀리카홀리카] 홀리팝 젤리 틴트 9.5ml #06 OR06 칠리칠리</t>
  </si>
  <si>
    <t>20180119VD202</t>
  </si>
  <si>
    <t>발주처없음</t>
    <phoneticPr fontId="2" type="noConversion"/>
  </si>
  <si>
    <t>사입단가</t>
    <phoneticPr fontId="2" type="noConversion"/>
  </si>
  <si>
    <t>비욘드 야탑</t>
    <phoneticPr fontId="2" type="noConversion"/>
  </si>
  <si>
    <t>VDL 서현</t>
    <phoneticPr fontId="2" type="noConversion"/>
  </si>
  <si>
    <t>더페이스샵 서현</t>
    <phoneticPr fontId="2" type="noConversion"/>
  </si>
  <si>
    <t>어퓨 서현</t>
    <phoneticPr fontId="2" type="noConversion"/>
  </si>
  <si>
    <t>네이처리퍼블릭 미금</t>
    <phoneticPr fontId="2" type="noConversion"/>
  </si>
  <si>
    <t>홀리카홀리카 죽전</t>
    <phoneticPr fontId="2" type="noConversion"/>
  </si>
  <si>
    <t>아리따움 남한산성</t>
    <phoneticPr fontId="2" type="noConversion"/>
  </si>
  <si>
    <t>에뛰드하우스 보정</t>
    <phoneticPr fontId="2" type="noConversion"/>
  </si>
  <si>
    <t>아모레 방판</t>
    <phoneticPr fontId="2" type="noConversion"/>
  </si>
  <si>
    <t>이니스프리 흥덕</t>
    <phoneticPr fontId="2" type="noConversion"/>
  </si>
  <si>
    <t>잇츠스킨 안산</t>
    <phoneticPr fontId="2" type="noConversion"/>
  </si>
  <si>
    <t>토니모리 상봉</t>
    <phoneticPr fontId="2" type="noConversion"/>
  </si>
  <si>
    <t>더샘 구리</t>
    <phoneticPr fontId="2" type="noConversion"/>
  </si>
  <si>
    <t>클럽클리오 용인</t>
    <phoneticPr fontId="2" type="noConversion"/>
  </si>
  <si>
    <t>뷰티엠</t>
    <phoneticPr fontId="2" type="noConversion"/>
  </si>
  <si>
    <t>스킨워처스</t>
    <phoneticPr fontId="2" type="noConversion"/>
  </si>
  <si>
    <t>애터미</t>
    <phoneticPr fontId="2" type="noConversion"/>
  </si>
  <si>
    <t>스킨푸드 방이</t>
    <phoneticPr fontId="2" type="noConversion"/>
  </si>
  <si>
    <t>부족수량</t>
    <phoneticPr fontId="6" type="noConversion"/>
  </si>
  <si>
    <t>상품명</t>
    <phoneticPr fontId="6" type="noConversion"/>
  </si>
  <si>
    <t>가재고</t>
    <phoneticPr fontId="6" type="noConversion"/>
  </si>
  <si>
    <t>브랜드명(지우지말 것)</t>
    <phoneticPr fontId="6" type="noConversion"/>
  </si>
  <si>
    <t>거래처코드</t>
    <phoneticPr fontId="6" type="noConversion"/>
  </si>
  <si>
    <t>발주서원가</t>
    <phoneticPr fontId="6" type="noConversion"/>
  </si>
  <si>
    <t>시중가</t>
    <phoneticPr fontId="6" type="noConversion"/>
  </si>
  <si>
    <t>요율(거래처코드에매칭)</t>
  </si>
  <si>
    <t>위링커 주문여부</t>
    <phoneticPr fontId="6" type="noConversion"/>
  </si>
  <si>
    <t>위링커 수량</t>
    <phoneticPr fontId="6" type="noConversion"/>
  </si>
  <si>
    <t>품절</t>
    <phoneticPr fontId="6" type="noConversion"/>
  </si>
  <si>
    <t>미품절</t>
    <phoneticPr fontId="6" type="noConversion"/>
  </si>
  <si>
    <t>KL004</t>
  </si>
  <si>
    <t>[클레어스] 젠틀 블랙 딥 클렌징 오일 150ml</t>
    <phoneticPr fontId="6" type="noConversion"/>
  </si>
  <si>
    <t>KL003</t>
  </si>
  <si>
    <t>[클레어스] 프레쉴리 쥬스드 비타민 드롭 35ml</t>
    <phoneticPr fontId="6" type="noConversion"/>
  </si>
  <si>
    <t>[샘플][라네즈] 클리어씨 필링 세럼(파우치)</t>
  </si>
  <si>
    <t>일자(8)</t>
  </si>
  <si>
    <t>구분(2)</t>
  </si>
  <si>
    <t>순번(4)</t>
  </si>
  <si>
    <t>거래처코드(30)</t>
  </si>
  <si>
    <t>거래처명(100)</t>
  </si>
  <si>
    <t>창고코드(5)</t>
  </si>
  <si>
    <t>담당자코드(30)</t>
  </si>
  <si>
    <t>납기일자(8)</t>
  </si>
  <si>
    <t>참조(200)</t>
  </si>
  <si>
    <t>송장번호(200)</t>
  </si>
  <si>
    <t>품목코드(20)</t>
  </si>
  <si>
    <t>품목명(100)</t>
  </si>
  <si>
    <t>수량(12)</t>
  </si>
  <si>
    <t>단가(12)</t>
  </si>
  <si>
    <t>공급가액(14)</t>
  </si>
  <si>
    <t>부가세(14)</t>
  </si>
  <si>
    <t>소비자정가(12)</t>
  </si>
  <si>
    <t>결과</t>
  </si>
  <si>
    <t>20180118</t>
    <phoneticPr fontId="1" type="noConversion"/>
  </si>
  <si>
    <t>21</t>
    <phoneticPr fontId="1" type="noConversion"/>
  </si>
  <si>
    <t>00001</t>
    <phoneticPr fontId="1" type="noConversion"/>
  </si>
  <si>
    <t>OK</t>
  </si>
  <si>
    <t>22</t>
    <phoneticPr fontId="1" type="noConversion"/>
  </si>
  <si>
    <t>매장택배구분</t>
    <phoneticPr fontId="2" type="noConversion"/>
  </si>
  <si>
    <t>거래처</t>
    <phoneticPr fontId="2" type="noConversion"/>
  </si>
  <si>
    <t>제품명</t>
    <phoneticPr fontId="2" type="noConversion"/>
  </si>
  <si>
    <t>매장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</si>
</sst>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EBF1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4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9" fontId="6" fillId="2" borderId="2" xfId="1" applyFont="1" applyFill="1" applyBorder="1" applyAlignment="1">
      <alignment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9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4" borderId="0" xfId="0" applyFill="1">
      <alignment vertical="center"/>
    </xf>
    <xf numFmtId="0" fontId="0" fillId="12" borderId="0" xfId="0" applyFill="1">
      <alignment vertical="center"/>
    </xf>
    <xf numFmtId="176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9" fontId="0" fillId="0" borderId="2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11" borderId="2" xfId="0" applyFill="1" applyBorder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49" fontId="12" fillId="14" borderId="7" xfId="0" applyNumberFormat="1" applyFont="1" applyFill="1" applyBorder="1">
      <alignment vertical="center"/>
    </xf>
    <xf numFmtId="49" fontId="13" fillId="14" borderId="7" xfId="0" applyNumberFormat="1" applyFont="1" applyFill="1" applyBorder="1">
      <alignment vertical="center"/>
    </xf>
    <xf numFmtId="3" fontId="14" fillId="14" borderId="7" xfId="0" applyNumberFormat="1" applyFont="1" applyFill="1" applyBorder="1">
      <alignment vertical="center"/>
    </xf>
    <xf numFmtId="3" fontId="15" fillId="14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49" fontId="0" fillId="0" borderId="7" xfId="0" applyNumberFormat="1" applyBorder="1">
      <alignment vertical="center"/>
    </xf>
    <xf numFmtId="3" fontId="0" fillId="0" borderId="7" xfId="0" applyNumberFormat="1" applyBorder="1">
      <alignment vertical="center"/>
    </xf>
    <xf numFmtId="0" fontId="8" fillId="0" borderId="2" xfId="0" applyFont="1" applyFill="1" applyBorder="1">
      <alignment vertical="center"/>
    </xf>
    <xf numFmtId="0" fontId="17" fillId="0" borderId="2" xfId="0" applyFont="1" applyFill="1" applyBorder="1" applyAlignment="1">
      <alignment horizontal="center" vertical="center"/>
    </xf>
    <xf numFmtId="176" fontId="1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9" fontId="8" fillId="0" borderId="2" xfId="0" applyNumberFormat="1" applyFont="1" applyFill="1" applyBorder="1">
      <alignment vertical="center"/>
    </xf>
    <xf numFmtId="0" fontId="8" fillId="0" borderId="2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99"/>
  <sheetViews>
    <sheetView zoomScale="55" zoomScaleNormal="55" workbookViewId="0">
      <selection activeCell="D2" sqref="D2"/>
    </sheetView>
  </sheetViews>
  <sheetFormatPr defaultColWidth="9" defaultRowHeight="17.399999999999999" x14ac:dyDescent="0.4"/>
  <cols>
    <col min="1" max="1" width="9" style="1"/>
    <col min="2" max="2" width="17.8984375" style="1" bestFit="1" customWidth="1"/>
    <col min="3" max="4" width="23.5" style="1" customWidth="1"/>
    <col min="5" max="5" width="23.5" style="1" bestFit="1" customWidth="1"/>
    <col min="6" max="6" width="9" style="2"/>
    <col min="7" max="7" width="9" style="1" customWidth="1"/>
    <col min="8" max="8" width="15" style="1" customWidth="1"/>
    <col min="9" max="9" width="21.19921875" style="1" customWidth="1"/>
    <col min="10" max="10" width="9" style="1" customWidth="1"/>
    <col min="11" max="11" width="12.3984375" style="1" bestFit="1" customWidth="1"/>
    <col min="12" max="12" width="13.69921875" style="1" bestFit="1" customWidth="1"/>
    <col min="13" max="13" width="21.3984375" style="1" bestFit="1" customWidth="1"/>
    <col min="14" max="14" width="77.3984375" style="1" bestFit="1" customWidth="1"/>
    <col min="15" max="15" width="17.8984375" style="1" bestFit="1" customWidth="1"/>
    <col min="16" max="16" width="9" style="1"/>
    <col min="17" max="17" width="24" style="1" bestFit="1" customWidth="1"/>
    <col min="18" max="18" width="9" style="1"/>
    <col min="19" max="19" width="18.19921875" style="1" hidden="1" customWidth="1"/>
    <col min="20" max="20" width="64.59765625" style="1" hidden="1" customWidth="1"/>
    <col min="21" max="21" width="0" style="1" hidden="1" customWidth="1"/>
    <col min="22" max="16384" width="9" style="1"/>
  </cols>
  <sheetData>
    <row r="1" spans="1:21" ht="21" x14ac:dyDescent="0.4">
      <c r="C1" s="1" t="s">
        <v>0</v>
      </c>
      <c r="D1" s="1" t="s">
        <v>1</v>
      </c>
      <c r="M1" s="78" t="s">
        <v>2</v>
      </c>
      <c r="N1" s="78"/>
      <c r="O1" s="78"/>
      <c r="P1" s="78"/>
      <c r="Q1" s="3" t="s">
        <v>3</v>
      </c>
      <c r="S1" s="78" t="s">
        <v>4</v>
      </c>
      <c r="T1" s="78"/>
      <c r="U1" s="78"/>
    </row>
    <row r="2" spans="1:21" x14ac:dyDescent="0.4">
      <c r="A2" s="1" t="s">
        <v>5</v>
      </c>
      <c r="B2" s="1" t="s">
        <v>6</v>
      </c>
      <c r="E2" s="1" t="s">
        <v>7</v>
      </c>
      <c r="F2" s="2" t="s">
        <v>1</v>
      </c>
      <c r="G2" s="1" t="s">
        <v>8</v>
      </c>
      <c r="H2" s="1" t="s">
        <v>9</v>
      </c>
      <c r="I2" s="1" t="s">
        <v>10</v>
      </c>
      <c r="J2" s="1" t="s">
        <v>11</v>
      </c>
      <c r="M2" s="4" t="s">
        <v>12</v>
      </c>
      <c r="N2" s="4" t="s">
        <v>13</v>
      </c>
      <c r="O2" s="4" t="s">
        <v>7</v>
      </c>
      <c r="P2" s="4" t="s">
        <v>1</v>
      </c>
      <c r="Q2" s="1" t="s">
        <v>14</v>
      </c>
      <c r="S2" s="4" t="s">
        <v>12</v>
      </c>
      <c r="T2" s="4" t="s">
        <v>13</v>
      </c>
      <c r="U2" s="4" t="s">
        <v>15</v>
      </c>
    </row>
    <row r="3" spans="1:21" x14ac:dyDescent="0.4">
      <c r="A3" s="1">
        <v>1</v>
      </c>
      <c r="E3" s="1" t="s">
        <v>16</v>
      </c>
      <c r="G3" s="1" t="s">
        <v>17</v>
      </c>
      <c r="M3" s="1" t="s">
        <v>18</v>
      </c>
      <c r="N3" s="1" t="s">
        <v>19</v>
      </c>
      <c r="O3" s="1" t="s">
        <v>20</v>
      </c>
      <c r="P3" s="5">
        <v>0.9</v>
      </c>
      <c r="Q3" s="1" t="s">
        <v>21</v>
      </c>
      <c r="S3" s="1" t="s">
        <v>22</v>
      </c>
      <c r="T3" s="1" t="s">
        <v>23</v>
      </c>
      <c r="U3" s="1">
        <v>880</v>
      </c>
    </row>
    <row r="4" spans="1:21" x14ac:dyDescent="0.4">
      <c r="A4" s="1">
        <v>2</v>
      </c>
      <c r="B4" s="1" t="s">
        <v>24</v>
      </c>
      <c r="C4" s="1">
        <v>3728600796</v>
      </c>
      <c r="E4" s="1" t="s">
        <v>25</v>
      </c>
      <c r="F4" s="6" t="s">
        <v>26</v>
      </c>
      <c r="G4" s="1" t="s">
        <v>27</v>
      </c>
      <c r="M4" s="1" t="s">
        <v>28</v>
      </c>
      <c r="N4" s="1" t="s">
        <v>29</v>
      </c>
      <c r="O4" s="1" t="s">
        <v>20</v>
      </c>
      <c r="P4" s="5">
        <v>0.9</v>
      </c>
      <c r="Q4" s="1" t="s">
        <v>30</v>
      </c>
      <c r="S4" s="1" t="s">
        <v>31</v>
      </c>
      <c r="T4" s="1" t="s">
        <v>32</v>
      </c>
      <c r="U4" s="1">
        <v>880</v>
      </c>
    </row>
    <row r="5" spans="1:21" x14ac:dyDescent="0.4">
      <c r="A5" s="1">
        <v>3</v>
      </c>
      <c r="B5" s="1" t="s">
        <v>33</v>
      </c>
      <c r="C5" s="1">
        <v>3728600796</v>
      </c>
      <c r="E5" s="1" t="s">
        <v>25</v>
      </c>
      <c r="F5" s="6" t="s">
        <v>26</v>
      </c>
      <c r="G5" s="1" t="s">
        <v>27</v>
      </c>
      <c r="L5" s="1" t="s">
        <v>34</v>
      </c>
      <c r="M5" s="1" t="s">
        <v>35</v>
      </c>
      <c r="N5" s="1" t="s">
        <v>36</v>
      </c>
      <c r="O5" s="1" t="s">
        <v>37</v>
      </c>
      <c r="P5" s="5">
        <v>1</v>
      </c>
      <c r="Q5" s="1" t="s">
        <v>38</v>
      </c>
      <c r="S5" s="1" t="s">
        <v>39</v>
      </c>
      <c r="T5" s="1" t="s">
        <v>40</v>
      </c>
      <c r="U5" s="1">
        <v>880</v>
      </c>
    </row>
    <row r="6" spans="1:21" x14ac:dyDescent="0.4">
      <c r="A6" s="1">
        <v>4</v>
      </c>
      <c r="B6" s="1" t="s">
        <v>41</v>
      </c>
      <c r="C6" s="1">
        <v>5968100290</v>
      </c>
      <c r="E6" s="1" t="s">
        <v>42</v>
      </c>
      <c r="F6" s="6" t="s">
        <v>26</v>
      </c>
      <c r="G6" s="1" t="s">
        <v>27</v>
      </c>
      <c r="M6" s="1" t="s">
        <v>43</v>
      </c>
      <c r="N6" s="1" t="s">
        <v>44</v>
      </c>
      <c r="O6" s="1" t="s">
        <v>45</v>
      </c>
      <c r="P6" s="5">
        <v>1</v>
      </c>
      <c r="Q6" s="1" t="s">
        <v>46</v>
      </c>
      <c r="S6" s="1" t="s">
        <v>47</v>
      </c>
      <c r="T6" s="1" t="s">
        <v>48</v>
      </c>
      <c r="U6" s="1">
        <v>880</v>
      </c>
    </row>
    <row r="7" spans="1:21" x14ac:dyDescent="0.4">
      <c r="A7" s="1">
        <v>5</v>
      </c>
      <c r="B7" s="1" t="s">
        <v>49</v>
      </c>
      <c r="C7" s="1">
        <v>5968100290</v>
      </c>
      <c r="E7" s="1" t="s">
        <v>42</v>
      </c>
      <c r="F7" s="6" t="s">
        <v>26</v>
      </c>
      <c r="G7" s="1" t="s">
        <v>27</v>
      </c>
      <c r="M7" s="1" t="s">
        <v>50</v>
      </c>
      <c r="N7" s="1" t="s">
        <v>51</v>
      </c>
      <c r="O7" s="1" t="s">
        <v>51</v>
      </c>
      <c r="P7" s="5">
        <v>0.9</v>
      </c>
      <c r="Q7" s="1" t="s">
        <v>52</v>
      </c>
      <c r="S7" s="1" t="s">
        <v>53</v>
      </c>
      <c r="T7" s="1" t="s">
        <v>54</v>
      </c>
      <c r="U7" s="1">
        <v>880</v>
      </c>
    </row>
    <row r="8" spans="1:21" x14ac:dyDescent="0.4">
      <c r="A8" s="1">
        <v>6</v>
      </c>
      <c r="B8" s="1" t="s">
        <v>55</v>
      </c>
      <c r="C8" s="1">
        <v>3728600796</v>
      </c>
      <c r="E8" s="1" t="s">
        <v>25</v>
      </c>
      <c r="F8" s="6" t="s">
        <v>26</v>
      </c>
      <c r="G8" s="1" t="s">
        <v>27</v>
      </c>
      <c r="M8" s="1" t="s">
        <v>56</v>
      </c>
      <c r="N8" s="1" t="s">
        <v>57</v>
      </c>
      <c r="O8" s="1" t="s">
        <v>58</v>
      </c>
      <c r="P8" s="5">
        <v>0.85</v>
      </c>
      <c r="Q8" s="1" t="str">
        <f t="shared" ref="Q8:Q51" si="0">O8&amp;M8</f>
        <v>미샤 오리MS1251V02</v>
      </c>
      <c r="S8" s="1" t="s">
        <v>59</v>
      </c>
      <c r="T8" s="1" t="s">
        <v>60</v>
      </c>
      <c r="U8" s="1">
        <v>72600</v>
      </c>
    </row>
    <row r="9" spans="1:21" x14ac:dyDescent="0.4">
      <c r="A9" s="1">
        <v>7</v>
      </c>
      <c r="B9" s="1" t="s">
        <v>61</v>
      </c>
      <c r="C9" s="1">
        <v>3728600796</v>
      </c>
      <c r="E9" s="1" t="s">
        <v>25</v>
      </c>
      <c r="F9" s="6" t="s">
        <v>26</v>
      </c>
      <c r="G9" s="1" t="s">
        <v>27</v>
      </c>
      <c r="M9" s="1" t="s">
        <v>62</v>
      </c>
      <c r="N9" s="1" t="s">
        <v>63</v>
      </c>
      <c r="O9" s="1" t="s">
        <v>58</v>
      </c>
      <c r="P9" s="5">
        <v>0.85</v>
      </c>
      <c r="Q9" s="1" t="str">
        <f t="shared" si="0"/>
        <v>미샤 오리MS1251V01</v>
      </c>
      <c r="S9" s="1" t="s">
        <v>64</v>
      </c>
      <c r="T9" s="1" t="s">
        <v>65</v>
      </c>
      <c r="U9" s="1">
        <v>72600</v>
      </c>
    </row>
    <row r="10" spans="1:21" x14ac:dyDescent="0.4">
      <c r="A10" s="1">
        <v>8</v>
      </c>
      <c r="B10" s="1" t="s">
        <v>66</v>
      </c>
      <c r="C10" s="1">
        <v>3728600796</v>
      </c>
      <c r="E10" s="1" t="s">
        <v>25</v>
      </c>
      <c r="F10" s="6" t="s">
        <v>26</v>
      </c>
      <c r="G10" s="1" t="s">
        <v>27</v>
      </c>
      <c r="M10" s="1" t="s">
        <v>67</v>
      </c>
      <c r="N10" s="1" t="s">
        <v>68</v>
      </c>
      <c r="O10" s="1" t="s">
        <v>58</v>
      </c>
      <c r="P10" s="5">
        <v>0.85</v>
      </c>
      <c r="Q10" s="1" t="str">
        <f t="shared" si="0"/>
        <v>미샤 오리MS1251</v>
      </c>
      <c r="S10" s="1" t="s">
        <v>69</v>
      </c>
      <c r="T10" s="1" t="s">
        <v>70</v>
      </c>
      <c r="U10" s="1">
        <v>18700</v>
      </c>
    </row>
    <row r="11" spans="1:21" x14ac:dyDescent="0.4">
      <c r="A11" s="1">
        <v>9</v>
      </c>
      <c r="B11" s="1" t="s">
        <v>71</v>
      </c>
      <c r="C11" s="1">
        <v>3728600796</v>
      </c>
      <c r="E11" s="1" t="s">
        <v>25</v>
      </c>
      <c r="F11" s="6" t="s">
        <v>26</v>
      </c>
      <c r="G11" s="1" t="s">
        <v>27</v>
      </c>
      <c r="M11" s="1" t="s">
        <v>72</v>
      </c>
      <c r="N11" s="1" t="s">
        <v>73</v>
      </c>
      <c r="O11" s="1" t="s">
        <v>58</v>
      </c>
      <c r="P11" s="5">
        <v>0.85</v>
      </c>
      <c r="Q11" s="1" t="str">
        <f t="shared" si="0"/>
        <v>미샤 오리MS1223</v>
      </c>
      <c r="S11" s="1" t="s">
        <v>74</v>
      </c>
      <c r="T11" s="1" t="s">
        <v>75</v>
      </c>
      <c r="U11" s="1">
        <v>18700</v>
      </c>
    </row>
    <row r="12" spans="1:21" x14ac:dyDescent="0.4">
      <c r="A12" s="1">
        <v>10</v>
      </c>
      <c r="B12" s="1" t="s">
        <v>76</v>
      </c>
      <c r="C12" s="1">
        <v>1000000002</v>
      </c>
      <c r="E12" s="1" t="s">
        <v>77</v>
      </c>
      <c r="F12" s="6">
        <v>0.65</v>
      </c>
      <c r="G12" s="1" t="s">
        <v>27</v>
      </c>
      <c r="M12" s="1" t="s">
        <v>78</v>
      </c>
      <c r="N12" s="1" t="s">
        <v>79</v>
      </c>
      <c r="O12" s="1" t="s">
        <v>58</v>
      </c>
      <c r="P12" s="5">
        <v>0.85</v>
      </c>
      <c r="Q12" s="1" t="str">
        <f t="shared" si="0"/>
        <v>미샤 오리MS1222</v>
      </c>
      <c r="S12" s="1" t="s">
        <v>80</v>
      </c>
      <c r="T12" s="1" t="s">
        <v>81</v>
      </c>
      <c r="U12" s="1">
        <v>18700</v>
      </c>
    </row>
    <row r="13" spans="1:21" x14ac:dyDescent="0.4">
      <c r="A13" s="1">
        <v>11</v>
      </c>
      <c r="B13" s="1" t="s">
        <v>82</v>
      </c>
      <c r="C13" s="1">
        <v>1000000002</v>
      </c>
      <c r="E13" s="1" t="s">
        <v>77</v>
      </c>
      <c r="F13" s="6">
        <v>0.65</v>
      </c>
      <c r="G13" s="1" t="s">
        <v>27</v>
      </c>
      <c r="M13" s="1" t="s">
        <v>83</v>
      </c>
      <c r="N13" s="1" t="s">
        <v>84</v>
      </c>
      <c r="O13" s="1" t="s">
        <v>58</v>
      </c>
      <c r="P13" s="5">
        <v>0.85</v>
      </c>
      <c r="Q13" s="1" t="str">
        <f t="shared" si="0"/>
        <v>미샤 오리MS1025V02</v>
      </c>
      <c r="S13" s="1" t="s">
        <v>85</v>
      </c>
      <c r="T13" s="1" t="s">
        <v>86</v>
      </c>
      <c r="U13" s="1">
        <v>17600</v>
      </c>
    </row>
    <row r="14" spans="1:21" x14ac:dyDescent="0.4">
      <c r="A14" s="1">
        <v>12</v>
      </c>
      <c r="B14" s="1" t="s">
        <v>87</v>
      </c>
      <c r="C14" s="1">
        <v>1000000002</v>
      </c>
      <c r="E14" s="1" t="s">
        <v>77</v>
      </c>
      <c r="F14" s="6">
        <v>0.65</v>
      </c>
      <c r="G14" s="1" t="s">
        <v>27</v>
      </c>
      <c r="M14" s="1" t="s">
        <v>88</v>
      </c>
      <c r="N14" s="1" t="s">
        <v>89</v>
      </c>
      <c r="O14" s="1" t="s">
        <v>58</v>
      </c>
      <c r="P14" s="5">
        <v>0.85</v>
      </c>
      <c r="Q14" s="1" t="str">
        <f t="shared" si="0"/>
        <v>미샤 오리MS1025V01</v>
      </c>
      <c r="S14" s="1" t="s">
        <v>90</v>
      </c>
      <c r="T14" s="1" t="s">
        <v>91</v>
      </c>
      <c r="U14" s="1">
        <v>17600</v>
      </c>
    </row>
    <row r="15" spans="1:21" x14ac:dyDescent="0.4">
      <c r="A15" s="1">
        <v>13</v>
      </c>
      <c r="B15" s="1" t="s">
        <v>92</v>
      </c>
      <c r="C15" s="1">
        <v>1000000002</v>
      </c>
      <c r="E15" s="1" t="s">
        <v>77</v>
      </c>
      <c r="F15" s="6">
        <v>0.65</v>
      </c>
      <c r="G15" s="1" t="s">
        <v>27</v>
      </c>
      <c r="M15" s="1" t="s">
        <v>93</v>
      </c>
      <c r="N15" s="1" t="s">
        <v>94</v>
      </c>
      <c r="O15" s="1" t="s">
        <v>58</v>
      </c>
      <c r="P15" s="5">
        <v>0.85</v>
      </c>
      <c r="Q15" s="1" t="str">
        <f t="shared" si="0"/>
        <v>미샤 오리MS1025</v>
      </c>
      <c r="S15" s="1" t="s">
        <v>95</v>
      </c>
      <c r="T15" s="1" t="s">
        <v>96</v>
      </c>
      <c r="U15" s="1">
        <v>8800</v>
      </c>
    </row>
    <row r="16" spans="1:21" x14ac:dyDescent="0.4">
      <c r="A16" s="1">
        <v>14</v>
      </c>
      <c r="B16" s="1" t="s">
        <v>97</v>
      </c>
      <c r="C16" s="1">
        <v>1000000002</v>
      </c>
      <c r="E16" s="1" t="s">
        <v>77</v>
      </c>
      <c r="F16" s="6">
        <v>0.65</v>
      </c>
      <c r="G16" s="1" t="s">
        <v>27</v>
      </c>
      <c r="M16" s="1" t="s">
        <v>98</v>
      </c>
      <c r="N16" s="1" t="s">
        <v>99</v>
      </c>
      <c r="O16" s="1" t="s">
        <v>58</v>
      </c>
      <c r="P16" s="5">
        <v>0.85</v>
      </c>
      <c r="Q16" s="1" t="str">
        <f t="shared" si="0"/>
        <v>미샤 오리MS1024V02</v>
      </c>
      <c r="S16" s="1" t="s">
        <v>100</v>
      </c>
      <c r="T16" s="1" t="s">
        <v>101</v>
      </c>
      <c r="U16" s="1">
        <v>7700</v>
      </c>
    </row>
    <row r="17" spans="1:21" x14ac:dyDescent="0.4">
      <c r="A17" s="1">
        <v>15</v>
      </c>
      <c r="B17" s="1" t="s">
        <v>102</v>
      </c>
      <c r="C17" s="1">
        <v>1000000002</v>
      </c>
      <c r="E17" s="1" t="s">
        <v>77</v>
      </c>
      <c r="F17" s="6">
        <v>0.65</v>
      </c>
      <c r="G17" s="1" t="s">
        <v>27</v>
      </c>
      <c r="M17" s="1" t="s">
        <v>103</v>
      </c>
      <c r="N17" s="1" t="s">
        <v>104</v>
      </c>
      <c r="O17" s="1" t="s">
        <v>58</v>
      </c>
      <c r="P17" s="5">
        <v>0.85</v>
      </c>
      <c r="Q17" s="1" t="str">
        <f t="shared" si="0"/>
        <v>미샤 오리MS1024V01</v>
      </c>
      <c r="S17" s="1" t="s">
        <v>105</v>
      </c>
      <c r="T17" s="1" t="s">
        <v>106</v>
      </c>
      <c r="U17" s="1">
        <v>8800</v>
      </c>
    </row>
    <row r="18" spans="1:21" x14ac:dyDescent="0.4">
      <c r="A18" s="1">
        <v>16</v>
      </c>
      <c r="B18" s="1" t="s">
        <v>107</v>
      </c>
      <c r="C18" s="1">
        <v>1000000002</v>
      </c>
      <c r="E18" s="1" t="s">
        <v>77</v>
      </c>
      <c r="F18" s="6">
        <v>0.65</v>
      </c>
      <c r="G18" s="1" t="s">
        <v>27</v>
      </c>
      <c r="M18" s="1" t="s">
        <v>108</v>
      </c>
      <c r="N18" s="1" t="s">
        <v>109</v>
      </c>
      <c r="O18" s="1" t="s">
        <v>58</v>
      </c>
      <c r="P18" s="5">
        <v>0.85</v>
      </c>
      <c r="Q18" s="1" t="str">
        <f t="shared" si="0"/>
        <v>미샤 오리MS1024</v>
      </c>
      <c r="S18" s="1" t="s">
        <v>110</v>
      </c>
      <c r="T18" s="1" t="s">
        <v>111</v>
      </c>
      <c r="U18" s="1">
        <v>12100</v>
      </c>
    </row>
    <row r="19" spans="1:21" x14ac:dyDescent="0.4">
      <c r="A19" s="1">
        <v>17</v>
      </c>
      <c r="B19" s="1" t="s">
        <v>112</v>
      </c>
      <c r="C19" s="1">
        <v>1000000002</v>
      </c>
      <c r="E19" s="1" t="s">
        <v>77</v>
      </c>
      <c r="F19" s="6">
        <v>0.65</v>
      </c>
      <c r="G19" s="1" t="s">
        <v>27</v>
      </c>
      <c r="M19" s="1" t="s">
        <v>113</v>
      </c>
      <c r="N19" s="1" t="s">
        <v>114</v>
      </c>
      <c r="O19" s="1" t="s">
        <v>58</v>
      </c>
      <c r="P19" s="5">
        <v>0.85</v>
      </c>
      <c r="Q19" s="1" t="str">
        <f t="shared" si="0"/>
        <v>미샤 오리MS905V02</v>
      </c>
      <c r="S19" s="1" t="s">
        <v>115</v>
      </c>
      <c r="T19" s="1" t="s">
        <v>116</v>
      </c>
      <c r="U19" s="1">
        <v>8800</v>
      </c>
    </row>
    <row r="20" spans="1:21" x14ac:dyDescent="0.4">
      <c r="A20" s="1">
        <v>18</v>
      </c>
      <c r="B20" s="1" t="s">
        <v>117</v>
      </c>
      <c r="C20" s="1">
        <v>7556700059</v>
      </c>
      <c r="E20" s="1" t="s">
        <v>118</v>
      </c>
      <c r="F20" s="6">
        <v>0.55000000000000004</v>
      </c>
      <c r="G20" s="1" t="s">
        <v>27</v>
      </c>
      <c r="M20" s="1" t="s">
        <v>119</v>
      </c>
      <c r="N20" s="1" t="s">
        <v>120</v>
      </c>
      <c r="O20" s="1" t="s">
        <v>58</v>
      </c>
      <c r="P20" s="5">
        <v>0.85</v>
      </c>
      <c r="Q20" s="1" t="str">
        <f t="shared" si="0"/>
        <v>미샤 오리MS905V01</v>
      </c>
      <c r="S20" s="1" t="s">
        <v>121</v>
      </c>
      <c r="T20" s="1" t="s">
        <v>122</v>
      </c>
      <c r="U20" s="1">
        <v>9900</v>
      </c>
    </row>
    <row r="21" spans="1:21" x14ac:dyDescent="0.4">
      <c r="A21" s="1">
        <v>19</v>
      </c>
      <c r="B21" s="1" t="s">
        <v>123</v>
      </c>
      <c r="C21" s="1">
        <v>4712400135</v>
      </c>
      <c r="E21" s="1" t="s">
        <v>124</v>
      </c>
      <c r="F21" s="6">
        <v>0.45</v>
      </c>
      <c r="G21" s="1" t="s">
        <v>27</v>
      </c>
      <c r="M21" s="1" t="s">
        <v>125</v>
      </c>
      <c r="N21" s="1" t="s">
        <v>126</v>
      </c>
      <c r="O21" s="1" t="s">
        <v>58</v>
      </c>
      <c r="P21" s="5">
        <v>0.85</v>
      </c>
      <c r="Q21" s="1" t="str">
        <f t="shared" si="0"/>
        <v>미샤 오리MS905</v>
      </c>
      <c r="S21" s="1" t="s">
        <v>127</v>
      </c>
      <c r="T21" s="1" t="s">
        <v>128</v>
      </c>
      <c r="U21" s="1">
        <v>8800</v>
      </c>
    </row>
    <row r="22" spans="1:21" x14ac:dyDescent="0.4">
      <c r="A22" s="1">
        <v>20</v>
      </c>
      <c r="B22" s="1" t="s">
        <v>129</v>
      </c>
      <c r="C22" s="1">
        <v>2158740814</v>
      </c>
      <c r="E22" s="1" t="s">
        <v>130</v>
      </c>
      <c r="F22" s="6">
        <v>0.7</v>
      </c>
      <c r="G22" s="1" t="s">
        <v>27</v>
      </c>
      <c r="M22" s="1" t="s">
        <v>131</v>
      </c>
      <c r="N22" s="1" t="s">
        <v>132</v>
      </c>
      <c r="O22" s="1" t="s">
        <v>58</v>
      </c>
      <c r="P22" s="5">
        <v>0.85</v>
      </c>
      <c r="Q22" s="1" t="str">
        <f t="shared" si="0"/>
        <v>미샤 오리MS889V02</v>
      </c>
      <c r="S22" s="1" t="s">
        <v>133</v>
      </c>
      <c r="T22" s="1" t="s">
        <v>134</v>
      </c>
      <c r="U22" s="1">
        <v>8800</v>
      </c>
    </row>
    <row r="23" spans="1:21" x14ac:dyDescent="0.4">
      <c r="A23" s="1">
        <v>21</v>
      </c>
      <c r="B23" s="1" t="s">
        <v>135</v>
      </c>
      <c r="C23" s="1">
        <v>1000000003</v>
      </c>
      <c r="E23" s="1" t="s">
        <v>136</v>
      </c>
      <c r="F23" s="6">
        <v>0.55000000000000004</v>
      </c>
      <c r="G23" s="1" t="s">
        <v>27</v>
      </c>
      <c r="M23" s="1" t="s">
        <v>137</v>
      </c>
      <c r="N23" s="1" t="s">
        <v>138</v>
      </c>
      <c r="O23" s="1" t="s">
        <v>58</v>
      </c>
      <c r="P23" s="5">
        <v>0.85</v>
      </c>
      <c r="Q23" s="1" t="str">
        <f t="shared" si="0"/>
        <v>미샤 오리MS889V01</v>
      </c>
      <c r="S23" s="1" t="s">
        <v>139</v>
      </c>
      <c r="T23" s="1" t="s">
        <v>140</v>
      </c>
      <c r="U23" s="1">
        <v>8800</v>
      </c>
    </row>
    <row r="24" spans="1:21" x14ac:dyDescent="0.4">
      <c r="A24" s="1">
        <v>22</v>
      </c>
      <c r="B24" s="7" t="s">
        <v>135</v>
      </c>
      <c r="E24" s="1" t="s">
        <v>141</v>
      </c>
      <c r="F24" s="6">
        <v>0.59</v>
      </c>
      <c r="G24" s="1" t="s">
        <v>27</v>
      </c>
      <c r="M24" s="1" t="s">
        <v>142</v>
      </c>
      <c r="N24" s="1" t="s">
        <v>143</v>
      </c>
      <c r="O24" s="1" t="s">
        <v>58</v>
      </c>
      <c r="P24" s="5">
        <v>0.85</v>
      </c>
      <c r="Q24" s="1" t="str">
        <f t="shared" si="0"/>
        <v>미샤 오리MS800</v>
      </c>
      <c r="S24" s="1" t="s">
        <v>144</v>
      </c>
      <c r="T24" s="1" t="s">
        <v>145</v>
      </c>
      <c r="U24" s="1">
        <v>5500</v>
      </c>
    </row>
    <row r="25" spans="1:21" x14ac:dyDescent="0.4">
      <c r="A25" s="1">
        <v>23</v>
      </c>
      <c r="B25" s="1" t="s">
        <v>146</v>
      </c>
      <c r="C25" s="1">
        <v>4912400314</v>
      </c>
      <c r="E25" s="1" t="s">
        <v>147</v>
      </c>
      <c r="F25" s="6">
        <v>0.5</v>
      </c>
      <c r="G25" s="1" t="s">
        <v>27</v>
      </c>
      <c r="M25" s="1" t="s">
        <v>148</v>
      </c>
      <c r="N25" s="1" t="s">
        <v>149</v>
      </c>
      <c r="O25" s="1" t="s">
        <v>58</v>
      </c>
      <c r="P25" s="5">
        <v>0.85</v>
      </c>
      <c r="Q25" s="1" t="str">
        <f t="shared" si="0"/>
        <v>미샤 오리MS800V02</v>
      </c>
      <c r="S25" s="1" t="s">
        <v>150</v>
      </c>
      <c r="T25" s="1" t="s">
        <v>151</v>
      </c>
      <c r="U25" s="1">
        <v>8800</v>
      </c>
    </row>
    <row r="26" spans="1:21" x14ac:dyDescent="0.4">
      <c r="A26" s="1">
        <v>24</v>
      </c>
      <c r="B26" s="1" t="s">
        <v>152</v>
      </c>
      <c r="C26" s="1">
        <v>6998700494</v>
      </c>
      <c r="E26" s="1" t="s">
        <v>153</v>
      </c>
      <c r="F26" s="6">
        <v>0.55000000000000004</v>
      </c>
      <c r="G26" s="1" t="s">
        <v>27</v>
      </c>
      <c r="M26" s="1" t="s">
        <v>154</v>
      </c>
      <c r="N26" s="1" t="s">
        <v>155</v>
      </c>
      <c r="O26" s="1" t="s">
        <v>58</v>
      </c>
      <c r="P26" s="5">
        <v>0.85</v>
      </c>
      <c r="Q26" s="1" t="str">
        <f t="shared" si="0"/>
        <v>미샤 오리MS800V01</v>
      </c>
      <c r="S26" s="1" t="s">
        <v>156</v>
      </c>
      <c r="T26" s="1" t="s">
        <v>157</v>
      </c>
      <c r="U26" s="1">
        <v>4950</v>
      </c>
    </row>
    <row r="27" spans="1:21" x14ac:dyDescent="0.4">
      <c r="A27" s="1">
        <v>25</v>
      </c>
      <c r="B27" s="1" t="s">
        <v>158</v>
      </c>
      <c r="C27" s="1">
        <v>5968100290</v>
      </c>
      <c r="E27" s="1" t="s">
        <v>42</v>
      </c>
      <c r="F27" s="6">
        <v>0.55000000000000004</v>
      </c>
      <c r="G27" s="1" t="s">
        <v>27</v>
      </c>
      <c r="M27" s="1" t="s">
        <v>159</v>
      </c>
      <c r="N27" s="1" t="s">
        <v>160</v>
      </c>
      <c r="O27" s="1" t="s">
        <v>58</v>
      </c>
      <c r="P27" s="5">
        <v>0.85</v>
      </c>
      <c r="Q27" s="1" t="str">
        <f t="shared" si="0"/>
        <v>미샤 오리MS760V02</v>
      </c>
      <c r="S27" s="1" t="s">
        <v>161</v>
      </c>
      <c r="T27" s="1" t="s">
        <v>162</v>
      </c>
      <c r="U27" s="1">
        <v>8800</v>
      </c>
    </row>
    <row r="28" spans="1:21" x14ac:dyDescent="0.4">
      <c r="A28" s="1">
        <v>26</v>
      </c>
      <c r="B28" s="1" t="s">
        <v>163</v>
      </c>
      <c r="C28" s="1">
        <v>6998700494</v>
      </c>
      <c r="E28" s="1" t="s">
        <v>153</v>
      </c>
      <c r="F28" s="6" t="s">
        <v>26</v>
      </c>
      <c r="G28" s="1" t="s">
        <v>27</v>
      </c>
      <c r="M28" s="1" t="s">
        <v>164</v>
      </c>
      <c r="N28" s="1" t="s">
        <v>165</v>
      </c>
      <c r="O28" s="1" t="s">
        <v>58</v>
      </c>
      <c r="P28" s="5">
        <v>0.85</v>
      </c>
      <c r="Q28" s="1" t="str">
        <f t="shared" si="0"/>
        <v>미샤 오리MS760V01</v>
      </c>
      <c r="S28" s="1" t="s">
        <v>166</v>
      </c>
      <c r="T28" s="1" t="s">
        <v>167</v>
      </c>
      <c r="U28" s="1">
        <v>29260</v>
      </c>
    </row>
    <row r="29" spans="1:21" x14ac:dyDescent="0.4">
      <c r="A29" s="1">
        <v>27</v>
      </c>
      <c r="B29" s="1" t="s">
        <v>168</v>
      </c>
      <c r="C29" s="1">
        <v>6998700494</v>
      </c>
      <c r="E29" s="1" t="s">
        <v>153</v>
      </c>
      <c r="F29" s="6">
        <v>0.55000000000000004</v>
      </c>
      <c r="G29" s="1" t="s">
        <v>27</v>
      </c>
      <c r="M29" s="1" t="s">
        <v>169</v>
      </c>
      <c r="N29" s="1" t="s">
        <v>170</v>
      </c>
      <c r="O29" s="1" t="s">
        <v>58</v>
      </c>
      <c r="P29" s="5">
        <v>0.85</v>
      </c>
      <c r="Q29" s="1" t="str">
        <f t="shared" si="0"/>
        <v>미샤 오리MS760</v>
      </c>
    </row>
    <row r="30" spans="1:21" ht="52.2" x14ac:dyDescent="0.4">
      <c r="A30" s="1">
        <v>28</v>
      </c>
      <c r="B30" s="1" t="s">
        <v>171</v>
      </c>
      <c r="C30" s="1">
        <v>2898500371</v>
      </c>
      <c r="E30" s="1" t="s">
        <v>172</v>
      </c>
      <c r="F30" s="6">
        <v>0.6</v>
      </c>
      <c r="G30" s="1" t="s">
        <v>27</v>
      </c>
      <c r="H30" s="8" t="s">
        <v>173</v>
      </c>
      <c r="M30" s="1" t="s">
        <v>174</v>
      </c>
      <c r="N30" s="1" t="s">
        <v>175</v>
      </c>
      <c r="O30" s="1" t="s">
        <v>58</v>
      </c>
      <c r="P30" s="5">
        <v>0.85</v>
      </c>
      <c r="Q30" s="1" t="str">
        <f t="shared" si="0"/>
        <v>미샤 오리MS610</v>
      </c>
    </row>
    <row r="31" spans="1:21" x14ac:dyDescent="0.4">
      <c r="A31" s="1">
        <v>29</v>
      </c>
      <c r="B31" s="1" t="s">
        <v>176</v>
      </c>
      <c r="C31" s="1">
        <v>2898500371</v>
      </c>
      <c r="E31" s="1" t="s">
        <v>172</v>
      </c>
      <c r="F31" s="6">
        <v>0.6</v>
      </c>
      <c r="G31" s="1" t="s">
        <v>27</v>
      </c>
      <c r="Q31" s="1" t="str">
        <f t="shared" si="0"/>
        <v/>
      </c>
    </row>
    <row r="32" spans="1:21" x14ac:dyDescent="0.4">
      <c r="A32" s="1">
        <v>30</v>
      </c>
      <c r="B32" s="1" t="s">
        <v>177</v>
      </c>
      <c r="C32" s="1">
        <v>2898500371</v>
      </c>
      <c r="E32" s="1" t="s">
        <v>172</v>
      </c>
      <c r="F32" s="6">
        <v>0.6</v>
      </c>
      <c r="G32" s="1" t="s">
        <v>27</v>
      </c>
      <c r="Q32" s="1" t="str">
        <f t="shared" si="0"/>
        <v/>
      </c>
    </row>
    <row r="33" spans="1:17" x14ac:dyDescent="0.4">
      <c r="A33" s="1">
        <v>31</v>
      </c>
      <c r="B33" s="1" t="s">
        <v>171</v>
      </c>
      <c r="C33" s="1">
        <v>1528700199</v>
      </c>
      <c r="E33" s="1" t="s">
        <v>178</v>
      </c>
      <c r="F33" s="6">
        <v>0.49</v>
      </c>
      <c r="G33" s="1" t="s">
        <v>27</v>
      </c>
      <c r="Q33" s="1" t="str">
        <f t="shared" si="0"/>
        <v/>
      </c>
    </row>
    <row r="34" spans="1:17" x14ac:dyDescent="0.4">
      <c r="A34" s="1">
        <v>32</v>
      </c>
      <c r="B34" s="1" t="s">
        <v>176</v>
      </c>
      <c r="C34" s="1">
        <v>1528700199</v>
      </c>
      <c r="E34" s="1" t="s">
        <v>178</v>
      </c>
      <c r="F34" s="6">
        <v>0.47</v>
      </c>
      <c r="G34" s="1" t="s">
        <v>27</v>
      </c>
      <c r="Q34" s="1" t="str">
        <f t="shared" si="0"/>
        <v/>
      </c>
    </row>
    <row r="35" spans="1:17" x14ac:dyDescent="0.4">
      <c r="A35" s="1">
        <v>33</v>
      </c>
      <c r="B35" s="1" t="s">
        <v>177</v>
      </c>
      <c r="C35" s="1">
        <v>1528700199</v>
      </c>
      <c r="E35" s="1" t="s">
        <v>178</v>
      </c>
      <c r="F35" s="6">
        <v>0.36</v>
      </c>
      <c r="G35" s="1" t="s">
        <v>27</v>
      </c>
      <c r="Q35" s="1" t="str">
        <f t="shared" si="0"/>
        <v/>
      </c>
    </row>
    <row r="36" spans="1:17" x14ac:dyDescent="0.4">
      <c r="A36" s="1">
        <v>34</v>
      </c>
      <c r="B36" s="1" t="s">
        <v>179</v>
      </c>
      <c r="C36" s="1">
        <v>1528700199</v>
      </c>
      <c r="E36" s="1" t="s">
        <v>178</v>
      </c>
      <c r="F36" s="6" t="s">
        <v>26</v>
      </c>
      <c r="G36" s="1" t="s">
        <v>27</v>
      </c>
      <c r="Q36" s="1" t="str">
        <f t="shared" si="0"/>
        <v/>
      </c>
    </row>
    <row r="37" spans="1:17" x14ac:dyDescent="0.4">
      <c r="A37" s="1">
        <v>35</v>
      </c>
      <c r="B37" s="1" t="s">
        <v>180</v>
      </c>
      <c r="C37" s="1">
        <v>1293591255</v>
      </c>
      <c r="E37" s="1" t="s">
        <v>181</v>
      </c>
      <c r="F37" s="6">
        <v>0.43</v>
      </c>
      <c r="G37" s="1" t="s">
        <v>27</v>
      </c>
      <c r="Q37" s="1" t="str">
        <f t="shared" si="0"/>
        <v/>
      </c>
    </row>
    <row r="38" spans="1:17" x14ac:dyDescent="0.4">
      <c r="A38" s="1">
        <v>36</v>
      </c>
      <c r="B38" s="1" t="s">
        <v>182</v>
      </c>
      <c r="C38" s="1">
        <v>2042451539</v>
      </c>
      <c r="E38" s="1" t="s">
        <v>183</v>
      </c>
      <c r="F38" s="6" t="s">
        <v>26</v>
      </c>
      <c r="G38" s="1" t="s">
        <v>27</v>
      </c>
      <c r="Q38" s="1" t="str">
        <f t="shared" si="0"/>
        <v/>
      </c>
    </row>
    <row r="39" spans="1:17" x14ac:dyDescent="0.4">
      <c r="A39" s="1">
        <v>37</v>
      </c>
      <c r="B39" s="7" t="s">
        <v>184</v>
      </c>
      <c r="C39" s="1">
        <v>1298678540</v>
      </c>
      <c r="E39" s="7" t="s">
        <v>185</v>
      </c>
      <c r="F39" s="6" t="s">
        <v>26</v>
      </c>
      <c r="G39" s="1" t="s">
        <v>27</v>
      </c>
      <c r="Q39" s="1" t="str">
        <f t="shared" si="0"/>
        <v/>
      </c>
    </row>
    <row r="40" spans="1:17" x14ac:dyDescent="0.4">
      <c r="A40" s="1">
        <v>38</v>
      </c>
      <c r="B40" s="7" t="s">
        <v>117</v>
      </c>
      <c r="C40" s="1">
        <v>8854800290</v>
      </c>
      <c r="E40" s="7" t="s">
        <v>186</v>
      </c>
      <c r="F40" s="6">
        <v>0.55000000000000004</v>
      </c>
      <c r="G40" s="1" t="s">
        <v>27</v>
      </c>
      <c r="Q40" s="1" t="str">
        <f t="shared" si="0"/>
        <v/>
      </c>
    </row>
    <row r="41" spans="1:17" x14ac:dyDescent="0.4">
      <c r="A41" s="1">
        <v>39</v>
      </c>
      <c r="B41" s="7" t="s">
        <v>187</v>
      </c>
      <c r="C41" s="1">
        <v>1078198143</v>
      </c>
      <c r="E41" s="7" t="s">
        <v>188</v>
      </c>
      <c r="F41" s="6">
        <v>0.7</v>
      </c>
      <c r="G41" s="1" t="s">
        <v>17</v>
      </c>
      <c r="Q41" s="1" t="str">
        <f t="shared" si="0"/>
        <v/>
      </c>
    </row>
    <row r="42" spans="1:17" x14ac:dyDescent="0.4">
      <c r="A42" s="1">
        <v>40</v>
      </c>
      <c r="B42" s="7" t="s">
        <v>189</v>
      </c>
      <c r="C42" s="1">
        <v>1138117561</v>
      </c>
      <c r="E42" s="7" t="s">
        <v>190</v>
      </c>
      <c r="F42" s="6">
        <v>0.75</v>
      </c>
      <c r="G42" s="1" t="s">
        <v>17</v>
      </c>
      <c r="Q42" s="1" t="str">
        <f t="shared" si="0"/>
        <v/>
      </c>
    </row>
    <row r="43" spans="1:17" x14ac:dyDescent="0.4">
      <c r="A43" s="1">
        <v>41</v>
      </c>
      <c r="B43" s="1" t="s">
        <v>191</v>
      </c>
      <c r="C43" s="1">
        <v>1440249122</v>
      </c>
      <c r="E43" s="1" t="s">
        <v>192</v>
      </c>
      <c r="F43" s="6">
        <v>0.65</v>
      </c>
      <c r="G43" s="1" t="s">
        <v>17</v>
      </c>
      <c r="Q43" s="1" t="str">
        <f t="shared" si="0"/>
        <v/>
      </c>
    </row>
    <row r="44" spans="1:17" x14ac:dyDescent="0.4">
      <c r="A44" s="1">
        <v>42</v>
      </c>
      <c r="B44" s="1" t="s">
        <v>191</v>
      </c>
      <c r="C44" s="1">
        <v>3360500146</v>
      </c>
      <c r="E44" s="1" t="s">
        <v>193</v>
      </c>
      <c r="F44" s="6">
        <v>0.51</v>
      </c>
      <c r="G44" s="1" t="s">
        <v>17</v>
      </c>
      <c r="Q44" s="1" t="str">
        <f t="shared" si="0"/>
        <v/>
      </c>
    </row>
    <row r="45" spans="1:17" x14ac:dyDescent="0.4">
      <c r="A45" s="1">
        <v>43</v>
      </c>
      <c r="B45" s="1" t="s">
        <v>194</v>
      </c>
      <c r="C45" s="1">
        <v>1198134685</v>
      </c>
      <c r="E45" s="1" t="s">
        <v>195</v>
      </c>
      <c r="F45" s="6">
        <v>1</v>
      </c>
      <c r="G45" s="1" t="s">
        <v>17</v>
      </c>
      <c r="Q45" s="1" t="str">
        <f t="shared" si="0"/>
        <v/>
      </c>
    </row>
    <row r="46" spans="1:17" x14ac:dyDescent="0.4">
      <c r="A46" s="1">
        <v>44</v>
      </c>
      <c r="B46" s="1" t="s">
        <v>196</v>
      </c>
      <c r="C46" s="1">
        <v>1000000010</v>
      </c>
      <c r="E46" s="1" t="s">
        <v>197</v>
      </c>
      <c r="F46" s="6">
        <v>1</v>
      </c>
      <c r="G46" s="1" t="s">
        <v>17</v>
      </c>
      <c r="Q46" s="1" t="str">
        <f t="shared" si="0"/>
        <v/>
      </c>
    </row>
    <row r="47" spans="1:17" x14ac:dyDescent="0.4">
      <c r="A47" s="1">
        <v>45</v>
      </c>
      <c r="B47" s="1" t="s">
        <v>198</v>
      </c>
      <c r="C47" s="1">
        <v>1292073665</v>
      </c>
      <c r="E47" s="1" t="s">
        <v>199</v>
      </c>
      <c r="F47" s="6">
        <v>0.7</v>
      </c>
      <c r="G47" s="1" t="s">
        <v>17</v>
      </c>
      <c r="Q47" s="1" t="str">
        <f t="shared" si="0"/>
        <v/>
      </c>
    </row>
    <row r="48" spans="1:17" x14ac:dyDescent="0.4">
      <c r="A48" s="1">
        <v>46</v>
      </c>
      <c r="B48" s="1" t="s">
        <v>200</v>
      </c>
      <c r="C48" s="1">
        <v>1440190473</v>
      </c>
      <c r="E48" s="1" t="s">
        <v>201</v>
      </c>
      <c r="F48" s="6">
        <v>0.47</v>
      </c>
      <c r="G48" s="1" t="s">
        <v>17</v>
      </c>
      <c r="Q48" s="1" t="str">
        <f t="shared" si="0"/>
        <v/>
      </c>
    </row>
    <row r="49" spans="1:17" x14ac:dyDescent="0.4">
      <c r="A49" s="1">
        <v>47</v>
      </c>
      <c r="B49" s="7" t="s">
        <v>200</v>
      </c>
      <c r="E49" s="1" t="s">
        <v>202</v>
      </c>
      <c r="F49" s="6">
        <v>0.7</v>
      </c>
      <c r="G49" s="1" t="s">
        <v>17</v>
      </c>
      <c r="Q49" s="1" t="str">
        <f t="shared" si="0"/>
        <v/>
      </c>
    </row>
    <row r="50" spans="1:17" x14ac:dyDescent="0.4">
      <c r="A50" s="1">
        <v>48</v>
      </c>
      <c r="B50" s="1" t="s">
        <v>203</v>
      </c>
      <c r="C50" s="1">
        <v>1048160935</v>
      </c>
      <c r="E50" s="1" t="s">
        <v>204</v>
      </c>
      <c r="F50" s="6">
        <v>0.46</v>
      </c>
      <c r="G50" s="1" t="s">
        <v>17</v>
      </c>
      <c r="Q50" s="1" t="str">
        <f t="shared" si="0"/>
        <v/>
      </c>
    </row>
    <row r="51" spans="1:17" x14ac:dyDescent="0.4">
      <c r="A51" s="1">
        <v>49</v>
      </c>
      <c r="B51" s="7" t="s">
        <v>205</v>
      </c>
      <c r="C51" s="1">
        <v>1420617618</v>
      </c>
      <c r="E51" s="1" t="s">
        <v>206</v>
      </c>
      <c r="F51" s="6">
        <v>0.62</v>
      </c>
      <c r="G51" s="1" t="s">
        <v>17</v>
      </c>
      <c r="Q51" s="1" t="str">
        <f t="shared" si="0"/>
        <v/>
      </c>
    </row>
    <row r="52" spans="1:17" x14ac:dyDescent="0.4">
      <c r="A52" s="1">
        <v>50</v>
      </c>
      <c r="B52" s="9" t="s">
        <v>207</v>
      </c>
      <c r="C52" s="1">
        <v>1420617618</v>
      </c>
      <c r="E52" s="1" t="s">
        <v>206</v>
      </c>
      <c r="F52" s="6">
        <v>0.62</v>
      </c>
      <c r="G52" s="1" t="s">
        <v>17</v>
      </c>
    </row>
    <row r="53" spans="1:17" x14ac:dyDescent="0.4">
      <c r="A53" s="1">
        <v>51</v>
      </c>
      <c r="B53" s="9" t="s">
        <v>208</v>
      </c>
      <c r="C53" s="1">
        <v>1420617618</v>
      </c>
      <c r="E53" s="1" t="s">
        <v>206</v>
      </c>
      <c r="F53" s="6">
        <v>0.62</v>
      </c>
      <c r="G53" s="1" t="s">
        <v>17</v>
      </c>
    </row>
    <row r="54" spans="1:17" x14ac:dyDescent="0.4">
      <c r="A54" s="1">
        <v>52</v>
      </c>
      <c r="B54" s="9" t="s">
        <v>209</v>
      </c>
      <c r="C54" s="1">
        <v>1420617618</v>
      </c>
      <c r="E54" s="1" t="s">
        <v>206</v>
      </c>
      <c r="F54" s="6">
        <v>0.62</v>
      </c>
      <c r="G54" s="1" t="s">
        <v>17</v>
      </c>
    </row>
    <row r="55" spans="1:17" x14ac:dyDescent="0.4">
      <c r="A55" s="1">
        <v>53</v>
      </c>
      <c r="B55" s="9" t="s">
        <v>210</v>
      </c>
      <c r="C55" s="1">
        <v>1420617618</v>
      </c>
      <c r="E55" s="1" t="s">
        <v>206</v>
      </c>
      <c r="F55" s="6">
        <v>0.62</v>
      </c>
      <c r="G55" s="1" t="s">
        <v>17</v>
      </c>
    </row>
    <row r="56" spans="1:17" x14ac:dyDescent="0.4">
      <c r="A56" s="1">
        <v>54</v>
      </c>
      <c r="B56" s="9" t="s">
        <v>211</v>
      </c>
      <c r="C56" s="1">
        <v>1420617618</v>
      </c>
      <c r="E56" s="1" t="s">
        <v>206</v>
      </c>
      <c r="F56" s="6">
        <v>0.62</v>
      </c>
      <c r="G56" s="1" t="s">
        <v>17</v>
      </c>
    </row>
    <row r="57" spans="1:17" x14ac:dyDescent="0.4">
      <c r="A57" s="1">
        <v>55</v>
      </c>
      <c r="B57" s="9" t="s">
        <v>212</v>
      </c>
      <c r="C57" s="1">
        <v>1420617618</v>
      </c>
      <c r="E57" s="1" t="s">
        <v>206</v>
      </c>
      <c r="F57" s="6">
        <v>0.62</v>
      </c>
      <c r="G57" s="1" t="s">
        <v>17</v>
      </c>
    </row>
    <row r="58" spans="1:17" x14ac:dyDescent="0.4">
      <c r="A58" s="1">
        <v>56</v>
      </c>
      <c r="B58" s="9" t="s">
        <v>213</v>
      </c>
      <c r="C58" s="1">
        <v>1420617618</v>
      </c>
      <c r="E58" s="1" t="s">
        <v>206</v>
      </c>
      <c r="F58" s="6">
        <v>0.62</v>
      </c>
      <c r="G58" s="1" t="s">
        <v>17</v>
      </c>
    </row>
    <row r="59" spans="1:17" x14ac:dyDescent="0.4">
      <c r="A59" s="1">
        <v>57</v>
      </c>
      <c r="B59" s="9" t="s">
        <v>214</v>
      </c>
      <c r="C59" s="1">
        <v>1420617618</v>
      </c>
      <c r="E59" s="1" t="s">
        <v>206</v>
      </c>
      <c r="F59" s="6">
        <v>0.62</v>
      </c>
      <c r="G59" s="1" t="s">
        <v>17</v>
      </c>
    </row>
    <row r="60" spans="1:17" x14ac:dyDescent="0.4">
      <c r="A60" s="1">
        <v>58</v>
      </c>
      <c r="B60" s="9" t="s">
        <v>215</v>
      </c>
      <c r="C60" s="1">
        <v>1420961338</v>
      </c>
      <c r="E60" s="1" t="s">
        <v>216</v>
      </c>
      <c r="F60" s="6">
        <v>0.6</v>
      </c>
      <c r="G60" s="1" t="s">
        <v>17</v>
      </c>
    </row>
    <row r="61" spans="1:17" x14ac:dyDescent="0.4">
      <c r="A61" s="1">
        <v>59</v>
      </c>
      <c r="B61" s="9" t="s">
        <v>217</v>
      </c>
      <c r="C61" s="1">
        <v>2148703359</v>
      </c>
      <c r="E61" s="1" t="s">
        <v>218</v>
      </c>
      <c r="F61" s="2" t="s">
        <v>26</v>
      </c>
      <c r="G61" s="1" t="s">
        <v>27</v>
      </c>
    </row>
    <row r="62" spans="1:17" x14ac:dyDescent="0.4">
      <c r="A62" s="1">
        <v>60</v>
      </c>
      <c r="B62" s="9" t="s">
        <v>219</v>
      </c>
      <c r="E62" s="1" t="s">
        <v>219</v>
      </c>
      <c r="F62" s="2" t="s">
        <v>26</v>
      </c>
      <c r="G62" s="1" t="s">
        <v>17</v>
      </c>
    </row>
    <row r="63" spans="1:17" x14ac:dyDescent="0.4">
      <c r="A63" s="1">
        <v>61</v>
      </c>
      <c r="B63" s="9" t="s">
        <v>220</v>
      </c>
      <c r="C63" s="1">
        <v>2048602924</v>
      </c>
      <c r="E63" s="1" t="s">
        <v>220</v>
      </c>
      <c r="F63" s="2" t="s">
        <v>26</v>
      </c>
      <c r="G63" s="1" t="s">
        <v>27</v>
      </c>
    </row>
    <row r="64" spans="1:17" x14ac:dyDescent="0.4">
      <c r="A64" s="1">
        <v>62</v>
      </c>
      <c r="B64" s="9" t="s">
        <v>221</v>
      </c>
      <c r="C64" s="1">
        <v>1000000006</v>
      </c>
      <c r="E64" s="1" t="s">
        <v>221</v>
      </c>
      <c r="F64" s="2" t="s">
        <v>26</v>
      </c>
      <c r="G64" s="1" t="s">
        <v>27</v>
      </c>
    </row>
    <row r="65" spans="1:8" x14ac:dyDescent="0.4">
      <c r="A65" s="1">
        <v>63</v>
      </c>
      <c r="B65" s="9" t="s">
        <v>222</v>
      </c>
      <c r="C65" s="1">
        <v>5968100290</v>
      </c>
      <c r="E65" s="1" t="s">
        <v>42</v>
      </c>
      <c r="F65" s="6">
        <v>0.32</v>
      </c>
      <c r="G65" s="1" t="s">
        <v>27</v>
      </c>
    </row>
    <row r="66" spans="1:8" x14ac:dyDescent="0.4">
      <c r="A66" s="1">
        <v>64</v>
      </c>
      <c r="B66" s="9" t="s">
        <v>223</v>
      </c>
      <c r="E66" s="1" t="s">
        <v>223</v>
      </c>
      <c r="F66" s="2" t="s">
        <v>26</v>
      </c>
      <c r="G66" s="1" t="s">
        <v>27</v>
      </c>
    </row>
    <row r="67" spans="1:8" x14ac:dyDescent="0.4">
      <c r="A67" s="1">
        <v>65</v>
      </c>
      <c r="B67" s="9" t="s">
        <v>215</v>
      </c>
      <c r="C67" s="1">
        <v>2042231941</v>
      </c>
      <c r="E67" s="1" t="s">
        <v>224</v>
      </c>
      <c r="F67" s="6">
        <v>0.63</v>
      </c>
      <c r="G67" s="1" t="s">
        <v>27</v>
      </c>
    </row>
    <row r="68" spans="1:8" x14ac:dyDescent="0.4">
      <c r="A68" s="1">
        <v>66</v>
      </c>
      <c r="B68" s="9" t="s">
        <v>215</v>
      </c>
      <c r="C68" s="1">
        <v>1292082825</v>
      </c>
      <c r="E68" s="1" t="s">
        <v>225</v>
      </c>
      <c r="F68" s="6">
        <v>0.7</v>
      </c>
      <c r="G68" s="1" t="s">
        <v>27</v>
      </c>
    </row>
    <row r="69" spans="1:8" x14ac:dyDescent="0.4">
      <c r="A69" s="1">
        <v>67</v>
      </c>
      <c r="B69" s="9" t="s">
        <v>226</v>
      </c>
      <c r="C69" s="1">
        <v>5442100558</v>
      </c>
      <c r="E69" s="1" t="s">
        <v>227</v>
      </c>
      <c r="F69" s="6">
        <v>0.48</v>
      </c>
      <c r="G69" s="1" t="s">
        <v>27</v>
      </c>
    </row>
    <row r="70" spans="1:8" x14ac:dyDescent="0.4">
      <c r="A70" s="1">
        <v>68</v>
      </c>
      <c r="B70" s="9" t="s">
        <v>226</v>
      </c>
      <c r="C70" s="1">
        <v>7704600204</v>
      </c>
      <c r="E70" s="1" t="s">
        <v>228</v>
      </c>
      <c r="F70" s="6">
        <v>0.5</v>
      </c>
      <c r="G70" s="1" t="s">
        <v>17</v>
      </c>
    </row>
    <row r="71" spans="1:8" x14ac:dyDescent="0.4">
      <c r="A71" s="1">
        <v>69</v>
      </c>
      <c r="B71" s="9" t="s">
        <v>229</v>
      </c>
      <c r="C71" s="1">
        <v>2648102504</v>
      </c>
      <c r="E71" s="1" t="s">
        <v>229</v>
      </c>
      <c r="F71" s="2" t="s">
        <v>26</v>
      </c>
      <c r="G71" s="1" t="s">
        <v>27</v>
      </c>
    </row>
    <row r="72" spans="1:8" x14ac:dyDescent="0.4">
      <c r="A72" s="1">
        <v>70</v>
      </c>
      <c r="B72" s="9" t="s">
        <v>230</v>
      </c>
      <c r="C72" s="1">
        <v>1528700199</v>
      </c>
      <c r="E72" s="1" t="s">
        <v>178</v>
      </c>
      <c r="F72" s="2" t="s">
        <v>26</v>
      </c>
      <c r="G72" s="1" t="s">
        <v>27</v>
      </c>
    </row>
    <row r="73" spans="1:8" x14ac:dyDescent="0.4">
      <c r="A73" s="1">
        <v>71</v>
      </c>
      <c r="B73" s="9" t="s">
        <v>231</v>
      </c>
      <c r="C73" s="1">
        <v>5458800025</v>
      </c>
      <c r="E73" s="1" t="s">
        <v>232</v>
      </c>
      <c r="F73" s="2" t="s">
        <v>26</v>
      </c>
      <c r="G73" s="1" t="s">
        <v>27</v>
      </c>
    </row>
    <row r="74" spans="1:8" x14ac:dyDescent="0.4">
      <c r="A74" s="1">
        <v>72</v>
      </c>
      <c r="B74" s="9" t="s">
        <v>233</v>
      </c>
      <c r="C74" s="1">
        <v>2158785975</v>
      </c>
      <c r="E74" s="1" t="s">
        <v>233</v>
      </c>
      <c r="F74" s="2" t="s">
        <v>26</v>
      </c>
      <c r="G74" s="1" t="s">
        <v>27</v>
      </c>
    </row>
    <row r="75" spans="1:8" x14ac:dyDescent="0.4">
      <c r="A75" s="1">
        <v>73</v>
      </c>
      <c r="B75" s="9" t="s">
        <v>234</v>
      </c>
      <c r="C75" s="1">
        <v>1288707791</v>
      </c>
      <c r="E75" s="1" t="s">
        <v>235</v>
      </c>
      <c r="F75" s="2" t="s">
        <v>26</v>
      </c>
      <c r="G75" s="1" t="s">
        <v>27</v>
      </c>
    </row>
    <row r="76" spans="1:8" x14ac:dyDescent="0.4">
      <c r="A76" s="1">
        <v>74</v>
      </c>
      <c r="B76" s="9" t="s">
        <v>171</v>
      </c>
      <c r="C76" s="1">
        <v>1000000005</v>
      </c>
      <c r="E76" s="1" t="s">
        <v>236</v>
      </c>
      <c r="F76" s="6">
        <v>0.6</v>
      </c>
      <c r="G76" s="1" t="s">
        <v>27</v>
      </c>
      <c r="H76" s="1" t="s">
        <v>237</v>
      </c>
    </row>
    <row r="77" spans="1:8" x14ac:dyDescent="0.4">
      <c r="A77" s="1">
        <v>75</v>
      </c>
      <c r="B77" s="9" t="s">
        <v>176</v>
      </c>
      <c r="C77" s="1">
        <v>1000000005</v>
      </c>
      <c r="E77" s="1" t="s">
        <v>236</v>
      </c>
      <c r="F77" s="6">
        <v>0.6</v>
      </c>
      <c r="G77" s="1" t="s">
        <v>27</v>
      </c>
      <c r="H77" s="1" t="s">
        <v>237</v>
      </c>
    </row>
    <row r="78" spans="1:8" x14ac:dyDescent="0.4">
      <c r="A78" s="1">
        <v>76</v>
      </c>
      <c r="B78" s="9" t="s">
        <v>177</v>
      </c>
      <c r="C78" s="1">
        <v>1000000005</v>
      </c>
      <c r="E78" s="1" t="s">
        <v>236</v>
      </c>
      <c r="F78" s="6">
        <v>0.6</v>
      </c>
      <c r="G78" s="1" t="s">
        <v>27</v>
      </c>
      <c r="H78" s="1" t="s">
        <v>237</v>
      </c>
    </row>
    <row r="79" spans="1:8" x14ac:dyDescent="0.4">
      <c r="A79" s="1">
        <v>77</v>
      </c>
      <c r="B79" s="9" t="s">
        <v>238</v>
      </c>
      <c r="C79" s="1">
        <v>8748100303</v>
      </c>
      <c r="E79" s="1" t="s">
        <v>239</v>
      </c>
      <c r="F79" s="2" t="s">
        <v>26</v>
      </c>
      <c r="G79" s="1" t="s">
        <v>27</v>
      </c>
      <c r="H79" s="1" t="s">
        <v>240</v>
      </c>
    </row>
    <row r="80" spans="1:8" x14ac:dyDescent="0.4">
      <c r="A80" s="1">
        <v>78</v>
      </c>
      <c r="B80" s="9" t="s">
        <v>241</v>
      </c>
      <c r="C80" s="1">
        <v>8748100303</v>
      </c>
      <c r="E80" s="1" t="s">
        <v>239</v>
      </c>
      <c r="F80" s="2" t="s">
        <v>26</v>
      </c>
      <c r="G80" s="1" t="s">
        <v>27</v>
      </c>
      <c r="H80" s="1" t="s">
        <v>240</v>
      </c>
    </row>
    <row r="81" spans="1:8" x14ac:dyDescent="0.4">
      <c r="A81" s="1">
        <v>79</v>
      </c>
      <c r="B81" s="9" t="s">
        <v>242</v>
      </c>
      <c r="C81" s="1">
        <v>8748100303</v>
      </c>
      <c r="E81" s="1" t="s">
        <v>239</v>
      </c>
      <c r="F81" s="2" t="s">
        <v>26</v>
      </c>
      <c r="G81" s="1" t="s">
        <v>27</v>
      </c>
      <c r="H81" s="1" t="s">
        <v>240</v>
      </c>
    </row>
    <row r="82" spans="1:8" x14ac:dyDescent="0.4">
      <c r="A82" s="1">
        <v>80</v>
      </c>
      <c r="B82" s="9" t="s">
        <v>41</v>
      </c>
      <c r="C82" s="1">
        <v>3728600796</v>
      </c>
      <c r="E82" s="1" t="s">
        <v>243</v>
      </c>
      <c r="F82" s="2" t="s">
        <v>26</v>
      </c>
      <c r="G82" s="1" t="s">
        <v>27</v>
      </c>
      <c r="H82" s="1" t="s">
        <v>240</v>
      </c>
    </row>
    <row r="83" spans="1:8" x14ac:dyDescent="0.4">
      <c r="A83" s="1">
        <v>81</v>
      </c>
      <c r="B83" s="1" t="s">
        <v>176</v>
      </c>
      <c r="C83" s="1">
        <v>8748100303</v>
      </c>
      <c r="E83" s="1" t="s">
        <v>239</v>
      </c>
      <c r="F83" s="2" t="s">
        <v>26</v>
      </c>
      <c r="G83" s="1" t="s">
        <v>27</v>
      </c>
      <c r="H83" s="1" t="s">
        <v>240</v>
      </c>
    </row>
    <row r="84" spans="1:8" x14ac:dyDescent="0.4">
      <c r="A84" s="1">
        <v>82</v>
      </c>
      <c r="B84" s="1" t="s">
        <v>177</v>
      </c>
      <c r="C84" s="1">
        <v>8748100303</v>
      </c>
      <c r="E84" s="1" t="s">
        <v>239</v>
      </c>
      <c r="F84" s="2" t="s">
        <v>26</v>
      </c>
      <c r="G84" s="1" t="s">
        <v>27</v>
      </c>
      <c r="H84" s="1" t="s">
        <v>240</v>
      </c>
    </row>
    <row r="85" spans="1:8" x14ac:dyDescent="0.4">
      <c r="A85" s="1">
        <v>83</v>
      </c>
      <c r="B85" s="1" t="s">
        <v>171</v>
      </c>
      <c r="C85" s="1">
        <v>8748100303</v>
      </c>
      <c r="E85" s="1" t="s">
        <v>239</v>
      </c>
      <c r="F85" s="2" t="s">
        <v>26</v>
      </c>
      <c r="G85" s="1" t="s">
        <v>27</v>
      </c>
      <c r="H85" s="1" t="s">
        <v>240</v>
      </c>
    </row>
    <row r="86" spans="1:8" x14ac:dyDescent="0.4">
      <c r="A86" s="1">
        <v>84</v>
      </c>
      <c r="B86" s="1" t="s">
        <v>244</v>
      </c>
      <c r="C86" s="1">
        <v>2148811216</v>
      </c>
      <c r="E86" s="1" t="s">
        <v>244</v>
      </c>
      <c r="F86" s="6">
        <v>0.57999999999999996</v>
      </c>
      <c r="G86" s="1" t="s">
        <v>27</v>
      </c>
    </row>
    <row r="87" spans="1:8" x14ac:dyDescent="0.4">
      <c r="A87" s="1">
        <v>85</v>
      </c>
      <c r="B87" s="1" t="s">
        <v>245</v>
      </c>
      <c r="C87" s="1">
        <v>1000000001</v>
      </c>
      <c r="E87" s="1" t="s">
        <v>245</v>
      </c>
      <c r="F87" s="6">
        <v>1</v>
      </c>
      <c r="G87" s="1" t="s">
        <v>27</v>
      </c>
    </row>
    <row r="88" spans="1:8" x14ac:dyDescent="0.4">
      <c r="A88" s="1">
        <v>86</v>
      </c>
      <c r="B88" s="1" t="s">
        <v>246</v>
      </c>
      <c r="C88" s="1">
        <v>5968100290</v>
      </c>
      <c r="E88" s="1" t="s">
        <v>42</v>
      </c>
      <c r="F88" s="2" t="s">
        <v>26</v>
      </c>
      <c r="G88" s="1" t="s">
        <v>247</v>
      </c>
    </row>
    <row r="89" spans="1:8" x14ac:dyDescent="0.4">
      <c r="A89" s="1">
        <v>87</v>
      </c>
      <c r="B89" s="1" t="s">
        <v>248</v>
      </c>
      <c r="C89" s="1">
        <v>5968100290</v>
      </c>
      <c r="E89" s="1" t="s">
        <v>42</v>
      </c>
      <c r="F89" s="6">
        <v>0.55000000000000004</v>
      </c>
      <c r="G89" s="1" t="s">
        <v>247</v>
      </c>
    </row>
    <row r="90" spans="1:8" x14ac:dyDescent="0.4">
      <c r="A90" s="1">
        <v>88</v>
      </c>
      <c r="B90" s="1" t="s">
        <v>249</v>
      </c>
      <c r="C90" s="1">
        <v>5968100290</v>
      </c>
      <c r="E90" s="1" t="s">
        <v>42</v>
      </c>
      <c r="F90" s="6">
        <v>0.5</v>
      </c>
      <c r="G90" s="1" t="s">
        <v>247</v>
      </c>
    </row>
    <row r="91" spans="1:8" x14ac:dyDescent="0.4">
      <c r="A91" s="1">
        <v>89</v>
      </c>
      <c r="B91" s="1" t="s">
        <v>250</v>
      </c>
      <c r="C91" s="1">
        <v>5968100290</v>
      </c>
      <c r="E91" s="1" t="s">
        <v>42</v>
      </c>
      <c r="F91" s="2" t="s">
        <v>26</v>
      </c>
      <c r="G91" s="1" t="s">
        <v>247</v>
      </c>
    </row>
    <row r="92" spans="1:8" x14ac:dyDescent="0.4">
      <c r="A92" s="1">
        <v>90</v>
      </c>
      <c r="B92" s="1" t="s">
        <v>251</v>
      </c>
      <c r="C92" s="1">
        <v>2268800333</v>
      </c>
      <c r="E92" s="1" t="s">
        <v>252</v>
      </c>
      <c r="F92" s="2" t="s">
        <v>26</v>
      </c>
      <c r="G92" s="1" t="s">
        <v>247</v>
      </c>
    </row>
    <row r="93" spans="1:8" x14ac:dyDescent="0.4">
      <c r="A93" s="1">
        <v>91</v>
      </c>
      <c r="B93" s="1" t="s">
        <v>253</v>
      </c>
      <c r="C93" s="1">
        <v>2268800333</v>
      </c>
      <c r="E93" s="1" t="s">
        <v>252</v>
      </c>
      <c r="F93" s="2" t="s">
        <v>26</v>
      </c>
      <c r="G93" s="1" t="s">
        <v>247</v>
      </c>
    </row>
    <row r="94" spans="1:8" x14ac:dyDescent="0.4">
      <c r="A94" s="1">
        <v>92</v>
      </c>
      <c r="B94" s="1" t="s">
        <v>254</v>
      </c>
      <c r="C94" s="1">
        <v>1078832801</v>
      </c>
      <c r="E94" s="1" t="s">
        <v>254</v>
      </c>
      <c r="F94" s="2" t="s">
        <v>26</v>
      </c>
      <c r="G94" s="1" t="s">
        <v>247</v>
      </c>
    </row>
    <row r="95" spans="1:8" x14ac:dyDescent="0.4">
      <c r="A95" s="1">
        <v>93</v>
      </c>
      <c r="B95" s="1" t="s">
        <v>255</v>
      </c>
      <c r="C95" s="1">
        <v>5968100290</v>
      </c>
      <c r="E95" s="1" t="s">
        <v>42</v>
      </c>
      <c r="F95" s="2" t="s">
        <v>26</v>
      </c>
      <c r="G95" s="1" t="s">
        <v>247</v>
      </c>
    </row>
    <row r="96" spans="1:8" x14ac:dyDescent="0.4">
      <c r="A96" s="1">
        <v>94</v>
      </c>
      <c r="B96" s="1" t="s">
        <v>256</v>
      </c>
      <c r="C96" s="1">
        <v>7928700250</v>
      </c>
      <c r="E96" s="1" t="s">
        <v>257</v>
      </c>
      <c r="F96" s="2" t="s">
        <v>26</v>
      </c>
      <c r="G96" s="1" t="s">
        <v>247</v>
      </c>
    </row>
    <row r="97" spans="1:7" x14ac:dyDescent="0.4">
      <c r="A97" s="1">
        <v>95</v>
      </c>
      <c r="B97" s="1" t="s">
        <v>258</v>
      </c>
      <c r="C97" s="1">
        <v>5968100290</v>
      </c>
      <c r="E97" s="1" t="s">
        <v>42</v>
      </c>
      <c r="F97" s="6">
        <v>0.4</v>
      </c>
      <c r="G97" s="1" t="s">
        <v>247</v>
      </c>
    </row>
    <row r="98" spans="1:7" x14ac:dyDescent="0.4">
      <c r="A98" s="1">
        <v>96</v>
      </c>
      <c r="B98" s="1" t="s">
        <v>259</v>
      </c>
      <c r="C98" s="1">
        <v>5968100290</v>
      </c>
      <c r="E98" s="1" t="s">
        <v>42</v>
      </c>
      <c r="F98" s="2" t="s">
        <v>26</v>
      </c>
      <c r="G98" s="1" t="s">
        <v>247</v>
      </c>
    </row>
    <row r="99" spans="1:7" x14ac:dyDescent="0.4">
      <c r="A99" s="1">
        <v>97</v>
      </c>
      <c r="B99" s="1" t="s">
        <v>260</v>
      </c>
      <c r="C99" s="1">
        <v>5968100290</v>
      </c>
      <c r="E99" s="1" t="s">
        <v>261</v>
      </c>
      <c r="F99" s="6">
        <v>0.38</v>
      </c>
      <c r="G99" s="1" t="s">
        <v>27</v>
      </c>
    </row>
  </sheetData>
  <mergeCells count="2">
    <mergeCell ref="M1:P1"/>
    <mergeCell ref="S1:U1"/>
  </mergeCells>
  <phoneticPr fontId="2" type="noConversion"/>
  <conditionalFormatting sqref="B49">
    <cfRule type="duplicateValues" dxfId="12" priority="8"/>
  </conditionalFormatting>
  <conditionalFormatting sqref="E39:E41">
    <cfRule type="duplicateValues" dxfId="11" priority="9"/>
  </conditionalFormatting>
  <conditionalFormatting sqref="E42">
    <cfRule type="duplicateValues" dxfId="10" priority="7"/>
  </conditionalFormatting>
  <conditionalFormatting sqref="B18">
    <cfRule type="duplicateValues" dxfId="9" priority="6"/>
  </conditionalFormatting>
  <conditionalFormatting sqref="E43">
    <cfRule type="duplicateValues" dxfId="8" priority="5"/>
  </conditionalFormatting>
  <conditionalFormatting sqref="E47">
    <cfRule type="duplicateValues" dxfId="7" priority="4"/>
  </conditionalFormatting>
  <conditionalFormatting sqref="E46">
    <cfRule type="duplicateValues" dxfId="6" priority="3"/>
  </conditionalFormatting>
  <conditionalFormatting sqref="E45">
    <cfRule type="duplicateValues" dxfId="5" priority="2"/>
  </conditionalFormatting>
  <conditionalFormatting sqref="B51:B88 B1:B17 B19:B48 B95:B1048576">
    <cfRule type="duplicateValues" dxfId="4" priority="10"/>
  </conditionalFormatting>
  <conditionalFormatting sqref="B89:B9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04"/>
  <sheetViews>
    <sheetView zoomScale="55" zoomScaleNormal="55" workbookViewId="0"/>
  </sheetViews>
  <sheetFormatPr defaultRowHeight="17.399999999999999" x14ac:dyDescent="0.4"/>
  <cols>
    <col min="1" max="1" width="11.09765625" bestFit="1" customWidth="1"/>
  </cols>
  <sheetData>
    <row r="1" spans="1:97" x14ac:dyDescent="0.4">
      <c r="A1" t="s">
        <v>262</v>
      </c>
      <c r="B1" t="s">
        <v>263</v>
      </c>
      <c r="C1" t="s">
        <v>12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276</v>
      </c>
      <c r="Q1" t="s">
        <v>277</v>
      </c>
      <c r="R1" t="s">
        <v>278</v>
      </c>
      <c r="S1" t="s">
        <v>279</v>
      </c>
      <c r="T1" t="s">
        <v>280</v>
      </c>
      <c r="U1" t="s">
        <v>281</v>
      </c>
      <c r="V1" t="s">
        <v>282</v>
      </c>
      <c r="W1" t="s">
        <v>283</v>
      </c>
      <c r="X1" t="s">
        <v>284</v>
      </c>
      <c r="Y1" t="s">
        <v>285</v>
      </c>
      <c r="Z1" t="s">
        <v>286</v>
      </c>
      <c r="AA1" t="s">
        <v>287</v>
      </c>
      <c r="AB1" t="s">
        <v>288</v>
      </c>
      <c r="AC1" t="s">
        <v>289</v>
      </c>
      <c r="AD1" t="s">
        <v>290</v>
      </c>
      <c r="AE1" t="s">
        <v>291</v>
      </c>
      <c r="AF1" t="s">
        <v>292</v>
      </c>
      <c r="AG1" t="s">
        <v>293</v>
      </c>
      <c r="AH1" t="s">
        <v>294</v>
      </c>
      <c r="AI1" t="s">
        <v>295</v>
      </c>
      <c r="AJ1" t="s">
        <v>296</v>
      </c>
      <c r="AK1" t="s">
        <v>297</v>
      </c>
      <c r="AL1" t="s">
        <v>298</v>
      </c>
      <c r="AM1" t="s">
        <v>299</v>
      </c>
      <c r="AN1" t="s">
        <v>300</v>
      </c>
      <c r="AO1" t="s">
        <v>301</v>
      </c>
      <c r="AP1" t="s">
        <v>302</v>
      </c>
      <c r="AQ1" t="s">
        <v>303</v>
      </c>
      <c r="AR1" t="s">
        <v>304</v>
      </c>
      <c r="AS1" t="s">
        <v>305</v>
      </c>
      <c r="AT1" t="s">
        <v>306</v>
      </c>
      <c r="AU1" t="s">
        <v>307</v>
      </c>
      <c r="AV1" t="s">
        <v>308</v>
      </c>
      <c r="AW1" t="s">
        <v>309</v>
      </c>
      <c r="AX1" t="s">
        <v>310</v>
      </c>
      <c r="AY1" t="s">
        <v>311</v>
      </c>
      <c r="AZ1" t="s">
        <v>312</v>
      </c>
      <c r="BA1" t="s">
        <v>313</v>
      </c>
      <c r="BB1" t="s">
        <v>314</v>
      </c>
      <c r="BC1" t="s">
        <v>315</v>
      </c>
      <c r="BD1" t="s">
        <v>316</v>
      </c>
      <c r="BE1" t="s">
        <v>317</v>
      </c>
      <c r="BF1" t="s">
        <v>318</v>
      </c>
      <c r="BG1" t="s">
        <v>319</v>
      </c>
      <c r="BH1" t="s">
        <v>320</v>
      </c>
      <c r="BI1" t="s">
        <v>321</v>
      </c>
      <c r="BJ1" t="s">
        <v>322</v>
      </c>
      <c r="BK1" t="s">
        <v>323</v>
      </c>
      <c r="BL1" t="s">
        <v>324</v>
      </c>
      <c r="BM1" t="s">
        <v>325</v>
      </c>
      <c r="BN1" t="s">
        <v>326</v>
      </c>
      <c r="BO1" t="s">
        <v>327</v>
      </c>
      <c r="BP1" t="s">
        <v>328</v>
      </c>
      <c r="BQ1" t="s">
        <v>329</v>
      </c>
      <c r="BR1" t="s">
        <v>330</v>
      </c>
      <c r="BS1" t="s">
        <v>331</v>
      </c>
      <c r="BT1" t="s">
        <v>332</v>
      </c>
      <c r="BU1" t="s">
        <v>333</v>
      </c>
      <c r="BV1" t="s">
        <v>334</v>
      </c>
      <c r="BW1" t="s">
        <v>335</v>
      </c>
      <c r="BX1" t="s">
        <v>336</v>
      </c>
      <c r="BY1" t="s">
        <v>337</v>
      </c>
      <c r="BZ1" t="s">
        <v>338</v>
      </c>
      <c r="CA1" t="s">
        <v>339</v>
      </c>
      <c r="CB1" t="s">
        <v>340</v>
      </c>
      <c r="CC1" t="s">
        <v>341</v>
      </c>
      <c r="CD1" t="s">
        <v>342</v>
      </c>
      <c r="CE1" t="s">
        <v>343</v>
      </c>
      <c r="CF1" t="s">
        <v>344</v>
      </c>
      <c r="CG1" t="s">
        <v>345</v>
      </c>
      <c r="CH1" t="s">
        <v>346</v>
      </c>
      <c r="CI1" t="s">
        <v>347</v>
      </c>
      <c r="CJ1" t="s">
        <v>348</v>
      </c>
      <c r="CK1" t="s">
        <v>349</v>
      </c>
      <c r="CL1" t="s">
        <v>350</v>
      </c>
      <c r="CM1" t="s">
        <v>351</v>
      </c>
      <c r="CN1" t="s">
        <v>352</v>
      </c>
      <c r="CO1" t="s">
        <v>353</v>
      </c>
      <c r="CP1" t="s">
        <v>354</v>
      </c>
      <c r="CQ1" t="s">
        <v>355</v>
      </c>
      <c r="CR1" t="s">
        <v>356</v>
      </c>
      <c r="CS1" t="s">
        <v>357</v>
      </c>
    </row>
    <row r="2" spans="1:97" x14ac:dyDescent="0.4">
      <c r="A2" s="10">
        <v>43126</v>
      </c>
      <c r="B2" t="s">
        <v>146</v>
      </c>
      <c r="C2" t="s">
        <v>358</v>
      </c>
      <c r="D2" t="s">
        <v>359</v>
      </c>
      <c r="F2" t="str">
        <f>"20180125-0000014"</f>
        <v>20180125-0000014</v>
      </c>
      <c r="G2">
        <v>1040566</v>
      </c>
      <c r="H2">
        <v>1</v>
      </c>
      <c r="I2" t="s">
        <v>360</v>
      </c>
      <c r="L2">
        <v>0</v>
      </c>
      <c r="M2">
        <v>1</v>
      </c>
      <c r="O2" t="s">
        <v>361</v>
      </c>
      <c r="P2" t="s">
        <v>362</v>
      </c>
      <c r="S2" t="s">
        <v>363</v>
      </c>
      <c r="T2" t="s">
        <v>364</v>
      </c>
      <c r="X2" t="s">
        <v>360</v>
      </c>
      <c r="AA2">
        <v>15778</v>
      </c>
      <c r="AB2">
        <v>15.16</v>
      </c>
      <c r="AC2" t="s">
        <v>365</v>
      </c>
      <c r="AD2">
        <v>16.53</v>
      </c>
      <c r="AE2">
        <v>16.98</v>
      </c>
      <c r="AF2" t="s">
        <v>366</v>
      </c>
      <c r="AG2">
        <v>3770</v>
      </c>
      <c r="AK2">
        <v>146</v>
      </c>
      <c r="AL2" t="s">
        <v>360</v>
      </c>
      <c r="AN2" t="s">
        <v>367</v>
      </c>
      <c r="AQ2">
        <v>8250</v>
      </c>
      <c r="AR2" t="s">
        <v>368</v>
      </c>
      <c r="AT2" t="str">
        <f t="shared" ref="AT2:AT8" si="0">"조*원"</f>
        <v>조*원</v>
      </c>
      <c r="AU2" t="str">
        <f t="shared" ref="AU2:AU9" si="1">" 0***4"</f>
        <v xml:space="preserve"> 0***4</v>
      </c>
      <c r="AV2" t="str">
        <f t="shared" ref="AV2:AV8" si="2">"***-****-0110"</f>
        <v>***-****-0110</v>
      </c>
      <c r="AW2" t="str">
        <f t="shared" ref="AW2:AW8" si="3">" 서* 강*구 양******길 5* (**) 우***빌 4* 카**4 8*"</f>
        <v xml:space="preserve"> 서* 강*구 양******길 5* (**) 우***빌 4* 카**4 8*</v>
      </c>
      <c r="AX2" t="str">
        <f>""</f>
        <v/>
      </c>
      <c r="AY2" t="str">
        <f t="shared" ref="AY2:AY8" si="4">"***-****-0110"</f>
        <v>***-****-0110</v>
      </c>
      <c r="AZ2">
        <v>29329</v>
      </c>
      <c r="BA2">
        <v>1040571</v>
      </c>
      <c r="BB2">
        <v>15000</v>
      </c>
      <c r="BD2" t="s">
        <v>369</v>
      </c>
      <c r="BE2" t="str">
        <f t="shared" ref="BE2:BE8" si="5">"조*원"</f>
        <v>조*원</v>
      </c>
      <c r="BF2" t="str">
        <f t="shared" ref="BF2:BG8" si="6">"***-****-0110"</f>
        <v>***-****-0110</v>
      </c>
      <c r="BG2" t="str">
        <f t="shared" si="6"/>
        <v>***-****-0110</v>
      </c>
      <c r="BI2" t="s">
        <v>370</v>
      </c>
      <c r="BJ2" t="s">
        <v>371</v>
      </c>
      <c r="BK2" t="s">
        <v>372</v>
      </c>
      <c r="BL2">
        <v>18888</v>
      </c>
      <c r="BM2" t="str">
        <f>"18888"</f>
        <v>18888</v>
      </c>
      <c r="BN2" t="str">
        <f>"20180125-0000014"</f>
        <v>20180125-0000014</v>
      </c>
      <c r="BQ2" t="s">
        <v>373</v>
      </c>
      <c r="BV2" t="s">
        <v>374</v>
      </c>
      <c r="BW2" t="s">
        <v>360</v>
      </c>
      <c r="BX2" t="s">
        <v>146</v>
      </c>
      <c r="BY2">
        <v>0</v>
      </c>
      <c r="BZ2">
        <v>8806164140741</v>
      </c>
      <c r="CA2" t="s">
        <v>375</v>
      </c>
      <c r="CF2" t="s">
        <v>360</v>
      </c>
      <c r="CG2" t="s">
        <v>376</v>
      </c>
      <c r="CH2" t="s">
        <v>377</v>
      </c>
      <c r="CI2" t="s">
        <v>358</v>
      </c>
      <c r="CJ2">
        <v>8250</v>
      </c>
      <c r="CK2">
        <v>8250</v>
      </c>
      <c r="CL2" t="s">
        <v>378</v>
      </c>
      <c r="CN2">
        <v>1</v>
      </c>
      <c r="CO2">
        <v>15778</v>
      </c>
      <c r="CP2">
        <v>15778</v>
      </c>
      <c r="CQ2" t="s">
        <v>379</v>
      </c>
      <c r="CS2">
        <v>0</v>
      </c>
    </row>
    <row r="3" spans="1:97" x14ac:dyDescent="0.4">
      <c r="A3" s="10">
        <v>43126</v>
      </c>
      <c r="B3" t="s">
        <v>146</v>
      </c>
      <c r="C3" t="s">
        <v>380</v>
      </c>
      <c r="D3" t="s">
        <v>359</v>
      </c>
      <c r="F3" t="str">
        <f>"20180125-0000014"</f>
        <v>20180125-0000014</v>
      </c>
      <c r="G3">
        <v>1040566</v>
      </c>
      <c r="H3">
        <v>1</v>
      </c>
      <c r="I3" t="s">
        <v>381</v>
      </c>
      <c r="L3">
        <v>0</v>
      </c>
      <c r="M3">
        <v>1</v>
      </c>
      <c r="O3" t="s">
        <v>361</v>
      </c>
      <c r="P3" t="s">
        <v>362</v>
      </c>
      <c r="S3" t="s">
        <v>382</v>
      </c>
      <c r="T3" t="s">
        <v>364</v>
      </c>
      <c r="X3" t="s">
        <v>381</v>
      </c>
      <c r="AA3">
        <v>11968</v>
      </c>
      <c r="AB3">
        <v>8.1</v>
      </c>
      <c r="AC3" t="s">
        <v>383</v>
      </c>
      <c r="AD3">
        <v>8.83</v>
      </c>
      <c r="AE3">
        <v>9.08</v>
      </c>
      <c r="AF3" t="s">
        <v>384</v>
      </c>
      <c r="AG3">
        <v>1880</v>
      </c>
      <c r="AK3">
        <v>11</v>
      </c>
      <c r="AL3" t="s">
        <v>381</v>
      </c>
      <c r="AN3" t="s">
        <v>385</v>
      </c>
      <c r="AQ3">
        <v>4400</v>
      </c>
      <c r="AR3" t="s">
        <v>368</v>
      </c>
      <c r="AT3" t="str">
        <f t="shared" si="0"/>
        <v>조*원</v>
      </c>
      <c r="AU3" t="str">
        <f t="shared" si="1"/>
        <v xml:space="preserve"> 0***4</v>
      </c>
      <c r="AV3" t="str">
        <f t="shared" si="2"/>
        <v>***-****-0110</v>
      </c>
      <c r="AW3" t="str">
        <f t="shared" si="3"/>
        <v xml:space="preserve"> 서* 강*구 양******길 5* (**) 우***빌 4* 카**4 8*</v>
      </c>
      <c r="AX3" t="str">
        <f>""</f>
        <v/>
      </c>
      <c r="AY3" t="str">
        <f t="shared" si="4"/>
        <v>***-****-0110</v>
      </c>
      <c r="AZ3">
        <v>29428</v>
      </c>
      <c r="BA3">
        <v>1040566</v>
      </c>
      <c r="BB3">
        <v>8000</v>
      </c>
      <c r="BD3" t="s">
        <v>369</v>
      </c>
      <c r="BE3" t="str">
        <f t="shared" si="5"/>
        <v>조*원</v>
      </c>
      <c r="BF3" t="str">
        <f t="shared" si="6"/>
        <v>***-****-0110</v>
      </c>
      <c r="BG3" t="str">
        <f t="shared" si="6"/>
        <v>***-****-0110</v>
      </c>
      <c r="BI3" t="s">
        <v>370</v>
      </c>
      <c r="BJ3" t="s">
        <v>386</v>
      </c>
      <c r="BK3" t="s">
        <v>372</v>
      </c>
      <c r="BL3">
        <v>17447</v>
      </c>
      <c r="BM3" t="str">
        <f>"17447"</f>
        <v>17447</v>
      </c>
      <c r="BN3" t="str">
        <f>"20180125-0000014"</f>
        <v>20180125-0000014</v>
      </c>
      <c r="BQ3" t="s">
        <v>373</v>
      </c>
      <c r="BV3" t="s">
        <v>387</v>
      </c>
      <c r="BW3" t="s">
        <v>381</v>
      </c>
      <c r="BX3" t="s">
        <v>146</v>
      </c>
      <c r="BY3">
        <v>0</v>
      </c>
      <c r="BZ3">
        <v>8806164136065</v>
      </c>
      <c r="CA3" t="s">
        <v>388</v>
      </c>
      <c r="CF3" t="s">
        <v>381</v>
      </c>
      <c r="CG3" t="s">
        <v>389</v>
      </c>
      <c r="CH3" t="s">
        <v>377</v>
      </c>
      <c r="CI3" t="s">
        <v>380</v>
      </c>
      <c r="CJ3">
        <v>4400</v>
      </c>
      <c r="CK3">
        <v>4400</v>
      </c>
      <c r="CN3">
        <v>1</v>
      </c>
      <c r="CO3">
        <v>11968</v>
      </c>
      <c r="CP3">
        <v>11968</v>
      </c>
      <c r="CQ3" t="s">
        <v>379</v>
      </c>
      <c r="CS3">
        <v>0</v>
      </c>
    </row>
    <row r="4" spans="1:97" x14ac:dyDescent="0.4">
      <c r="A4" s="10">
        <v>43126</v>
      </c>
      <c r="B4" t="s">
        <v>146</v>
      </c>
      <c r="C4" t="s">
        <v>390</v>
      </c>
      <c r="D4" t="s">
        <v>359</v>
      </c>
      <c r="F4" t="str">
        <f>"20180125-0000014"</f>
        <v>20180125-0000014</v>
      </c>
      <c r="G4">
        <v>1040566</v>
      </c>
      <c r="H4">
        <v>1</v>
      </c>
      <c r="I4" t="s">
        <v>391</v>
      </c>
      <c r="L4">
        <v>0</v>
      </c>
      <c r="M4">
        <v>1</v>
      </c>
      <c r="O4" t="s">
        <v>361</v>
      </c>
      <c r="P4" t="s">
        <v>362</v>
      </c>
      <c r="S4" t="s">
        <v>392</v>
      </c>
      <c r="T4" t="s">
        <v>364</v>
      </c>
      <c r="X4" t="s">
        <v>391</v>
      </c>
      <c r="AA4">
        <v>11968</v>
      </c>
      <c r="AB4">
        <v>8.1</v>
      </c>
      <c r="AC4" t="s">
        <v>393</v>
      </c>
      <c r="AD4">
        <v>8.83</v>
      </c>
      <c r="AE4">
        <v>9.08</v>
      </c>
      <c r="AF4" t="s">
        <v>384</v>
      </c>
      <c r="AG4">
        <v>1880</v>
      </c>
      <c r="AK4">
        <v>11</v>
      </c>
      <c r="AL4" t="s">
        <v>391</v>
      </c>
      <c r="AN4" t="s">
        <v>394</v>
      </c>
      <c r="AQ4">
        <v>4400</v>
      </c>
      <c r="AR4" t="s">
        <v>368</v>
      </c>
      <c r="AT4" t="str">
        <f t="shared" si="0"/>
        <v>조*원</v>
      </c>
      <c r="AU4" t="str">
        <f t="shared" si="1"/>
        <v xml:space="preserve"> 0***4</v>
      </c>
      <c r="AV4" t="str">
        <f t="shared" si="2"/>
        <v>***-****-0110</v>
      </c>
      <c r="AW4" t="str">
        <f t="shared" si="3"/>
        <v xml:space="preserve"> 서* 강*구 양******길 5* (**) 우***빌 4* 카**4 8*</v>
      </c>
      <c r="AX4" t="str">
        <f>""</f>
        <v/>
      </c>
      <c r="AY4" t="str">
        <f t="shared" si="4"/>
        <v>***-****-0110</v>
      </c>
      <c r="AZ4">
        <v>29429</v>
      </c>
      <c r="BA4">
        <v>1040567</v>
      </c>
      <c r="BB4">
        <v>8000</v>
      </c>
      <c r="BD4" t="s">
        <v>369</v>
      </c>
      <c r="BE4" t="str">
        <f t="shared" si="5"/>
        <v>조*원</v>
      </c>
      <c r="BF4" t="str">
        <f t="shared" si="6"/>
        <v>***-****-0110</v>
      </c>
      <c r="BG4" t="str">
        <f t="shared" si="6"/>
        <v>***-****-0110</v>
      </c>
      <c r="BI4" t="s">
        <v>370</v>
      </c>
      <c r="BJ4" t="s">
        <v>395</v>
      </c>
      <c r="BK4" t="s">
        <v>372</v>
      </c>
      <c r="BL4">
        <v>17447</v>
      </c>
      <c r="BM4" t="str">
        <f>"17447"</f>
        <v>17447</v>
      </c>
      <c r="BN4" t="str">
        <f>"20180125-0000014"</f>
        <v>20180125-0000014</v>
      </c>
      <c r="BQ4" t="s">
        <v>373</v>
      </c>
      <c r="BV4" t="s">
        <v>396</v>
      </c>
      <c r="BW4" t="s">
        <v>391</v>
      </c>
      <c r="BX4" t="s">
        <v>146</v>
      </c>
      <c r="BY4">
        <v>0</v>
      </c>
      <c r="BZ4">
        <v>8806164136034</v>
      </c>
      <c r="CA4" t="s">
        <v>397</v>
      </c>
      <c r="CF4" t="s">
        <v>391</v>
      </c>
      <c r="CG4" t="s">
        <v>389</v>
      </c>
      <c r="CH4" t="s">
        <v>377</v>
      </c>
      <c r="CI4" t="s">
        <v>390</v>
      </c>
      <c r="CJ4">
        <v>4400</v>
      </c>
      <c r="CK4">
        <v>4400</v>
      </c>
      <c r="CN4">
        <v>1</v>
      </c>
      <c r="CO4">
        <v>11968</v>
      </c>
      <c r="CP4">
        <v>11968</v>
      </c>
      <c r="CQ4" t="s">
        <v>379</v>
      </c>
      <c r="CS4">
        <v>0</v>
      </c>
    </row>
    <row r="5" spans="1:97" x14ac:dyDescent="0.4">
      <c r="A5" s="10">
        <v>43126</v>
      </c>
      <c r="B5" t="s">
        <v>146</v>
      </c>
      <c r="C5" t="s">
        <v>398</v>
      </c>
      <c r="D5" t="s">
        <v>359</v>
      </c>
      <c r="F5" t="str">
        <f>"20180125-0000014"</f>
        <v>20180125-0000014</v>
      </c>
      <c r="G5">
        <v>1040566</v>
      </c>
      <c r="H5">
        <v>1</v>
      </c>
      <c r="I5" t="s">
        <v>399</v>
      </c>
      <c r="L5">
        <v>0</v>
      </c>
      <c r="M5">
        <v>1</v>
      </c>
      <c r="O5" t="s">
        <v>361</v>
      </c>
      <c r="P5" t="s">
        <v>362</v>
      </c>
      <c r="S5" t="s">
        <v>400</v>
      </c>
      <c r="T5" t="s">
        <v>364</v>
      </c>
      <c r="X5" t="s">
        <v>399</v>
      </c>
      <c r="AA5">
        <v>13568</v>
      </c>
      <c r="AB5">
        <v>11.04</v>
      </c>
      <c r="AC5" t="s">
        <v>401</v>
      </c>
      <c r="AD5">
        <v>12.03</v>
      </c>
      <c r="AE5">
        <v>12.36</v>
      </c>
      <c r="AF5" t="s">
        <v>402</v>
      </c>
      <c r="AG5">
        <v>1880</v>
      </c>
      <c r="AK5">
        <v>39</v>
      </c>
      <c r="AL5" t="s">
        <v>399</v>
      </c>
      <c r="AN5" t="s">
        <v>367</v>
      </c>
      <c r="AQ5">
        <v>6600</v>
      </c>
      <c r="AR5" t="s">
        <v>368</v>
      </c>
      <c r="AT5" t="str">
        <f t="shared" si="0"/>
        <v>조*원</v>
      </c>
      <c r="AU5" t="str">
        <f t="shared" si="1"/>
        <v xml:space="preserve"> 0***4</v>
      </c>
      <c r="AV5" t="str">
        <f t="shared" si="2"/>
        <v>***-****-0110</v>
      </c>
      <c r="AW5" t="str">
        <f t="shared" si="3"/>
        <v xml:space="preserve"> 서* 강*구 양******길 5* (**) 우***빌 4* 카**4 8*</v>
      </c>
      <c r="AX5" t="str">
        <f>""</f>
        <v/>
      </c>
      <c r="AY5" t="str">
        <f t="shared" si="4"/>
        <v>***-****-0110</v>
      </c>
      <c r="AZ5">
        <v>29423</v>
      </c>
      <c r="BA5">
        <v>1040568</v>
      </c>
      <c r="BB5">
        <v>12000</v>
      </c>
      <c r="BD5" t="s">
        <v>369</v>
      </c>
      <c r="BE5" t="str">
        <f t="shared" si="5"/>
        <v>조*원</v>
      </c>
      <c r="BF5" t="str">
        <f t="shared" si="6"/>
        <v>***-****-0110</v>
      </c>
      <c r="BG5" t="str">
        <f t="shared" si="6"/>
        <v>***-****-0110</v>
      </c>
      <c r="BI5" t="s">
        <v>370</v>
      </c>
      <c r="BJ5" t="s">
        <v>403</v>
      </c>
      <c r="BK5" t="s">
        <v>372</v>
      </c>
      <c r="BL5">
        <v>20432</v>
      </c>
      <c r="BM5" t="str">
        <f>"20432"</f>
        <v>20432</v>
      </c>
      <c r="BN5" t="str">
        <f>"20180125-0000014"</f>
        <v>20180125-0000014</v>
      </c>
      <c r="BQ5" t="s">
        <v>373</v>
      </c>
      <c r="BV5" t="s">
        <v>404</v>
      </c>
      <c r="BW5" t="s">
        <v>399</v>
      </c>
      <c r="BX5" t="s">
        <v>146</v>
      </c>
      <c r="BY5">
        <v>0</v>
      </c>
      <c r="BZ5">
        <v>8806164144572</v>
      </c>
      <c r="CA5" t="s">
        <v>405</v>
      </c>
      <c r="CF5" t="s">
        <v>399</v>
      </c>
      <c r="CG5" t="s">
        <v>406</v>
      </c>
      <c r="CH5" t="s">
        <v>377</v>
      </c>
      <c r="CI5" t="s">
        <v>398</v>
      </c>
      <c r="CJ5">
        <v>6600</v>
      </c>
      <c r="CK5">
        <v>6600</v>
      </c>
      <c r="CL5" t="s">
        <v>407</v>
      </c>
      <c r="CN5">
        <v>1</v>
      </c>
      <c r="CO5">
        <v>13568</v>
      </c>
      <c r="CP5">
        <v>13568</v>
      </c>
      <c r="CQ5" t="s">
        <v>379</v>
      </c>
      <c r="CS5">
        <v>0</v>
      </c>
    </row>
    <row r="6" spans="1:97" x14ac:dyDescent="0.4">
      <c r="A6" s="10">
        <v>43126</v>
      </c>
      <c r="B6" t="s">
        <v>135</v>
      </c>
      <c r="C6" t="s">
        <v>408</v>
      </c>
      <c r="D6" t="s">
        <v>359</v>
      </c>
      <c r="F6" t="str">
        <f>"20180126-0000018"</f>
        <v>20180126-0000018</v>
      </c>
      <c r="G6">
        <v>1040566</v>
      </c>
      <c r="H6">
        <v>1</v>
      </c>
      <c r="I6" t="s">
        <v>409</v>
      </c>
      <c r="J6">
        <v>3700</v>
      </c>
      <c r="L6">
        <v>0</v>
      </c>
      <c r="M6">
        <v>1</v>
      </c>
      <c r="O6" t="s">
        <v>361</v>
      </c>
      <c r="P6" t="s">
        <v>410</v>
      </c>
      <c r="S6" t="s">
        <v>411</v>
      </c>
      <c r="T6" t="s">
        <v>364</v>
      </c>
      <c r="X6" t="s">
        <v>409</v>
      </c>
      <c r="AA6">
        <v>8768</v>
      </c>
      <c r="AB6">
        <v>6.64</v>
      </c>
      <c r="AC6" t="s">
        <v>412</v>
      </c>
      <c r="AD6">
        <v>7.24</v>
      </c>
      <c r="AE6">
        <v>7.43</v>
      </c>
      <c r="AF6" t="s">
        <v>413</v>
      </c>
      <c r="AG6">
        <v>1880</v>
      </c>
      <c r="AK6">
        <v>18</v>
      </c>
      <c r="AL6" t="s">
        <v>409</v>
      </c>
      <c r="AN6" t="s">
        <v>414</v>
      </c>
      <c r="AQ6">
        <v>3300</v>
      </c>
      <c r="AR6" t="s">
        <v>368</v>
      </c>
      <c r="AT6" t="str">
        <f t="shared" si="0"/>
        <v>조*원</v>
      </c>
      <c r="AU6" t="str">
        <f t="shared" si="1"/>
        <v xml:space="preserve"> 0***4</v>
      </c>
      <c r="AV6" t="str">
        <f t="shared" si="2"/>
        <v>***-****-0110</v>
      </c>
      <c r="AW6" t="str">
        <f t="shared" si="3"/>
        <v xml:space="preserve"> 서* 강*구 양******길 5* (**) 우***빌 4* 카**4 8*</v>
      </c>
      <c r="AX6" t="str">
        <f>""</f>
        <v/>
      </c>
      <c r="AY6" t="str">
        <f t="shared" si="4"/>
        <v>***-****-0110</v>
      </c>
      <c r="AZ6">
        <v>29444</v>
      </c>
      <c r="BA6">
        <v>1041166</v>
      </c>
      <c r="BB6">
        <v>6500</v>
      </c>
      <c r="BD6" t="s">
        <v>415</v>
      </c>
      <c r="BE6" t="str">
        <f t="shared" si="5"/>
        <v>조*원</v>
      </c>
      <c r="BF6" t="str">
        <f t="shared" si="6"/>
        <v>***-****-0110</v>
      </c>
      <c r="BG6" t="str">
        <f t="shared" si="6"/>
        <v>***-****-0110</v>
      </c>
      <c r="BI6" t="s">
        <v>370</v>
      </c>
      <c r="BK6" t="s">
        <v>372</v>
      </c>
      <c r="BL6">
        <v>15193</v>
      </c>
      <c r="BM6" t="str">
        <f>"15193"</f>
        <v>15193</v>
      </c>
      <c r="BN6" t="str">
        <f>"20180126-0000018"</f>
        <v>20180126-0000018</v>
      </c>
      <c r="BQ6" t="s">
        <v>373</v>
      </c>
      <c r="BV6" t="s">
        <v>409</v>
      </c>
      <c r="BW6" t="s">
        <v>409</v>
      </c>
      <c r="BX6" t="s">
        <v>135</v>
      </c>
      <c r="BY6">
        <v>0</v>
      </c>
      <c r="BZ6">
        <v>8806358514945</v>
      </c>
      <c r="CA6" t="s">
        <v>416</v>
      </c>
      <c r="CF6" t="s">
        <v>409</v>
      </c>
      <c r="CG6" t="s">
        <v>389</v>
      </c>
      <c r="CH6" t="s">
        <v>377</v>
      </c>
      <c r="CI6" t="s">
        <v>408</v>
      </c>
      <c r="CJ6">
        <v>3300</v>
      </c>
      <c r="CK6">
        <v>3300</v>
      </c>
      <c r="CL6" t="s">
        <v>417</v>
      </c>
      <c r="CN6">
        <v>1</v>
      </c>
      <c r="CO6">
        <v>8768</v>
      </c>
      <c r="CP6">
        <v>8768</v>
      </c>
      <c r="CQ6" t="s">
        <v>379</v>
      </c>
      <c r="CS6">
        <v>0</v>
      </c>
    </row>
    <row r="7" spans="1:97" x14ac:dyDescent="0.4">
      <c r="A7" s="10">
        <v>43126</v>
      </c>
      <c r="B7" t="s">
        <v>135</v>
      </c>
      <c r="C7" t="s">
        <v>418</v>
      </c>
      <c r="D7" t="s">
        <v>359</v>
      </c>
      <c r="F7" t="str">
        <f>"20180126-0000018"</f>
        <v>20180126-0000018</v>
      </c>
      <c r="G7">
        <v>1040566</v>
      </c>
      <c r="H7">
        <v>1</v>
      </c>
      <c r="I7" t="s">
        <v>419</v>
      </c>
      <c r="J7">
        <v>3700</v>
      </c>
      <c r="L7">
        <v>0</v>
      </c>
      <c r="M7">
        <v>1</v>
      </c>
      <c r="O7" t="s">
        <v>361</v>
      </c>
      <c r="P7" t="s">
        <v>410</v>
      </c>
      <c r="S7" t="s">
        <v>420</v>
      </c>
      <c r="T7" t="s">
        <v>364</v>
      </c>
      <c r="X7" t="s">
        <v>419</v>
      </c>
      <c r="AA7">
        <v>8768</v>
      </c>
      <c r="AB7">
        <v>6.64</v>
      </c>
      <c r="AC7" t="s">
        <v>421</v>
      </c>
      <c r="AD7">
        <v>7.24</v>
      </c>
      <c r="AE7">
        <v>7.43</v>
      </c>
      <c r="AF7" t="s">
        <v>413</v>
      </c>
      <c r="AG7">
        <v>1880</v>
      </c>
      <c r="AK7">
        <v>18</v>
      </c>
      <c r="AL7" t="s">
        <v>419</v>
      </c>
      <c r="AN7" t="s">
        <v>422</v>
      </c>
      <c r="AQ7">
        <v>3300</v>
      </c>
      <c r="AR7" t="s">
        <v>368</v>
      </c>
      <c r="AT7" t="str">
        <f t="shared" si="0"/>
        <v>조*원</v>
      </c>
      <c r="AU7" t="str">
        <f t="shared" si="1"/>
        <v xml:space="preserve"> 0***4</v>
      </c>
      <c r="AV7" t="str">
        <f t="shared" si="2"/>
        <v>***-****-0110</v>
      </c>
      <c r="AW7" t="str">
        <f t="shared" si="3"/>
        <v xml:space="preserve"> 서* 강*구 양******길 5* (**) 우***빌 4* 카**4 8*</v>
      </c>
      <c r="AX7" t="str">
        <f>""</f>
        <v/>
      </c>
      <c r="AY7" t="str">
        <f t="shared" si="4"/>
        <v>***-****-0110</v>
      </c>
      <c r="AZ7">
        <v>29445</v>
      </c>
      <c r="BA7">
        <v>1041167</v>
      </c>
      <c r="BB7">
        <v>6500</v>
      </c>
      <c r="BD7" t="s">
        <v>415</v>
      </c>
      <c r="BE7" t="str">
        <f t="shared" si="5"/>
        <v>조*원</v>
      </c>
      <c r="BF7" t="str">
        <f t="shared" si="6"/>
        <v>***-****-0110</v>
      </c>
      <c r="BG7" t="str">
        <f t="shared" si="6"/>
        <v>***-****-0110</v>
      </c>
      <c r="BI7" t="s">
        <v>370</v>
      </c>
      <c r="BK7" t="s">
        <v>372</v>
      </c>
      <c r="BL7">
        <v>15193</v>
      </c>
      <c r="BM7" t="str">
        <f>"15193"</f>
        <v>15193</v>
      </c>
      <c r="BN7" t="str">
        <f>"20180126-0000018"</f>
        <v>20180126-0000018</v>
      </c>
      <c r="BQ7" t="s">
        <v>373</v>
      </c>
      <c r="BV7" t="s">
        <v>419</v>
      </c>
      <c r="BW7" t="s">
        <v>419</v>
      </c>
      <c r="BX7" t="s">
        <v>135</v>
      </c>
      <c r="BY7">
        <v>0</v>
      </c>
      <c r="BZ7">
        <v>8806358514938</v>
      </c>
      <c r="CA7" t="s">
        <v>423</v>
      </c>
      <c r="CF7" t="s">
        <v>419</v>
      </c>
      <c r="CG7" t="s">
        <v>389</v>
      </c>
      <c r="CH7" t="s">
        <v>377</v>
      </c>
      <c r="CI7" t="s">
        <v>418</v>
      </c>
      <c r="CJ7">
        <v>3300</v>
      </c>
      <c r="CK7">
        <v>3300</v>
      </c>
      <c r="CL7" t="s">
        <v>424</v>
      </c>
      <c r="CN7">
        <v>1</v>
      </c>
      <c r="CO7">
        <v>8768</v>
      </c>
      <c r="CP7">
        <v>8768</v>
      </c>
      <c r="CQ7" t="s">
        <v>379</v>
      </c>
      <c r="CS7">
        <v>0</v>
      </c>
    </row>
    <row r="8" spans="1:97" x14ac:dyDescent="0.4">
      <c r="A8" s="10">
        <v>43126</v>
      </c>
      <c r="B8" t="s">
        <v>191</v>
      </c>
      <c r="C8" t="s">
        <v>425</v>
      </c>
      <c r="D8" t="s">
        <v>359</v>
      </c>
      <c r="F8" t="str">
        <f>"20180126-0000018"</f>
        <v>20180126-0000018</v>
      </c>
      <c r="G8">
        <v>1040566</v>
      </c>
      <c r="H8">
        <v>1</v>
      </c>
      <c r="I8" t="s">
        <v>426</v>
      </c>
      <c r="J8">
        <v>3350</v>
      </c>
      <c r="L8">
        <v>0</v>
      </c>
      <c r="M8">
        <v>1</v>
      </c>
      <c r="O8" t="s">
        <v>361</v>
      </c>
      <c r="P8" t="s">
        <v>410</v>
      </c>
      <c r="S8" t="s">
        <v>427</v>
      </c>
      <c r="T8" t="s">
        <v>364</v>
      </c>
      <c r="X8" t="s">
        <v>426</v>
      </c>
      <c r="AA8">
        <v>8208</v>
      </c>
      <c r="AB8">
        <v>6.57</v>
      </c>
      <c r="AC8" t="s">
        <v>428</v>
      </c>
      <c r="AD8">
        <v>7.16</v>
      </c>
      <c r="AE8">
        <v>7.36</v>
      </c>
      <c r="AF8" t="s">
        <v>429</v>
      </c>
      <c r="AG8">
        <v>1880</v>
      </c>
      <c r="AH8">
        <v>22</v>
      </c>
      <c r="AI8">
        <v>1880</v>
      </c>
      <c r="AK8">
        <v>9</v>
      </c>
      <c r="AL8" t="s">
        <v>426</v>
      </c>
      <c r="AQ8">
        <v>3250</v>
      </c>
      <c r="AR8" t="s">
        <v>368</v>
      </c>
      <c r="AT8" t="str">
        <f t="shared" si="0"/>
        <v>조*원</v>
      </c>
      <c r="AU8" t="str">
        <f t="shared" si="1"/>
        <v xml:space="preserve"> 0***4</v>
      </c>
      <c r="AV8" t="str">
        <f t="shared" si="2"/>
        <v>***-****-0110</v>
      </c>
      <c r="AW8" t="str">
        <f t="shared" si="3"/>
        <v xml:space="preserve"> 서* 강*구 양******길 5* (**) 우***빌 4* 카**4 8*</v>
      </c>
      <c r="AX8" t="str">
        <f>""</f>
        <v/>
      </c>
      <c r="AY8" t="str">
        <f t="shared" si="4"/>
        <v>***-****-0110</v>
      </c>
      <c r="AZ8">
        <v>1160</v>
      </c>
      <c r="BA8">
        <v>1041168</v>
      </c>
      <c r="BB8">
        <v>5000</v>
      </c>
      <c r="BD8" t="s">
        <v>415</v>
      </c>
      <c r="BE8" t="str">
        <f t="shared" si="5"/>
        <v>조*원</v>
      </c>
      <c r="BF8" t="str">
        <f t="shared" si="6"/>
        <v>***-****-0110</v>
      </c>
      <c r="BG8" t="str">
        <f t="shared" si="6"/>
        <v>***-****-0110</v>
      </c>
      <c r="BI8" t="s">
        <v>430</v>
      </c>
      <c r="BK8" t="s">
        <v>372</v>
      </c>
      <c r="BL8">
        <v>12817</v>
      </c>
      <c r="BM8" t="str">
        <f>"12817"</f>
        <v>12817</v>
      </c>
      <c r="BN8" t="str">
        <f>"20180126-0000018"</f>
        <v>20180126-0000018</v>
      </c>
      <c r="BQ8" t="s">
        <v>373</v>
      </c>
      <c r="BV8" t="s">
        <v>431</v>
      </c>
      <c r="BW8" t="s">
        <v>426</v>
      </c>
      <c r="BX8" t="s">
        <v>191</v>
      </c>
      <c r="BZ8">
        <v>8806364041251</v>
      </c>
      <c r="CA8" t="s">
        <v>432</v>
      </c>
      <c r="CF8" t="s">
        <v>426</v>
      </c>
      <c r="CG8" t="s">
        <v>433</v>
      </c>
      <c r="CH8" t="s">
        <v>377</v>
      </c>
      <c r="CI8" t="s">
        <v>425</v>
      </c>
      <c r="CJ8">
        <v>3250</v>
      </c>
      <c r="CK8">
        <v>3250</v>
      </c>
      <c r="CL8" t="s">
        <v>434</v>
      </c>
      <c r="CN8">
        <v>1</v>
      </c>
      <c r="CO8">
        <v>8208</v>
      </c>
      <c r="CP8">
        <v>8208</v>
      </c>
      <c r="CQ8" t="s">
        <v>379</v>
      </c>
      <c r="CS8">
        <v>18</v>
      </c>
    </row>
    <row r="9" spans="1:97" x14ac:dyDescent="0.4">
      <c r="A9" s="10">
        <v>43126</v>
      </c>
      <c r="B9" t="s">
        <v>129</v>
      </c>
      <c r="C9" t="s">
        <v>435</v>
      </c>
      <c r="D9" t="s">
        <v>359</v>
      </c>
      <c r="F9" t="str">
        <f>"20180125-0000035"</f>
        <v>20180125-0000035</v>
      </c>
      <c r="H9">
        <v>1</v>
      </c>
      <c r="I9" t="s">
        <v>436</v>
      </c>
      <c r="J9">
        <v>19250</v>
      </c>
      <c r="L9">
        <v>0</v>
      </c>
      <c r="M9">
        <v>1</v>
      </c>
      <c r="O9" t="s">
        <v>361</v>
      </c>
      <c r="P9" t="s">
        <v>437</v>
      </c>
      <c r="S9" t="s">
        <v>438</v>
      </c>
      <c r="T9" t="s">
        <v>364</v>
      </c>
      <c r="X9" t="s">
        <v>436</v>
      </c>
      <c r="Y9" t="s">
        <v>439</v>
      </c>
      <c r="AA9">
        <v>31200</v>
      </c>
      <c r="AB9">
        <v>27.86</v>
      </c>
      <c r="AC9" t="s">
        <v>440</v>
      </c>
      <c r="AD9">
        <v>30.36</v>
      </c>
      <c r="AE9">
        <v>31.2</v>
      </c>
      <c r="AF9" t="s">
        <v>441</v>
      </c>
      <c r="AG9">
        <v>6500</v>
      </c>
      <c r="AK9">
        <v>311</v>
      </c>
      <c r="AL9" t="s">
        <v>436</v>
      </c>
      <c r="AQ9">
        <v>17500</v>
      </c>
      <c r="AR9" t="s">
        <v>368</v>
      </c>
      <c r="AT9" t="str">
        <f>"김*희"</f>
        <v>김*희</v>
      </c>
      <c r="AU9" t="str">
        <f t="shared" si="1"/>
        <v xml:space="preserve"> 0***4</v>
      </c>
      <c r="AV9" t="str">
        <f>"***-****-0766"</f>
        <v>***-****-0766</v>
      </c>
      <c r="AW9" t="str">
        <f>" 서* 영**구 국***로 1*9 (****) 삼***트 C* 6**호"</f>
        <v xml:space="preserve"> 서* 영**구 국***로 1*9 (****) 삼***트 C* 6**호</v>
      </c>
      <c r="AY9" t="str">
        <f>"***-****-0766"</f>
        <v>***-****-0766</v>
      </c>
      <c r="AZ9">
        <v>18363</v>
      </c>
      <c r="BA9">
        <v>1041170</v>
      </c>
      <c r="BB9">
        <v>25000</v>
      </c>
      <c r="BD9" t="s">
        <v>415</v>
      </c>
      <c r="BE9" t="str">
        <f>"이*구"</f>
        <v>이*구</v>
      </c>
      <c r="BF9" t="str">
        <f>"***-****-7252"</f>
        <v>***-****-7252</v>
      </c>
      <c r="BG9" t="str">
        <f>"***-****-7941"</f>
        <v>***-****-7941</v>
      </c>
      <c r="BI9" t="s">
        <v>370</v>
      </c>
      <c r="BK9" t="s">
        <v>372</v>
      </c>
      <c r="BL9">
        <v>18415</v>
      </c>
      <c r="BM9" t="str">
        <f>"18415"</f>
        <v>18415</v>
      </c>
      <c r="BN9" t="str">
        <f>"20180125-0000035"</f>
        <v>20180125-0000035</v>
      </c>
      <c r="BQ9" t="s">
        <v>373</v>
      </c>
      <c r="BU9">
        <v>429</v>
      </c>
      <c r="BV9" t="s">
        <v>442</v>
      </c>
      <c r="BW9" t="s">
        <v>436</v>
      </c>
      <c r="BX9" t="s">
        <v>129</v>
      </c>
      <c r="BY9">
        <v>0</v>
      </c>
      <c r="BZ9">
        <v>8809370699102</v>
      </c>
      <c r="CA9" t="s">
        <v>443</v>
      </c>
      <c r="CF9" t="s">
        <v>436</v>
      </c>
      <c r="CG9" t="s">
        <v>444</v>
      </c>
      <c r="CH9" t="s">
        <v>377</v>
      </c>
      <c r="CI9" t="s">
        <v>435</v>
      </c>
      <c r="CJ9">
        <v>17500</v>
      </c>
      <c r="CK9">
        <v>17500</v>
      </c>
      <c r="CL9" t="s">
        <v>445</v>
      </c>
      <c r="CN9">
        <v>1</v>
      </c>
      <c r="CO9">
        <v>31200</v>
      </c>
      <c r="CP9">
        <v>31200</v>
      </c>
      <c r="CQ9" t="s">
        <v>379</v>
      </c>
      <c r="CS9">
        <v>0</v>
      </c>
    </row>
    <row r="10" spans="1:97" x14ac:dyDescent="0.4">
      <c r="A10" s="10">
        <v>43126</v>
      </c>
      <c r="B10" t="s">
        <v>205</v>
      </c>
      <c r="C10" t="s">
        <v>446</v>
      </c>
      <c r="D10" t="s">
        <v>359</v>
      </c>
      <c r="E10" t="s">
        <v>447</v>
      </c>
      <c r="F10" t="str">
        <f>"20180125-0000041"</f>
        <v>20180125-0000041</v>
      </c>
      <c r="H10">
        <v>1</v>
      </c>
      <c r="I10" t="s">
        <v>448</v>
      </c>
      <c r="J10">
        <v>29440</v>
      </c>
      <c r="L10">
        <v>0</v>
      </c>
      <c r="M10">
        <v>1</v>
      </c>
      <c r="O10" t="s">
        <v>361</v>
      </c>
      <c r="P10" t="s">
        <v>449</v>
      </c>
      <c r="S10" t="s">
        <v>450</v>
      </c>
      <c r="T10" t="s">
        <v>364</v>
      </c>
      <c r="X10" t="s">
        <v>448</v>
      </c>
      <c r="AA10">
        <v>0</v>
      </c>
      <c r="AB10">
        <v>22.1</v>
      </c>
      <c r="AD10">
        <v>24.09</v>
      </c>
      <c r="AE10">
        <v>24.75</v>
      </c>
      <c r="AF10">
        <v>0</v>
      </c>
      <c r="AG10">
        <v>1880</v>
      </c>
      <c r="AK10">
        <v>107</v>
      </c>
      <c r="AL10" t="s">
        <v>448</v>
      </c>
      <c r="AN10" t="s">
        <v>451</v>
      </c>
      <c r="AQ10">
        <v>14950</v>
      </c>
      <c r="AR10" t="s">
        <v>368</v>
      </c>
      <c r="AS10">
        <v>613680197231</v>
      </c>
      <c r="AT10" t="str">
        <f>"정*성"</f>
        <v>정*성</v>
      </c>
      <c r="AU10" t="str">
        <f>" 0***0"</f>
        <v xml:space="preserve"> 0***0</v>
      </c>
      <c r="AV10" t="str">
        <f>"***-****-8763"</f>
        <v>***-****-8763</v>
      </c>
      <c r="AW10" t="str">
        <f>" 서* 강*구 학****길 2* (***) 삼************트 1**동 1**2"</f>
        <v xml:space="preserve"> 서* 강*구 학****길 2* (***) 삼************트 1**동 1**2</v>
      </c>
      <c r="AX10" t="str">
        <f>""</f>
        <v/>
      </c>
      <c r="AY10" t="str">
        <f>"***-****-8763"</f>
        <v>***-****-8763</v>
      </c>
      <c r="AZ10">
        <v>29287</v>
      </c>
      <c r="BA10">
        <v>1041169</v>
      </c>
      <c r="BB10">
        <v>46000</v>
      </c>
      <c r="BC10" t="s">
        <v>452</v>
      </c>
      <c r="BD10" t="s">
        <v>415</v>
      </c>
      <c r="BE10" t="str">
        <f>"정*성"</f>
        <v>정*성</v>
      </c>
      <c r="BF10" t="str">
        <f>"***-****-8763"</f>
        <v>***-****-8763</v>
      </c>
      <c r="BG10" t="str">
        <f>"***-****-8763"</f>
        <v>***-****-8763</v>
      </c>
      <c r="BH10" t="s">
        <v>453</v>
      </c>
      <c r="BI10" t="s">
        <v>454</v>
      </c>
      <c r="BJ10" t="s">
        <v>455</v>
      </c>
      <c r="BK10" t="s">
        <v>456</v>
      </c>
      <c r="BL10">
        <v>13231</v>
      </c>
      <c r="BM10" t="str">
        <f>"13231"</f>
        <v>13231</v>
      </c>
      <c r="BN10" t="str">
        <f>"20180125-0000041"</f>
        <v>20180125-0000041</v>
      </c>
      <c r="BQ10" t="s">
        <v>373</v>
      </c>
      <c r="BV10" t="s">
        <v>448</v>
      </c>
      <c r="BW10" t="s">
        <v>448</v>
      </c>
      <c r="BX10" t="s">
        <v>205</v>
      </c>
      <c r="BY10">
        <v>0</v>
      </c>
      <c r="BZ10">
        <v>8806403258787</v>
      </c>
      <c r="CA10" t="s">
        <v>457</v>
      </c>
      <c r="CF10" t="s">
        <v>448</v>
      </c>
      <c r="CG10" t="s">
        <v>458</v>
      </c>
      <c r="CH10" t="s">
        <v>377</v>
      </c>
      <c r="CI10" t="s">
        <v>446</v>
      </c>
      <c r="CJ10">
        <v>14950</v>
      </c>
      <c r="CK10">
        <v>14950</v>
      </c>
      <c r="CL10" t="s">
        <v>459</v>
      </c>
      <c r="CN10">
        <v>1</v>
      </c>
      <c r="CO10">
        <v>0</v>
      </c>
      <c r="CP10">
        <v>0</v>
      </c>
      <c r="CQ10" t="s">
        <v>379</v>
      </c>
      <c r="CS10">
        <v>0</v>
      </c>
    </row>
    <row r="11" spans="1:97" x14ac:dyDescent="0.4">
      <c r="A11" s="10">
        <v>43125</v>
      </c>
      <c r="B11" t="s">
        <v>117</v>
      </c>
      <c r="C11" t="s">
        <v>460</v>
      </c>
      <c r="D11" t="s">
        <v>359</v>
      </c>
      <c r="F11" t="str">
        <f t="shared" ref="F11:F27" si="7">"20180123-0000043"</f>
        <v>20180123-0000043</v>
      </c>
      <c r="G11">
        <v>1040614</v>
      </c>
      <c r="H11">
        <v>2</v>
      </c>
      <c r="I11" t="s">
        <v>461</v>
      </c>
      <c r="L11">
        <v>0</v>
      </c>
      <c r="M11">
        <v>1</v>
      </c>
      <c r="N11" t="s">
        <v>462</v>
      </c>
      <c r="O11" t="s">
        <v>361</v>
      </c>
      <c r="P11" t="s">
        <v>463</v>
      </c>
      <c r="S11" t="s">
        <v>464</v>
      </c>
      <c r="T11" t="s">
        <v>465</v>
      </c>
      <c r="X11" t="s">
        <v>461</v>
      </c>
      <c r="AA11">
        <v>26740</v>
      </c>
      <c r="AB11">
        <v>19.16</v>
      </c>
      <c r="AC11" t="s">
        <v>466</v>
      </c>
      <c r="AD11">
        <v>20.89</v>
      </c>
      <c r="AE11">
        <v>21.46</v>
      </c>
      <c r="AF11" t="s">
        <v>467</v>
      </c>
      <c r="AG11">
        <v>6500</v>
      </c>
      <c r="AH11">
        <v>365</v>
      </c>
      <c r="AI11">
        <v>6500</v>
      </c>
      <c r="AK11">
        <v>302</v>
      </c>
      <c r="AL11" t="s">
        <v>461</v>
      </c>
      <c r="AQ11">
        <v>11340</v>
      </c>
      <c r="AR11" t="s">
        <v>368</v>
      </c>
      <c r="AT11" t="str">
        <f t="shared" ref="AT11:AT27" si="8">"김*화(한***트)"</f>
        <v>김*화(한***트)</v>
      </c>
      <c r="AU11" t="str">
        <f t="shared" ref="AU11:AU27" si="9">" 0***4"</f>
        <v xml:space="preserve"> 0***4</v>
      </c>
      <c r="AV11" t="str">
        <f t="shared" ref="AV11:AV27" si="10">"***-****-3678"</f>
        <v>***-****-3678</v>
      </c>
      <c r="AW11" t="str">
        <f t="shared" ref="AW11:AW27" si="11">" 서* 영**구 양***가 7* 양******트 1**동 4* (*****)"</f>
        <v xml:space="preserve"> 서* 영**구 양***가 7* 양******트 1**동 4* (*****)</v>
      </c>
      <c r="AY11" t="str">
        <f t="shared" ref="AY11:AY27" si="12">"***-****-3678"</f>
        <v>***-****-3678</v>
      </c>
      <c r="AZ11">
        <v>5937</v>
      </c>
      <c r="BA11">
        <v>1040615</v>
      </c>
      <c r="BB11">
        <v>36000</v>
      </c>
      <c r="BD11" t="s">
        <v>369</v>
      </c>
      <c r="BE11" t="str">
        <f t="shared" ref="BE11:BE27" si="13">"김*화"</f>
        <v>김*화</v>
      </c>
      <c r="BF11" t="str">
        <f t="shared" ref="BF11:BG27" si="14">"***-****-1979"</f>
        <v>***-****-1979</v>
      </c>
      <c r="BG11" t="str">
        <f t="shared" si="14"/>
        <v>***-****-1979</v>
      </c>
      <c r="BI11" t="s">
        <v>430</v>
      </c>
      <c r="BK11" t="s">
        <v>372</v>
      </c>
      <c r="BL11">
        <v>11936</v>
      </c>
      <c r="BM11" t="str">
        <f>"11936"</f>
        <v>11936</v>
      </c>
      <c r="BN11" t="str">
        <f t="shared" ref="BN11:BN27" si="15">"20180123-0000043"</f>
        <v>20180123-0000043</v>
      </c>
      <c r="BQ11" t="s">
        <v>373</v>
      </c>
      <c r="BU11">
        <v>0</v>
      </c>
      <c r="BV11" t="s">
        <v>468</v>
      </c>
      <c r="BW11" t="s">
        <v>461</v>
      </c>
      <c r="BX11" t="s">
        <v>117</v>
      </c>
      <c r="BY11">
        <v>0</v>
      </c>
      <c r="BZ11">
        <v>8806173522194</v>
      </c>
      <c r="CA11" t="s">
        <v>469</v>
      </c>
      <c r="CF11" t="s">
        <v>461</v>
      </c>
      <c r="CG11" t="s">
        <v>444</v>
      </c>
      <c r="CH11" t="s">
        <v>377</v>
      </c>
      <c r="CI11" t="s">
        <v>460</v>
      </c>
      <c r="CJ11">
        <v>11340</v>
      </c>
      <c r="CK11">
        <v>22680</v>
      </c>
      <c r="CL11" t="s">
        <v>470</v>
      </c>
      <c r="CN11">
        <v>2</v>
      </c>
      <c r="CO11">
        <v>26740</v>
      </c>
      <c r="CP11">
        <v>53480</v>
      </c>
      <c r="CQ11" t="s">
        <v>379</v>
      </c>
      <c r="CS11">
        <v>2</v>
      </c>
    </row>
    <row r="12" spans="1:97" x14ac:dyDescent="0.4">
      <c r="A12" s="10">
        <v>43125</v>
      </c>
      <c r="B12" t="s">
        <v>117</v>
      </c>
      <c r="C12" t="s">
        <v>471</v>
      </c>
      <c r="D12" t="s">
        <v>359</v>
      </c>
      <c r="F12" t="str">
        <f t="shared" si="7"/>
        <v>20180123-0000043</v>
      </c>
      <c r="G12">
        <v>1040614</v>
      </c>
      <c r="H12">
        <v>1</v>
      </c>
      <c r="I12" t="s">
        <v>472</v>
      </c>
      <c r="L12">
        <v>0</v>
      </c>
      <c r="M12">
        <v>1</v>
      </c>
      <c r="N12" t="s">
        <v>462</v>
      </c>
      <c r="O12" t="s">
        <v>361</v>
      </c>
      <c r="P12" t="s">
        <v>463</v>
      </c>
      <c r="S12" t="s">
        <v>473</v>
      </c>
      <c r="T12" t="s">
        <v>465</v>
      </c>
      <c r="X12" t="s">
        <v>474</v>
      </c>
      <c r="AA12">
        <v>15104</v>
      </c>
      <c r="AB12">
        <v>12.32</v>
      </c>
      <c r="AC12" t="s">
        <v>475</v>
      </c>
      <c r="AD12">
        <v>13.43</v>
      </c>
      <c r="AE12">
        <v>13.8</v>
      </c>
      <c r="AF12" t="s">
        <v>476</v>
      </c>
      <c r="AG12">
        <v>1880</v>
      </c>
      <c r="AK12">
        <v>20</v>
      </c>
      <c r="AL12" t="s">
        <v>472</v>
      </c>
      <c r="AN12" t="s">
        <v>477</v>
      </c>
      <c r="AQ12">
        <v>7560</v>
      </c>
      <c r="AR12" t="s">
        <v>368</v>
      </c>
      <c r="AT12" t="str">
        <f t="shared" si="8"/>
        <v>김*화(한***트)</v>
      </c>
      <c r="AU12" t="str">
        <f t="shared" si="9"/>
        <v xml:space="preserve"> 0***4</v>
      </c>
      <c r="AV12" t="str">
        <f t="shared" si="10"/>
        <v>***-****-3678</v>
      </c>
      <c r="AW12" t="str">
        <f t="shared" si="11"/>
        <v xml:space="preserve"> 서* 영**구 양***가 7* 양******트 1**동 4* (*****)</v>
      </c>
      <c r="AY12" t="str">
        <f t="shared" si="12"/>
        <v>***-****-3678</v>
      </c>
      <c r="AZ12">
        <v>29424</v>
      </c>
      <c r="BA12">
        <v>1040616</v>
      </c>
      <c r="BB12">
        <v>12000</v>
      </c>
      <c r="BD12" t="s">
        <v>369</v>
      </c>
      <c r="BE12" t="str">
        <f t="shared" si="13"/>
        <v>김*화</v>
      </c>
      <c r="BF12" t="str">
        <f t="shared" si="14"/>
        <v>***-****-1979</v>
      </c>
      <c r="BG12" t="str">
        <f t="shared" si="14"/>
        <v>***-****-1979</v>
      </c>
      <c r="BI12" t="s">
        <v>430</v>
      </c>
      <c r="BK12" t="s">
        <v>372</v>
      </c>
      <c r="BL12">
        <v>20091</v>
      </c>
      <c r="BM12" t="str">
        <f>"20091"</f>
        <v>20091</v>
      </c>
      <c r="BN12" t="str">
        <f t="shared" si="15"/>
        <v>20180123-0000043</v>
      </c>
      <c r="BQ12" t="s">
        <v>373</v>
      </c>
      <c r="BU12">
        <v>44</v>
      </c>
      <c r="BV12" t="s">
        <v>478</v>
      </c>
      <c r="BW12" t="s">
        <v>472</v>
      </c>
      <c r="BX12" t="s">
        <v>117</v>
      </c>
      <c r="BY12">
        <v>0</v>
      </c>
      <c r="BZ12">
        <v>8809516527788</v>
      </c>
      <c r="CA12" t="s">
        <v>479</v>
      </c>
      <c r="CF12" t="s">
        <v>474</v>
      </c>
      <c r="CG12" t="s">
        <v>480</v>
      </c>
      <c r="CH12" t="s">
        <v>377</v>
      </c>
      <c r="CI12" t="s">
        <v>471</v>
      </c>
      <c r="CJ12">
        <v>7560</v>
      </c>
      <c r="CK12">
        <v>7560</v>
      </c>
      <c r="CL12" t="s">
        <v>481</v>
      </c>
      <c r="CN12">
        <v>1</v>
      </c>
      <c r="CO12">
        <v>15104</v>
      </c>
      <c r="CP12">
        <v>15104</v>
      </c>
      <c r="CQ12" t="s">
        <v>379</v>
      </c>
      <c r="CS12">
        <v>1</v>
      </c>
    </row>
    <row r="13" spans="1:97" x14ac:dyDescent="0.4">
      <c r="A13" s="10">
        <v>43125</v>
      </c>
      <c r="B13" t="s">
        <v>117</v>
      </c>
      <c r="C13" t="s">
        <v>482</v>
      </c>
      <c r="D13" t="s">
        <v>359</v>
      </c>
      <c r="F13" t="str">
        <f t="shared" si="7"/>
        <v>20180123-0000043</v>
      </c>
      <c r="G13">
        <v>1040614</v>
      </c>
      <c r="H13">
        <v>1</v>
      </c>
      <c r="I13" t="s">
        <v>483</v>
      </c>
      <c r="L13">
        <v>0</v>
      </c>
      <c r="M13">
        <v>1</v>
      </c>
      <c r="N13" t="s">
        <v>462</v>
      </c>
      <c r="O13" t="s">
        <v>361</v>
      </c>
      <c r="P13" t="s">
        <v>463</v>
      </c>
      <c r="S13" t="s">
        <v>484</v>
      </c>
      <c r="T13" t="s">
        <v>465</v>
      </c>
      <c r="X13" t="s">
        <v>483</v>
      </c>
      <c r="AA13">
        <v>14992</v>
      </c>
      <c r="AB13">
        <v>9.92</v>
      </c>
      <c r="AC13" t="s">
        <v>485</v>
      </c>
      <c r="AD13">
        <v>10.81</v>
      </c>
      <c r="AE13">
        <v>11.11</v>
      </c>
      <c r="AF13" t="s">
        <v>486</v>
      </c>
      <c r="AG13">
        <v>3770</v>
      </c>
      <c r="AK13">
        <v>79</v>
      </c>
      <c r="AL13" t="s">
        <v>483</v>
      </c>
      <c r="AQ13">
        <v>5040</v>
      </c>
      <c r="AR13" t="s">
        <v>368</v>
      </c>
      <c r="AT13" t="str">
        <f t="shared" si="8"/>
        <v>김*화(한***트)</v>
      </c>
      <c r="AU13" t="str">
        <f t="shared" si="9"/>
        <v xml:space="preserve"> 0***4</v>
      </c>
      <c r="AV13" t="str">
        <f t="shared" si="10"/>
        <v>***-****-3678</v>
      </c>
      <c r="AW13" t="str">
        <f t="shared" si="11"/>
        <v xml:space="preserve"> 서* 영**구 양***가 7* 양******트 1**동 4* (*****)</v>
      </c>
      <c r="AY13" t="str">
        <f t="shared" si="12"/>
        <v>***-****-3678</v>
      </c>
      <c r="AZ13">
        <v>17305</v>
      </c>
      <c r="BA13">
        <v>1040614</v>
      </c>
      <c r="BB13">
        <v>8000</v>
      </c>
      <c r="BD13" t="s">
        <v>369</v>
      </c>
      <c r="BE13" t="str">
        <f t="shared" si="13"/>
        <v>김*화</v>
      </c>
      <c r="BF13" t="str">
        <f t="shared" si="14"/>
        <v>***-****-1979</v>
      </c>
      <c r="BG13" t="str">
        <f t="shared" si="14"/>
        <v>***-****-1979</v>
      </c>
      <c r="BI13" t="s">
        <v>430</v>
      </c>
      <c r="BK13" t="s">
        <v>372</v>
      </c>
      <c r="BL13">
        <v>18177</v>
      </c>
      <c r="BM13" t="str">
        <f>"18177"</f>
        <v>18177</v>
      </c>
      <c r="BN13" t="str">
        <f t="shared" si="15"/>
        <v>20180123-0000043</v>
      </c>
      <c r="BQ13" t="s">
        <v>373</v>
      </c>
      <c r="BU13">
        <v>0</v>
      </c>
      <c r="BV13" t="s">
        <v>487</v>
      </c>
      <c r="BW13" t="s">
        <v>483</v>
      </c>
      <c r="BX13" t="s">
        <v>117</v>
      </c>
      <c r="BY13">
        <v>0</v>
      </c>
      <c r="BZ13">
        <v>8806173590810</v>
      </c>
      <c r="CA13" t="s">
        <v>488</v>
      </c>
      <c r="CF13" t="s">
        <v>483</v>
      </c>
      <c r="CG13" t="s">
        <v>489</v>
      </c>
      <c r="CH13" t="s">
        <v>377</v>
      </c>
      <c r="CI13" t="s">
        <v>482</v>
      </c>
      <c r="CJ13">
        <v>5040</v>
      </c>
      <c r="CK13">
        <v>5040</v>
      </c>
      <c r="CL13" t="s">
        <v>490</v>
      </c>
      <c r="CN13">
        <v>1</v>
      </c>
      <c r="CO13">
        <v>14992</v>
      </c>
      <c r="CP13">
        <v>14992</v>
      </c>
      <c r="CQ13" t="s">
        <v>379</v>
      </c>
      <c r="CS13">
        <v>1</v>
      </c>
    </row>
    <row r="14" spans="1:97" x14ac:dyDescent="0.4">
      <c r="A14" s="10">
        <v>43125</v>
      </c>
      <c r="B14" t="s">
        <v>226</v>
      </c>
      <c r="C14" t="s">
        <v>491</v>
      </c>
      <c r="D14" t="s">
        <v>359</v>
      </c>
      <c r="F14" t="str">
        <f t="shared" si="7"/>
        <v>20180123-0000043</v>
      </c>
      <c r="G14">
        <v>1040614</v>
      </c>
      <c r="H14">
        <v>1</v>
      </c>
      <c r="I14" t="s">
        <v>492</v>
      </c>
      <c r="L14">
        <v>0</v>
      </c>
      <c r="M14">
        <v>1</v>
      </c>
      <c r="N14" t="s">
        <v>462</v>
      </c>
      <c r="O14" t="s">
        <v>361</v>
      </c>
      <c r="P14" t="s">
        <v>463</v>
      </c>
      <c r="S14" t="s">
        <v>493</v>
      </c>
      <c r="T14" t="s">
        <v>465</v>
      </c>
      <c r="X14" t="s">
        <v>494</v>
      </c>
      <c r="AA14">
        <v>18382</v>
      </c>
      <c r="AB14">
        <v>15.68</v>
      </c>
      <c r="AC14" t="s">
        <v>495</v>
      </c>
      <c r="AD14">
        <v>17.09</v>
      </c>
      <c r="AE14">
        <v>17.559999999999999</v>
      </c>
      <c r="AF14" t="s">
        <v>496</v>
      </c>
      <c r="AG14">
        <v>3770</v>
      </c>
      <c r="AK14">
        <v>67</v>
      </c>
      <c r="AL14" t="s">
        <v>492</v>
      </c>
      <c r="AN14" t="s">
        <v>497</v>
      </c>
      <c r="AQ14">
        <v>9360</v>
      </c>
      <c r="AR14" t="s">
        <v>368</v>
      </c>
      <c r="AT14" t="str">
        <f t="shared" si="8"/>
        <v>김*화(한***트)</v>
      </c>
      <c r="AU14" t="str">
        <f t="shared" si="9"/>
        <v xml:space="preserve"> 0***4</v>
      </c>
      <c r="AV14" t="str">
        <f t="shared" si="10"/>
        <v>***-****-3678</v>
      </c>
      <c r="AW14" t="str">
        <f t="shared" si="11"/>
        <v xml:space="preserve"> 서* 영**구 양***가 7* 양******트 1**동 4* (*****)</v>
      </c>
      <c r="AY14" t="str">
        <f t="shared" si="12"/>
        <v>***-****-3678</v>
      </c>
      <c r="AZ14">
        <v>29002</v>
      </c>
      <c r="BA14">
        <v>1040625</v>
      </c>
      <c r="BB14">
        <v>18000</v>
      </c>
      <c r="BD14" t="s">
        <v>369</v>
      </c>
      <c r="BE14" t="str">
        <f t="shared" si="13"/>
        <v>김*화</v>
      </c>
      <c r="BF14" t="str">
        <f t="shared" si="14"/>
        <v>***-****-1979</v>
      </c>
      <c r="BG14" t="str">
        <f t="shared" si="14"/>
        <v>***-****-1979</v>
      </c>
      <c r="BI14" t="s">
        <v>430</v>
      </c>
      <c r="BK14" t="s">
        <v>372</v>
      </c>
      <c r="BL14">
        <v>20690</v>
      </c>
      <c r="BM14" t="str">
        <f>"20690"</f>
        <v>20690</v>
      </c>
      <c r="BN14" t="str">
        <f t="shared" si="15"/>
        <v>20180123-0000043</v>
      </c>
      <c r="BQ14" t="s">
        <v>373</v>
      </c>
      <c r="BU14">
        <v>176</v>
      </c>
      <c r="BV14" t="s">
        <v>498</v>
      </c>
      <c r="BW14" t="s">
        <v>492</v>
      </c>
      <c r="BX14" t="s">
        <v>226</v>
      </c>
      <c r="BY14">
        <v>0</v>
      </c>
      <c r="BZ14">
        <v>8809511274502</v>
      </c>
      <c r="CA14" t="s">
        <v>499</v>
      </c>
      <c r="CF14" t="s">
        <v>494</v>
      </c>
      <c r="CG14" t="s">
        <v>376</v>
      </c>
      <c r="CH14" t="s">
        <v>377</v>
      </c>
      <c r="CI14" t="s">
        <v>491</v>
      </c>
      <c r="CJ14">
        <v>9360</v>
      </c>
      <c r="CK14">
        <v>9360</v>
      </c>
      <c r="CL14" t="s">
        <v>500</v>
      </c>
      <c r="CN14">
        <v>1</v>
      </c>
      <c r="CO14">
        <v>18382</v>
      </c>
      <c r="CP14">
        <v>18382</v>
      </c>
      <c r="CQ14" t="s">
        <v>379</v>
      </c>
      <c r="CS14">
        <v>2</v>
      </c>
    </row>
    <row r="15" spans="1:97" x14ac:dyDescent="0.4">
      <c r="A15" s="10">
        <v>43125</v>
      </c>
      <c r="B15" t="s">
        <v>226</v>
      </c>
      <c r="C15" t="s">
        <v>501</v>
      </c>
      <c r="D15" t="s">
        <v>359</v>
      </c>
      <c r="F15" t="str">
        <f t="shared" si="7"/>
        <v>20180123-0000043</v>
      </c>
      <c r="G15">
        <v>1040614</v>
      </c>
      <c r="H15">
        <v>1</v>
      </c>
      <c r="I15" t="s">
        <v>502</v>
      </c>
      <c r="L15">
        <v>0</v>
      </c>
      <c r="M15">
        <v>1</v>
      </c>
      <c r="N15" t="s">
        <v>462</v>
      </c>
      <c r="O15" t="s">
        <v>361</v>
      </c>
      <c r="P15" t="s">
        <v>463</v>
      </c>
      <c r="S15" t="s">
        <v>503</v>
      </c>
      <c r="T15" t="s">
        <v>465</v>
      </c>
      <c r="X15" t="s">
        <v>504</v>
      </c>
      <c r="AA15">
        <v>18382</v>
      </c>
      <c r="AB15">
        <v>15.68</v>
      </c>
      <c r="AC15" t="s">
        <v>505</v>
      </c>
      <c r="AD15">
        <v>17.09</v>
      </c>
      <c r="AE15">
        <v>17.559999999999999</v>
      </c>
      <c r="AF15" t="s">
        <v>496</v>
      </c>
      <c r="AG15">
        <v>3770</v>
      </c>
      <c r="AK15">
        <v>67</v>
      </c>
      <c r="AL15" t="s">
        <v>502</v>
      </c>
      <c r="AN15" t="s">
        <v>506</v>
      </c>
      <c r="AQ15">
        <v>9360</v>
      </c>
      <c r="AR15" t="s">
        <v>368</v>
      </c>
      <c r="AT15" t="str">
        <f t="shared" si="8"/>
        <v>김*화(한***트)</v>
      </c>
      <c r="AU15" t="str">
        <f t="shared" si="9"/>
        <v xml:space="preserve"> 0***4</v>
      </c>
      <c r="AV15" t="str">
        <f t="shared" si="10"/>
        <v>***-****-3678</v>
      </c>
      <c r="AW15" t="str">
        <f t="shared" si="11"/>
        <v xml:space="preserve"> 서* 영**구 양***가 7* 양******트 1**동 4* (*****)</v>
      </c>
      <c r="AY15" t="str">
        <f t="shared" si="12"/>
        <v>***-****-3678</v>
      </c>
      <c r="AZ15">
        <v>27271</v>
      </c>
      <c r="BA15">
        <v>1040626</v>
      </c>
      <c r="BB15">
        <v>18000</v>
      </c>
      <c r="BD15" t="s">
        <v>369</v>
      </c>
      <c r="BE15" t="str">
        <f t="shared" si="13"/>
        <v>김*화</v>
      </c>
      <c r="BF15" t="str">
        <f t="shared" si="14"/>
        <v>***-****-1979</v>
      </c>
      <c r="BG15" t="str">
        <f t="shared" si="14"/>
        <v>***-****-1979</v>
      </c>
      <c r="BI15" t="s">
        <v>430</v>
      </c>
      <c r="BK15" t="s">
        <v>372</v>
      </c>
      <c r="BL15">
        <v>20690</v>
      </c>
      <c r="BM15" t="str">
        <f>"20690"</f>
        <v>20690</v>
      </c>
      <c r="BN15" t="str">
        <f t="shared" si="15"/>
        <v>20180123-0000043</v>
      </c>
      <c r="BQ15" t="s">
        <v>373</v>
      </c>
      <c r="BU15">
        <v>176</v>
      </c>
      <c r="BV15" t="s">
        <v>507</v>
      </c>
      <c r="BW15" t="s">
        <v>502</v>
      </c>
      <c r="BX15" t="s">
        <v>226</v>
      </c>
      <c r="BY15">
        <v>0</v>
      </c>
      <c r="BZ15">
        <v>8809511274496</v>
      </c>
      <c r="CA15" t="s">
        <v>508</v>
      </c>
      <c r="CF15" t="s">
        <v>504</v>
      </c>
      <c r="CG15" t="s">
        <v>376</v>
      </c>
      <c r="CH15" t="s">
        <v>377</v>
      </c>
      <c r="CI15" t="s">
        <v>501</v>
      </c>
      <c r="CJ15">
        <v>9360</v>
      </c>
      <c r="CK15">
        <v>9360</v>
      </c>
      <c r="CL15" t="s">
        <v>509</v>
      </c>
      <c r="CN15">
        <v>1</v>
      </c>
      <c r="CO15">
        <v>18382</v>
      </c>
      <c r="CP15">
        <v>18382</v>
      </c>
      <c r="CQ15" t="s">
        <v>379</v>
      </c>
      <c r="CS15">
        <v>2</v>
      </c>
    </row>
    <row r="16" spans="1:97" x14ac:dyDescent="0.4">
      <c r="A16" s="10">
        <v>43125</v>
      </c>
      <c r="B16" t="s">
        <v>226</v>
      </c>
      <c r="C16" t="s">
        <v>510</v>
      </c>
      <c r="D16" t="s">
        <v>359</v>
      </c>
      <c r="F16" t="str">
        <f t="shared" si="7"/>
        <v>20180123-0000043</v>
      </c>
      <c r="G16">
        <v>1040614</v>
      </c>
      <c r="H16">
        <v>1</v>
      </c>
      <c r="I16" t="s">
        <v>511</v>
      </c>
      <c r="L16">
        <v>0</v>
      </c>
      <c r="M16">
        <v>1</v>
      </c>
      <c r="N16" t="s">
        <v>462</v>
      </c>
      <c r="O16" t="s">
        <v>361</v>
      </c>
      <c r="P16" t="s">
        <v>463</v>
      </c>
      <c r="S16" t="s">
        <v>512</v>
      </c>
      <c r="T16" t="s">
        <v>465</v>
      </c>
      <c r="X16" t="s">
        <v>511</v>
      </c>
      <c r="AA16">
        <v>9000</v>
      </c>
      <c r="AB16">
        <v>5.95</v>
      </c>
      <c r="AC16" t="s">
        <v>513</v>
      </c>
      <c r="AD16">
        <v>6.49</v>
      </c>
      <c r="AE16">
        <v>6.66</v>
      </c>
      <c r="AF16" t="s">
        <v>514</v>
      </c>
      <c r="AG16">
        <v>1880</v>
      </c>
      <c r="AL16" t="s">
        <v>511</v>
      </c>
      <c r="AQ16">
        <v>3120</v>
      </c>
      <c r="AR16" t="s">
        <v>368</v>
      </c>
      <c r="AT16" t="str">
        <f t="shared" si="8"/>
        <v>김*화(한***트)</v>
      </c>
      <c r="AU16" t="str">
        <f t="shared" si="9"/>
        <v xml:space="preserve"> 0***4</v>
      </c>
      <c r="AV16" t="str">
        <f t="shared" si="10"/>
        <v>***-****-3678</v>
      </c>
      <c r="AW16" t="str">
        <f t="shared" si="11"/>
        <v xml:space="preserve"> 서* 영**구 양***가 7* 양******트 1**동 4* (*****)</v>
      </c>
      <c r="AY16" t="str">
        <f t="shared" si="12"/>
        <v>***-****-3678</v>
      </c>
      <c r="AZ16">
        <v>22274</v>
      </c>
      <c r="BA16">
        <v>1040627</v>
      </c>
      <c r="BB16">
        <v>6000</v>
      </c>
      <c r="BD16" t="s">
        <v>369</v>
      </c>
      <c r="BE16" t="str">
        <f t="shared" si="13"/>
        <v>김*화</v>
      </c>
      <c r="BF16" t="str">
        <f t="shared" si="14"/>
        <v>***-****-1979</v>
      </c>
      <c r="BG16" t="str">
        <f t="shared" si="14"/>
        <v>***-****-1979</v>
      </c>
      <c r="BI16" t="s">
        <v>430</v>
      </c>
      <c r="BK16" t="s">
        <v>372</v>
      </c>
      <c r="BL16">
        <v>20085</v>
      </c>
      <c r="BM16" t="str">
        <f>"20085"</f>
        <v>20085</v>
      </c>
      <c r="BN16" t="str">
        <f t="shared" si="15"/>
        <v>20180123-0000043</v>
      </c>
      <c r="BQ16" t="s">
        <v>373</v>
      </c>
      <c r="BU16">
        <v>66</v>
      </c>
      <c r="BV16" t="s">
        <v>515</v>
      </c>
      <c r="BW16" t="s">
        <v>511</v>
      </c>
      <c r="BX16" t="s">
        <v>226</v>
      </c>
      <c r="BY16">
        <v>0</v>
      </c>
      <c r="BZ16">
        <v>8809511274182</v>
      </c>
      <c r="CA16" t="s">
        <v>516</v>
      </c>
      <c r="CF16" t="s">
        <v>511</v>
      </c>
      <c r="CG16" t="s">
        <v>517</v>
      </c>
      <c r="CH16" t="s">
        <v>377</v>
      </c>
      <c r="CI16" t="s">
        <v>510</v>
      </c>
      <c r="CJ16">
        <v>3120</v>
      </c>
      <c r="CK16">
        <v>3120</v>
      </c>
      <c r="CL16" t="s">
        <v>518</v>
      </c>
      <c r="CN16">
        <v>1</v>
      </c>
      <c r="CO16">
        <v>9000</v>
      </c>
      <c r="CP16">
        <v>9000</v>
      </c>
      <c r="CQ16" t="s">
        <v>379</v>
      </c>
      <c r="CS16">
        <v>6</v>
      </c>
    </row>
    <row r="17" spans="1:97" x14ac:dyDescent="0.4">
      <c r="A17" s="10">
        <v>43125</v>
      </c>
      <c r="B17" t="s">
        <v>226</v>
      </c>
      <c r="C17" t="s">
        <v>519</v>
      </c>
      <c r="D17" t="s">
        <v>359</v>
      </c>
      <c r="F17" t="str">
        <f t="shared" si="7"/>
        <v>20180123-0000043</v>
      </c>
      <c r="G17">
        <v>1040614</v>
      </c>
      <c r="H17">
        <v>12</v>
      </c>
      <c r="I17" t="s">
        <v>520</v>
      </c>
      <c r="L17">
        <v>0</v>
      </c>
      <c r="M17">
        <v>1</v>
      </c>
      <c r="N17" t="s">
        <v>462</v>
      </c>
      <c r="O17" t="s">
        <v>361</v>
      </c>
      <c r="P17" t="s">
        <v>463</v>
      </c>
      <c r="S17" t="s">
        <v>521</v>
      </c>
      <c r="T17" t="s">
        <v>465</v>
      </c>
      <c r="X17" t="s">
        <v>520</v>
      </c>
      <c r="AA17">
        <v>17836</v>
      </c>
      <c r="AB17">
        <v>14.51</v>
      </c>
      <c r="AC17" t="s">
        <v>522</v>
      </c>
      <c r="AD17">
        <v>15.82</v>
      </c>
      <c r="AE17">
        <v>16.25</v>
      </c>
      <c r="AF17" t="s">
        <v>523</v>
      </c>
      <c r="AG17">
        <v>6500</v>
      </c>
      <c r="AK17">
        <v>240</v>
      </c>
      <c r="AL17" t="s">
        <v>520</v>
      </c>
      <c r="AQ17">
        <v>6240</v>
      </c>
      <c r="AR17" t="s">
        <v>368</v>
      </c>
      <c r="AT17" t="str">
        <f t="shared" si="8"/>
        <v>김*화(한***트)</v>
      </c>
      <c r="AU17" t="str">
        <f t="shared" si="9"/>
        <v xml:space="preserve"> 0***4</v>
      </c>
      <c r="AV17" t="str">
        <f t="shared" si="10"/>
        <v>***-****-3678</v>
      </c>
      <c r="AW17" t="str">
        <f t="shared" si="11"/>
        <v xml:space="preserve"> 서* 영**구 양***가 7* 양******트 1**동 4* (*****)</v>
      </c>
      <c r="AY17" t="str">
        <f t="shared" si="12"/>
        <v>***-****-3678</v>
      </c>
      <c r="AZ17">
        <v>22453</v>
      </c>
      <c r="BA17">
        <v>1040621</v>
      </c>
      <c r="BB17">
        <v>144000</v>
      </c>
      <c r="BD17" t="s">
        <v>369</v>
      </c>
      <c r="BE17" t="str">
        <f t="shared" si="13"/>
        <v>김*화</v>
      </c>
      <c r="BF17" t="str">
        <f t="shared" si="14"/>
        <v>***-****-1979</v>
      </c>
      <c r="BG17" t="str">
        <f t="shared" si="14"/>
        <v>***-****-1979</v>
      </c>
      <c r="BI17" t="s">
        <v>430</v>
      </c>
      <c r="BK17" t="s">
        <v>372</v>
      </c>
      <c r="BL17">
        <v>20121</v>
      </c>
      <c r="BM17" t="str">
        <f>"20121"</f>
        <v>20121</v>
      </c>
      <c r="BN17" t="str">
        <f t="shared" si="15"/>
        <v>20180123-0000043</v>
      </c>
      <c r="BQ17" t="s">
        <v>373</v>
      </c>
      <c r="BU17">
        <v>421</v>
      </c>
      <c r="BV17" t="s">
        <v>524</v>
      </c>
      <c r="BW17" t="s">
        <v>520</v>
      </c>
      <c r="BX17" t="s">
        <v>226</v>
      </c>
      <c r="BY17">
        <v>0</v>
      </c>
      <c r="BZ17">
        <v>8809511273239</v>
      </c>
      <c r="CA17" t="s">
        <v>525</v>
      </c>
      <c r="CF17" t="s">
        <v>520</v>
      </c>
      <c r="CG17" t="s">
        <v>444</v>
      </c>
      <c r="CH17" t="s">
        <v>377</v>
      </c>
      <c r="CI17" t="s">
        <v>519</v>
      </c>
      <c r="CJ17">
        <v>6240</v>
      </c>
      <c r="CK17">
        <v>74880</v>
      </c>
      <c r="CL17" t="s">
        <v>526</v>
      </c>
      <c r="CN17">
        <v>12</v>
      </c>
      <c r="CO17">
        <v>17836</v>
      </c>
      <c r="CP17">
        <v>214032</v>
      </c>
      <c r="CQ17" t="s">
        <v>379</v>
      </c>
      <c r="CS17">
        <v>12</v>
      </c>
    </row>
    <row r="18" spans="1:97" x14ac:dyDescent="0.4">
      <c r="A18" s="10">
        <v>43125</v>
      </c>
      <c r="B18" t="s">
        <v>226</v>
      </c>
      <c r="C18" t="s">
        <v>527</v>
      </c>
      <c r="D18" t="s">
        <v>359</v>
      </c>
      <c r="F18" t="str">
        <f t="shared" si="7"/>
        <v>20180123-0000043</v>
      </c>
      <c r="G18">
        <v>1040614</v>
      </c>
      <c r="H18">
        <v>10</v>
      </c>
      <c r="I18" t="s">
        <v>528</v>
      </c>
      <c r="L18">
        <v>0</v>
      </c>
      <c r="M18">
        <v>1</v>
      </c>
      <c r="N18" t="s">
        <v>462</v>
      </c>
      <c r="O18" t="s">
        <v>361</v>
      </c>
      <c r="P18" t="s">
        <v>463</v>
      </c>
      <c r="S18" t="s">
        <v>529</v>
      </c>
      <c r="T18" t="s">
        <v>465</v>
      </c>
      <c r="X18" t="s">
        <v>528</v>
      </c>
      <c r="AA18">
        <v>14742</v>
      </c>
      <c r="AB18">
        <v>13.18</v>
      </c>
      <c r="AC18" t="s">
        <v>530</v>
      </c>
      <c r="AD18">
        <v>14.36</v>
      </c>
      <c r="AE18">
        <v>14.76</v>
      </c>
      <c r="AF18" t="s">
        <v>531</v>
      </c>
      <c r="AG18">
        <v>3770</v>
      </c>
      <c r="AK18">
        <v>142</v>
      </c>
      <c r="AL18" t="s">
        <v>528</v>
      </c>
      <c r="AQ18">
        <v>6760</v>
      </c>
      <c r="AR18" t="s">
        <v>368</v>
      </c>
      <c r="AT18" t="str">
        <f t="shared" si="8"/>
        <v>김*화(한***트)</v>
      </c>
      <c r="AU18" t="str">
        <f t="shared" si="9"/>
        <v xml:space="preserve"> 0***4</v>
      </c>
      <c r="AV18" t="str">
        <f t="shared" si="10"/>
        <v>***-****-3678</v>
      </c>
      <c r="AW18" t="str">
        <f t="shared" si="11"/>
        <v xml:space="preserve"> 서* 영**구 양***가 7* 양******트 1**동 4* (*****)</v>
      </c>
      <c r="AY18" t="str">
        <f t="shared" si="12"/>
        <v>***-****-3678</v>
      </c>
      <c r="AZ18">
        <v>22451</v>
      </c>
      <c r="BA18">
        <v>1040623</v>
      </c>
      <c r="BB18">
        <v>130000</v>
      </c>
      <c r="BD18" t="s">
        <v>369</v>
      </c>
      <c r="BE18" t="str">
        <f t="shared" si="13"/>
        <v>김*화</v>
      </c>
      <c r="BF18" t="str">
        <f t="shared" si="14"/>
        <v>***-****-1979</v>
      </c>
      <c r="BG18" t="str">
        <f t="shared" si="14"/>
        <v>***-****-1979</v>
      </c>
      <c r="BI18" t="s">
        <v>430</v>
      </c>
      <c r="BK18" t="s">
        <v>372</v>
      </c>
      <c r="BL18">
        <v>20123</v>
      </c>
      <c r="BM18" t="str">
        <f>"20123"</f>
        <v>20123</v>
      </c>
      <c r="BN18" t="str">
        <f t="shared" si="15"/>
        <v>20180123-0000043</v>
      </c>
      <c r="BQ18" t="s">
        <v>373</v>
      </c>
      <c r="BV18" t="s">
        <v>532</v>
      </c>
      <c r="BW18" t="s">
        <v>528</v>
      </c>
      <c r="BX18" t="s">
        <v>226</v>
      </c>
      <c r="BY18">
        <v>0</v>
      </c>
      <c r="BZ18">
        <v>8809511273314</v>
      </c>
      <c r="CA18" t="s">
        <v>533</v>
      </c>
      <c r="CF18" t="s">
        <v>528</v>
      </c>
      <c r="CG18" t="s">
        <v>534</v>
      </c>
      <c r="CH18" t="s">
        <v>377</v>
      </c>
      <c r="CI18" t="s">
        <v>527</v>
      </c>
      <c r="CJ18">
        <v>6760</v>
      </c>
      <c r="CK18">
        <v>67600</v>
      </c>
      <c r="CL18" t="s">
        <v>535</v>
      </c>
      <c r="CN18">
        <v>10</v>
      </c>
      <c r="CO18">
        <v>14742</v>
      </c>
      <c r="CP18">
        <v>147420</v>
      </c>
      <c r="CQ18" t="s">
        <v>379</v>
      </c>
      <c r="CS18">
        <v>16</v>
      </c>
    </row>
    <row r="19" spans="1:97" x14ac:dyDescent="0.4">
      <c r="A19" s="10">
        <v>43125</v>
      </c>
      <c r="B19" t="s">
        <v>226</v>
      </c>
      <c r="C19" t="s">
        <v>536</v>
      </c>
      <c r="D19" t="s">
        <v>359</v>
      </c>
      <c r="F19" t="str">
        <f t="shared" si="7"/>
        <v>20180123-0000043</v>
      </c>
      <c r="G19">
        <v>1040614</v>
      </c>
      <c r="H19">
        <v>9</v>
      </c>
      <c r="I19" t="s">
        <v>537</v>
      </c>
      <c r="L19">
        <v>0</v>
      </c>
      <c r="M19">
        <v>1</v>
      </c>
      <c r="N19" t="s">
        <v>462</v>
      </c>
      <c r="O19" t="s">
        <v>361</v>
      </c>
      <c r="P19" t="s">
        <v>463</v>
      </c>
      <c r="S19" t="s">
        <v>538</v>
      </c>
      <c r="T19" t="s">
        <v>465</v>
      </c>
      <c r="X19" t="s">
        <v>537</v>
      </c>
      <c r="AA19">
        <v>17836</v>
      </c>
      <c r="AB19">
        <v>14.51</v>
      </c>
      <c r="AC19" t="s">
        <v>539</v>
      </c>
      <c r="AD19">
        <v>15.82</v>
      </c>
      <c r="AE19">
        <v>16.25</v>
      </c>
      <c r="AF19" t="s">
        <v>540</v>
      </c>
      <c r="AG19">
        <v>6500</v>
      </c>
      <c r="AK19">
        <v>195</v>
      </c>
      <c r="AL19" t="s">
        <v>537</v>
      </c>
      <c r="AQ19">
        <v>6240</v>
      </c>
      <c r="AR19" t="s">
        <v>368</v>
      </c>
      <c r="AT19" t="str">
        <f t="shared" si="8"/>
        <v>김*화(한***트)</v>
      </c>
      <c r="AU19" t="str">
        <f t="shared" si="9"/>
        <v xml:space="preserve"> 0***4</v>
      </c>
      <c r="AV19" t="str">
        <f t="shared" si="10"/>
        <v>***-****-3678</v>
      </c>
      <c r="AW19" t="str">
        <f t="shared" si="11"/>
        <v xml:space="preserve"> 서* 영**구 양***가 7* 양******트 1**동 4* (*****)</v>
      </c>
      <c r="AY19" t="str">
        <f t="shared" si="12"/>
        <v>***-****-3678</v>
      </c>
      <c r="AZ19">
        <v>22452</v>
      </c>
      <c r="BA19">
        <v>1040622</v>
      </c>
      <c r="BB19">
        <v>108000</v>
      </c>
      <c r="BD19" t="s">
        <v>369</v>
      </c>
      <c r="BE19" t="str">
        <f t="shared" si="13"/>
        <v>김*화</v>
      </c>
      <c r="BF19" t="str">
        <f t="shared" si="14"/>
        <v>***-****-1979</v>
      </c>
      <c r="BG19" t="str">
        <f t="shared" si="14"/>
        <v>***-****-1979</v>
      </c>
      <c r="BI19" t="s">
        <v>430</v>
      </c>
      <c r="BK19" t="s">
        <v>372</v>
      </c>
      <c r="BL19">
        <v>20122</v>
      </c>
      <c r="BM19" t="str">
        <f>"20122"</f>
        <v>20122</v>
      </c>
      <c r="BN19" t="str">
        <f t="shared" si="15"/>
        <v>20180123-0000043</v>
      </c>
      <c r="BQ19" t="s">
        <v>373</v>
      </c>
      <c r="BU19">
        <v>439</v>
      </c>
      <c r="BV19" t="s">
        <v>541</v>
      </c>
      <c r="BW19" t="s">
        <v>537</v>
      </c>
      <c r="BX19" t="s">
        <v>226</v>
      </c>
      <c r="BY19">
        <v>0</v>
      </c>
      <c r="BZ19">
        <v>8809511273307</v>
      </c>
      <c r="CA19" t="s">
        <v>542</v>
      </c>
      <c r="CF19" t="s">
        <v>537</v>
      </c>
      <c r="CG19" t="s">
        <v>534</v>
      </c>
      <c r="CH19" t="s">
        <v>377</v>
      </c>
      <c r="CI19" t="s">
        <v>536</v>
      </c>
      <c r="CJ19">
        <v>6240</v>
      </c>
      <c r="CK19">
        <v>56160</v>
      </c>
      <c r="CL19" t="s">
        <v>543</v>
      </c>
      <c r="CN19">
        <v>9</v>
      </c>
      <c r="CO19">
        <v>17836</v>
      </c>
      <c r="CP19">
        <v>160524</v>
      </c>
      <c r="CQ19" t="s">
        <v>379</v>
      </c>
      <c r="CS19">
        <v>17</v>
      </c>
    </row>
    <row r="20" spans="1:97" x14ac:dyDescent="0.4">
      <c r="A20" s="10">
        <v>43125</v>
      </c>
      <c r="B20" t="s">
        <v>226</v>
      </c>
      <c r="C20" t="s">
        <v>544</v>
      </c>
      <c r="D20" t="s">
        <v>359</v>
      </c>
      <c r="F20" t="str">
        <f t="shared" si="7"/>
        <v>20180123-0000043</v>
      </c>
      <c r="G20">
        <v>1040614</v>
      </c>
      <c r="H20">
        <v>2</v>
      </c>
      <c r="I20" t="s">
        <v>545</v>
      </c>
      <c r="L20">
        <v>0</v>
      </c>
      <c r="M20">
        <v>1</v>
      </c>
      <c r="N20" t="s">
        <v>462</v>
      </c>
      <c r="O20" t="s">
        <v>361</v>
      </c>
      <c r="P20" t="s">
        <v>463</v>
      </c>
      <c r="S20" t="s">
        <v>546</v>
      </c>
      <c r="T20" t="s">
        <v>465</v>
      </c>
      <c r="X20" t="s">
        <v>545</v>
      </c>
      <c r="AA20">
        <v>26740</v>
      </c>
      <c r="AB20">
        <v>14.83</v>
      </c>
      <c r="AC20" t="s">
        <v>547</v>
      </c>
      <c r="AD20">
        <v>16.170000000000002</v>
      </c>
      <c r="AE20">
        <v>16.61</v>
      </c>
      <c r="AF20" t="s">
        <v>441</v>
      </c>
      <c r="AG20">
        <v>6500</v>
      </c>
      <c r="AH20">
        <v>302</v>
      </c>
      <c r="AI20">
        <v>6500</v>
      </c>
      <c r="AK20">
        <v>242</v>
      </c>
      <c r="AL20" t="s">
        <v>545</v>
      </c>
      <c r="AQ20">
        <v>7280</v>
      </c>
      <c r="AR20" t="s">
        <v>368</v>
      </c>
      <c r="AT20" t="str">
        <f t="shared" si="8"/>
        <v>김*화(한***트)</v>
      </c>
      <c r="AU20" t="str">
        <f t="shared" si="9"/>
        <v xml:space="preserve"> 0***4</v>
      </c>
      <c r="AV20" t="str">
        <f t="shared" si="10"/>
        <v>***-****-3678</v>
      </c>
      <c r="AW20" t="str">
        <f t="shared" si="11"/>
        <v xml:space="preserve"> 서* 영**구 양***가 7* 양******트 1**동 4* (*****)</v>
      </c>
      <c r="AY20" t="str">
        <f t="shared" si="12"/>
        <v>***-****-3678</v>
      </c>
      <c r="AZ20">
        <v>5769</v>
      </c>
      <c r="BA20">
        <v>1040628</v>
      </c>
      <c r="BB20">
        <v>28000</v>
      </c>
      <c r="BD20" t="s">
        <v>369</v>
      </c>
      <c r="BE20" t="str">
        <f t="shared" si="13"/>
        <v>김*화</v>
      </c>
      <c r="BF20" t="str">
        <f t="shared" si="14"/>
        <v>***-****-1979</v>
      </c>
      <c r="BG20" t="str">
        <f t="shared" si="14"/>
        <v>***-****-1979</v>
      </c>
      <c r="BI20" t="s">
        <v>430</v>
      </c>
      <c r="BK20" t="s">
        <v>372</v>
      </c>
      <c r="BL20">
        <v>12662</v>
      </c>
      <c r="BM20" t="str">
        <f>"12662"</f>
        <v>12662</v>
      </c>
      <c r="BN20" t="str">
        <f t="shared" si="15"/>
        <v>20180123-0000043</v>
      </c>
      <c r="BQ20" t="s">
        <v>373</v>
      </c>
      <c r="BV20" t="s">
        <v>548</v>
      </c>
      <c r="BW20" t="s">
        <v>545</v>
      </c>
      <c r="BX20" t="s">
        <v>226</v>
      </c>
      <c r="BY20">
        <v>0</v>
      </c>
      <c r="BZ20">
        <v>8809327948710</v>
      </c>
      <c r="CA20" t="s">
        <v>549</v>
      </c>
      <c r="CF20" t="s">
        <v>545</v>
      </c>
      <c r="CG20" t="s">
        <v>444</v>
      </c>
      <c r="CH20" t="s">
        <v>377</v>
      </c>
      <c r="CI20" t="s">
        <v>544</v>
      </c>
      <c r="CJ20">
        <v>7280</v>
      </c>
      <c r="CK20">
        <v>14560</v>
      </c>
      <c r="CL20" t="s">
        <v>550</v>
      </c>
      <c r="CN20">
        <v>2</v>
      </c>
      <c r="CO20">
        <v>26740</v>
      </c>
      <c r="CP20">
        <v>53480</v>
      </c>
      <c r="CQ20" t="s">
        <v>379</v>
      </c>
      <c r="CS20">
        <v>2</v>
      </c>
    </row>
    <row r="21" spans="1:97" x14ac:dyDescent="0.4">
      <c r="A21" s="10">
        <v>43125</v>
      </c>
      <c r="B21" t="s">
        <v>226</v>
      </c>
      <c r="C21" t="s">
        <v>551</v>
      </c>
      <c r="D21" t="s">
        <v>359</v>
      </c>
      <c r="F21" t="str">
        <f t="shared" si="7"/>
        <v>20180123-0000043</v>
      </c>
      <c r="G21">
        <v>1040614</v>
      </c>
      <c r="H21">
        <v>2</v>
      </c>
      <c r="I21" t="s">
        <v>552</v>
      </c>
      <c r="L21">
        <v>0</v>
      </c>
      <c r="M21">
        <v>1</v>
      </c>
      <c r="N21" t="s">
        <v>462</v>
      </c>
      <c r="O21" t="s">
        <v>361</v>
      </c>
      <c r="P21" t="s">
        <v>463</v>
      </c>
      <c r="S21" t="s">
        <v>553</v>
      </c>
      <c r="T21" t="s">
        <v>465</v>
      </c>
      <c r="X21" t="s">
        <v>552</v>
      </c>
      <c r="AA21">
        <v>26740</v>
      </c>
      <c r="AB21">
        <v>13.87</v>
      </c>
      <c r="AC21" t="s">
        <v>554</v>
      </c>
      <c r="AD21">
        <v>15.12</v>
      </c>
      <c r="AE21">
        <v>15.53</v>
      </c>
      <c r="AF21" t="s">
        <v>540</v>
      </c>
      <c r="AG21">
        <v>6500</v>
      </c>
      <c r="AK21">
        <v>191</v>
      </c>
      <c r="AL21" t="s">
        <v>552</v>
      </c>
      <c r="AQ21">
        <v>7280</v>
      </c>
      <c r="AR21" t="s">
        <v>368</v>
      </c>
      <c r="AT21" t="str">
        <f t="shared" si="8"/>
        <v>김*화(한***트)</v>
      </c>
      <c r="AU21" t="str">
        <f t="shared" si="9"/>
        <v xml:space="preserve"> 0***4</v>
      </c>
      <c r="AV21" t="str">
        <f t="shared" si="10"/>
        <v>***-****-3678</v>
      </c>
      <c r="AW21" t="str">
        <f t="shared" si="11"/>
        <v xml:space="preserve"> 서* 영**구 양***가 7* 양******트 1**동 4* (*****)</v>
      </c>
      <c r="AY21" t="str">
        <f t="shared" si="12"/>
        <v>***-****-3678</v>
      </c>
      <c r="AZ21">
        <v>2818</v>
      </c>
      <c r="BA21">
        <v>1040629</v>
      </c>
      <c r="BB21">
        <v>28000</v>
      </c>
      <c r="BD21" t="s">
        <v>369</v>
      </c>
      <c r="BE21" t="str">
        <f t="shared" si="13"/>
        <v>김*화</v>
      </c>
      <c r="BF21" t="str">
        <f t="shared" si="14"/>
        <v>***-****-1979</v>
      </c>
      <c r="BG21" t="str">
        <f t="shared" si="14"/>
        <v>***-****-1979</v>
      </c>
      <c r="BI21" t="s">
        <v>430</v>
      </c>
      <c r="BK21" t="s">
        <v>372</v>
      </c>
      <c r="BL21">
        <v>12663</v>
      </c>
      <c r="BM21" t="str">
        <f>"12663"</f>
        <v>12663</v>
      </c>
      <c r="BN21" t="str">
        <f t="shared" si="15"/>
        <v>20180123-0000043</v>
      </c>
      <c r="BQ21" t="s">
        <v>373</v>
      </c>
      <c r="BV21" t="s">
        <v>555</v>
      </c>
      <c r="BW21" t="s">
        <v>552</v>
      </c>
      <c r="BX21" t="s">
        <v>226</v>
      </c>
      <c r="BY21">
        <v>0</v>
      </c>
      <c r="BZ21">
        <v>8809327948734</v>
      </c>
      <c r="CA21" t="s">
        <v>556</v>
      </c>
      <c r="CF21" t="s">
        <v>552</v>
      </c>
      <c r="CG21" t="s">
        <v>534</v>
      </c>
      <c r="CH21" t="s">
        <v>377</v>
      </c>
      <c r="CI21" t="s">
        <v>551</v>
      </c>
      <c r="CJ21">
        <v>7280</v>
      </c>
      <c r="CK21">
        <v>14560</v>
      </c>
      <c r="CL21" t="s">
        <v>557</v>
      </c>
      <c r="CN21">
        <v>2</v>
      </c>
      <c r="CO21">
        <v>26740</v>
      </c>
      <c r="CP21">
        <v>53480</v>
      </c>
      <c r="CQ21" t="s">
        <v>379</v>
      </c>
      <c r="CS21">
        <v>2</v>
      </c>
    </row>
    <row r="22" spans="1:97" x14ac:dyDescent="0.4">
      <c r="A22" s="10">
        <v>43125</v>
      </c>
      <c r="B22" t="s">
        <v>226</v>
      </c>
      <c r="C22" t="s">
        <v>558</v>
      </c>
      <c r="D22" t="s">
        <v>359</v>
      </c>
      <c r="F22" t="str">
        <f t="shared" si="7"/>
        <v>20180123-0000043</v>
      </c>
      <c r="G22">
        <v>1040614</v>
      </c>
      <c r="H22">
        <v>1</v>
      </c>
      <c r="I22" t="s">
        <v>559</v>
      </c>
      <c r="L22">
        <v>0</v>
      </c>
      <c r="M22">
        <v>1</v>
      </c>
      <c r="N22" t="s">
        <v>462</v>
      </c>
      <c r="O22" t="s">
        <v>361</v>
      </c>
      <c r="P22" t="s">
        <v>463</v>
      </c>
      <c r="S22" t="s">
        <v>560</v>
      </c>
      <c r="T22" t="s">
        <v>465</v>
      </c>
      <c r="X22" t="s">
        <v>559</v>
      </c>
      <c r="AA22">
        <v>10928</v>
      </c>
      <c r="AB22">
        <v>6.05</v>
      </c>
      <c r="AC22" t="s">
        <v>561</v>
      </c>
      <c r="AD22">
        <v>6.6</v>
      </c>
      <c r="AE22">
        <v>6.78</v>
      </c>
      <c r="AF22" t="s">
        <v>562</v>
      </c>
      <c r="AG22">
        <v>1880</v>
      </c>
      <c r="AK22">
        <v>14</v>
      </c>
      <c r="AL22" t="s">
        <v>559</v>
      </c>
      <c r="AN22" t="s">
        <v>563</v>
      </c>
      <c r="AQ22">
        <v>2860</v>
      </c>
      <c r="AR22" t="s">
        <v>368</v>
      </c>
      <c r="AT22" t="str">
        <f t="shared" si="8"/>
        <v>김*화(한***트)</v>
      </c>
      <c r="AU22" t="str">
        <f t="shared" si="9"/>
        <v xml:space="preserve"> 0***4</v>
      </c>
      <c r="AV22" t="str">
        <f t="shared" si="10"/>
        <v>***-****-3678</v>
      </c>
      <c r="AW22" t="str">
        <f t="shared" si="11"/>
        <v xml:space="preserve"> 서* 영**구 양***가 7* 양******트 1**동 4* (*****)</v>
      </c>
      <c r="AY22" t="str">
        <f t="shared" si="12"/>
        <v>***-****-3678</v>
      </c>
      <c r="AZ22">
        <v>29432</v>
      </c>
      <c r="BA22">
        <v>1040630</v>
      </c>
      <c r="BB22">
        <v>5500</v>
      </c>
      <c r="BD22" t="s">
        <v>369</v>
      </c>
      <c r="BE22" t="str">
        <f t="shared" si="13"/>
        <v>김*화</v>
      </c>
      <c r="BF22" t="str">
        <f t="shared" si="14"/>
        <v>***-****-1979</v>
      </c>
      <c r="BG22" t="str">
        <f t="shared" si="14"/>
        <v>***-****-1979</v>
      </c>
      <c r="BI22" t="s">
        <v>430</v>
      </c>
      <c r="BK22" t="s">
        <v>372</v>
      </c>
      <c r="BL22">
        <v>13732</v>
      </c>
      <c r="BM22" t="str">
        <f>"13732"</f>
        <v>13732</v>
      </c>
      <c r="BN22" t="str">
        <f t="shared" si="15"/>
        <v>20180123-0000043</v>
      </c>
      <c r="BQ22" t="s">
        <v>373</v>
      </c>
      <c r="BV22" t="s">
        <v>564</v>
      </c>
      <c r="BW22" t="s">
        <v>559</v>
      </c>
      <c r="BX22" t="s">
        <v>226</v>
      </c>
      <c r="BY22">
        <v>0</v>
      </c>
      <c r="BZ22">
        <v>8809327949434</v>
      </c>
      <c r="CA22" t="s">
        <v>565</v>
      </c>
      <c r="CF22" t="s">
        <v>559</v>
      </c>
      <c r="CG22" t="s">
        <v>566</v>
      </c>
      <c r="CH22" t="s">
        <v>377</v>
      </c>
      <c r="CI22" t="s">
        <v>558</v>
      </c>
      <c r="CJ22">
        <v>2860</v>
      </c>
      <c r="CK22">
        <v>2860</v>
      </c>
      <c r="CL22" t="s">
        <v>567</v>
      </c>
      <c r="CN22">
        <v>1</v>
      </c>
      <c r="CO22">
        <v>10928</v>
      </c>
      <c r="CP22">
        <v>10928</v>
      </c>
      <c r="CQ22" t="s">
        <v>379</v>
      </c>
      <c r="CS22">
        <v>4</v>
      </c>
    </row>
    <row r="23" spans="1:97" x14ac:dyDescent="0.4">
      <c r="A23" s="10">
        <v>43125</v>
      </c>
      <c r="B23" t="s">
        <v>226</v>
      </c>
      <c r="C23" t="s">
        <v>568</v>
      </c>
      <c r="D23" t="s">
        <v>359</v>
      </c>
      <c r="F23" t="str">
        <f t="shared" si="7"/>
        <v>20180123-0000043</v>
      </c>
      <c r="G23">
        <v>1040614</v>
      </c>
      <c r="H23">
        <v>1</v>
      </c>
      <c r="I23" t="s">
        <v>569</v>
      </c>
      <c r="L23">
        <v>0</v>
      </c>
      <c r="M23">
        <v>1</v>
      </c>
      <c r="N23" t="s">
        <v>462</v>
      </c>
      <c r="O23" t="s">
        <v>361</v>
      </c>
      <c r="P23" t="s">
        <v>463</v>
      </c>
      <c r="S23" t="s">
        <v>570</v>
      </c>
      <c r="T23" t="s">
        <v>465</v>
      </c>
      <c r="X23" t="s">
        <v>569</v>
      </c>
      <c r="AA23">
        <v>22750</v>
      </c>
      <c r="AB23">
        <v>16.59</v>
      </c>
      <c r="AC23" t="s">
        <v>571</v>
      </c>
      <c r="AD23">
        <v>18.079999999999998</v>
      </c>
      <c r="AE23">
        <v>18.579999999999998</v>
      </c>
      <c r="AF23" t="s">
        <v>572</v>
      </c>
      <c r="AG23">
        <v>6500</v>
      </c>
      <c r="AK23">
        <v>384</v>
      </c>
      <c r="AL23" t="s">
        <v>569</v>
      </c>
      <c r="AQ23">
        <v>7800</v>
      </c>
      <c r="AR23" t="s">
        <v>368</v>
      </c>
      <c r="AT23" t="str">
        <f t="shared" si="8"/>
        <v>김*화(한***트)</v>
      </c>
      <c r="AU23" t="str">
        <f t="shared" si="9"/>
        <v xml:space="preserve"> 0***4</v>
      </c>
      <c r="AV23" t="str">
        <f t="shared" si="10"/>
        <v>***-****-3678</v>
      </c>
      <c r="AW23" t="str">
        <f t="shared" si="11"/>
        <v xml:space="preserve"> 서* 영**구 양***가 7* 양******트 1**동 4* (*****)</v>
      </c>
      <c r="AY23" t="str">
        <f t="shared" si="12"/>
        <v>***-****-3678</v>
      </c>
      <c r="AZ23">
        <v>19016</v>
      </c>
      <c r="BA23">
        <v>1040620</v>
      </c>
      <c r="BB23">
        <v>15000</v>
      </c>
      <c r="BD23" t="s">
        <v>369</v>
      </c>
      <c r="BE23" t="str">
        <f t="shared" si="13"/>
        <v>김*화</v>
      </c>
      <c r="BF23" t="str">
        <f t="shared" si="14"/>
        <v>***-****-1979</v>
      </c>
      <c r="BG23" t="str">
        <f t="shared" si="14"/>
        <v>***-****-1979</v>
      </c>
      <c r="BI23" t="s">
        <v>370</v>
      </c>
      <c r="BK23" t="s">
        <v>372</v>
      </c>
      <c r="BL23">
        <v>17965</v>
      </c>
      <c r="BM23" t="str">
        <f>"17965"</f>
        <v>17965</v>
      </c>
      <c r="BN23" t="str">
        <f t="shared" si="15"/>
        <v>20180123-0000043</v>
      </c>
      <c r="BQ23" t="s">
        <v>373</v>
      </c>
      <c r="BU23">
        <v>415</v>
      </c>
      <c r="BV23" t="s">
        <v>573</v>
      </c>
      <c r="BW23" t="s">
        <v>569</v>
      </c>
      <c r="BX23" t="s">
        <v>226</v>
      </c>
      <c r="BY23">
        <v>0</v>
      </c>
      <c r="BZ23">
        <v>8809427865757</v>
      </c>
      <c r="CA23" t="s">
        <v>574</v>
      </c>
      <c r="CF23" t="s">
        <v>569</v>
      </c>
      <c r="CG23" t="s">
        <v>444</v>
      </c>
      <c r="CH23" t="s">
        <v>377</v>
      </c>
      <c r="CI23" t="s">
        <v>568</v>
      </c>
      <c r="CJ23">
        <v>7800</v>
      </c>
      <c r="CK23">
        <v>7800</v>
      </c>
      <c r="CL23" t="s">
        <v>575</v>
      </c>
      <c r="CN23">
        <v>1</v>
      </c>
      <c r="CO23">
        <v>22750</v>
      </c>
      <c r="CP23">
        <v>22750</v>
      </c>
      <c r="CQ23" t="s">
        <v>379</v>
      </c>
      <c r="CS23">
        <v>0</v>
      </c>
    </row>
    <row r="24" spans="1:97" x14ac:dyDescent="0.4">
      <c r="A24" s="10">
        <v>43125</v>
      </c>
      <c r="B24" t="s">
        <v>226</v>
      </c>
      <c r="C24" t="s">
        <v>576</v>
      </c>
      <c r="D24" t="s">
        <v>359</v>
      </c>
      <c r="F24" t="str">
        <f t="shared" si="7"/>
        <v>20180123-0000043</v>
      </c>
      <c r="G24">
        <v>1040614</v>
      </c>
      <c r="H24">
        <v>2</v>
      </c>
      <c r="I24" t="s">
        <v>577</v>
      </c>
      <c r="L24">
        <v>0</v>
      </c>
      <c r="M24">
        <v>1</v>
      </c>
      <c r="N24" t="s">
        <v>462</v>
      </c>
      <c r="O24" t="s">
        <v>361</v>
      </c>
      <c r="P24" t="s">
        <v>463</v>
      </c>
      <c r="S24" t="s">
        <v>578</v>
      </c>
      <c r="T24" t="s">
        <v>465</v>
      </c>
      <c r="X24" t="s">
        <v>577</v>
      </c>
      <c r="AA24">
        <v>18802</v>
      </c>
      <c r="AB24">
        <v>9.5</v>
      </c>
      <c r="AC24" t="s">
        <v>579</v>
      </c>
      <c r="AD24">
        <v>10.36</v>
      </c>
      <c r="AE24">
        <v>10.64</v>
      </c>
      <c r="AF24" t="s">
        <v>580</v>
      </c>
      <c r="AG24">
        <v>3770</v>
      </c>
      <c r="AH24">
        <v>462</v>
      </c>
      <c r="AI24">
        <v>6500</v>
      </c>
      <c r="AK24">
        <v>141</v>
      </c>
      <c r="AL24" t="s">
        <v>577</v>
      </c>
      <c r="AQ24">
        <v>4004</v>
      </c>
      <c r="AR24" t="s">
        <v>368</v>
      </c>
      <c r="AT24" t="str">
        <f t="shared" si="8"/>
        <v>김*화(한***트)</v>
      </c>
      <c r="AU24" t="str">
        <f t="shared" si="9"/>
        <v xml:space="preserve"> 0***4</v>
      </c>
      <c r="AV24" t="str">
        <f t="shared" si="10"/>
        <v>***-****-3678</v>
      </c>
      <c r="AW24" t="str">
        <f t="shared" si="11"/>
        <v xml:space="preserve"> 서* 영**구 양***가 7* 양******트 1**동 4* (*****)</v>
      </c>
      <c r="AY24" t="str">
        <f t="shared" si="12"/>
        <v>***-****-3678</v>
      </c>
      <c r="AZ24">
        <v>953</v>
      </c>
      <c r="BA24">
        <v>1040624</v>
      </c>
      <c r="BB24">
        <v>15400</v>
      </c>
      <c r="BD24" t="s">
        <v>369</v>
      </c>
      <c r="BE24" t="str">
        <f t="shared" si="13"/>
        <v>김*화</v>
      </c>
      <c r="BF24" t="str">
        <f t="shared" si="14"/>
        <v>***-****-1979</v>
      </c>
      <c r="BG24" t="str">
        <f t="shared" si="14"/>
        <v>***-****-1979</v>
      </c>
      <c r="BI24" t="s">
        <v>430</v>
      </c>
      <c r="BK24" t="s">
        <v>372</v>
      </c>
      <c r="BL24">
        <v>12683</v>
      </c>
      <c r="BM24" t="str">
        <f>"12683"</f>
        <v>12683</v>
      </c>
      <c r="BN24" t="str">
        <f t="shared" si="15"/>
        <v>20180123-0000043</v>
      </c>
      <c r="BQ24" t="s">
        <v>373</v>
      </c>
      <c r="BV24" t="s">
        <v>581</v>
      </c>
      <c r="BW24" t="s">
        <v>577</v>
      </c>
      <c r="BX24" t="s">
        <v>226</v>
      </c>
      <c r="BY24">
        <v>0</v>
      </c>
      <c r="BZ24">
        <v>8809153100634</v>
      </c>
      <c r="CA24" t="s">
        <v>582</v>
      </c>
      <c r="CF24" t="s">
        <v>577</v>
      </c>
      <c r="CG24" t="s">
        <v>583</v>
      </c>
      <c r="CH24" t="s">
        <v>377</v>
      </c>
      <c r="CI24" t="s">
        <v>576</v>
      </c>
      <c r="CJ24">
        <v>4004</v>
      </c>
      <c r="CK24">
        <v>8008</v>
      </c>
      <c r="CL24" t="s">
        <v>584</v>
      </c>
      <c r="CN24">
        <v>2</v>
      </c>
      <c r="CO24">
        <v>18802</v>
      </c>
      <c r="CP24">
        <v>37604</v>
      </c>
      <c r="CQ24" t="s">
        <v>379</v>
      </c>
      <c r="CS24">
        <v>450</v>
      </c>
    </row>
    <row r="25" spans="1:97" x14ac:dyDescent="0.4">
      <c r="A25" s="10">
        <v>43125</v>
      </c>
      <c r="B25" t="s">
        <v>219</v>
      </c>
      <c r="D25" t="s">
        <v>359</v>
      </c>
      <c r="F25" t="str">
        <f t="shared" si="7"/>
        <v>20180123-0000043</v>
      </c>
      <c r="G25">
        <v>1040614</v>
      </c>
      <c r="H25">
        <v>1</v>
      </c>
      <c r="I25" t="s">
        <v>585</v>
      </c>
      <c r="L25">
        <v>0</v>
      </c>
      <c r="M25">
        <v>1</v>
      </c>
      <c r="N25" t="s">
        <v>462</v>
      </c>
      <c r="O25" t="s">
        <v>361</v>
      </c>
      <c r="P25" t="s">
        <v>463</v>
      </c>
      <c r="S25" t="s">
        <v>586</v>
      </c>
      <c r="T25" t="s">
        <v>465</v>
      </c>
      <c r="AA25">
        <v>0</v>
      </c>
      <c r="AL25" t="s">
        <v>585</v>
      </c>
      <c r="AQ25">
        <v>0</v>
      </c>
      <c r="AR25" t="s">
        <v>368</v>
      </c>
      <c r="AT25" t="str">
        <f t="shared" si="8"/>
        <v>김*화(한***트)</v>
      </c>
      <c r="AU25" t="str">
        <f t="shared" si="9"/>
        <v xml:space="preserve"> 0***4</v>
      </c>
      <c r="AV25" t="str">
        <f t="shared" si="10"/>
        <v>***-****-3678</v>
      </c>
      <c r="AW25" t="str">
        <f t="shared" si="11"/>
        <v xml:space="preserve"> 서* 영**구 양***가 7* 양******트 1**동 4* (*****)</v>
      </c>
      <c r="AY25" t="str">
        <f t="shared" si="12"/>
        <v>***-****-3678</v>
      </c>
      <c r="AZ25">
        <v>29421</v>
      </c>
      <c r="BA25">
        <v>1040632</v>
      </c>
      <c r="BB25">
        <v>6000</v>
      </c>
      <c r="BD25" t="s">
        <v>369</v>
      </c>
      <c r="BE25" t="str">
        <f t="shared" si="13"/>
        <v>김*화</v>
      </c>
      <c r="BF25" t="str">
        <f t="shared" si="14"/>
        <v>***-****-1979</v>
      </c>
      <c r="BG25" t="str">
        <f t="shared" si="14"/>
        <v>***-****-1979</v>
      </c>
      <c r="BI25" t="s">
        <v>430</v>
      </c>
      <c r="BK25" t="s">
        <v>372</v>
      </c>
      <c r="BL25">
        <v>21469</v>
      </c>
      <c r="BM25" t="str">
        <f>"21469"</f>
        <v>21469</v>
      </c>
      <c r="BN25" t="str">
        <f t="shared" si="15"/>
        <v>20180123-0000043</v>
      </c>
      <c r="BV25" t="s">
        <v>587</v>
      </c>
      <c r="BW25" t="s">
        <v>588</v>
      </c>
      <c r="BX25" t="s">
        <v>205</v>
      </c>
      <c r="BY25">
        <v>0</v>
      </c>
      <c r="BZ25">
        <v>8809539442594</v>
      </c>
      <c r="CA25" t="s">
        <v>589</v>
      </c>
      <c r="CF25" t="s">
        <v>590</v>
      </c>
      <c r="CG25" t="s">
        <v>591</v>
      </c>
      <c r="CH25" t="s">
        <v>377</v>
      </c>
      <c r="CI25" t="s">
        <v>592</v>
      </c>
      <c r="CJ25">
        <v>40</v>
      </c>
      <c r="CK25">
        <v>4000</v>
      </c>
      <c r="CL25" t="s">
        <v>593</v>
      </c>
      <c r="CN25">
        <v>100</v>
      </c>
      <c r="CO25">
        <v>4302</v>
      </c>
      <c r="CP25">
        <v>430200</v>
      </c>
      <c r="CQ25" t="s">
        <v>379</v>
      </c>
      <c r="CS25">
        <v>1429</v>
      </c>
    </row>
    <row r="26" spans="1:97" x14ac:dyDescent="0.4">
      <c r="A26" s="10">
        <v>43125</v>
      </c>
      <c r="B26" t="s">
        <v>205</v>
      </c>
      <c r="C26" t="s">
        <v>594</v>
      </c>
      <c r="D26" t="s">
        <v>359</v>
      </c>
      <c r="F26" t="str">
        <f t="shared" si="7"/>
        <v>20180123-0000043</v>
      </c>
      <c r="G26">
        <v>1040614</v>
      </c>
      <c r="H26">
        <v>1</v>
      </c>
      <c r="I26" t="s">
        <v>595</v>
      </c>
      <c r="L26">
        <v>0</v>
      </c>
      <c r="M26">
        <v>1</v>
      </c>
      <c r="N26" t="s">
        <v>462</v>
      </c>
      <c r="O26" t="s">
        <v>361</v>
      </c>
      <c r="P26" t="s">
        <v>463</v>
      </c>
      <c r="S26" t="s">
        <v>596</v>
      </c>
      <c r="T26" t="s">
        <v>465</v>
      </c>
      <c r="X26" t="s">
        <v>595</v>
      </c>
      <c r="AA26">
        <v>32981</v>
      </c>
      <c r="AB26">
        <v>28.3</v>
      </c>
      <c r="AC26" t="s">
        <v>597</v>
      </c>
      <c r="AD26">
        <v>30.85</v>
      </c>
      <c r="AE26">
        <v>31.7</v>
      </c>
      <c r="AF26" t="s">
        <v>598</v>
      </c>
      <c r="AG26">
        <v>3770</v>
      </c>
      <c r="AH26">
        <v>201</v>
      </c>
      <c r="AI26">
        <v>3770</v>
      </c>
      <c r="AK26">
        <v>167</v>
      </c>
      <c r="AL26" t="s">
        <v>595</v>
      </c>
      <c r="AQ26">
        <v>19500</v>
      </c>
      <c r="AR26" t="s">
        <v>368</v>
      </c>
      <c r="AT26" t="str">
        <f t="shared" si="8"/>
        <v>김*화(한***트)</v>
      </c>
      <c r="AU26" t="str">
        <f t="shared" si="9"/>
        <v xml:space="preserve"> 0***4</v>
      </c>
      <c r="AV26" t="str">
        <f t="shared" si="10"/>
        <v>***-****-3678</v>
      </c>
      <c r="AW26" t="str">
        <f t="shared" si="11"/>
        <v xml:space="preserve"> 서* 영**구 양***가 7* 양******트 1**동 4* (*****)</v>
      </c>
      <c r="AY26" t="str">
        <f t="shared" si="12"/>
        <v>***-****-3678</v>
      </c>
      <c r="AZ26">
        <v>10020</v>
      </c>
      <c r="BA26">
        <v>1040617</v>
      </c>
      <c r="BB26">
        <v>30000</v>
      </c>
      <c r="BD26" t="s">
        <v>369</v>
      </c>
      <c r="BE26" t="str">
        <f t="shared" si="13"/>
        <v>김*화</v>
      </c>
      <c r="BF26" t="str">
        <f t="shared" si="14"/>
        <v>***-****-1979</v>
      </c>
      <c r="BG26" t="str">
        <f t="shared" si="14"/>
        <v>***-****-1979</v>
      </c>
      <c r="BI26" t="s">
        <v>430</v>
      </c>
      <c r="BK26" t="s">
        <v>372</v>
      </c>
      <c r="BL26">
        <v>14858</v>
      </c>
      <c r="BM26" t="str">
        <f>"14858"</f>
        <v>14858</v>
      </c>
      <c r="BN26" t="str">
        <f t="shared" si="15"/>
        <v>20180123-0000043</v>
      </c>
      <c r="BQ26" t="s">
        <v>373</v>
      </c>
      <c r="BV26" t="s">
        <v>599</v>
      </c>
      <c r="BW26" t="s">
        <v>595</v>
      </c>
      <c r="BX26" t="s">
        <v>205</v>
      </c>
      <c r="BY26">
        <v>0</v>
      </c>
      <c r="BZ26">
        <v>8801042721173</v>
      </c>
      <c r="CA26" t="s">
        <v>600</v>
      </c>
      <c r="CF26" t="s">
        <v>595</v>
      </c>
      <c r="CG26" t="s">
        <v>601</v>
      </c>
      <c r="CH26" t="s">
        <v>377</v>
      </c>
      <c r="CI26" t="s">
        <v>594</v>
      </c>
      <c r="CJ26">
        <v>19500</v>
      </c>
      <c r="CK26">
        <v>19500</v>
      </c>
      <c r="CL26" t="s">
        <v>602</v>
      </c>
      <c r="CN26">
        <v>1</v>
      </c>
      <c r="CO26">
        <v>32981</v>
      </c>
      <c r="CP26">
        <v>32981</v>
      </c>
      <c r="CQ26" t="s">
        <v>379</v>
      </c>
      <c r="CS26">
        <v>1</v>
      </c>
    </row>
    <row r="27" spans="1:97" x14ac:dyDescent="0.4">
      <c r="A27" s="10">
        <v>43125</v>
      </c>
      <c r="B27" t="s">
        <v>191</v>
      </c>
      <c r="C27" t="s">
        <v>603</v>
      </c>
      <c r="D27" t="s">
        <v>359</v>
      </c>
      <c r="F27" t="str">
        <f t="shared" si="7"/>
        <v>20180123-0000043</v>
      </c>
      <c r="G27">
        <v>1040614</v>
      </c>
      <c r="H27">
        <v>3</v>
      </c>
      <c r="I27" t="s">
        <v>604</v>
      </c>
      <c r="L27">
        <v>0</v>
      </c>
      <c r="M27">
        <v>1</v>
      </c>
      <c r="N27" t="s">
        <v>462</v>
      </c>
      <c r="O27" t="s">
        <v>361</v>
      </c>
      <c r="P27" t="s">
        <v>463</v>
      </c>
      <c r="S27" t="s">
        <v>605</v>
      </c>
      <c r="T27" t="s">
        <v>465</v>
      </c>
      <c r="X27" t="s">
        <v>604</v>
      </c>
      <c r="AA27">
        <v>10288</v>
      </c>
      <c r="AB27">
        <v>10.23</v>
      </c>
      <c r="AC27" t="s">
        <v>606</v>
      </c>
      <c r="AD27">
        <v>11.15</v>
      </c>
      <c r="AE27">
        <v>11.46</v>
      </c>
      <c r="AF27" t="s">
        <v>607</v>
      </c>
      <c r="AG27">
        <v>3770</v>
      </c>
      <c r="AH27">
        <v>230</v>
      </c>
      <c r="AI27">
        <v>3770</v>
      </c>
      <c r="AK27">
        <v>154</v>
      </c>
      <c r="AL27" t="s">
        <v>604</v>
      </c>
      <c r="AQ27">
        <v>4550</v>
      </c>
      <c r="AR27" t="s">
        <v>368</v>
      </c>
      <c r="AT27" t="str">
        <f t="shared" si="8"/>
        <v>김*화(한***트)</v>
      </c>
      <c r="AU27" t="str">
        <f t="shared" si="9"/>
        <v xml:space="preserve"> 0***4</v>
      </c>
      <c r="AV27" t="str">
        <f t="shared" si="10"/>
        <v>***-****-3678</v>
      </c>
      <c r="AW27" t="str">
        <f t="shared" si="11"/>
        <v xml:space="preserve"> 서* 영**구 양***가 7* 양******트 1**동 4* (*****)</v>
      </c>
      <c r="AY27" t="str">
        <f t="shared" si="12"/>
        <v>***-****-3678</v>
      </c>
      <c r="AZ27">
        <v>4655</v>
      </c>
      <c r="BA27">
        <v>1040631</v>
      </c>
      <c r="BB27">
        <v>21000</v>
      </c>
      <c r="BD27" t="s">
        <v>369</v>
      </c>
      <c r="BE27" t="str">
        <f t="shared" si="13"/>
        <v>김*화</v>
      </c>
      <c r="BF27" t="str">
        <f t="shared" si="14"/>
        <v>***-****-1979</v>
      </c>
      <c r="BG27" t="str">
        <f t="shared" si="14"/>
        <v>***-****-1979</v>
      </c>
      <c r="BI27" t="s">
        <v>430</v>
      </c>
      <c r="BK27" t="s">
        <v>372</v>
      </c>
      <c r="BL27">
        <v>12869</v>
      </c>
      <c r="BM27" t="str">
        <f>"12869"</f>
        <v>12869</v>
      </c>
      <c r="BN27" t="str">
        <f t="shared" si="15"/>
        <v>20180123-0000043</v>
      </c>
      <c r="BQ27" t="s">
        <v>373</v>
      </c>
      <c r="BV27" t="s">
        <v>608</v>
      </c>
      <c r="BW27" t="s">
        <v>604</v>
      </c>
      <c r="BX27" t="s">
        <v>191</v>
      </c>
      <c r="BZ27">
        <v>8806364046881</v>
      </c>
      <c r="CA27" t="s">
        <v>609</v>
      </c>
      <c r="CF27" t="s">
        <v>604</v>
      </c>
      <c r="CG27" t="s">
        <v>610</v>
      </c>
      <c r="CH27" t="s">
        <v>377</v>
      </c>
      <c r="CI27" t="s">
        <v>603</v>
      </c>
      <c r="CJ27">
        <v>4550</v>
      </c>
      <c r="CK27">
        <v>13650</v>
      </c>
      <c r="CL27" t="s">
        <v>611</v>
      </c>
      <c r="CN27">
        <v>3</v>
      </c>
      <c r="CO27">
        <v>10288</v>
      </c>
      <c r="CP27">
        <v>30864</v>
      </c>
      <c r="CQ27" t="s">
        <v>379</v>
      </c>
      <c r="CS27">
        <v>3</v>
      </c>
    </row>
    <row r="28" spans="1:97" x14ac:dyDescent="0.4">
      <c r="A28" s="10">
        <v>43125</v>
      </c>
      <c r="B28" t="s">
        <v>176</v>
      </c>
      <c r="C28" t="s">
        <v>612</v>
      </c>
      <c r="D28" t="s">
        <v>359</v>
      </c>
      <c r="F28" t="str">
        <f t="shared" ref="F28:F35" si="16">"20180124-0000039"</f>
        <v>20180124-0000039</v>
      </c>
      <c r="G28">
        <v>1040572</v>
      </c>
      <c r="H28">
        <v>1</v>
      </c>
      <c r="I28" t="s">
        <v>613</v>
      </c>
      <c r="L28">
        <v>0</v>
      </c>
      <c r="M28">
        <v>1</v>
      </c>
      <c r="N28" t="s">
        <v>462</v>
      </c>
      <c r="O28" t="s">
        <v>361</v>
      </c>
      <c r="P28" t="s">
        <v>614</v>
      </c>
      <c r="S28" t="s">
        <v>615</v>
      </c>
      <c r="T28" t="s">
        <v>364</v>
      </c>
      <c r="X28" t="s">
        <v>616</v>
      </c>
      <c r="AA28">
        <v>10928</v>
      </c>
      <c r="AB28">
        <v>8.24</v>
      </c>
      <c r="AC28" t="s">
        <v>617</v>
      </c>
      <c r="AD28">
        <v>8.98</v>
      </c>
      <c r="AE28">
        <v>9.23</v>
      </c>
      <c r="AF28" t="s">
        <v>618</v>
      </c>
      <c r="AG28">
        <v>1880</v>
      </c>
      <c r="AH28">
        <v>47</v>
      </c>
      <c r="AI28">
        <v>1880</v>
      </c>
      <c r="AK28">
        <v>30</v>
      </c>
      <c r="AL28" t="s">
        <v>613</v>
      </c>
      <c r="AN28" t="s">
        <v>619</v>
      </c>
      <c r="AQ28">
        <v>5400</v>
      </c>
      <c r="AR28" t="s">
        <v>368</v>
      </c>
      <c r="AT28" t="str">
        <f t="shared" ref="AT28:AT35" si="17">"양*석"</f>
        <v>양*석</v>
      </c>
      <c r="AU28" t="str">
        <f t="shared" ref="AU28:AU35" si="18">" 4****9"</f>
        <v xml:space="preserve"> 4****9</v>
      </c>
      <c r="AV28" t="str">
        <f t="shared" ref="AV28:AV35" si="19">"***-****-2222"</f>
        <v>***-****-2222</v>
      </c>
      <c r="AW28" t="str">
        <f t="shared" ref="AW28:AW35" si="20">" 경* 성*시 분*구 불******길 1* 백******스 1**동 2**호"</f>
        <v xml:space="preserve"> 경* 성*시 분*구 불******길 1* 백******스 1**동 2**호</v>
      </c>
      <c r="AY28" t="str">
        <f t="shared" ref="AY28:AY35" si="21">"***-****-2386"</f>
        <v>***-****-2386</v>
      </c>
      <c r="AZ28">
        <v>26882</v>
      </c>
      <c r="BA28">
        <v>1040575</v>
      </c>
      <c r="BB28">
        <v>9000</v>
      </c>
      <c r="BD28" t="s">
        <v>369</v>
      </c>
      <c r="BE28" t="str">
        <f t="shared" ref="BE28:BE35" si="22">"양*석"</f>
        <v>양*석</v>
      </c>
      <c r="BF28" t="str">
        <f t="shared" ref="BF28:BF35" si="23">"***-****-2222"</f>
        <v>***-****-2222</v>
      </c>
      <c r="BG28" t="str">
        <f t="shared" ref="BG28:BG35" si="24">"***-****-2386"</f>
        <v>***-****-2386</v>
      </c>
      <c r="BI28" t="s">
        <v>430</v>
      </c>
      <c r="BK28" t="s">
        <v>372</v>
      </c>
      <c r="BL28">
        <v>15171</v>
      </c>
      <c r="BM28" t="str">
        <f>"15171"</f>
        <v>15171</v>
      </c>
      <c r="BN28" t="str">
        <f t="shared" ref="BN28:BN35" si="25">"20180124-0000039"</f>
        <v>20180124-0000039</v>
      </c>
      <c r="BQ28" t="s">
        <v>373</v>
      </c>
      <c r="BV28" t="s">
        <v>620</v>
      </c>
      <c r="BW28" t="s">
        <v>613</v>
      </c>
      <c r="BX28" t="s">
        <v>176</v>
      </c>
      <c r="BY28">
        <v>0</v>
      </c>
      <c r="BZ28">
        <v>8809420550933</v>
      </c>
      <c r="CA28" t="s">
        <v>621</v>
      </c>
      <c r="CF28" t="s">
        <v>616</v>
      </c>
      <c r="CG28" t="s">
        <v>566</v>
      </c>
      <c r="CH28" t="s">
        <v>377</v>
      </c>
      <c r="CI28" t="s">
        <v>612</v>
      </c>
      <c r="CJ28">
        <v>5400</v>
      </c>
      <c r="CK28">
        <v>5400</v>
      </c>
      <c r="CL28" t="s">
        <v>622</v>
      </c>
      <c r="CN28">
        <v>1</v>
      </c>
      <c r="CO28">
        <v>10928</v>
      </c>
      <c r="CP28">
        <v>10928</v>
      </c>
      <c r="CQ28" t="s">
        <v>623</v>
      </c>
      <c r="CR28" t="s">
        <v>624</v>
      </c>
      <c r="CS28">
        <v>23</v>
      </c>
    </row>
    <row r="29" spans="1:97" x14ac:dyDescent="0.4">
      <c r="A29" s="10">
        <v>43125</v>
      </c>
      <c r="B29" t="s">
        <v>135</v>
      </c>
      <c r="C29" t="s">
        <v>625</v>
      </c>
      <c r="D29" t="s">
        <v>359</v>
      </c>
      <c r="F29" t="str">
        <f t="shared" si="16"/>
        <v>20180124-0000039</v>
      </c>
      <c r="G29">
        <v>1040572</v>
      </c>
      <c r="H29">
        <v>1</v>
      </c>
      <c r="I29" t="s">
        <v>626</v>
      </c>
      <c r="L29">
        <v>0</v>
      </c>
      <c r="M29">
        <v>1</v>
      </c>
      <c r="N29" t="s">
        <v>462</v>
      </c>
      <c r="O29" t="s">
        <v>361</v>
      </c>
      <c r="P29" t="s">
        <v>614</v>
      </c>
      <c r="S29" t="s">
        <v>627</v>
      </c>
      <c r="T29" t="s">
        <v>364</v>
      </c>
      <c r="X29" t="s">
        <v>626</v>
      </c>
      <c r="AA29">
        <v>7371</v>
      </c>
      <c r="AB29">
        <v>2.6</v>
      </c>
      <c r="AC29" t="s">
        <v>628</v>
      </c>
      <c r="AD29">
        <v>2.84</v>
      </c>
      <c r="AE29">
        <v>2.92</v>
      </c>
      <c r="AF29" t="s">
        <v>496</v>
      </c>
      <c r="AG29">
        <v>1880</v>
      </c>
      <c r="AH29">
        <v>15</v>
      </c>
      <c r="AI29">
        <v>1880</v>
      </c>
      <c r="AK29">
        <v>1</v>
      </c>
      <c r="AL29" t="s">
        <v>626</v>
      </c>
      <c r="AQ29">
        <v>275</v>
      </c>
      <c r="AR29" t="s">
        <v>368</v>
      </c>
      <c r="AT29" t="str">
        <f t="shared" si="17"/>
        <v>양*석</v>
      </c>
      <c r="AU29" t="str">
        <f t="shared" si="18"/>
        <v xml:space="preserve"> 4****9</v>
      </c>
      <c r="AV29" t="str">
        <f t="shared" si="19"/>
        <v>***-****-2222</v>
      </c>
      <c r="AW29" t="str">
        <f t="shared" si="20"/>
        <v xml:space="preserve"> 경* 성*시 분*구 불******길 1* 백******스 1**동 2**호</v>
      </c>
      <c r="AY29" t="str">
        <f t="shared" si="21"/>
        <v>***-****-2386</v>
      </c>
      <c r="AZ29">
        <v>2916</v>
      </c>
      <c r="BA29">
        <v>1040580</v>
      </c>
      <c r="BB29">
        <v>500</v>
      </c>
      <c r="BD29" t="s">
        <v>369</v>
      </c>
      <c r="BE29" t="str">
        <f t="shared" si="22"/>
        <v>양*석</v>
      </c>
      <c r="BF29" t="str">
        <f t="shared" si="23"/>
        <v>***-****-2222</v>
      </c>
      <c r="BG29" t="str">
        <f t="shared" si="24"/>
        <v>***-****-2386</v>
      </c>
      <c r="BI29" t="s">
        <v>430</v>
      </c>
      <c r="BK29" t="s">
        <v>372</v>
      </c>
      <c r="BL29">
        <v>12945</v>
      </c>
      <c r="BM29" t="str">
        <f>"12945"</f>
        <v>12945</v>
      </c>
      <c r="BN29" t="str">
        <f t="shared" si="25"/>
        <v>20180124-0000039</v>
      </c>
      <c r="BQ29" t="s">
        <v>373</v>
      </c>
      <c r="BV29" t="s">
        <v>629</v>
      </c>
      <c r="BW29" t="s">
        <v>626</v>
      </c>
      <c r="BX29" t="s">
        <v>135</v>
      </c>
      <c r="BY29">
        <v>0</v>
      </c>
      <c r="BZ29">
        <v>8806358594466</v>
      </c>
      <c r="CA29" t="s">
        <v>630</v>
      </c>
      <c r="CF29" t="s">
        <v>626</v>
      </c>
      <c r="CG29" t="s">
        <v>433</v>
      </c>
      <c r="CH29" t="s">
        <v>377</v>
      </c>
      <c r="CI29" t="s">
        <v>625</v>
      </c>
      <c r="CJ29">
        <v>275</v>
      </c>
      <c r="CK29">
        <v>275</v>
      </c>
      <c r="CL29" t="s">
        <v>631</v>
      </c>
      <c r="CN29">
        <v>1</v>
      </c>
      <c r="CO29">
        <v>7371</v>
      </c>
      <c r="CP29">
        <v>7371</v>
      </c>
      <c r="CQ29" t="s">
        <v>379</v>
      </c>
      <c r="CS29">
        <v>712</v>
      </c>
    </row>
    <row r="30" spans="1:97" x14ac:dyDescent="0.4">
      <c r="A30" s="10">
        <v>43125</v>
      </c>
      <c r="B30" t="s">
        <v>117</v>
      </c>
      <c r="C30" t="s">
        <v>632</v>
      </c>
      <c r="D30" t="s">
        <v>359</v>
      </c>
      <c r="F30" t="str">
        <f t="shared" si="16"/>
        <v>20180124-0000039</v>
      </c>
      <c r="G30">
        <v>1040572</v>
      </c>
      <c r="H30">
        <v>2</v>
      </c>
      <c r="I30" t="s">
        <v>633</v>
      </c>
      <c r="L30">
        <v>0</v>
      </c>
      <c r="M30">
        <v>1</v>
      </c>
      <c r="N30" t="s">
        <v>462</v>
      </c>
      <c r="O30" t="s">
        <v>361</v>
      </c>
      <c r="P30" t="s">
        <v>614</v>
      </c>
      <c r="S30" t="s">
        <v>634</v>
      </c>
      <c r="T30" t="s">
        <v>364</v>
      </c>
      <c r="X30" t="s">
        <v>633</v>
      </c>
      <c r="AA30">
        <v>30381</v>
      </c>
      <c r="AB30">
        <v>25.04</v>
      </c>
      <c r="AC30" t="s">
        <v>635</v>
      </c>
      <c r="AD30">
        <v>27.29</v>
      </c>
      <c r="AE30">
        <v>28.04</v>
      </c>
      <c r="AF30" t="s">
        <v>486</v>
      </c>
      <c r="AG30">
        <v>3770</v>
      </c>
      <c r="AK30">
        <v>124</v>
      </c>
      <c r="AL30" t="s">
        <v>633</v>
      </c>
      <c r="AQ30">
        <v>17640</v>
      </c>
      <c r="AR30" t="s">
        <v>368</v>
      </c>
      <c r="AT30" t="str">
        <f t="shared" si="17"/>
        <v>양*석</v>
      </c>
      <c r="AU30" t="str">
        <f t="shared" si="18"/>
        <v xml:space="preserve"> 4****9</v>
      </c>
      <c r="AV30" t="str">
        <f t="shared" si="19"/>
        <v>***-****-2222</v>
      </c>
      <c r="AW30" t="str">
        <f t="shared" si="20"/>
        <v xml:space="preserve"> 경* 성*시 분*구 불******길 1* 백******스 1**동 2**호</v>
      </c>
      <c r="AY30" t="str">
        <f t="shared" si="21"/>
        <v>***-****-2386</v>
      </c>
      <c r="AZ30">
        <v>8406</v>
      </c>
      <c r="BA30">
        <v>1040574</v>
      </c>
      <c r="BB30">
        <v>56000</v>
      </c>
      <c r="BD30" t="s">
        <v>369</v>
      </c>
      <c r="BE30" t="str">
        <f t="shared" si="22"/>
        <v>양*석</v>
      </c>
      <c r="BF30" t="str">
        <f t="shared" si="23"/>
        <v>***-****-2222</v>
      </c>
      <c r="BG30" t="str">
        <f t="shared" si="24"/>
        <v>***-****-2386</v>
      </c>
      <c r="BI30" t="s">
        <v>430</v>
      </c>
      <c r="BK30" t="s">
        <v>372</v>
      </c>
      <c r="BL30">
        <v>11906</v>
      </c>
      <c r="BM30" t="str">
        <f>"11906"</f>
        <v>11906</v>
      </c>
      <c r="BN30" t="str">
        <f t="shared" si="25"/>
        <v>20180124-0000039</v>
      </c>
      <c r="BQ30" t="s">
        <v>373</v>
      </c>
      <c r="BU30">
        <v>0</v>
      </c>
      <c r="BV30" t="s">
        <v>636</v>
      </c>
      <c r="BW30" t="s">
        <v>633</v>
      </c>
      <c r="BX30" t="s">
        <v>117</v>
      </c>
      <c r="BY30">
        <v>0</v>
      </c>
      <c r="BZ30">
        <v>8806173545490</v>
      </c>
      <c r="CA30" t="s">
        <v>637</v>
      </c>
      <c r="CF30" t="s">
        <v>633</v>
      </c>
      <c r="CG30" t="s">
        <v>638</v>
      </c>
      <c r="CH30" t="s">
        <v>377</v>
      </c>
      <c r="CI30" t="s">
        <v>632</v>
      </c>
      <c r="CJ30">
        <v>17640</v>
      </c>
      <c r="CK30">
        <v>35280</v>
      </c>
      <c r="CL30" t="s">
        <v>639</v>
      </c>
      <c r="CN30">
        <v>2</v>
      </c>
      <c r="CO30">
        <v>30381</v>
      </c>
      <c r="CP30">
        <v>60762</v>
      </c>
      <c r="CQ30" t="s">
        <v>379</v>
      </c>
      <c r="CS30">
        <v>3</v>
      </c>
    </row>
    <row r="31" spans="1:97" x14ac:dyDescent="0.4">
      <c r="A31" s="10">
        <v>43125</v>
      </c>
      <c r="B31" t="s">
        <v>117</v>
      </c>
      <c r="C31" t="s">
        <v>640</v>
      </c>
      <c r="D31" t="s">
        <v>359</v>
      </c>
      <c r="F31" t="str">
        <f t="shared" si="16"/>
        <v>20180124-0000039</v>
      </c>
      <c r="G31">
        <v>1040572</v>
      </c>
      <c r="H31">
        <v>2</v>
      </c>
      <c r="I31" t="s">
        <v>641</v>
      </c>
      <c r="L31">
        <v>0</v>
      </c>
      <c r="M31">
        <v>1</v>
      </c>
      <c r="N31" t="s">
        <v>462</v>
      </c>
      <c r="O31" t="s">
        <v>361</v>
      </c>
      <c r="P31" t="s">
        <v>614</v>
      </c>
      <c r="S31" t="s">
        <v>642</v>
      </c>
      <c r="T31" t="s">
        <v>364</v>
      </c>
      <c r="X31" t="s">
        <v>641</v>
      </c>
      <c r="AA31">
        <v>18998</v>
      </c>
      <c r="AB31">
        <v>14.96</v>
      </c>
      <c r="AC31" t="s">
        <v>643</v>
      </c>
      <c r="AD31">
        <v>16.309999999999999</v>
      </c>
      <c r="AE31">
        <v>16.760000000000002</v>
      </c>
      <c r="AF31" t="s">
        <v>486</v>
      </c>
      <c r="AG31">
        <v>3770</v>
      </c>
      <c r="AK31">
        <v>80</v>
      </c>
      <c r="AL31" t="s">
        <v>641</v>
      </c>
      <c r="AQ31">
        <v>8820</v>
      </c>
      <c r="AR31" t="s">
        <v>368</v>
      </c>
      <c r="AT31" t="str">
        <f t="shared" si="17"/>
        <v>양*석</v>
      </c>
      <c r="AU31" t="str">
        <f t="shared" si="18"/>
        <v xml:space="preserve"> 4****9</v>
      </c>
      <c r="AV31" t="str">
        <f t="shared" si="19"/>
        <v>***-****-2222</v>
      </c>
      <c r="AW31" t="str">
        <f t="shared" si="20"/>
        <v xml:space="preserve"> 경* 성*시 분*구 불******길 1* 백******스 1**동 2**호</v>
      </c>
      <c r="AY31" t="str">
        <f t="shared" si="21"/>
        <v>***-****-2386</v>
      </c>
      <c r="AZ31">
        <v>16989</v>
      </c>
      <c r="BA31">
        <v>1040572</v>
      </c>
      <c r="BB31">
        <v>28000</v>
      </c>
      <c r="BD31" t="s">
        <v>369</v>
      </c>
      <c r="BE31" t="str">
        <f t="shared" si="22"/>
        <v>양*석</v>
      </c>
      <c r="BF31" t="str">
        <f t="shared" si="23"/>
        <v>***-****-2222</v>
      </c>
      <c r="BG31" t="str">
        <f t="shared" si="24"/>
        <v>***-****-2386</v>
      </c>
      <c r="BI31" t="s">
        <v>430</v>
      </c>
      <c r="BK31" t="s">
        <v>372</v>
      </c>
      <c r="BL31">
        <v>18155</v>
      </c>
      <c r="BM31" t="str">
        <f>"18155"</f>
        <v>18155</v>
      </c>
      <c r="BN31" t="str">
        <f t="shared" si="25"/>
        <v>20180124-0000039</v>
      </c>
      <c r="BQ31" t="s">
        <v>373</v>
      </c>
      <c r="BU31">
        <v>0</v>
      </c>
      <c r="BV31" t="s">
        <v>644</v>
      </c>
      <c r="BW31" t="s">
        <v>641</v>
      </c>
      <c r="BX31" t="s">
        <v>117</v>
      </c>
      <c r="BY31">
        <v>0</v>
      </c>
      <c r="BZ31">
        <v>8806173590858</v>
      </c>
      <c r="CA31" t="s">
        <v>645</v>
      </c>
      <c r="CF31" t="s">
        <v>641</v>
      </c>
      <c r="CG31" t="s">
        <v>489</v>
      </c>
      <c r="CH31" t="s">
        <v>377</v>
      </c>
      <c r="CI31" t="s">
        <v>640</v>
      </c>
      <c r="CJ31">
        <v>8820</v>
      </c>
      <c r="CK31">
        <v>17640</v>
      </c>
      <c r="CL31" t="s">
        <v>646</v>
      </c>
      <c r="CN31">
        <v>2</v>
      </c>
      <c r="CO31">
        <v>18998</v>
      </c>
      <c r="CP31">
        <v>37996</v>
      </c>
      <c r="CQ31" t="s">
        <v>379</v>
      </c>
      <c r="CS31">
        <v>2</v>
      </c>
    </row>
    <row r="32" spans="1:97" x14ac:dyDescent="0.4">
      <c r="A32" s="10">
        <v>43125</v>
      </c>
      <c r="B32" t="s">
        <v>117</v>
      </c>
      <c r="C32" t="s">
        <v>647</v>
      </c>
      <c r="D32" t="s">
        <v>359</v>
      </c>
      <c r="F32" t="str">
        <f t="shared" si="16"/>
        <v>20180124-0000039</v>
      </c>
      <c r="G32">
        <v>1040572</v>
      </c>
      <c r="H32">
        <v>1</v>
      </c>
      <c r="I32" t="s">
        <v>648</v>
      </c>
      <c r="L32">
        <v>0</v>
      </c>
      <c r="M32">
        <v>1</v>
      </c>
      <c r="N32" t="s">
        <v>462</v>
      </c>
      <c r="O32" t="s">
        <v>361</v>
      </c>
      <c r="P32" t="s">
        <v>614</v>
      </c>
      <c r="S32" t="s">
        <v>649</v>
      </c>
      <c r="T32" t="s">
        <v>364</v>
      </c>
      <c r="X32" t="s">
        <v>648</v>
      </c>
      <c r="AA32">
        <v>18998</v>
      </c>
      <c r="AB32">
        <v>15.35</v>
      </c>
      <c r="AC32" t="s">
        <v>650</v>
      </c>
      <c r="AD32">
        <v>16.73</v>
      </c>
      <c r="AE32">
        <v>17.190000000000001</v>
      </c>
      <c r="AF32" t="s">
        <v>486</v>
      </c>
      <c r="AG32">
        <v>3770</v>
      </c>
      <c r="AK32">
        <v>79</v>
      </c>
      <c r="AL32" t="s">
        <v>648</v>
      </c>
      <c r="AQ32">
        <v>8820</v>
      </c>
      <c r="AR32" t="s">
        <v>368</v>
      </c>
      <c r="AT32" t="str">
        <f t="shared" si="17"/>
        <v>양*석</v>
      </c>
      <c r="AU32" t="str">
        <f t="shared" si="18"/>
        <v xml:space="preserve"> 4****9</v>
      </c>
      <c r="AV32" t="str">
        <f t="shared" si="19"/>
        <v>***-****-2222</v>
      </c>
      <c r="AW32" t="str">
        <f t="shared" si="20"/>
        <v xml:space="preserve"> 경* 성*시 분*구 불******길 1* 백******스 1**동 2**호</v>
      </c>
      <c r="AY32" t="str">
        <f t="shared" si="21"/>
        <v>***-****-2386</v>
      </c>
      <c r="AZ32">
        <v>17398</v>
      </c>
      <c r="BA32">
        <v>1040578</v>
      </c>
      <c r="BB32">
        <v>14000</v>
      </c>
      <c r="BD32" t="s">
        <v>369</v>
      </c>
      <c r="BE32" t="str">
        <f t="shared" si="22"/>
        <v>양*석</v>
      </c>
      <c r="BF32" t="str">
        <f t="shared" si="23"/>
        <v>***-****-2222</v>
      </c>
      <c r="BG32" t="str">
        <f t="shared" si="24"/>
        <v>***-****-2386</v>
      </c>
      <c r="BI32" t="s">
        <v>430</v>
      </c>
      <c r="BK32" t="s">
        <v>372</v>
      </c>
      <c r="BL32">
        <v>18182</v>
      </c>
      <c r="BM32" t="str">
        <f>"18182"</f>
        <v>18182</v>
      </c>
      <c r="BN32" t="str">
        <f t="shared" si="25"/>
        <v>20180124-0000039</v>
      </c>
      <c r="BQ32" t="s">
        <v>373</v>
      </c>
      <c r="BU32">
        <v>185</v>
      </c>
      <c r="BV32" t="s">
        <v>651</v>
      </c>
      <c r="BW32" t="s">
        <v>648</v>
      </c>
      <c r="BX32" t="s">
        <v>117</v>
      </c>
      <c r="BY32">
        <v>0</v>
      </c>
      <c r="BZ32">
        <v>8806173590834</v>
      </c>
      <c r="CA32" t="s">
        <v>652</v>
      </c>
      <c r="CF32" t="s">
        <v>648</v>
      </c>
      <c r="CG32" t="s">
        <v>489</v>
      </c>
      <c r="CH32" t="s">
        <v>377</v>
      </c>
      <c r="CI32" t="s">
        <v>647</v>
      </c>
      <c r="CJ32">
        <v>8820</v>
      </c>
      <c r="CK32">
        <v>8820</v>
      </c>
      <c r="CL32" t="s">
        <v>653</v>
      </c>
      <c r="CN32">
        <v>1</v>
      </c>
      <c r="CO32">
        <v>18998</v>
      </c>
      <c r="CP32">
        <v>18998</v>
      </c>
      <c r="CQ32" t="s">
        <v>379</v>
      </c>
      <c r="CS32">
        <v>1</v>
      </c>
    </row>
    <row r="33" spans="1:97" x14ac:dyDescent="0.4">
      <c r="A33" s="10">
        <v>43125</v>
      </c>
      <c r="B33" t="s">
        <v>117</v>
      </c>
      <c r="C33" t="s">
        <v>654</v>
      </c>
      <c r="D33" t="s">
        <v>359</v>
      </c>
      <c r="F33" t="str">
        <f t="shared" si="16"/>
        <v>20180124-0000039</v>
      </c>
      <c r="G33">
        <v>1040572</v>
      </c>
      <c r="H33">
        <v>2</v>
      </c>
      <c r="I33" t="s">
        <v>655</v>
      </c>
      <c r="L33">
        <v>0</v>
      </c>
      <c r="M33">
        <v>1</v>
      </c>
      <c r="N33" t="s">
        <v>462</v>
      </c>
      <c r="O33" t="s">
        <v>361</v>
      </c>
      <c r="P33" t="s">
        <v>614</v>
      </c>
      <c r="S33" t="s">
        <v>656</v>
      </c>
      <c r="T33" t="s">
        <v>364</v>
      </c>
      <c r="X33" t="s">
        <v>655</v>
      </c>
      <c r="AA33">
        <v>17038</v>
      </c>
      <c r="AB33">
        <v>13.28</v>
      </c>
      <c r="AC33" t="s">
        <v>657</v>
      </c>
      <c r="AD33">
        <v>14.48</v>
      </c>
      <c r="AE33">
        <v>14.87</v>
      </c>
      <c r="AF33" t="s">
        <v>486</v>
      </c>
      <c r="AG33">
        <v>3770</v>
      </c>
      <c r="AK33">
        <v>86</v>
      </c>
      <c r="AL33" t="s">
        <v>655</v>
      </c>
      <c r="AQ33">
        <v>7560</v>
      </c>
      <c r="AR33" t="s">
        <v>368</v>
      </c>
      <c r="AT33" t="str">
        <f t="shared" si="17"/>
        <v>양*석</v>
      </c>
      <c r="AU33" t="str">
        <f t="shared" si="18"/>
        <v xml:space="preserve"> 4****9</v>
      </c>
      <c r="AV33" t="str">
        <f t="shared" si="19"/>
        <v>***-****-2222</v>
      </c>
      <c r="AW33" t="str">
        <f t="shared" si="20"/>
        <v xml:space="preserve"> 경* 성*시 분*구 불******길 1* 백******스 1**동 2**호</v>
      </c>
      <c r="AY33" t="str">
        <f t="shared" si="21"/>
        <v>***-****-2386</v>
      </c>
      <c r="AZ33">
        <v>16987</v>
      </c>
      <c r="BA33">
        <v>1040579</v>
      </c>
      <c r="BB33">
        <v>24000</v>
      </c>
      <c r="BD33" t="s">
        <v>369</v>
      </c>
      <c r="BE33" t="str">
        <f t="shared" si="22"/>
        <v>양*석</v>
      </c>
      <c r="BF33" t="str">
        <f t="shared" si="23"/>
        <v>***-****-2222</v>
      </c>
      <c r="BG33" t="str">
        <f t="shared" si="24"/>
        <v>***-****-2386</v>
      </c>
      <c r="BI33" t="s">
        <v>430</v>
      </c>
      <c r="BK33" t="s">
        <v>372</v>
      </c>
      <c r="BL33">
        <v>18176</v>
      </c>
      <c r="BM33" t="str">
        <f>"18176"</f>
        <v>18176</v>
      </c>
      <c r="BN33" t="str">
        <f t="shared" si="25"/>
        <v>20180124-0000039</v>
      </c>
      <c r="BQ33" t="s">
        <v>373</v>
      </c>
      <c r="BU33">
        <v>0</v>
      </c>
      <c r="BV33" t="s">
        <v>658</v>
      </c>
      <c r="BW33" t="s">
        <v>655</v>
      </c>
      <c r="BX33" t="s">
        <v>117</v>
      </c>
      <c r="BY33">
        <v>0</v>
      </c>
      <c r="BZ33">
        <v>8806173590827</v>
      </c>
      <c r="CA33" t="s">
        <v>659</v>
      </c>
      <c r="CF33" t="s">
        <v>655</v>
      </c>
      <c r="CG33" t="s">
        <v>489</v>
      </c>
      <c r="CH33" t="s">
        <v>377</v>
      </c>
      <c r="CI33" t="s">
        <v>654</v>
      </c>
      <c r="CJ33">
        <v>7560</v>
      </c>
      <c r="CK33">
        <v>15120</v>
      </c>
      <c r="CL33" t="s">
        <v>660</v>
      </c>
      <c r="CN33">
        <v>2</v>
      </c>
      <c r="CO33">
        <v>17038</v>
      </c>
      <c r="CP33">
        <v>34076</v>
      </c>
      <c r="CQ33" t="s">
        <v>379</v>
      </c>
      <c r="CS33">
        <v>2</v>
      </c>
    </row>
    <row r="34" spans="1:97" x14ac:dyDescent="0.4">
      <c r="A34" s="10">
        <v>43125</v>
      </c>
      <c r="B34" t="s">
        <v>205</v>
      </c>
      <c r="C34" t="s">
        <v>661</v>
      </c>
      <c r="D34" t="s">
        <v>359</v>
      </c>
      <c r="F34" t="str">
        <f t="shared" si="16"/>
        <v>20180124-0000039</v>
      </c>
      <c r="G34">
        <v>1040572</v>
      </c>
      <c r="H34">
        <v>1</v>
      </c>
      <c r="I34" t="s">
        <v>662</v>
      </c>
      <c r="L34">
        <v>0</v>
      </c>
      <c r="M34">
        <v>1</v>
      </c>
      <c r="N34" t="s">
        <v>462</v>
      </c>
      <c r="O34" t="s">
        <v>361</v>
      </c>
      <c r="P34" t="s">
        <v>614</v>
      </c>
      <c r="S34" t="s">
        <v>663</v>
      </c>
      <c r="T34" t="s">
        <v>364</v>
      </c>
      <c r="X34" t="s">
        <v>664</v>
      </c>
      <c r="AA34">
        <v>37011</v>
      </c>
      <c r="AB34">
        <v>32.76</v>
      </c>
      <c r="AC34" t="s">
        <v>665</v>
      </c>
      <c r="AD34">
        <v>35.71</v>
      </c>
      <c r="AE34">
        <v>36.69</v>
      </c>
      <c r="AF34" t="s">
        <v>666</v>
      </c>
      <c r="AG34">
        <v>3770</v>
      </c>
      <c r="AK34">
        <v>162</v>
      </c>
      <c r="AL34" t="s">
        <v>662</v>
      </c>
      <c r="AN34" t="s">
        <v>667</v>
      </c>
      <c r="AQ34">
        <v>24700</v>
      </c>
      <c r="AR34" t="s">
        <v>368</v>
      </c>
      <c r="AT34" t="str">
        <f t="shared" si="17"/>
        <v>양*석</v>
      </c>
      <c r="AU34" t="str">
        <f t="shared" si="18"/>
        <v xml:space="preserve"> 4****9</v>
      </c>
      <c r="AV34" t="str">
        <f t="shared" si="19"/>
        <v>***-****-2222</v>
      </c>
      <c r="AW34" t="str">
        <f t="shared" si="20"/>
        <v xml:space="preserve"> 경* 성*시 분*구 불******길 1* 백******스 1**동 2**호</v>
      </c>
      <c r="AY34" t="str">
        <f t="shared" si="21"/>
        <v>***-****-2386</v>
      </c>
      <c r="AZ34">
        <v>29422</v>
      </c>
      <c r="BA34">
        <v>1040577</v>
      </c>
      <c r="BB34">
        <v>38000</v>
      </c>
      <c r="BD34" t="s">
        <v>369</v>
      </c>
      <c r="BE34" t="str">
        <f t="shared" si="22"/>
        <v>양*석</v>
      </c>
      <c r="BF34" t="str">
        <f t="shared" si="23"/>
        <v>***-****-2222</v>
      </c>
      <c r="BG34" t="str">
        <f t="shared" si="24"/>
        <v>***-****-2386</v>
      </c>
      <c r="BI34" t="s">
        <v>430</v>
      </c>
      <c r="BK34" t="s">
        <v>372</v>
      </c>
      <c r="BL34">
        <v>20807</v>
      </c>
      <c r="BM34" t="str">
        <f>"20807"</f>
        <v>20807</v>
      </c>
      <c r="BN34" t="str">
        <f t="shared" si="25"/>
        <v>20180124-0000039</v>
      </c>
      <c r="BQ34" t="s">
        <v>373</v>
      </c>
      <c r="BU34">
        <v>187</v>
      </c>
      <c r="BV34" t="s">
        <v>668</v>
      </c>
      <c r="BW34" t="s">
        <v>662</v>
      </c>
      <c r="BX34" t="s">
        <v>205</v>
      </c>
      <c r="BY34">
        <v>0</v>
      </c>
      <c r="BZ34">
        <v>8809516538500</v>
      </c>
      <c r="CA34" t="s">
        <v>669</v>
      </c>
      <c r="CF34" t="s">
        <v>664</v>
      </c>
      <c r="CG34" t="s">
        <v>376</v>
      </c>
      <c r="CH34" t="s">
        <v>377</v>
      </c>
      <c r="CI34" t="s">
        <v>661</v>
      </c>
      <c r="CJ34">
        <v>24700</v>
      </c>
      <c r="CK34">
        <v>24700</v>
      </c>
      <c r="CL34" t="s">
        <v>670</v>
      </c>
      <c r="CN34">
        <v>1</v>
      </c>
      <c r="CO34">
        <v>37011</v>
      </c>
      <c r="CP34">
        <v>37011</v>
      </c>
      <c r="CQ34" t="s">
        <v>379</v>
      </c>
      <c r="CS34">
        <v>1</v>
      </c>
    </row>
    <row r="35" spans="1:97" x14ac:dyDescent="0.4">
      <c r="A35" s="10">
        <v>43125</v>
      </c>
      <c r="B35" t="s">
        <v>146</v>
      </c>
      <c r="C35" t="s">
        <v>671</v>
      </c>
      <c r="D35" t="s">
        <v>359</v>
      </c>
      <c r="F35" t="str">
        <f t="shared" si="16"/>
        <v>20180124-0000039</v>
      </c>
      <c r="G35">
        <v>1040572</v>
      </c>
      <c r="H35">
        <v>1</v>
      </c>
      <c r="I35" t="s">
        <v>672</v>
      </c>
      <c r="L35">
        <v>0</v>
      </c>
      <c r="M35">
        <v>1</v>
      </c>
      <c r="N35" t="s">
        <v>462</v>
      </c>
      <c r="O35" t="s">
        <v>361</v>
      </c>
      <c r="P35" t="s">
        <v>614</v>
      </c>
      <c r="S35" t="s">
        <v>673</v>
      </c>
      <c r="T35" t="s">
        <v>364</v>
      </c>
      <c r="X35" t="s">
        <v>672</v>
      </c>
      <c r="AA35">
        <v>14098</v>
      </c>
      <c r="AB35">
        <v>9.8000000000000007</v>
      </c>
      <c r="AC35" t="s">
        <v>674</v>
      </c>
      <c r="AD35">
        <v>10.68</v>
      </c>
      <c r="AE35">
        <v>10.98</v>
      </c>
      <c r="AF35" t="s">
        <v>675</v>
      </c>
      <c r="AG35">
        <v>3770</v>
      </c>
      <c r="AK35">
        <v>95</v>
      </c>
      <c r="AL35" t="s">
        <v>672</v>
      </c>
      <c r="AN35" t="s">
        <v>676</v>
      </c>
      <c r="AQ35">
        <v>4950</v>
      </c>
      <c r="AR35" t="s">
        <v>368</v>
      </c>
      <c r="AT35" t="str">
        <f t="shared" si="17"/>
        <v>양*석</v>
      </c>
      <c r="AU35" t="str">
        <f t="shared" si="18"/>
        <v xml:space="preserve"> 4****9</v>
      </c>
      <c r="AV35" t="str">
        <f t="shared" si="19"/>
        <v>***-****-2222</v>
      </c>
      <c r="AW35" t="str">
        <f t="shared" si="20"/>
        <v xml:space="preserve"> 경* 성*시 분*구 불******길 1* 백******스 1**동 2**호</v>
      </c>
      <c r="AY35" t="str">
        <f t="shared" si="21"/>
        <v>***-****-2386</v>
      </c>
      <c r="AZ35">
        <v>28647</v>
      </c>
      <c r="BA35">
        <v>1040576</v>
      </c>
      <c r="BB35">
        <v>9000</v>
      </c>
      <c r="BD35" t="s">
        <v>369</v>
      </c>
      <c r="BE35" t="str">
        <f t="shared" si="22"/>
        <v>양*석</v>
      </c>
      <c r="BF35" t="str">
        <f t="shared" si="23"/>
        <v>***-****-2222</v>
      </c>
      <c r="BG35" t="str">
        <f t="shared" si="24"/>
        <v>***-****-2386</v>
      </c>
      <c r="BI35" t="s">
        <v>370</v>
      </c>
      <c r="BK35" t="s">
        <v>372</v>
      </c>
      <c r="BL35">
        <v>15520</v>
      </c>
      <c r="BM35" t="str">
        <f>"15520"</f>
        <v>15520</v>
      </c>
      <c r="BN35" t="str">
        <f t="shared" si="25"/>
        <v>20180124-0000039</v>
      </c>
      <c r="BQ35" t="s">
        <v>373</v>
      </c>
      <c r="BV35" t="s">
        <v>677</v>
      </c>
      <c r="BW35" t="s">
        <v>672</v>
      </c>
      <c r="BX35" t="s">
        <v>146</v>
      </c>
      <c r="BY35">
        <v>0</v>
      </c>
      <c r="BZ35">
        <v>8806164121634</v>
      </c>
      <c r="CA35" t="s">
        <v>678</v>
      </c>
      <c r="CF35" t="s">
        <v>672</v>
      </c>
      <c r="CG35" t="s">
        <v>376</v>
      </c>
      <c r="CH35" t="s">
        <v>377</v>
      </c>
      <c r="CI35" t="s">
        <v>671</v>
      </c>
      <c r="CJ35">
        <v>4950</v>
      </c>
      <c r="CK35">
        <v>4950</v>
      </c>
      <c r="CL35" t="s">
        <v>679</v>
      </c>
      <c r="CN35">
        <v>1</v>
      </c>
      <c r="CO35">
        <v>14098</v>
      </c>
      <c r="CP35">
        <v>14098</v>
      </c>
      <c r="CQ35" t="s">
        <v>379</v>
      </c>
      <c r="CS35">
        <v>0</v>
      </c>
    </row>
    <row r="36" spans="1:97" x14ac:dyDescent="0.4">
      <c r="A36" s="10">
        <v>43125</v>
      </c>
      <c r="B36" t="s">
        <v>123</v>
      </c>
      <c r="C36" t="s">
        <v>680</v>
      </c>
      <c r="D36" t="s">
        <v>359</v>
      </c>
      <c r="E36" t="s">
        <v>447</v>
      </c>
      <c r="F36" t="str">
        <f>"20180125-0000014"</f>
        <v>20180125-0000014</v>
      </c>
      <c r="G36">
        <v>1040569</v>
      </c>
      <c r="H36">
        <v>1</v>
      </c>
      <c r="I36" t="s">
        <v>681</v>
      </c>
      <c r="L36">
        <v>0</v>
      </c>
      <c r="M36">
        <v>1</v>
      </c>
      <c r="O36" t="s">
        <v>361</v>
      </c>
      <c r="P36" t="s">
        <v>362</v>
      </c>
      <c r="S36" t="s">
        <v>682</v>
      </c>
      <c r="T36" t="s">
        <v>364</v>
      </c>
      <c r="X36" t="s">
        <v>681</v>
      </c>
      <c r="AA36">
        <v>14392</v>
      </c>
      <c r="AB36">
        <v>12.72</v>
      </c>
      <c r="AC36" t="s">
        <v>683</v>
      </c>
      <c r="AD36">
        <v>13.86</v>
      </c>
      <c r="AE36">
        <v>14.25</v>
      </c>
      <c r="AF36" t="s">
        <v>684</v>
      </c>
      <c r="AG36">
        <v>3770</v>
      </c>
      <c r="AH36">
        <v>148</v>
      </c>
      <c r="AI36">
        <v>3770</v>
      </c>
      <c r="AK36">
        <v>64</v>
      </c>
      <c r="AL36" t="s">
        <v>681</v>
      </c>
      <c r="AQ36">
        <v>7140</v>
      </c>
      <c r="AR36" t="s">
        <v>368</v>
      </c>
      <c r="AS36">
        <v>613680197216</v>
      </c>
      <c r="AT36" t="str">
        <f>"조*원①"</f>
        <v>조*원①</v>
      </c>
      <c r="AU36" t="str">
        <f>" 0***4"</f>
        <v xml:space="preserve"> 0***4</v>
      </c>
      <c r="AV36" t="str">
        <f>"***-****-0110"</f>
        <v>***-****-0110</v>
      </c>
      <c r="AW36" t="str">
        <f>" 서* 강*구 양******길 5* (**) 우***빌 4* 카**4 8*"</f>
        <v xml:space="preserve"> 서* 강*구 양******길 5* (**) 우***빌 4* 카**4 8*</v>
      </c>
      <c r="AY36" t="str">
        <f>"***-****-0110"</f>
        <v>***-****-0110</v>
      </c>
      <c r="AZ36">
        <v>5393</v>
      </c>
      <c r="BA36">
        <v>1040569</v>
      </c>
      <c r="BB36">
        <v>14000</v>
      </c>
      <c r="BC36" t="s">
        <v>685</v>
      </c>
      <c r="BD36" t="s">
        <v>369</v>
      </c>
      <c r="BE36" t="str">
        <f>"조*원"</f>
        <v>조*원</v>
      </c>
      <c r="BF36" t="str">
        <f>"***-****-0110"</f>
        <v>***-****-0110</v>
      </c>
      <c r="BG36" t="str">
        <f>"***-****-0110"</f>
        <v>***-****-0110</v>
      </c>
      <c r="BH36" t="s">
        <v>453</v>
      </c>
      <c r="BI36" t="s">
        <v>454</v>
      </c>
      <c r="BJ36" t="s">
        <v>686</v>
      </c>
      <c r="BK36" t="s">
        <v>456</v>
      </c>
      <c r="BL36">
        <v>12023</v>
      </c>
      <c r="BM36" t="str">
        <f>"12023"</f>
        <v>12023</v>
      </c>
      <c r="BN36" t="str">
        <f>"20180125-0000014"</f>
        <v>20180125-0000014</v>
      </c>
      <c r="BQ36" t="s">
        <v>373</v>
      </c>
      <c r="BV36" t="s">
        <v>687</v>
      </c>
      <c r="BW36" t="s">
        <v>681</v>
      </c>
      <c r="BX36" t="s">
        <v>123</v>
      </c>
      <c r="BY36">
        <v>0</v>
      </c>
      <c r="BZ36">
        <v>8809323736366</v>
      </c>
      <c r="CA36" t="s">
        <v>688</v>
      </c>
      <c r="CF36" t="s">
        <v>681</v>
      </c>
      <c r="CG36" t="s">
        <v>433</v>
      </c>
      <c r="CH36" t="s">
        <v>377</v>
      </c>
      <c r="CI36" t="s">
        <v>680</v>
      </c>
      <c r="CJ36">
        <v>7140</v>
      </c>
      <c r="CK36">
        <v>7140</v>
      </c>
      <c r="CL36" t="s">
        <v>689</v>
      </c>
      <c r="CN36">
        <v>1</v>
      </c>
      <c r="CO36">
        <v>22232</v>
      </c>
      <c r="CP36">
        <v>22232</v>
      </c>
      <c r="CQ36" t="s">
        <v>379</v>
      </c>
      <c r="CS36">
        <v>0</v>
      </c>
    </row>
    <row r="37" spans="1:97" x14ac:dyDescent="0.4">
      <c r="A37" s="10">
        <v>43125</v>
      </c>
      <c r="B37" t="s">
        <v>117</v>
      </c>
      <c r="C37" t="s">
        <v>690</v>
      </c>
      <c r="D37" t="s">
        <v>359</v>
      </c>
      <c r="E37" t="s">
        <v>447</v>
      </c>
      <c r="F37" t="str">
        <f>"20180125-0000014"</f>
        <v>20180125-0000014</v>
      </c>
      <c r="G37">
        <v>1040569</v>
      </c>
      <c r="H37">
        <v>1</v>
      </c>
      <c r="I37" t="s">
        <v>691</v>
      </c>
      <c r="L37">
        <v>0</v>
      </c>
      <c r="M37">
        <v>1</v>
      </c>
      <c r="O37" t="s">
        <v>361</v>
      </c>
      <c r="P37" t="s">
        <v>362</v>
      </c>
      <c r="S37" t="s">
        <v>692</v>
      </c>
      <c r="T37" t="s">
        <v>364</v>
      </c>
      <c r="X37" t="s">
        <v>691</v>
      </c>
      <c r="AA37">
        <v>6534</v>
      </c>
      <c r="AB37">
        <v>4.34</v>
      </c>
      <c r="AC37" t="s">
        <v>693</v>
      </c>
      <c r="AD37">
        <v>4.7300000000000004</v>
      </c>
      <c r="AE37">
        <v>4.8600000000000003</v>
      </c>
      <c r="AF37" t="s">
        <v>694</v>
      </c>
      <c r="AG37">
        <v>1880</v>
      </c>
      <c r="AK37">
        <v>1</v>
      </c>
      <c r="AL37" t="s">
        <v>691</v>
      </c>
      <c r="AQ37">
        <v>1575</v>
      </c>
      <c r="AR37" t="s">
        <v>368</v>
      </c>
      <c r="AS37">
        <v>613680197216</v>
      </c>
      <c r="AT37" t="str">
        <f>"조*원①"</f>
        <v>조*원①</v>
      </c>
      <c r="AU37" t="str">
        <f>" 0***4"</f>
        <v xml:space="preserve"> 0***4</v>
      </c>
      <c r="AV37" t="str">
        <f>"***-****-0110"</f>
        <v>***-****-0110</v>
      </c>
      <c r="AW37" t="str">
        <f>" 서* 강*구 양******길 5* (**) 우***빌 4* 카**4 8*"</f>
        <v xml:space="preserve"> 서* 강*구 양******길 5* (**) 우***빌 4* 카**4 8*</v>
      </c>
      <c r="AY37" t="str">
        <f>"***-****-0110"</f>
        <v>***-****-0110</v>
      </c>
      <c r="AZ37">
        <v>23618</v>
      </c>
      <c r="BA37">
        <v>1040570</v>
      </c>
      <c r="BB37">
        <v>2500</v>
      </c>
      <c r="BC37" t="s">
        <v>685</v>
      </c>
      <c r="BD37" t="s">
        <v>369</v>
      </c>
      <c r="BE37" t="str">
        <f>"조*원"</f>
        <v>조*원</v>
      </c>
      <c r="BF37" t="str">
        <f>"***-****-0110"</f>
        <v>***-****-0110</v>
      </c>
      <c r="BG37" t="str">
        <f>"***-****-0110"</f>
        <v>***-****-0110</v>
      </c>
      <c r="BH37" t="s">
        <v>453</v>
      </c>
      <c r="BI37" t="s">
        <v>454</v>
      </c>
      <c r="BJ37" t="s">
        <v>695</v>
      </c>
      <c r="BK37" t="s">
        <v>456</v>
      </c>
      <c r="BL37">
        <v>19627</v>
      </c>
      <c r="BM37" t="str">
        <f>"19627"</f>
        <v>19627</v>
      </c>
      <c r="BN37" t="str">
        <f>"20180125-0000014"</f>
        <v>20180125-0000014</v>
      </c>
      <c r="BQ37" t="s">
        <v>373</v>
      </c>
      <c r="BU37">
        <v>0</v>
      </c>
      <c r="BV37" t="s">
        <v>696</v>
      </c>
      <c r="BW37" t="s">
        <v>691</v>
      </c>
      <c r="BX37" t="s">
        <v>117</v>
      </c>
      <c r="BY37">
        <v>0</v>
      </c>
      <c r="BZ37">
        <v>8806173576319</v>
      </c>
      <c r="CA37" t="s">
        <v>697</v>
      </c>
      <c r="CF37" t="s">
        <v>691</v>
      </c>
      <c r="CG37" t="s">
        <v>698</v>
      </c>
      <c r="CH37" t="s">
        <v>377</v>
      </c>
      <c r="CI37" t="s">
        <v>690</v>
      </c>
      <c r="CJ37">
        <v>1575</v>
      </c>
      <c r="CK37">
        <v>1575</v>
      </c>
      <c r="CL37" t="s">
        <v>699</v>
      </c>
      <c r="CN37">
        <v>1</v>
      </c>
      <c r="CO37">
        <v>6534</v>
      </c>
      <c r="CP37">
        <v>6534</v>
      </c>
      <c r="CQ37" t="s">
        <v>379</v>
      </c>
      <c r="CS37">
        <v>1</v>
      </c>
    </row>
    <row r="38" spans="1:97" x14ac:dyDescent="0.4">
      <c r="A38" s="10">
        <v>43125</v>
      </c>
      <c r="B38" t="s">
        <v>123</v>
      </c>
      <c r="C38" t="s">
        <v>700</v>
      </c>
      <c r="D38" t="s">
        <v>359</v>
      </c>
      <c r="F38" t="str">
        <f>"20180123-0000059"</f>
        <v>20180123-0000059</v>
      </c>
      <c r="G38">
        <v>1039952</v>
      </c>
      <c r="H38">
        <v>1</v>
      </c>
      <c r="I38" t="s">
        <v>701</v>
      </c>
      <c r="L38">
        <v>0</v>
      </c>
      <c r="M38">
        <v>1</v>
      </c>
      <c r="N38" t="s">
        <v>462</v>
      </c>
      <c r="O38" t="s">
        <v>361</v>
      </c>
      <c r="P38" t="s">
        <v>702</v>
      </c>
      <c r="S38" t="s">
        <v>703</v>
      </c>
      <c r="T38" t="s">
        <v>364</v>
      </c>
      <c r="X38" t="s">
        <v>701</v>
      </c>
      <c r="AA38">
        <v>9536</v>
      </c>
      <c r="AB38">
        <v>6.41</v>
      </c>
      <c r="AC38" t="s">
        <v>704</v>
      </c>
      <c r="AD38">
        <v>6.99</v>
      </c>
      <c r="AE38">
        <v>7.18</v>
      </c>
      <c r="AF38" t="s">
        <v>705</v>
      </c>
      <c r="AG38">
        <v>1880</v>
      </c>
      <c r="AL38" t="s">
        <v>701</v>
      </c>
      <c r="AN38" t="s">
        <v>706</v>
      </c>
      <c r="AQ38">
        <v>3468</v>
      </c>
      <c r="AR38" t="s">
        <v>368</v>
      </c>
      <c r="AT38" t="str">
        <f>"피****아②"</f>
        <v>피****아②</v>
      </c>
      <c r="AU38" t="str">
        <f t="shared" ref="AU38:AU71" si="26">" 1****0"</f>
        <v xml:space="preserve"> 1****0</v>
      </c>
      <c r="AV38" t="str">
        <f t="shared" ref="AV38:AV71" si="27">"***-****-1406"</f>
        <v>***-****-1406</v>
      </c>
      <c r="AW38" t="str">
        <f t="shared" ref="AW38:AW71" si="28">" 서* 강*구 방*동 5****5 2* 김****님"</f>
        <v xml:space="preserve"> 서* 강*구 방*동 5****5 2* 김****님</v>
      </c>
      <c r="AX38" t="str">
        <f>""</f>
        <v/>
      </c>
      <c r="AY38" t="str">
        <f t="shared" ref="AY38:AY71" si="29">"***-****-0388"</f>
        <v>***-****-0388</v>
      </c>
      <c r="AZ38">
        <v>29126</v>
      </c>
      <c r="BA38">
        <v>1039952</v>
      </c>
      <c r="BB38">
        <v>6800</v>
      </c>
      <c r="BD38" t="s">
        <v>707</v>
      </c>
      <c r="BE38" t="str">
        <f t="shared" ref="BE38:BE71" si="30">"피****아"</f>
        <v>피****아</v>
      </c>
      <c r="BF38" t="str">
        <f t="shared" ref="BF38:BF71" si="31">"***-****-6097"</f>
        <v>***-****-6097</v>
      </c>
      <c r="BG38" t="str">
        <f t="shared" ref="BG38:BG71" si="32">"***-****-7488"</f>
        <v>***-****-7488</v>
      </c>
      <c r="BI38" t="s">
        <v>370</v>
      </c>
      <c r="BJ38" t="s">
        <v>708</v>
      </c>
      <c r="BK38" t="s">
        <v>372</v>
      </c>
      <c r="BL38">
        <v>14962</v>
      </c>
      <c r="BM38" t="str">
        <f>"14962"</f>
        <v>14962</v>
      </c>
      <c r="BN38" t="str">
        <f>"20180123-0000059"</f>
        <v>20180123-0000059</v>
      </c>
      <c r="BQ38" t="s">
        <v>373</v>
      </c>
      <c r="BU38">
        <v>86</v>
      </c>
      <c r="BV38" t="s">
        <v>701</v>
      </c>
      <c r="BW38" t="s">
        <v>701</v>
      </c>
      <c r="BX38" t="s">
        <v>123</v>
      </c>
      <c r="BY38">
        <v>0</v>
      </c>
      <c r="BZ38">
        <v>8809323735802</v>
      </c>
      <c r="CA38" t="s">
        <v>709</v>
      </c>
      <c r="CF38" t="s">
        <v>701</v>
      </c>
      <c r="CG38" t="s">
        <v>458</v>
      </c>
      <c r="CH38" t="s">
        <v>377</v>
      </c>
      <c r="CI38" t="s">
        <v>700</v>
      </c>
      <c r="CJ38">
        <v>3468</v>
      </c>
      <c r="CK38">
        <v>3468</v>
      </c>
      <c r="CN38">
        <v>1</v>
      </c>
      <c r="CO38">
        <v>9536</v>
      </c>
      <c r="CP38">
        <v>9536</v>
      </c>
      <c r="CQ38" t="s">
        <v>379</v>
      </c>
      <c r="CS38">
        <v>0</v>
      </c>
    </row>
    <row r="39" spans="1:97" x14ac:dyDescent="0.4">
      <c r="A39" s="10">
        <v>43125</v>
      </c>
      <c r="B39" t="s">
        <v>107</v>
      </c>
      <c r="C39" t="s">
        <v>710</v>
      </c>
      <c r="D39" t="s">
        <v>359</v>
      </c>
      <c r="F39" t="str">
        <f>"20180124-0000013"</f>
        <v>20180124-0000013</v>
      </c>
      <c r="G39">
        <v>1039952</v>
      </c>
      <c r="H39">
        <v>1</v>
      </c>
      <c r="I39" t="s">
        <v>711</v>
      </c>
      <c r="L39">
        <v>0</v>
      </c>
      <c r="M39">
        <v>1</v>
      </c>
      <c r="N39" t="s">
        <v>462</v>
      </c>
      <c r="O39" t="s">
        <v>361</v>
      </c>
      <c r="P39" t="s">
        <v>712</v>
      </c>
      <c r="S39" t="s">
        <v>713</v>
      </c>
      <c r="T39" t="s">
        <v>364</v>
      </c>
      <c r="X39" t="s">
        <v>714</v>
      </c>
      <c r="AA39">
        <v>66248</v>
      </c>
      <c r="AB39">
        <v>61.82</v>
      </c>
      <c r="AC39" t="s">
        <v>715</v>
      </c>
      <c r="AD39">
        <v>60.31</v>
      </c>
      <c r="AE39">
        <v>61.97</v>
      </c>
      <c r="AF39" t="s">
        <v>716</v>
      </c>
      <c r="AG39">
        <v>3360</v>
      </c>
      <c r="AL39" t="s">
        <v>711</v>
      </c>
      <c r="AN39" t="s">
        <v>717</v>
      </c>
      <c r="AQ39">
        <v>47600</v>
      </c>
      <c r="AR39" t="s">
        <v>368</v>
      </c>
      <c r="AT39" t="str">
        <f>"피****아②"</f>
        <v>피****아②</v>
      </c>
      <c r="AU39" t="str">
        <f t="shared" si="26"/>
        <v xml:space="preserve"> 1****0</v>
      </c>
      <c r="AV39" t="str">
        <f t="shared" si="27"/>
        <v>***-****-1406</v>
      </c>
      <c r="AW39" t="str">
        <f t="shared" si="28"/>
        <v xml:space="preserve"> 서* 강*구 방*동 5****5 2* 김****님</v>
      </c>
      <c r="AX39" t="str">
        <f>""</f>
        <v/>
      </c>
      <c r="AY39" t="str">
        <f t="shared" si="29"/>
        <v>***-****-0388</v>
      </c>
      <c r="AZ39">
        <v>27784</v>
      </c>
      <c r="BA39">
        <v>1040599</v>
      </c>
      <c r="BB39">
        <v>68000</v>
      </c>
      <c r="BD39" t="s">
        <v>369</v>
      </c>
      <c r="BE39" t="str">
        <f t="shared" si="30"/>
        <v>피****아</v>
      </c>
      <c r="BF39" t="str">
        <f t="shared" si="31"/>
        <v>***-****-6097</v>
      </c>
      <c r="BG39" t="str">
        <f t="shared" si="32"/>
        <v>***-****-7488</v>
      </c>
      <c r="BI39" t="s">
        <v>370</v>
      </c>
      <c r="BJ39" t="s">
        <v>718</v>
      </c>
      <c r="BK39" t="s">
        <v>372</v>
      </c>
      <c r="BL39">
        <v>21264</v>
      </c>
      <c r="BM39" t="str">
        <f>"21264"</f>
        <v>21264</v>
      </c>
      <c r="BN39" t="str">
        <f>"20180124-0000013"</f>
        <v>20180124-0000013</v>
      </c>
      <c r="BQ39" t="s">
        <v>373</v>
      </c>
      <c r="BU39">
        <v>112</v>
      </c>
      <c r="BV39" t="s">
        <v>719</v>
      </c>
      <c r="BW39" t="s">
        <v>711</v>
      </c>
      <c r="BX39" t="s">
        <v>107</v>
      </c>
      <c r="BY39">
        <v>0</v>
      </c>
      <c r="BZ39">
        <v>8809539427294</v>
      </c>
      <c r="CA39" t="s">
        <v>720</v>
      </c>
      <c r="CF39" t="s">
        <v>714</v>
      </c>
      <c r="CG39" t="s">
        <v>376</v>
      </c>
      <c r="CH39" t="s">
        <v>377</v>
      </c>
      <c r="CI39" t="s">
        <v>710</v>
      </c>
      <c r="CJ39">
        <v>47600</v>
      </c>
      <c r="CK39">
        <v>47600</v>
      </c>
      <c r="CL39" t="s">
        <v>721</v>
      </c>
      <c r="CN39">
        <v>1</v>
      </c>
      <c r="CO39">
        <v>66248</v>
      </c>
      <c r="CP39">
        <v>66248</v>
      </c>
      <c r="CQ39" t="s">
        <v>379</v>
      </c>
      <c r="CS39">
        <v>0</v>
      </c>
    </row>
    <row r="40" spans="1:97" x14ac:dyDescent="0.4">
      <c r="A40" s="10">
        <v>43125</v>
      </c>
      <c r="B40" t="s">
        <v>212</v>
      </c>
      <c r="C40" t="s">
        <v>722</v>
      </c>
      <c r="D40" t="s">
        <v>359</v>
      </c>
      <c r="F40" t="str">
        <f>"20180124-0000013"</f>
        <v>20180124-0000013</v>
      </c>
      <c r="G40">
        <v>1039952</v>
      </c>
      <c r="H40">
        <v>4</v>
      </c>
      <c r="I40" t="s">
        <v>723</v>
      </c>
      <c r="L40">
        <v>0</v>
      </c>
      <c r="M40">
        <v>1</v>
      </c>
      <c r="N40" t="s">
        <v>462</v>
      </c>
      <c r="O40" t="s">
        <v>361</v>
      </c>
      <c r="P40" t="s">
        <v>712</v>
      </c>
      <c r="S40" t="s">
        <v>724</v>
      </c>
      <c r="T40" t="s">
        <v>364</v>
      </c>
      <c r="X40" t="s">
        <v>723</v>
      </c>
      <c r="AA40">
        <v>32981</v>
      </c>
      <c r="AB40">
        <v>27.73</v>
      </c>
      <c r="AC40" t="s">
        <v>725</v>
      </c>
      <c r="AD40">
        <v>30.23</v>
      </c>
      <c r="AE40">
        <v>31.06</v>
      </c>
      <c r="AF40" t="s">
        <v>726</v>
      </c>
      <c r="AG40">
        <v>3770</v>
      </c>
      <c r="AL40" t="s">
        <v>723</v>
      </c>
      <c r="AN40" t="s">
        <v>727</v>
      </c>
      <c r="AQ40">
        <v>19500</v>
      </c>
      <c r="AR40" t="s">
        <v>368</v>
      </c>
      <c r="AT40" t="str">
        <f>"피****아②"</f>
        <v>피****아②</v>
      </c>
      <c r="AU40" t="str">
        <f t="shared" si="26"/>
        <v xml:space="preserve"> 1****0</v>
      </c>
      <c r="AV40" t="str">
        <f t="shared" si="27"/>
        <v>***-****-1406</v>
      </c>
      <c r="AW40" t="str">
        <f t="shared" si="28"/>
        <v xml:space="preserve"> 서* 강*구 방*동 5****5 2* 김****님</v>
      </c>
      <c r="AX40" t="str">
        <f>""</f>
        <v/>
      </c>
      <c r="AY40" t="str">
        <f t="shared" si="29"/>
        <v>***-****-0388</v>
      </c>
      <c r="AZ40">
        <v>29431</v>
      </c>
      <c r="BA40">
        <v>1040582</v>
      </c>
      <c r="BB40">
        <v>120000</v>
      </c>
      <c r="BD40" t="s">
        <v>369</v>
      </c>
      <c r="BE40" t="str">
        <f t="shared" si="30"/>
        <v>피****아</v>
      </c>
      <c r="BF40" t="str">
        <f t="shared" si="31"/>
        <v>***-****-6097</v>
      </c>
      <c r="BG40" t="str">
        <f t="shared" si="32"/>
        <v>***-****-7488</v>
      </c>
      <c r="BI40" t="s">
        <v>370</v>
      </c>
      <c r="BJ40" t="s">
        <v>728</v>
      </c>
      <c r="BK40" t="s">
        <v>372</v>
      </c>
      <c r="BL40">
        <v>13735</v>
      </c>
      <c r="BM40" t="str">
        <f>"13735"</f>
        <v>13735</v>
      </c>
      <c r="BN40" t="str">
        <f>"20180124-0000013"</f>
        <v>20180124-0000013</v>
      </c>
      <c r="BQ40" t="s">
        <v>373</v>
      </c>
      <c r="BU40">
        <v>171</v>
      </c>
      <c r="BV40" t="s">
        <v>723</v>
      </c>
      <c r="BW40" t="s">
        <v>723</v>
      </c>
      <c r="BX40" t="s">
        <v>212</v>
      </c>
      <c r="BZ40">
        <v>8801042689893</v>
      </c>
      <c r="CA40" t="s">
        <v>729</v>
      </c>
      <c r="CF40" t="s">
        <v>723</v>
      </c>
      <c r="CG40" t="s">
        <v>730</v>
      </c>
      <c r="CH40" t="s">
        <v>377</v>
      </c>
      <c r="CI40" t="s">
        <v>722</v>
      </c>
      <c r="CJ40">
        <v>19500</v>
      </c>
      <c r="CK40">
        <v>78000</v>
      </c>
      <c r="CL40" t="s">
        <v>731</v>
      </c>
      <c r="CN40">
        <v>4</v>
      </c>
      <c r="CO40">
        <v>32981</v>
      </c>
      <c r="CP40">
        <v>131924</v>
      </c>
      <c r="CQ40" t="s">
        <v>379</v>
      </c>
      <c r="CS40">
        <v>2</v>
      </c>
    </row>
    <row r="41" spans="1:97" x14ac:dyDescent="0.4">
      <c r="A41" s="10">
        <v>43125</v>
      </c>
      <c r="B41" t="s">
        <v>107</v>
      </c>
      <c r="C41" t="s">
        <v>732</v>
      </c>
      <c r="D41" t="s">
        <v>359</v>
      </c>
      <c r="E41" t="s">
        <v>733</v>
      </c>
      <c r="F41" t="str">
        <f>"20180123-0000059"</f>
        <v>20180123-0000059</v>
      </c>
      <c r="G41">
        <v>1039907</v>
      </c>
      <c r="H41">
        <v>2</v>
      </c>
      <c r="I41" t="s">
        <v>734</v>
      </c>
      <c r="L41">
        <v>0</v>
      </c>
      <c r="M41">
        <v>1</v>
      </c>
      <c r="O41" t="s">
        <v>361</v>
      </c>
      <c r="P41" t="s">
        <v>702</v>
      </c>
      <c r="S41" t="s">
        <v>735</v>
      </c>
      <c r="T41" t="s">
        <v>364</v>
      </c>
      <c r="X41" t="s">
        <v>736</v>
      </c>
      <c r="AA41">
        <v>66248</v>
      </c>
      <c r="AB41">
        <v>61.82</v>
      </c>
      <c r="AC41" t="s">
        <v>737</v>
      </c>
      <c r="AD41">
        <v>60.31</v>
      </c>
      <c r="AE41">
        <v>61.97</v>
      </c>
      <c r="AF41" t="s">
        <v>716</v>
      </c>
      <c r="AG41">
        <v>3360</v>
      </c>
      <c r="AL41" t="s">
        <v>734</v>
      </c>
      <c r="AN41" t="s">
        <v>738</v>
      </c>
      <c r="AQ41">
        <v>47600</v>
      </c>
      <c r="AR41" t="s">
        <v>368</v>
      </c>
      <c r="AS41">
        <v>613680197205</v>
      </c>
      <c r="AT41" t="str">
        <f t="shared" ref="AT41:AT70" si="33">"피****아①"</f>
        <v>피****아①</v>
      </c>
      <c r="AU41" t="str">
        <f t="shared" si="26"/>
        <v xml:space="preserve"> 1****0</v>
      </c>
      <c r="AV41" t="str">
        <f t="shared" si="27"/>
        <v>***-****-1406</v>
      </c>
      <c r="AW41" t="str">
        <f t="shared" si="28"/>
        <v xml:space="preserve"> 서* 강*구 방*동 5****5 2* 김****님</v>
      </c>
      <c r="AX41" t="str">
        <f>""</f>
        <v/>
      </c>
      <c r="AY41" t="str">
        <f t="shared" si="29"/>
        <v>***-****-0388</v>
      </c>
      <c r="AZ41">
        <v>27785</v>
      </c>
      <c r="BA41">
        <v>1039911</v>
      </c>
      <c r="BB41">
        <v>136000</v>
      </c>
      <c r="BC41" t="s">
        <v>739</v>
      </c>
      <c r="BD41" t="s">
        <v>707</v>
      </c>
      <c r="BE41" t="str">
        <f t="shared" si="30"/>
        <v>피****아</v>
      </c>
      <c r="BF41" t="str">
        <f t="shared" si="31"/>
        <v>***-****-6097</v>
      </c>
      <c r="BG41" t="str">
        <f t="shared" si="32"/>
        <v>***-****-7488</v>
      </c>
      <c r="BH41" t="s">
        <v>453</v>
      </c>
      <c r="BI41" t="s">
        <v>454</v>
      </c>
      <c r="BJ41" t="s">
        <v>740</v>
      </c>
      <c r="BK41" t="s">
        <v>456</v>
      </c>
      <c r="BL41">
        <v>21264</v>
      </c>
      <c r="BM41" t="str">
        <f>"21264"</f>
        <v>21264</v>
      </c>
      <c r="BN41" t="str">
        <f>"20180123-0000059"</f>
        <v>20180123-0000059</v>
      </c>
      <c r="BQ41" t="s">
        <v>373</v>
      </c>
      <c r="BU41">
        <v>112</v>
      </c>
      <c r="BV41" t="s">
        <v>741</v>
      </c>
      <c r="BW41" t="s">
        <v>734</v>
      </c>
      <c r="BX41" t="s">
        <v>107</v>
      </c>
      <c r="BY41">
        <v>0</v>
      </c>
      <c r="BZ41">
        <v>8809539428048</v>
      </c>
      <c r="CA41" t="s">
        <v>742</v>
      </c>
      <c r="CF41" t="s">
        <v>736</v>
      </c>
      <c r="CG41" t="s">
        <v>376</v>
      </c>
      <c r="CH41" t="s">
        <v>377</v>
      </c>
      <c r="CI41" t="s">
        <v>732</v>
      </c>
      <c r="CJ41">
        <v>47600</v>
      </c>
      <c r="CK41">
        <v>95200</v>
      </c>
      <c r="CL41" t="s">
        <v>743</v>
      </c>
      <c r="CN41">
        <v>2</v>
      </c>
      <c r="CO41">
        <v>66248</v>
      </c>
      <c r="CP41">
        <v>132496</v>
      </c>
      <c r="CQ41" t="s">
        <v>379</v>
      </c>
      <c r="CS41">
        <v>0</v>
      </c>
    </row>
    <row r="42" spans="1:97" x14ac:dyDescent="0.4">
      <c r="A42" s="10">
        <v>43125</v>
      </c>
      <c r="B42" t="s">
        <v>107</v>
      </c>
      <c r="C42" t="s">
        <v>744</v>
      </c>
      <c r="D42" t="s">
        <v>359</v>
      </c>
      <c r="E42" t="s">
        <v>733</v>
      </c>
      <c r="F42" t="str">
        <f>"20180123-0000059"</f>
        <v>20180123-0000059</v>
      </c>
      <c r="G42">
        <v>1039907</v>
      </c>
      <c r="H42">
        <v>5</v>
      </c>
      <c r="I42" t="s">
        <v>745</v>
      </c>
      <c r="L42">
        <v>0</v>
      </c>
      <c r="M42">
        <v>1</v>
      </c>
      <c r="O42" t="s">
        <v>361</v>
      </c>
      <c r="P42" t="s">
        <v>702</v>
      </c>
      <c r="S42" t="s">
        <v>746</v>
      </c>
      <c r="T42" t="s">
        <v>364</v>
      </c>
      <c r="X42" t="s">
        <v>747</v>
      </c>
      <c r="AA42">
        <v>81718</v>
      </c>
      <c r="AB42">
        <v>77.27</v>
      </c>
      <c r="AC42" t="s">
        <v>748</v>
      </c>
      <c r="AD42">
        <v>72.67</v>
      </c>
      <c r="AE42">
        <v>74.67</v>
      </c>
      <c r="AF42" t="s">
        <v>726</v>
      </c>
      <c r="AG42">
        <v>3360</v>
      </c>
      <c r="AL42" t="s">
        <v>745</v>
      </c>
      <c r="AQ42">
        <v>59500</v>
      </c>
      <c r="AR42" t="s">
        <v>368</v>
      </c>
      <c r="AS42">
        <v>613680197205</v>
      </c>
      <c r="AT42" t="str">
        <f t="shared" si="33"/>
        <v>피****아①</v>
      </c>
      <c r="AU42" t="str">
        <f t="shared" si="26"/>
        <v xml:space="preserve"> 1****0</v>
      </c>
      <c r="AV42" t="str">
        <f t="shared" si="27"/>
        <v>***-****-1406</v>
      </c>
      <c r="AW42" t="str">
        <f t="shared" si="28"/>
        <v xml:space="preserve"> 서* 강*구 방*동 5****5 2* 김****님</v>
      </c>
      <c r="AX42" t="str">
        <f>""</f>
        <v/>
      </c>
      <c r="AY42" t="str">
        <f t="shared" si="29"/>
        <v>***-****-0388</v>
      </c>
      <c r="AZ42">
        <v>27791</v>
      </c>
      <c r="BA42">
        <v>1039910</v>
      </c>
      <c r="BB42">
        <v>425000</v>
      </c>
      <c r="BC42" t="s">
        <v>739</v>
      </c>
      <c r="BD42" t="s">
        <v>707</v>
      </c>
      <c r="BE42" t="str">
        <f t="shared" si="30"/>
        <v>피****아</v>
      </c>
      <c r="BF42" t="str">
        <f t="shared" si="31"/>
        <v>***-****-6097</v>
      </c>
      <c r="BG42" t="str">
        <f t="shared" si="32"/>
        <v>***-****-7488</v>
      </c>
      <c r="BH42" t="s">
        <v>453</v>
      </c>
      <c r="BI42" t="s">
        <v>454</v>
      </c>
      <c r="BJ42" t="s">
        <v>749</v>
      </c>
      <c r="BK42" t="s">
        <v>456</v>
      </c>
      <c r="BL42">
        <v>21254</v>
      </c>
      <c r="BM42" t="str">
        <f>"21254"</f>
        <v>21254</v>
      </c>
      <c r="BN42" t="str">
        <f>"20180123-0000059"</f>
        <v>20180123-0000059</v>
      </c>
      <c r="BQ42" t="s">
        <v>373</v>
      </c>
      <c r="BU42">
        <v>110</v>
      </c>
      <c r="BV42" t="s">
        <v>750</v>
      </c>
      <c r="BW42" t="s">
        <v>745</v>
      </c>
      <c r="BX42" t="s">
        <v>107</v>
      </c>
      <c r="BY42">
        <v>0</v>
      </c>
      <c r="BZ42">
        <v>8809559343963</v>
      </c>
      <c r="CA42" t="s">
        <v>751</v>
      </c>
      <c r="CF42" t="s">
        <v>747</v>
      </c>
      <c r="CG42" t="s">
        <v>534</v>
      </c>
      <c r="CH42" t="s">
        <v>377</v>
      </c>
      <c r="CI42" t="s">
        <v>744</v>
      </c>
      <c r="CJ42">
        <v>59500</v>
      </c>
      <c r="CK42">
        <v>297500</v>
      </c>
      <c r="CL42" t="s">
        <v>752</v>
      </c>
      <c r="CN42">
        <v>5</v>
      </c>
      <c r="CO42">
        <v>81718</v>
      </c>
      <c r="CP42">
        <v>408590</v>
      </c>
      <c r="CQ42" t="s">
        <v>379</v>
      </c>
      <c r="CS42">
        <v>0</v>
      </c>
    </row>
    <row r="43" spans="1:97" x14ac:dyDescent="0.4">
      <c r="A43" s="10">
        <v>43125</v>
      </c>
      <c r="B43" t="s">
        <v>191</v>
      </c>
      <c r="C43" t="s">
        <v>753</v>
      </c>
      <c r="D43" t="s">
        <v>359</v>
      </c>
      <c r="E43" t="s">
        <v>733</v>
      </c>
      <c r="F43" t="str">
        <f>"20180123-0000059"</f>
        <v>20180123-0000059</v>
      </c>
      <c r="G43">
        <v>1039907</v>
      </c>
      <c r="H43">
        <v>1</v>
      </c>
      <c r="I43" t="s">
        <v>754</v>
      </c>
      <c r="L43">
        <v>0</v>
      </c>
      <c r="M43">
        <v>1</v>
      </c>
      <c r="O43" t="s">
        <v>361</v>
      </c>
      <c r="P43" t="s">
        <v>702</v>
      </c>
      <c r="S43" t="s">
        <v>755</v>
      </c>
      <c r="T43" t="s">
        <v>364</v>
      </c>
      <c r="X43" t="s">
        <v>754</v>
      </c>
      <c r="AA43">
        <v>26026</v>
      </c>
      <c r="AB43">
        <v>23.71</v>
      </c>
      <c r="AC43" t="s">
        <v>756</v>
      </c>
      <c r="AD43">
        <v>25.84</v>
      </c>
      <c r="AE43">
        <v>26.55</v>
      </c>
      <c r="AF43" t="s">
        <v>486</v>
      </c>
      <c r="AG43">
        <v>3770</v>
      </c>
      <c r="AK43">
        <v>201</v>
      </c>
      <c r="AL43" t="s">
        <v>754</v>
      </c>
      <c r="AQ43">
        <v>16250</v>
      </c>
      <c r="AR43" t="s">
        <v>368</v>
      </c>
      <c r="AS43">
        <v>613680197205</v>
      </c>
      <c r="AT43" t="str">
        <f t="shared" si="33"/>
        <v>피****아①</v>
      </c>
      <c r="AU43" t="str">
        <f t="shared" si="26"/>
        <v xml:space="preserve"> 1****0</v>
      </c>
      <c r="AV43" t="str">
        <f t="shared" si="27"/>
        <v>***-****-1406</v>
      </c>
      <c r="AW43" t="str">
        <f t="shared" si="28"/>
        <v xml:space="preserve"> 서* 강*구 방*동 5****5 2* 김****님</v>
      </c>
      <c r="AX43" t="str">
        <f>""</f>
        <v/>
      </c>
      <c r="AY43" t="str">
        <f t="shared" si="29"/>
        <v>***-****-0388</v>
      </c>
      <c r="AZ43">
        <v>20871</v>
      </c>
      <c r="BA43">
        <v>1039919</v>
      </c>
      <c r="BB43">
        <v>25000</v>
      </c>
      <c r="BC43" t="s">
        <v>739</v>
      </c>
      <c r="BD43" t="s">
        <v>707</v>
      </c>
      <c r="BE43" t="str">
        <f t="shared" si="30"/>
        <v>피****아</v>
      </c>
      <c r="BF43" t="str">
        <f t="shared" si="31"/>
        <v>***-****-6097</v>
      </c>
      <c r="BG43" t="str">
        <f t="shared" si="32"/>
        <v>***-****-7488</v>
      </c>
      <c r="BH43" t="s">
        <v>453</v>
      </c>
      <c r="BI43" t="s">
        <v>454</v>
      </c>
      <c r="BJ43" t="s">
        <v>757</v>
      </c>
      <c r="BK43" t="s">
        <v>456</v>
      </c>
      <c r="BL43">
        <v>19682</v>
      </c>
      <c r="BM43" t="str">
        <f>"19682"</f>
        <v>19682</v>
      </c>
      <c r="BN43" t="str">
        <f>"20180123-0000059"</f>
        <v>20180123-0000059</v>
      </c>
      <c r="BQ43" t="s">
        <v>373</v>
      </c>
      <c r="BU43">
        <v>247</v>
      </c>
      <c r="BV43" t="s">
        <v>758</v>
      </c>
      <c r="BW43" t="s">
        <v>754</v>
      </c>
      <c r="BX43" t="s">
        <v>191</v>
      </c>
      <c r="BY43">
        <v>0</v>
      </c>
      <c r="BZ43">
        <v>8806182529276</v>
      </c>
      <c r="CA43" t="s">
        <v>759</v>
      </c>
      <c r="CF43" t="s">
        <v>754</v>
      </c>
      <c r="CG43" t="s">
        <v>534</v>
      </c>
      <c r="CH43" t="s">
        <v>377</v>
      </c>
      <c r="CI43" t="s">
        <v>753</v>
      </c>
      <c r="CJ43">
        <v>16250</v>
      </c>
      <c r="CK43">
        <v>16250</v>
      </c>
      <c r="CL43" t="s">
        <v>760</v>
      </c>
      <c r="CN43">
        <v>1</v>
      </c>
      <c r="CO43">
        <v>26026</v>
      </c>
      <c r="CP43">
        <v>26026</v>
      </c>
      <c r="CQ43" t="s">
        <v>379</v>
      </c>
      <c r="CS43">
        <v>0</v>
      </c>
    </row>
    <row r="44" spans="1:97" x14ac:dyDescent="0.4">
      <c r="A44" s="10">
        <v>43125</v>
      </c>
      <c r="B44" t="s">
        <v>191</v>
      </c>
      <c r="C44" t="s">
        <v>753</v>
      </c>
      <c r="D44" t="s">
        <v>359</v>
      </c>
      <c r="E44" t="s">
        <v>733</v>
      </c>
      <c r="F44" t="str">
        <f>"20180123-0000059"</f>
        <v>20180123-0000059</v>
      </c>
      <c r="G44">
        <v>1039907</v>
      </c>
      <c r="H44">
        <v>4</v>
      </c>
      <c r="I44" t="s">
        <v>754</v>
      </c>
      <c r="L44">
        <v>0</v>
      </c>
      <c r="M44">
        <v>1</v>
      </c>
      <c r="O44" t="s">
        <v>361</v>
      </c>
      <c r="P44" t="s">
        <v>702</v>
      </c>
      <c r="S44" t="s">
        <v>761</v>
      </c>
      <c r="T44" t="s">
        <v>364</v>
      </c>
      <c r="X44" t="s">
        <v>754</v>
      </c>
      <c r="AA44">
        <v>26026</v>
      </c>
      <c r="AB44">
        <v>23.71</v>
      </c>
      <c r="AC44" t="s">
        <v>756</v>
      </c>
      <c r="AD44">
        <v>25.84</v>
      </c>
      <c r="AE44">
        <v>26.55</v>
      </c>
      <c r="AF44" t="s">
        <v>486</v>
      </c>
      <c r="AG44">
        <v>3770</v>
      </c>
      <c r="AK44">
        <v>201</v>
      </c>
      <c r="AL44" t="s">
        <v>754</v>
      </c>
      <c r="AQ44">
        <v>16250</v>
      </c>
      <c r="AR44" t="s">
        <v>368</v>
      </c>
      <c r="AS44">
        <v>613680197205</v>
      </c>
      <c r="AT44" t="str">
        <f t="shared" si="33"/>
        <v>피****아①</v>
      </c>
      <c r="AU44" t="str">
        <f t="shared" si="26"/>
        <v xml:space="preserve"> 1****0</v>
      </c>
      <c r="AV44" t="str">
        <f t="shared" si="27"/>
        <v>***-****-1406</v>
      </c>
      <c r="AW44" t="str">
        <f t="shared" si="28"/>
        <v xml:space="preserve"> 서* 강*구 방*동 5****5 2* 김****님</v>
      </c>
      <c r="AX44" t="str">
        <f>""</f>
        <v/>
      </c>
      <c r="AY44" t="str">
        <f t="shared" si="29"/>
        <v>***-****-0388</v>
      </c>
      <c r="AZ44">
        <v>20871</v>
      </c>
      <c r="BA44">
        <v>1039908</v>
      </c>
      <c r="BB44">
        <v>100000</v>
      </c>
      <c r="BC44" t="s">
        <v>739</v>
      </c>
      <c r="BD44" t="s">
        <v>707</v>
      </c>
      <c r="BE44" t="str">
        <f t="shared" si="30"/>
        <v>피****아</v>
      </c>
      <c r="BF44" t="str">
        <f t="shared" si="31"/>
        <v>***-****-6097</v>
      </c>
      <c r="BG44" t="str">
        <f t="shared" si="32"/>
        <v>***-****-7488</v>
      </c>
      <c r="BH44" t="s">
        <v>453</v>
      </c>
      <c r="BI44" t="s">
        <v>454</v>
      </c>
      <c r="BJ44" t="s">
        <v>762</v>
      </c>
      <c r="BK44" t="s">
        <v>456</v>
      </c>
      <c r="BL44">
        <v>19695</v>
      </c>
      <c r="BM44" t="str">
        <f>"19695"</f>
        <v>19695</v>
      </c>
      <c r="BN44" t="str">
        <f>"20180123-0000059"</f>
        <v>20180123-0000059</v>
      </c>
      <c r="BQ44" t="s">
        <v>373</v>
      </c>
      <c r="BU44">
        <v>247</v>
      </c>
      <c r="BV44" t="s">
        <v>758</v>
      </c>
      <c r="BW44" t="s">
        <v>754</v>
      </c>
      <c r="BX44" t="s">
        <v>191</v>
      </c>
      <c r="BY44">
        <v>0</v>
      </c>
      <c r="BZ44">
        <v>8806182529276</v>
      </c>
      <c r="CA44" t="s">
        <v>759</v>
      </c>
      <c r="CF44" t="s">
        <v>754</v>
      </c>
      <c r="CG44" t="s">
        <v>534</v>
      </c>
      <c r="CH44" t="s">
        <v>377</v>
      </c>
      <c r="CI44" t="s">
        <v>753</v>
      </c>
      <c r="CJ44">
        <v>16250</v>
      </c>
      <c r="CK44">
        <v>65000</v>
      </c>
      <c r="CL44" t="s">
        <v>760</v>
      </c>
      <c r="CN44">
        <v>4</v>
      </c>
      <c r="CO44">
        <v>26026</v>
      </c>
      <c r="CP44">
        <v>104104</v>
      </c>
      <c r="CQ44" t="s">
        <v>379</v>
      </c>
      <c r="CS44">
        <v>0</v>
      </c>
    </row>
    <row r="45" spans="1:97" x14ac:dyDescent="0.4">
      <c r="A45" s="10">
        <v>43125</v>
      </c>
      <c r="B45" t="s">
        <v>191</v>
      </c>
      <c r="C45" t="s">
        <v>763</v>
      </c>
      <c r="D45" t="s">
        <v>359</v>
      </c>
      <c r="E45" t="s">
        <v>733</v>
      </c>
      <c r="F45" t="str">
        <f>"20180123-0000059"</f>
        <v>20180123-0000059</v>
      </c>
      <c r="G45">
        <v>1039907</v>
      </c>
      <c r="H45">
        <v>8</v>
      </c>
      <c r="I45" t="s">
        <v>764</v>
      </c>
      <c r="L45">
        <v>0</v>
      </c>
      <c r="M45">
        <v>1</v>
      </c>
      <c r="O45" t="s">
        <v>361</v>
      </c>
      <c r="P45" t="s">
        <v>702</v>
      </c>
      <c r="S45" t="s">
        <v>765</v>
      </c>
      <c r="T45" t="s">
        <v>364</v>
      </c>
      <c r="X45" t="s">
        <v>764</v>
      </c>
      <c r="AA45">
        <v>14462</v>
      </c>
      <c r="AB45">
        <v>18.34</v>
      </c>
      <c r="AC45" t="s">
        <v>766</v>
      </c>
      <c r="AD45">
        <v>19.989999999999998</v>
      </c>
      <c r="AE45">
        <v>20.54</v>
      </c>
      <c r="AF45" t="s">
        <v>572</v>
      </c>
      <c r="AG45">
        <v>6500</v>
      </c>
      <c r="AK45">
        <v>390</v>
      </c>
      <c r="AL45" t="s">
        <v>764</v>
      </c>
      <c r="AQ45">
        <v>8450</v>
      </c>
      <c r="AR45" t="s">
        <v>368</v>
      </c>
      <c r="AS45">
        <v>613680197205</v>
      </c>
      <c r="AT45" t="str">
        <f t="shared" si="33"/>
        <v>피****아①</v>
      </c>
      <c r="AU45" t="str">
        <f t="shared" si="26"/>
        <v xml:space="preserve"> 1****0</v>
      </c>
      <c r="AV45" t="str">
        <f t="shared" si="27"/>
        <v>***-****-1406</v>
      </c>
      <c r="AW45" t="str">
        <f t="shared" si="28"/>
        <v xml:space="preserve"> 서* 강*구 방*동 5****5 2* 김****님</v>
      </c>
      <c r="AX45" t="str">
        <f>""</f>
        <v/>
      </c>
      <c r="AY45" t="str">
        <f t="shared" si="29"/>
        <v>***-****-0388</v>
      </c>
      <c r="AZ45">
        <v>12761</v>
      </c>
      <c r="BA45">
        <v>1039907</v>
      </c>
      <c r="BB45">
        <v>104000</v>
      </c>
      <c r="BC45" t="s">
        <v>739</v>
      </c>
      <c r="BD45" t="s">
        <v>707</v>
      </c>
      <c r="BE45" t="str">
        <f t="shared" si="30"/>
        <v>피****아</v>
      </c>
      <c r="BF45" t="str">
        <f t="shared" si="31"/>
        <v>***-****-6097</v>
      </c>
      <c r="BG45" t="str">
        <f t="shared" si="32"/>
        <v>***-****-7488</v>
      </c>
      <c r="BH45" t="s">
        <v>453</v>
      </c>
      <c r="BI45" t="s">
        <v>454</v>
      </c>
      <c r="BJ45" t="s">
        <v>767</v>
      </c>
      <c r="BK45" t="s">
        <v>456</v>
      </c>
      <c r="BL45">
        <v>12744</v>
      </c>
      <c r="BM45" t="str">
        <f>"12744"</f>
        <v>12744</v>
      </c>
      <c r="BN45" t="str">
        <f>"20180123-0000059"</f>
        <v>20180123-0000059</v>
      </c>
      <c r="BQ45" t="s">
        <v>373</v>
      </c>
      <c r="BV45" t="s">
        <v>768</v>
      </c>
      <c r="BW45" t="s">
        <v>764</v>
      </c>
      <c r="BX45" t="s">
        <v>191</v>
      </c>
      <c r="BY45">
        <v>0</v>
      </c>
      <c r="BZ45">
        <v>8806182550836</v>
      </c>
      <c r="CA45" t="s">
        <v>769</v>
      </c>
      <c r="CF45" t="s">
        <v>764</v>
      </c>
      <c r="CG45" t="s">
        <v>770</v>
      </c>
      <c r="CH45" t="s">
        <v>377</v>
      </c>
      <c r="CI45" t="s">
        <v>763</v>
      </c>
      <c r="CJ45">
        <v>8450</v>
      </c>
      <c r="CK45">
        <v>67600</v>
      </c>
      <c r="CL45" t="s">
        <v>771</v>
      </c>
      <c r="CN45">
        <v>8</v>
      </c>
      <c r="CO45">
        <v>14462</v>
      </c>
      <c r="CP45">
        <v>115696</v>
      </c>
      <c r="CQ45" t="s">
        <v>379</v>
      </c>
      <c r="CS45">
        <v>0</v>
      </c>
    </row>
    <row r="46" spans="1:97" x14ac:dyDescent="0.4">
      <c r="A46" s="10">
        <v>43125</v>
      </c>
      <c r="B46" t="s">
        <v>107</v>
      </c>
      <c r="C46" t="s">
        <v>772</v>
      </c>
      <c r="D46" t="s">
        <v>359</v>
      </c>
      <c r="E46" t="s">
        <v>733</v>
      </c>
      <c r="F46" t="str">
        <f t="shared" ref="F46:F71" si="34">"20180124-0000013"</f>
        <v>20180124-0000013</v>
      </c>
      <c r="G46">
        <v>1039907</v>
      </c>
      <c r="H46">
        <v>1</v>
      </c>
      <c r="I46" t="s">
        <v>773</v>
      </c>
      <c r="L46">
        <v>0</v>
      </c>
      <c r="M46">
        <v>1</v>
      </c>
      <c r="O46" t="s">
        <v>361</v>
      </c>
      <c r="P46" t="s">
        <v>712</v>
      </c>
      <c r="S46" t="s">
        <v>774</v>
      </c>
      <c r="T46" t="s">
        <v>364</v>
      </c>
      <c r="X46" t="s">
        <v>775</v>
      </c>
      <c r="AA46">
        <v>64831</v>
      </c>
      <c r="AB46">
        <v>59.09</v>
      </c>
      <c r="AC46" t="s">
        <v>776</v>
      </c>
      <c r="AD46">
        <v>58.85</v>
      </c>
      <c r="AE46">
        <v>60.47</v>
      </c>
      <c r="AF46" t="s">
        <v>777</v>
      </c>
      <c r="AG46">
        <v>4370</v>
      </c>
      <c r="AL46" t="s">
        <v>773</v>
      </c>
      <c r="AN46" t="s">
        <v>717</v>
      </c>
      <c r="AQ46">
        <v>45500</v>
      </c>
      <c r="AR46" t="s">
        <v>368</v>
      </c>
      <c r="AS46">
        <v>613680197205</v>
      </c>
      <c r="AT46" t="str">
        <f t="shared" si="33"/>
        <v>피****아①</v>
      </c>
      <c r="AU46" t="str">
        <f t="shared" si="26"/>
        <v xml:space="preserve"> 1****0</v>
      </c>
      <c r="AV46" t="str">
        <f t="shared" si="27"/>
        <v>***-****-1406</v>
      </c>
      <c r="AW46" t="str">
        <f t="shared" si="28"/>
        <v xml:space="preserve"> 서* 강*구 방*동 5****5 2* 김****님</v>
      </c>
      <c r="AX46" t="str">
        <f>""</f>
        <v/>
      </c>
      <c r="AY46" t="str">
        <f t="shared" si="29"/>
        <v>***-****-0388</v>
      </c>
      <c r="AZ46">
        <v>27786</v>
      </c>
      <c r="BA46">
        <v>1040598</v>
      </c>
      <c r="BB46">
        <v>65000</v>
      </c>
      <c r="BC46" t="s">
        <v>739</v>
      </c>
      <c r="BD46" t="s">
        <v>369</v>
      </c>
      <c r="BE46" t="str">
        <f t="shared" si="30"/>
        <v>피****아</v>
      </c>
      <c r="BF46" t="str">
        <f t="shared" si="31"/>
        <v>***-****-6097</v>
      </c>
      <c r="BG46" t="str">
        <f t="shared" si="32"/>
        <v>***-****-7488</v>
      </c>
      <c r="BH46" t="s">
        <v>453</v>
      </c>
      <c r="BI46" t="s">
        <v>454</v>
      </c>
      <c r="BJ46" t="s">
        <v>778</v>
      </c>
      <c r="BK46" t="s">
        <v>456</v>
      </c>
      <c r="BL46">
        <v>21263</v>
      </c>
      <c r="BM46" t="str">
        <f>"21263"</f>
        <v>21263</v>
      </c>
      <c r="BN46" t="str">
        <f t="shared" ref="BN46:BN71" si="35">"20180124-0000013"</f>
        <v>20180124-0000013</v>
      </c>
      <c r="BQ46" t="s">
        <v>373</v>
      </c>
      <c r="BU46">
        <v>161</v>
      </c>
      <c r="BV46" t="s">
        <v>779</v>
      </c>
      <c r="BW46" t="s">
        <v>773</v>
      </c>
      <c r="BX46" t="s">
        <v>107</v>
      </c>
      <c r="BY46">
        <v>0</v>
      </c>
      <c r="BZ46">
        <v>8809539431154</v>
      </c>
      <c r="CA46" t="s">
        <v>780</v>
      </c>
      <c r="CF46" t="s">
        <v>775</v>
      </c>
      <c r="CG46" t="s">
        <v>376</v>
      </c>
      <c r="CH46" t="s">
        <v>377</v>
      </c>
      <c r="CI46" t="s">
        <v>772</v>
      </c>
      <c r="CJ46">
        <v>45500</v>
      </c>
      <c r="CK46">
        <v>45500</v>
      </c>
      <c r="CL46" t="s">
        <v>781</v>
      </c>
      <c r="CN46">
        <v>1</v>
      </c>
      <c r="CO46">
        <v>64831</v>
      </c>
      <c r="CP46">
        <v>64831</v>
      </c>
      <c r="CQ46" t="s">
        <v>379</v>
      </c>
      <c r="CS46">
        <v>0</v>
      </c>
    </row>
    <row r="47" spans="1:97" x14ac:dyDescent="0.4">
      <c r="A47" s="10">
        <v>43125</v>
      </c>
      <c r="B47" t="s">
        <v>107</v>
      </c>
      <c r="C47" t="s">
        <v>782</v>
      </c>
      <c r="D47" t="s">
        <v>359</v>
      </c>
      <c r="E47" t="s">
        <v>733</v>
      </c>
      <c r="F47" t="str">
        <f t="shared" si="34"/>
        <v>20180124-0000013</v>
      </c>
      <c r="G47">
        <v>1039907</v>
      </c>
      <c r="H47">
        <v>2</v>
      </c>
      <c r="I47" t="s">
        <v>783</v>
      </c>
      <c r="L47">
        <v>0</v>
      </c>
      <c r="M47">
        <v>1</v>
      </c>
      <c r="O47" t="s">
        <v>361</v>
      </c>
      <c r="P47" t="s">
        <v>712</v>
      </c>
      <c r="S47" t="s">
        <v>784</v>
      </c>
      <c r="T47" t="s">
        <v>364</v>
      </c>
      <c r="X47" t="s">
        <v>783</v>
      </c>
      <c r="AA47">
        <v>27924</v>
      </c>
      <c r="AB47">
        <v>26.06</v>
      </c>
      <c r="AC47" t="s">
        <v>785</v>
      </c>
      <c r="AD47">
        <v>28.4</v>
      </c>
      <c r="AE47">
        <v>29.18</v>
      </c>
      <c r="AF47" t="s">
        <v>786</v>
      </c>
      <c r="AG47">
        <v>1880</v>
      </c>
      <c r="AK47">
        <v>15</v>
      </c>
      <c r="AL47" t="s">
        <v>783</v>
      </c>
      <c r="AN47" t="s">
        <v>787</v>
      </c>
      <c r="AQ47">
        <v>19600</v>
      </c>
      <c r="AR47" t="s">
        <v>368</v>
      </c>
      <c r="AS47">
        <v>613680197205</v>
      </c>
      <c r="AT47" t="str">
        <f t="shared" si="33"/>
        <v>피****아①</v>
      </c>
      <c r="AU47" t="str">
        <f t="shared" si="26"/>
        <v xml:space="preserve"> 1****0</v>
      </c>
      <c r="AV47" t="str">
        <f t="shared" si="27"/>
        <v>***-****-1406</v>
      </c>
      <c r="AW47" t="str">
        <f t="shared" si="28"/>
        <v xml:space="preserve"> 서* 강*구 방*동 5****5 2* 김****님</v>
      </c>
      <c r="AX47" t="str">
        <f>""</f>
        <v/>
      </c>
      <c r="AY47" t="str">
        <f t="shared" si="29"/>
        <v>***-****-0388</v>
      </c>
      <c r="AZ47">
        <v>28079</v>
      </c>
      <c r="BA47">
        <v>1040596</v>
      </c>
      <c r="BB47">
        <v>56000</v>
      </c>
      <c r="BC47" t="s">
        <v>739</v>
      </c>
      <c r="BD47" t="s">
        <v>369</v>
      </c>
      <c r="BE47" t="str">
        <f t="shared" si="30"/>
        <v>피****아</v>
      </c>
      <c r="BF47" t="str">
        <f t="shared" si="31"/>
        <v>***-****-6097</v>
      </c>
      <c r="BG47" t="str">
        <f t="shared" si="32"/>
        <v>***-****-7488</v>
      </c>
      <c r="BH47" t="s">
        <v>453</v>
      </c>
      <c r="BI47" t="s">
        <v>454</v>
      </c>
      <c r="BJ47" t="s">
        <v>788</v>
      </c>
      <c r="BK47" t="s">
        <v>456</v>
      </c>
      <c r="BL47">
        <v>20296</v>
      </c>
      <c r="BM47" t="str">
        <f>"20296"</f>
        <v>20296</v>
      </c>
      <c r="BN47" t="str">
        <f t="shared" si="35"/>
        <v>20180124-0000013</v>
      </c>
      <c r="BQ47" t="s">
        <v>373</v>
      </c>
      <c r="BU47">
        <v>80</v>
      </c>
      <c r="BV47" t="s">
        <v>789</v>
      </c>
      <c r="BW47" t="s">
        <v>783</v>
      </c>
      <c r="BX47" t="s">
        <v>107</v>
      </c>
      <c r="BY47">
        <v>0</v>
      </c>
      <c r="BZ47">
        <v>8801042655904</v>
      </c>
      <c r="CA47" t="s">
        <v>790</v>
      </c>
      <c r="CF47" t="s">
        <v>783</v>
      </c>
      <c r="CG47" t="s">
        <v>458</v>
      </c>
      <c r="CH47" t="s">
        <v>377</v>
      </c>
      <c r="CI47" t="s">
        <v>782</v>
      </c>
      <c r="CJ47">
        <v>19600</v>
      </c>
      <c r="CK47">
        <v>39200</v>
      </c>
      <c r="CL47" t="s">
        <v>791</v>
      </c>
      <c r="CN47">
        <v>2</v>
      </c>
      <c r="CO47">
        <v>27924</v>
      </c>
      <c r="CP47">
        <v>55848</v>
      </c>
      <c r="CQ47" t="s">
        <v>379</v>
      </c>
      <c r="CS47">
        <v>0</v>
      </c>
    </row>
    <row r="48" spans="1:97" x14ac:dyDescent="0.4">
      <c r="A48" s="10">
        <v>43125</v>
      </c>
      <c r="B48" t="s">
        <v>107</v>
      </c>
      <c r="C48" t="s">
        <v>792</v>
      </c>
      <c r="D48" t="s">
        <v>359</v>
      </c>
      <c r="E48" t="s">
        <v>733</v>
      </c>
      <c r="F48" t="str">
        <f t="shared" si="34"/>
        <v>20180124-0000013</v>
      </c>
      <c r="G48">
        <v>1039907</v>
      </c>
      <c r="H48">
        <v>10</v>
      </c>
      <c r="I48" t="s">
        <v>793</v>
      </c>
      <c r="L48">
        <v>0</v>
      </c>
      <c r="M48">
        <v>1</v>
      </c>
      <c r="O48" t="s">
        <v>361</v>
      </c>
      <c r="P48" t="s">
        <v>712</v>
      </c>
      <c r="S48" t="s">
        <v>794</v>
      </c>
      <c r="T48" t="s">
        <v>364</v>
      </c>
      <c r="X48" t="s">
        <v>795</v>
      </c>
      <c r="AA48">
        <v>38948</v>
      </c>
      <c r="AB48">
        <v>34.61</v>
      </c>
      <c r="AC48" t="s">
        <v>796</v>
      </c>
      <c r="AD48">
        <v>37.729999999999997</v>
      </c>
      <c r="AE48">
        <v>38.770000000000003</v>
      </c>
      <c r="AF48" t="s">
        <v>486</v>
      </c>
      <c r="AG48">
        <v>3360</v>
      </c>
      <c r="AL48" t="s">
        <v>793</v>
      </c>
      <c r="AQ48">
        <v>26600</v>
      </c>
      <c r="AR48" t="s">
        <v>368</v>
      </c>
      <c r="AS48">
        <v>613680197205</v>
      </c>
      <c r="AT48" t="str">
        <f t="shared" si="33"/>
        <v>피****아①</v>
      </c>
      <c r="AU48" t="str">
        <f t="shared" si="26"/>
        <v xml:space="preserve"> 1****0</v>
      </c>
      <c r="AV48" t="str">
        <f t="shared" si="27"/>
        <v>***-****-1406</v>
      </c>
      <c r="AW48" t="str">
        <f t="shared" si="28"/>
        <v xml:space="preserve"> 서* 강*구 방*동 5****5 2* 김****님</v>
      </c>
      <c r="AX48" t="str">
        <f>""</f>
        <v/>
      </c>
      <c r="AY48" t="str">
        <f t="shared" si="29"/>
        <v>***-****-0388</v>
      </c>
      <c r="AZ48">
        <v>28112</v>
      </c>
      <c r="BA48">
        <v>1040597</v>
      </c>
      <c r="BB48">
        <v>380000</v>
      </c>
      <c r="BC48" t="s">
        <v>739</v>
      </c>
      <c r="BD48" t="s">
        <v>369</v>
      </c>
      <c r="BE48" t="str">
        <f t="shared" si="30"/>
        <v>피****아</v>
      </c>
      <c r="BF48" t="str">
        <f t="shared" si="31"/>
        <v>***-****-6097</v>
      </c>
      <c r="BG48" t="str">
        <f t="shared" si="32"/>
        <v>***-****-7488</v>
      </c>
      <c r="BH48" t="s">
        <v>453</v>
      </c>
      <c r="BI48" t="s">
        <v>454</v>
      </c>
      <c r="BJ48" t="s">
        <v>797</v>
      </c>
      <c r="BK48" t="s">
        <v>456</v>
      </c>
      <c r="BL48">
        <v>20779</v>
      </c>
      <c r="BM48" t="str">
        <f>"20779"</f>
        <v>20779</v>
      </c>
      <c r="BN48" t="str">
        <f t="shared" si="35"/>
        <v>20180124-0000013</v>
      </c>
      <c r="BQ48" t="s">
        <v>373</v>
      </c>
      <c r="BV48" t="s">
        <v>798</v>
      </c>
      <c r="BW48" t="s">
        <v>793</v>
      </c>
      <c r="BX48" t="s">
        <v>107</v>
      </c>
      <c r="BY48">
        <v>0</v>
      </c>
      <c r="BZ48">
        <v>8806390505789</v>
      </c>
      <c r="CA48" t="s">
        <v>799</v>
      </c>
      <c r="CF48" t="s">
        <v>795</v>
      </c>
      <c r="CG48" t="s">
        <v>489</v>
      </c>
      <c r="CH48" t="s">
        <v>377</v>
      </c>
      <c r="CI48" t="s">
        <v>792</v>
      </c>
      <c r="CJ48">
        <v>26600</v>
      </c>
      <c r="CK48">
        <v>266000</v>
      </c>
      <c r="CL48" t="s">
        <v>800</v>
      </c>
      <c r="CN48">
        <v>10</v>
      </c>
      <c r="CO48">
        <v>38948</v>
      </c>
      <c r="CP48">
        <v>389480</v>
      </c>
      <c r="CQ48" t="s">
        <v>379</v>
      </c>
      <c r="CS48">
        <v>12</v>
      </c>
    </row>
    <row r="49" spans="1:97" x14ac:dyDescent="0.4">
      <c r="A49" s="10">
        <v>43125</v>
      </c>
      <c r="B49" t="s">
        <v>176</v>
      </c>
      <c r="C49" t="s">
        <v>801</v>
      </c>
      <c r="D49" t="s">
        <v>359</v>
      </c>
      <c r="E49" t="s">
        <v>733</v>
      </c>
      <c r="F49" t="str">
        <f t="shared" si="34"/>
        <v>20180124-0000013</v>
      </c>
      <c r="G49">
        <v>1039907</v>
      </c>
      <c r="H49">
        <v>1</v>
      </c>
      <c r="I49" t="s">
        <v>802</v>
      </c>
      <c r="L49">
        <v>0</v>
      </c>
      <c r="M49">
        <v>1</v>
      </c>
      <c r="O49" t="s">
        <v>361</v>
      </c>
      <c r="P49" t="s">
        <v>712</v>
      </c>
      <c r="S49" t="s">
        <v>803</v>
      </c>
      <c r="T49" t="s">
        <v>364</v>
      </c>
      <c r="X49" t="s">
        <v>802</v>
      </c>
      <c r="AA49">
        <v>11840</v>
      </c>
      <c r="AB49">
        <v>11.2</v>
      </c>
      <c r="AC49" t="s">
        <v>804</v>
      </c>
      <c r="AD49">
        <v>12.21</v>
      </c>
      <c r="AE49">
        <v>12.54</v>
      </c>
      <c r="AF49" t="s">
        <v>805</v>
      </c>
      <c r="AG49">
        <v>3770</v>
      </c>
      <c r="AH49">
        <v>149</v>
      </c>
      <c r="AI49">
        <v>3770</v>
      </c>
      <c r="AK49">
        <v>73</v>
      </c>
      <c r="AL49" t="s">
        <v>802</v>
      </c>
      <c r="AN49" t="s">
        <v>806</v>
      </c>
      <c r="AQ49">
        <v>7200</v>
      </c>
      <c r="AR49" t="s">
        <v>368</v>
      </c>
      <c r="AS49">
        <v>613680197205</v>
      </c>
      <c r="AT49" t="str">
        <f t="shared" si="33"/>
        <v>피****아①</v>
      </c>
      <c r="AU49" t="str">
        <f t="shared" si="26"/>
        <v xml:space="preserve"> 1****0</v>
      </c>
      <c r="AV49" t="str">
        <f t="shared" si="27"/>
        <v>***-****-1406</v>
      </c>
      <c r="AW49" t="str">
        <f t="shared" si="28"/>
        <v xml:space="preserve"> 서* 강*구 방*동 5****5 2* 김****님</v>
      </c>
      <c r="AX49" t="str">
        <f>""</f>
        <v/>
      </c>
      <c r="AY49" t="str">
        <f t="shared" si="29"/>
        <v>***-****-0388</v>
      </c>
      <c r="AZ49">
        <v>29171</v>
      </c>
      <c r="BA49">
        <v>1040601</v>
      </c>
      <c r="BB49">
        <v>12000</v>
      </c>
      <c r="BC49" t="s">
        <v>739</v>
      </c>
      <c r="BD49" t="s">
        <v>369</v>
      </c>
      <c r="BE49" t="str">
        <f t="shared" si="30"/>
        <v>피****아</v>
      </c>
      <c r="BF49" t="str">
        <f t="shared" si="31"/>
        <v>***-****-6097</v>
      </c>
      <c r="BG49" t="str">
        <f t="shared" si="32"/>
        <v>***-****-7488</v>
      </c>
      <c r="BH49" t="s">
        <v>453</v>
      </c>
      <c r="BI49" t="s">
        <v>454</v>
      </c>
      <c r="BJ49" t="s">
        <v>807</v>
      </c>
      <c r="BK49" t="s">
        <v>456</v>
      </c>
      <c r="BL49">
        <v>19112</v>
      </c>
      <c r="BM49" t="str">
        <f>"19112"</f>
        <v>19112</v>
      </c>
      <c r="BN49" t="str">
        <f t="shared" si="35"/>
        <v>20180124-0000013</v>
      </c>
      <c r="BQ49" t="s">
        <v>373</v>
      </c>
      <c r="BV49" t="s">
        <v>808</v>
      </c>
      <c r="BW49" t="s">
        <v>802</v>
      </c>
      <c r="BX49" t="s">
        <v>176</v>
      </c>
      <c r="BY49">
        <v>0</v>
      </c>
      <c r="BZ49">
        <v>8809420562691</v>
      </c>
      <c r="CA49" t="s">
        <v>809</v>
      </c>
      <c r="CF49" t="s">
        <v>802</v>
      </c>
      <c r="CG49" t="s">
        <v>376</v>
      </c>
      <c r="CH49" t="s">
        <v>377</v>
      </c>
      <c r="CI49" t="s">
        <v>801</v>
      </c>
      <c r="CJ49">
        <v>7200</v>
      </c>
      <c r="CK49">
        <v>7200</v>
      </c>
      <c r="CL49" t="s">
        <v>810</v>
      </c>
      <c r="CN49">
        <v>1</v>
      </c>
      <c r="CO49">
        <v>11840</v>
      </c>
      <c r="CP49">
        <v>11840</v>
      </c>
      <c r="CQ49" t="s">
        <v>379</v>
      </c>
      <c r="CS49">
        <v>10</v>
      </c>
    </row>
    <row r="50" spans="1:97" x14ac:dyDescent="0.4">
      <c r="A50" s="10">
        <v>43125</v>
      </c>
      <c r="B50" t="s">
        <v>135</v>
      </c>
      <c r="C50" t="s">
        <v>811</v>
      </c>
      <c r="D50" t="s">
        <v>359</v>
      </c>
      <c r="E50" t="s">
        <v>733</v>
      </c>
      <c r="F50" t="str">
        <f t="shared" si="34"/>
        <v>20180124-0000013</v>
      </c>
      <c r="G50">
        <v>1039907</v>
      </c>
      <c r="H50">
        <v>12</v>
      </c>
      <c r="I50" t="s">
        <v>812</v>
      </c>
      <c r="L50">
        <v>0</v>
      </c>
      <c r="M50">
        <v>1</v>
      </c>
      <c r="O50" t="s">
        <v>361</v>
      </c>
      <c r="P50" t="s">
        <v>712</v>
      </c>
      <c r="S50" t="s">
        <v>813</v>
      </c>
      <c r="T50" t="s">
        <v>364</v>
      </c>
      <c r="X50" t="s">
        <v>812</v>
      </c>
      <c r="AA50">
        <v>10288</v>
      </c>
      <c r="AB50">
        <v>7.97</v>
      </c>
      <c r="AC50" t="s">
        <v>814</v>
      </c>
      <c r="AD50">
        <v>8.68</v>
      </c>
      <c r="AE50">
        <v>8.92</v>
      </c>
      <c r="AF50" t="s">
        <v>815</v>
      </c>
      <c r="AG50">
        <v>3770</v>
      </c>
      <c r="AH50">
        <v>409</v>
      </c>
      <c r="AI50">
        <v>6500</v>
      </c>
      <c r="AK50">
        <v>92</v>
      </c>
      <c r="AL50" t="s">
        <v>812</v>
      </c>
      <c r="AQ50">
        <v>3575</v>
      </c>
      <c r="AR50" t="s">
        <v>368</v>
      </c>
      <c r="AS50">
        <v>613680197205</v>
      </c>
      <c r="AT50" t="str">
        <f t="shared" si="33"/>
        <v>피****아①</v>
      </c>
      <c r="AU50" t="str">
        <f t="shared" si="26"/>
        <v xml:space="preserve"> 1****0</v>
      </c>
      <c r="AV50" t="str">
        <f t="shared" si="27"/>
        <v>***-****-1406</v>
      </c>
      <c r="AW50" t="str">
        <f t="shared" si="28"/>
        <v xml:space="preserve"> 서* 강*구 방*동 5****5 2* 김****님</v>
      </c>
      <c r="AX50" t="str">
        <f>""</f>
        <v/>
      </c>
      <c r="AY50" t="str">
        <f t="shared" si="29"/>
        <v>***-****-0388</v>
      </c>
      <c r="AZ50">
        <v>6256</v>
      </c>
      <c r="BA50">
        <v>1040613</v>
      </c>
      <c r="BB50">
        <v>97500</v>
      </c>
      <c r="BC50" t="s">
        <v>739</v>
      </c>
      <c r="BD50" t="s">
        <v>369</v>
      </c>
      <c r="BE50" t="str">
        <f t="shared" si="30"/>
        <v>피****아</v>
      </c>
      <c r="BF50" t="str">
        <f t="shared" si="31"/>
        <v>***-****-6097</v>
      </c>
      <c r="BG50" t="str">
        <f t="shared" si="32"/>
        <v>***-****-7488</v>
      </c>
      <c r="BH50" t="s">
        <v>453</v>
      </c>
      <c r="BI50" t="s">
        <v>454</v>
      </c>
      <c r="BJ50" t="s">
        <v>816</v>
      </c>
      <c r="BK50" t="s">
        <v>456</v>
      </c>
      <c r="BL50">
        <v>13058</v>
      </c>
      <c r="BM50" t="str">
        <f>"13058"</f>
        <v>13058</v>
      </c>
      <c r="BN50" t="str">
        <f t="shared" si="35"/>
        <v>20180124-0000013</v>
      </c>
      <c r="BQ50" t="s">
        <v>373</v>
      </c>
      <c r="BV50" t="s">
        <v>817</v>
      </c>
      <c r="BW50" t="s">
        <v>812</v>
      </c>
      <c r="BX50" t="s">
        <v>135</v>
      </c>
      <c r="BY50">
        <v>0</v>
      </c>
      <c r="BZ50">
        <v>8806358517458</v>
      </c>
      <c r="CA50" t="s">
        <v>818</v>
      </c>
      <c r="CF50" t="s">
        <v>812</v>
      </c>
      <c r="CG50" t="s">
        <v>610</v>
      </c>
      <c r="CH50" t="s">
        <v>377</v>
      </c>
      <c r="CI50" t="s">
        <v>811</v>
      </c>
      <c r="CJ50">
        <v>3575</v>
      </c>
      <c r="CK50">
        <v>42900</v>
      </c>
      <c r="CL50" t="s">
        <v>819</v>
      </c>
      <c r="CN50">
        <v>12</v>
      </c>
      <c r="CO50">
        <v>10288</v>
      </c>
      <c r="CP50">
        <v>123456</v>
      </c>
      <c r="CQ50" t="s">
        <v>820</v>
      </c>
      <c r="CR50" t="s">
        <v>821</v>
      </c>
      <c r="CS50">
        <v>1</v>
      </c>
    </row>
    <row r="51" spans="1:97" x14ac:dyDescent="0.4">
      <c r="A51" s="10">
        <v>43125</v>
      </c>
      <c r="B51" t="s">
        <v>135</v>
      </c>
      <c r="C51" t="s">
        <v>822</v>
      </c>
      <c r="D51" t="s">
        <v>359</v>
      </c>
      <c r="E51" t="s">
        <v>733</v>
      </c>
      <c r="F51" t="str">
        <f t="shared" si="34"/>
        <v>20180124-0000013</v>
      </c>
      <c r="G51">
        <v>1039907</v>
      </c>
      <c r="H51">
        <v>2</v>
      </c>
      <c r="I51" t="s">
        <v>823</v>
      </c>
      <c r="L51">
        <v>0</v>
      </c>
      <c r="M51">
        <v>1</v>
      </c>
      <c r="O51" t="s">
        <v>361</v>
      </c>
      <c r="P51" t="s">
        <v>712</v>
      </c>
      <c r="S51" t="s">
        <v>824</v>
      </c>
      <c r="T51" t="s">
        <v>364</v>
      </c>
      <c r="X51" t="s">
        <v>823</v>
      </c>
      <c r="AA51">
        <v>12416</v>
      </c>
      <c r="AB51">
        <v>9.42</v>
      </c>
      <c r="AC51" t="s">
        <v>825</v>
      </c>
      <c r="AD51">
        <v>10.27</v>
      </c>
      <c r="AE51">
        <v>10.56</v>
      </c>
      <c r="AF51" t="s">
        <v>826</v>
      </c>
      <c r="AG51">
        <v>1880</v>
      </c>
      <c r="AK51">
        <v>28</v>
      </c>
      <c r="AL51" t="s">
        <v>823</v>
      </c>
      <c r="AN51" t="s">
        <v>827</v>
      </c>
      <c r="AQ51">
        <v>5390</v>
      </c>
      <c r="AR51" t="s">
        <v>368</v>
      </c>
      <c r="AS51">
        <v>613680197205</v>
      </c>
      <c r="AT51" t="str">
        <f t="shared" si="33"/>
        <v>피****아①</v>
      </c>
      <c r="AU51" t="str">
        <f t="shared" si="26"/>
        <v xml:space="preserve"> 1****0</v>
      </c>
      <c r="AV51" t="str">
        <f t="shared" si="27"/>
        <v>***-****-1406</v>
      </c>
      <c r="AW51" t="str">
        <f t="shared" si="28"/>
        <v xml:space="preserve"> 서* 강*구 방*동 5****5 2* 김****님</v>
      </c>
      <c r="AX51" t="str">
        <f>""</f>
        <v/>
      </c>
      <c r="AY51" t="str">
        <f t="shared" si="29"/>
        <v>***-****-0388</v>
      </c>
      <c r="AZ51">
        <v>27946</v>
      </c>
      <c r="BA51">
        <v>1040609</v>
      </c>
      <c r="BB51">
        <v>19600</v>
      </c>
      <c r="BC51" t="s">
        <v>739</v>
      </c>
      <c r="BD51" t="s">
        <v>369</v>
      </c>
      <c r="BE51" t="str">
        <f t="shared" si="30"/>
        <v>피****아</v>
      </c>
      <c r="BF51" t="str">
        <f t="shared" si="31"/>
        <v>***-****-6097</v>
      </c>
      <c r="BG51" t="str">
        <f t="shared" si="32"/>
        <v>***-****-7488</v>
      </c>
      <c r="BH51" t="s">
        <v>453</v>
      </c>
      <c r="BI51" t="s">
        <v>454</v>
      </c>
      <c r="BJ51" t="s">
        <v>828</v>
      </c>
      <c r="BK51" t="s">
        <v>456</v>
      </c>
      <c r="BL51">
        <v>18326</v>
      </c>
      <c r="BM51" t="str">
        <f>"18326"</f>
        <v>18326</v>
      </c>
      <c r="BN51" t="str">
        <f t="shared" si="35"/>
        <v>20180124-0000013</v>
      </c>
      <c r="BQ51" t="s">
        <v>373</v>
      </c>
      <c r="BV51" t="s">
        <v>829</v>
      </c>
      <c r="BW51" t="s">
        <v>823</v>
      </c>
      <c r="BX51" t="s">
        <v>135</v>
      </c>
      <c r="BY51">
        <v>0</v>
      </c>
      <c r="BZ51">
        <v>8806358560997</v>
      </c>
      <c r="CA51" t="s">
        <v>830</v>
      </c>
      <c r="CF51" t="s">
        <v>823</v>
      </c>
      <c r="CG51" t="s">
        <v>831</v>
      </c>
      <c r="CH51" t="s">
        <v>377</v>
      </c>
      <c r="CI51" t="s">
        <v>822</v>
      </c>
      <c r="CJ51">
        <v>5390</v>
      </c>
      <c r="CK51">
        <v>10780</v>
      </c>
      <c r="CL51" t="s">
        <v>832</v>
      </c>
      <c r="CN51">
        <v>2</v>
      </c>
      <c r="CO51">
        <v>12416</v>
      </c>
      <c r="CP51">
        <v>24832</v>
      </c>
      <c r="CQ51" t="s">
        <v>379</v>
      </c>
      <c r="CS51">
        <v>0</v>
      </c>
    </row>
    <row r="52" spans="1:97" x14ac:dyDescent="0.4">
      <c r="A52" s="10">
        <v>43125</v>
      </c>
      <c r="B52" t="s">
        <v>123</v>
      </c>
      <c r="C52" t="s">
        <v>833</v>
      </c>
      <c r="D52" t="s">
        <v>359</v>
      </c>
      <c r="E52" t="s">
        <v>733</v>
      </c>
      <c r="F52" t="str">
        <f t="shared" si="34"/>
        <v>20180124-0000013</v>
      </c>
      <c r="G52">
        <v>1039907</v>
      </c>
      <c r="H52">
        <v>1</v>
      </c>
      <c r="I52" t="s">
        <v>834</v>
      </c>
      <c r="L52">
        <v>0</v>
      </c>
      <c r="M52">
        <v>1</v>
      </c>
      <c r="O52" t="s">
        <v>361</v>
      </c>
      <c r="P52" t="s">
        <v>712</v>
      </c>
      <c r="S52" t="s">
        <v>835</v>
      </c>
      <c r="T52" t="s">
        <v>364</v>
      </c>
      <c r="X52" t="s">
        <v>834</v>
      </c>
      <c r="AA52">
        <v>9536</v>
      </c>
      <c r="AB52">
        <v>6.41</v>
      </c>
      <c r="AC52" t="s">
        <v>836</v>
      </c>
      <c r="AD52">
        <v>6.99</v>
      </c>
      <c r="AE52">
        <v>7.18</v>
      </c>
      <c r="AF52" t="s">
        <v>705</v>
      </c>
      <c r="AG52">
        <v>1880</v>
      </c>
      <c r="AL52" t="s">
        <v>834</v>
      </c>
      <c r="AN52" t="s">
        <v>837</v>
      </c>
      <c r="AQ52">
        <v>3468</v>
      </c>
      <c r="AR52" t="s">
        <v>368</v>
      </c>
      <c r="AS52">
        <v>613680197205</v>
      </c>
      <c r="AT52" t="str">
        <f t="shared" si="33"/>
        <v>피****아①</v>
      </c>
      <c r="AU52" t="str">
        <f t="shared" si="26"/>
        <v xml:space="preserve"> 1****0</v>
      </c>
      <c r="AV52" t="str">
        <f t="shared" si="27"/>
        <v>***-****-1406</v>
      </c>
      <c r="AW52" t="str">
        <f t="shared" si="28"/>
        <v xml:space="preserve"> 서* 강*구 방*동 5****5 2* 김****님</v>
      </c>
      <c r="AX52" t="str">
        <f>""</f>
        <v/>
      </c>
      <c r="AY52" t="str">
        <f t="shared" si="29"/>
        <v>***-****-0388</v>
      </c>
      <c r="AZ52">
        <v>28249</v>
      </c>
      <c r="BA52">
        <v>1040600</v>
      </c>
      <c r="BB52">
        <v>6800</v>
      </c>
      <c r="BC52" t="s">
        <v>739</v>
      </c>
      <c r="BD52" t="s">
        <v>369</v>
      </c>
      <c r="BE52" t="str">
        <f t="shared" si="30"/>
        <v>피****아</v>
      </c>
      <c r="BF52" t="str">
        <f t="shared" si="31"/>
        <v>***-****-6097</v>
      </c>
      <c r="BG52" t="str">
        <f t="shared" si="32"/>
        <v>***-****-7488</v>
      </c>
      <c r="BH52" t="s">
        <v>453</v>
      </c>
      <c r="BI52" t="s">
        <v>454</v>
      </c>
      <c r="BJ52" t="s">
        <v>838</v>
      </c>
      <c r="BK52" t="s">
        <v>456</v>
      </c>
      <c r="BL52">
        <v>14962</v>
      </c>
      <c r="BM52" t="str">
        <f>"14962"</f>
        <v>14962</v>
      </c>
      <c r="BN52" t="str">
        <f t="shared" si="35"/>
        <v>20180124-0000013</v>
      </c>
      <c r="BQ52" t="s">
        <v>373</v>
      </c>
      <c r="BU52">
        <v>86</v>
      </c>
      <c r="BV52" t="s">
        <v>834</v>
      </c>
      <c r="BW52" t="s">
        <v>834</v>
      </c>
      <c r="BX52" t="s">
        <v>123</v>
      </c>
      <c r="BY52">
        <v>0</v>
      </c>
      <c r="BZ52">
        <v>8809323735772</v>
      </c>
      <c r="CA52" t="s">
        <v>839</v>
      </c>
      <c r="CF52" t="s">
        <v>834</v>
      </c>
      <c r="CG52" t="s">
        <v>458</v>
      </c>
      <c r="CH52" t="s">
        <v>377</v>
      </c>
      <c r="CI52" t="s">
        <v>833</v>
      </c>
      <c r="CJ52">
        <v>3468</v>
      </c>
      <c r="CK52">
        <v>3468</v>
      </c>
      <c r="CL52" t="s">
        <v>840</v>
      </c>
      <c r="CN52">
        <v>1</v>
      </c>
      <c r="CO52">
        <v>9536</v>
      </c>
      <c r="CP52">
        <v>9536</v>
      </c>
      <c r="CQ52" t="s">
        <v>379</v>
      </c>
      <c r="CS52">
        <v>0</v>
      </c>
    </row>
    <row r="53" spans="1:97" x14ac:dyDescent="0.4">
      <c r="A53" s="10">
        <v>43125</v>
      </c>
      <c r="B53" t="s">
        <v>210</v>
      </c>
      <c r="C53" t="s">
        <v>841</v>
      </c>
      <c r="D53" t="s">
        <v>359</v>
      </c>
      <c r="E53" t="s">
        <v>733</v>
      </c>
      <c r="F53" t="str">
        <f t="shared" si="34"/>
        <v>20180124-0000013</v>
      </c>
      <c r="G53">
        <v>1039907</v>
      </c>
      <c r="H53">
        <v>1</v>
      </c>
      <c r="I53" t="s">
        <v>842</v>
      </c>
      <c r="L53">
        <v>0</v>
      </c>
      <c r="M53">
        <v>1</v>
      </c>
      <c r="O53" t="s">
        <v>361</v>
      </c>
      <c r="P53" t="s">
        <v>712</v>
      </c>
      <c r="S53" t="s">
        <v>843</v>
      </c>
      <c r="T53" t="s">
        <v>364</v>
      </c>
      <c r="X53" t="s">
        <v>842</v>
      </c>
      <c r="AA53">
        <v>19012</v>
      </c>
      <c r="AB53">
        <v>16.72</v>
      </c>
      <c r="AC53" t="s">
        <v>844</v>
      </c>
      <c r="AD53">
        <v>18.23</v>
      </c>
      <c r="AE53">
        <v>18.73</v>
      </c>
      <c r="AF53" t="s">
        <v>845</v>
      </c>
      <c r="AG53">
        <v>1880</v>
      </c>
      <c r="AK53">
        <v>27</v>
      </c>
      <c r="AL53" t="s">
        <v>842</v>
      </c>
      <c r="AN53" t="s">
        <v>846</v>
      </c>
      <c r="AQ53">
        <v>11700</v>
      </c>
      <c r="AR53" t="s">
        <v>368</v>
      </c>
      <c r="AS53">
        <v>613680197205</v>
      </c>
      <c r="AT53" t="str">
        <f t="shared" si="33"/>
        <v>피****아①</v>
      </c>
      <c r="AU53" t="str">
        <f t="shared" si="26"/>
        <v xml:space="preserve"> 1****0</v>
      </c>
      <c r="AV53" t="str">
        <f t="shared" si="27"/>
        <v>***-****-1406</v>
      </c>
      <c r="AW53" t="str">
        <f t="shared" si="28"/>
        <v xml:space="preserve"> 서* 강*구 방*동 5****5 2* 김****님</v>
      </c>
      <c r="AX53" t="str">
        <f>""</f>
        <v/>
      </c>
      <c r="AY53" t="str">
        <f t="shared" si="29"/>
        <v>***-****-0388</v>
      </c>
      <c r="AZ53">
        <v>29115</v>
      </c>
      <c r="BA53">
        <v>1040583</v>
      </c>
      <c r="BB53">
        <v>18000</v>
      </c>
      <c r="BC53" t="s">
        <v>739</v>
      </c>
      <c r="BD53" t="s">
        <v>369</v>
      </c>
      <c r="BE53" t="str">
        <f t="shared" si="30"/>
        <v>피****아</v>
      </c>
      <c r="BF53" t="str">
        <f t="shared" si="31"/>
        <v>***-****-6097</v>
      </c>
      <c r="BG53" t="str">
        <f t="shared" si="32"/>
        <v>***-****-7488</v>
      </c>
      <c r="BH53" t="s">
        <v>453</v>
      </c>
      <c r="BI53" t="s">
        <v>454</v>
      </c>
      <c r="BJ53" t="s">
        <v>847</v>
      </c>
      <c r="BK53" t="s">
        <v>456</v>
      </c>
      <c r="BL53">
        <v>19267</v>
      </c>
      <c r="BM53" t="str">
        <f>"19267"</f>
        <v>19267</v>
      </c>
      <c r="BN53" t="str">
        <f t="shared" si="35"/>
        <v>20180124-0000013</v>
      </c>
      <c r="BQ53" t="s">
        <v>373</v>
      </c>
      <c r="BV53" t="s">
        <v>848</v>
      </c>
      <c r="BW53" t="s">
        <v>842</v>
      </c>
      <c r="BX53" t="s">
        <v>210</v>
      </c>
      <c r="BY53">
        <v>0</v>
      </c>
      <c r="BZ53">
        <v>8801042677944</v>
      </c>
      <c r="CA53" t="s">
        <v>849</v>
      </c>
      <c r="CF53" t="s">
        <v>842</v>
      </c>
      <c r="CG53" t="s">
        <v>458</v>
      </c>
      <c r="CH53" t="s">
        <v>377</v>
      </c>
      <c r="CI53" t="s">
        <v>841</v>
      </c>
      <c r="CJ53">
        <v>11700</v>
      </c>
      <c r="CK53">
        <v>11700</v>
      </c>
      <c r="CL53" t="s">
        <v>850</v>
      </c>
      <c r="CN53">
        <v>1</v>
      </c>
      <c r="CO53">
        <v>19012</v>
      </c>
      <c r="CP53">
        <v>19012</v>
      </c>
      <c r="CQ53" t="s">
        <v>379</v>
      </c>
      <c r="CS53">
        <v>0</v>
      </c>
    </row>
    <row r="54" spans="1:97" x14ac:dyDescent="0.4">
      <c r="A54" s="10">
        <v>43125</v>
      </c>
      <c r="B54" t="s">
        <v>226</v>
      </c>
      <c r="C54" t="s">
        <v>851</v>
      </c>
      <c r="D54" t="s">
        <v>359</v>
      </c>
      <c r="E54" t="s">
        <v>733</v>
      </c>
      <c r="F54" t="str">
        <f t="shared" si="34"/>
        <v>20180124-0000013</v>
      </c>
      <c r="G54">
        <v>1039907</v>
      </c>
      <c r="H54">
        <v>2</v>
      </c>
      <c r="I54" t="s">
        <v>852</v>
      </c>
      <c r="L54">
        <v>0</v>
      </c>
      <c r="M54">
        <v>1</v>
      </c>
      <c r="O54" t="s">
        <v>361</v>
      </c>
      <c r="P54" t="s">
        <v>712</v>
      </c>
      <c r="S54" t="s">
        <v>853</v>
      </c>
      <c r="T54" t="s">
        <v>364</v>
      </c>
      <c r="X54" t="s">
        <v>852</v>
      </c>
      <c r="AA54">
        <v>27131</v>
      </c>
      <c r="AB54">
        <v>20.25</v>
      </c>
      <c r="AC54" t="s">
        <v>854</v>
      </c>
      <c r="AD54">
        <v>22.07</v>
      </c>
      <c r="AE54">
        <v>22.68</v>
      </c>
      <c r="AF54" t="s">
        <v>855</v>
      </c>
      <c r="AG54">
        <v>6500</v>
      </c>
      <c r="AH54">
        <v>437</v>
      </c>
      <c r="AI54">
        <v>6500</v>
      </c>
      <c r="AK54">
        <v>368</v>
      </c>
      <c r="AL54" t="s">
        <v>852</v>
      </c>
      <c r="AQ54">
        <v>9880</v>
      </c>
      <c r="AR54" t="s">
        <v>368</v>
      </c>
      <c r="AS54">
        <v>613680197205</v>
      </c>
      <c r="AT54" t="str">
        <f t="shared" si="33"/>
        <v>피****아①</v>
      </c>
      <c r="AU54" t="str">
        <f t="shared" si="26"/>
        <v xml:space="preserve"> 1****0</v>
      </c>
      <c r="AV54" t="str">
        <f t="shared" si="27"/>
        <v>***-****-1406</v>
      </c>
      <c r="AW54" t="str">
        <f t="shared" si="28"/>
        <v xml:space="preserve"> 서* 강*구 방*동 5****5 2* 김****님</v>
      </c>
      <c r="AX54" t="str">
        <f>""</f>
        <v/>
      </c>
      <c r="AY54" t="str">
        <f t="shared" si="29"/>
        <v>***-****-0388</v>
      </c>
      <c r="AZ54">
        <v>4791</v>
      </c>
      <c r="BA54">
        <v>1040607</v>
      </c>
      <c r="BB54">
        <v>38000</v>
      </c>
      <c r="BC54" t="s">
        <v>739</v>
      </c>
      <c r="BD54" t="s">
        <v>369</v>
      </c>
      <c r="BE54" t="str">
        <f t="shared" si="30"/>
        <v>피****아</v>
      </c>
      <c r="BF54" t="str">
        <f t="shared" si="31"/>
        <v>***-****-6097</v>
      </c>
      <c r="BG54" t="str">
        <f t="shared" si="32"/>
        <v>***-****-7488</v>
      </c>
      <c r="BH54" t="s">
        <v>453</v>
      </c>
      <c r="BI54" t="s">
        <v>454</v>
      </c>
      <c r="BJ54" t="s">
        <v>856</v>
      </c>
      <c r="BK54" t="s">
        <v>456</v>
      </c>
      <c r="BL54">
        <v>12615</v>
      </c>
      <c r="BM54" t="str">
        <f>"12615"</f>
        <v>12615</v>
      </c>
      <c r="BN54" t="str">
        <f t="shared" si="35"/>
        <v>20180124-0000013</v>
      </c>
      <c r="BQ54" t="s">
        <v>373</v>
      </c>
      <c r="BV54" t="s">
        <v>857</v>
      </c>
      <c r="BW54" t="s">
        <v>852</v>
      </c>
      <c r="BX54" t="s">
        <v>226</v>
      </c>
      <c r="BZ54">
        <v>8809221273703</v>
      </c>
      <c r="CA54" t="s">
        <v>858</v>
      </c>
      <c r="CF54" t="s">
        <v>852</v>
      </c>
      <c r="CG54" t="s">
        <v>859</v>
      </c>
      <c r="CH54" t="s">
        <v>377</v>
      </c>
      <c r="CI54" t="s">
        <v>851</v>
      </c>
      <c r="CJ54">
        <v>9880</v>
      </c>
      <c r="CK54">
        <v>19760</v>
      </c>
      <c r="CL54" t="s">
        <v>860</v>
      </c>
      <c r="CN54">
        <v>2</v>
      </c>
      <c r="CO54">
        <v>27131</v>
      </c>
      <c r="CP54">
        <v>54262</v>
      </c>
      <c r="CQ54" t="s">
        <v>379</v>
      </c>
      <c r="CS54">
        <v>0</v>
      </c>
    </row>
    <row r="55" spans="1:97" x14ac:dyDescent="0.4">
      <c r="A55" s="10">
        <v>43125</v>
      </c>
      <c r="B55" t="s">
        <v>97</v>
      </c>
      <c r="C55" t="s">
        <v>861</v>
      </c>
      <c r="D55" t="s">
        <v>359</v>
      </c>
      <c r="E55" t="s">
        <v>733</v>
      </c>
      <c r="F55" t="str">
        <f t="shared" si="34"/>
        <v>20180124-0000013</v>
      </c>
      <c r="G55">
        <v>1039907</v>
      </c>
      <c r="H55">
        <v>1</v>
      </c>
      <c r="I55" t="s">
        <v>862</v>
      </c>
      <c r="L55">
        <v>0</v>
      </c>
      <c r="M55">
        <v>1</v>
      </c>
      <c r="O55" t="s">
        <v>361</v>
      </c>
      <c r="P55" t="s">
        <v>712</v>
      </c>
      <c r="S55" t="s">
        <v>863</v>
      </c>
      <c r="T55" t="s">
        <v>364</v>
      </c>
      <c r="X55" t="s">
        <v>862</v>
      </c>
      <c r="AA55">
        <v>196001</v>
      </c>
      <c r="AB55">
        <v>161.91999999999999</v>
      </c>
      <c r="AC55" t="s">
        <v>864</v>
      </c>
      <c r="AD55">
        <v>176.5</v>
      </c>
      <c r="AE55">
        <v>181.35</v>
      </c>
      <c r="AF55" t="s">
        <v>486</v>
      </c>
      <c r="AG55">
        <v>6500</v>
      </c>
      <c r="AH55">
        <v>273</v>
      </c>
      <c r="AI55">
        <v>6500</v>
      </c>
      <c r="AK55">
        <v>211</v>
      </c>
      <c r="AL55" t="s">
        <v>862</v>
      </c>
      <c r="AQ55">
        <v>147000</v>
      </c>
      <c r="AR55" t="s">
        <v>368</v>
      </c>
      <c r="AS55">
        <v>613680197205</v>
      </c>
      <c r="AT55" t="str">
        <f t="shared" si="33"/>
        <v>피****아①</v>
      </c>
      <c r="AU55" t="str">
        <f t="shared" si="26"/>
        <v xml:space="preserve"> 1****0</v>
      </c>
      <c r="AV55" t="str">
        <f t="shared" si="27"/>
        <v>***-****-1406</v>
      </c>
      <c r="AW55" t="str">
        <f t="shared" si="28"/>
        <v xml:space="preserve"> 서* 강*구 방*동 5****5 2* 김****님</v>
      </c>
      <c r="AX55" t="str">
        <f>""</f>
        <v/>
      </c>
      <c r="AY55" t="str">
        <f t="shared" si="29"/>
        <v>***-****-0388</v>
      </c>
      <c r="AZ55">
        <v>12972</v>
      </c>
      <c r="BA55">
        <v>1040608</v>
      </c>
      <c r="BB55">
        <v>210000</v>
      </c>
      <c r="BC55" t="s">
        <v>739</v>
      </c>
      <c r="BD55" t="s">
        <v>369</v>
      </c>
      <c r="BE55" t="str">
        <f t="shared" si="30"/>
        <v>피****아</v>
      </c>
      <c r="BF55" t="str">
        <f t="shared" si="31"/>
        <v>***-****-6097</v>
      </c>
      <c r="BG55" t="str">
        <f t="shared" si="32"/>
        <v>***-****-7488</v>
      </c>
      <c r="BH55" t="s">
        <v>453</v>
      </c>
      <c r="BI55" t="s">
        <v>454</v>
      </c>
      <c r="BJ55" t="s">
        <v>865</v>
      </c>
      <c r="BK55" t="s">
        <v>456</v>
      </c>
      <c r="BL55">
        <v>19386</v>
      </c>
      <c r="BM55" t="str">
        <f>"19386"</f>
        <v>19386</v>
      </c>
      <c r="BN55" t="str">
        <f t="shared" si="35"/>
        <v>20180124-0000013</v>
      </c>
      <c r="BQ55" t="s">
        <v>373</v>
      </c>
      <c r="BV55" t="s">
        <v>866</v>
      </c>
      <c r="BW55" t="s">
        <v>862</v>
      </c>
      <c r="BX55" t="s">
        <v>97</v>
      </c>
      <c r="BY55">
        <v>0</v>
      </c>
      <c r="BZ55">
        <v>8806390509176</v>
      </c>
      <c r="CA55" t="s">
        <v>867</v>
      </c>
      <c r="CF55" t="s">
        <v>862</v>
      </c>
      <c r="CG55" t="s">
        <v>638</v>
      </c>
      <c r="CH55" t="s">
        <v>377</v>
      </c>
      <c r="CI55" t="s">
        <v>861</v>
      </c>
      <c r="CJ55">
        <v>147000</v>
      </c>
      <c r="CK55">
        <v>147000</v>
      </c>
      <c r="CL55" t="s">
        <v>868</v>
      </c>
      <c r="CN55">
        <v>1</v>
      </c>
      <c r="CO55">
        <v>0</v>
      </c>
      <c r="CP55">
        <v>0</v>
      </c>
      <c r="CQ55" t="s">
        <v>379</v>
      </c>
      <c r="CS55">
        <v>36</v>
      </c>
    </row>
    <row r="56" spans="1:97" x14ac:dyDescent="0.4">
      <c r="A56" s="10">
        <v>43125</v>
      </c>
      <c r="B56" t="s">
        <v>187</v>
      </c>
      <c r="C56" t="s">
        <v>869</v>
      </c>
      <c r="D56" t="s">
        <v>359</v>
      </c>
      <c r="E56" t="s">
        <v>733</v>
      </c>
      <c r="F56" t="str">
        <f t="shared" si="34"/>
        <v>20180124-0000013</v>
      </c>
      <c r="G56">
        <v>1039907</v>
      </c>
      <c r="H56">
        <v>1</v>
      </c>
      <c r="I56" t="s">
        <v>870</v>
      </c>
      <c r="L56">
        <v>0</v>
      </c>
      <c r="M56">
        <v>1</v>
      </c>
      <c r="O56" t="s">
        <v>361</v>
      </c>
      <c r="P56" t="s">
        <v>712</v>
      </c>
      <c r="S56" t="s">
        <v>871</v>
      </c>
      <c r="T56" t="s">
        <v>364</v>
      </c>
      <c r="X56" t="s">
        <v>870</v>
      </c>
      <c r="AA56">
        <v>27950</v>
      </c>
      <c r="AB56">
        <v>29.89</v>
      </c>
      <c r="AC56" t="s">
        <v>872</v>
      </c>
      <c r="AD56">
        <v>32.58</v>
      </c>
      <c r="AE56">
        <v>33.47</v>
      </c>
      <c r="AF56" t="s">
        <v>873</v>
      </c>
      <c r="AG56">
        <v>6500</v>
      </c>
      <c r="AK56">
        <v>279</v>
      </c>
      <c r="AL56" t="s">
        <v>870</v>
      </c>
      <c r="AQ56">
        <v>20000</v>
      </c>
      <c r="AR56" t="s">
        <v>368</v>
      </c>
      <c r="AS56">
        <v>613680197205</v>
      </c>
      <c r="AT56" t="str">
        <f t="shared" si="33"/>
        <v>피****아①</v>
      </c>
      <c r="AU56" t="str">
        <f t="shared" si="26"/>
        <v xml:space="preserve"> 1****0</v>
      </c>
      <c r="AV56" t="str">
        <f t="shared" si="27"/>
        <v>***-****-1406</v>
      </c>
      <c r="AW56" t="str">
        <f t="shared" si="28"/>
        <v xml:space="preserve"> 서* 강*구 방*동 5****5 2* 김****님</v>
      </c>
      <c r="AX56" t="str">
        <f>""</f>
        <v/>
      </c>
      <c r="AY56" t="str">
        <f t="shared" si="29"/>
        <v>***-****-0388</v>
      </c>
      <c r="AZ56">
        <v>11550</v>
      </c>
      <c r="BA56">
        <v>1040585</v>
      </c>
      <c r="BB56">
        <v>25000</v>
      </c>
      <c r="BC56" t="s">
        <v>739</v>
      </c>
      <c r="BD56" t="s">
        <v>369</v>
      </c>
      <c r="BE56" t="str">
        <f t="shared" si="30"/>
        <v>피****아</v>
      </c>
      <c r="BF56" t="str">
        <f t="shared" si="31"/>
        <v>***-****-6097</v>
      </c>
      <c r="BG56" t="str">
        <f t="shared" si="32"/>
        <v>***-****-7488</v>
      </c>
      <c r="BH56" t="s">
        <v>453</v>
      </c>
      <c r="BI56" t="s">
        <v>454</v>
      </c>
      <c r="BJ56" t="s">
        <v>874</v>
      </c>
      <c r="BK56" t="s">
        <v>456</v>
      </c>
      <c r="BL56">
        <v>14329</v>
      </c>
      <c r="BM56" t="str">
        <f>"14329"</f>
        <v>14329</v>
      </c>
      <c r="BN56" t="str">
        <f t="shared" si="35"/>
        <v>20180124-0000013</v>
      </c>
      <c r="BQ56" t="s">
        <v>373</v>
      </c>
      <c r="BV56" t="s">
        <v>875</v>
      </c>
      <c r="BW56" t="s">
        <v>870</v>
      </c>
      <c r="BX56" t="s">
        <v>187</v>
      </c>
      <c r="BZ56">
        <v>8801051178449</v>
      </c>
      <c r="CA56" t="s">
        <v>876</v>
      </c>
      <c r="CF56" t="s">
        <v>870</v>
      </c>
      <c r="CG56" t="s">
        <v>877</v>
      </c>
      <c r="CH56" t="s">
        <v>377</v>
      </c>
      <c r="CI56" t="s">
        <v>869</v>
      </c>
      <c r="CJ56">
        <v>20000</v>
      </c>
      <c r="CK56">
        <v>20000</v>
      </c>
      <c r="CL56" t="s">
        <v>878</v>
      </c>
      <c r="CN56">
        <v>1</v>
      </c>
      <c r="CO56">
        <v>27950</v>
      </c>
      <c r="CP56">
        <v>27950</v>
      </c>
      <c r="CQ56" t="s">
        <v>379</v>
      </c>
      <c r="CS56">
        <v>0</v>
      </c>
    </row>
    <row r="57" spans="1:97" x14ac:dyDescent="0.4">
      <c r="A57" s="10">
        <v>43125</v>
      </c>
      <c r="B57" t="s">
        <v>129</v>
      </c>
      <c r="C57" t="s">
        <v>879</v>
      </c>
      <c r="D57" t="s">
        <v>359</v>
      </c>
      <c r="E57" t="s">
        <v>733</v>
      </c>
      <c r="F57" t="str">
        <f t="shared" si="34"/>
        <v>20180124-0000013</v>
      </c>
      <c r="G57">
        <v>1039907</v>
      </c>
      <c r="H57">
        <v>1</v>
      </c>
      <c r="I57" t="s">
        <v>880</v>
      </c>
      <c r="L57">
        <v>0</v>
      </c>
      <c r="M57">
        <v>1</v>
      </c>
      <c r="O57" t="s">
        <v>361</v>
      </c>
      <c r="P57" t="s">
        <v>712</v>
      </c>
      <c r="S57" t="s">
        <v>881</v>
      </c>
      <c r="T57" t="s">
        <v>364</v>
      </c>
      <c r="X57" t="s">
        <v>882</v>
      </c>
      <c r="AA57">
        <v>38948</v>
      </c>
      <c r="AB57">
        <v>34.549999999999997</v>
      </c>
      <c r="AC57" t="s">
        <v>883</v>
      </c>
      <c r="AD57">
        <v>37.729999999999997</v>
      </c>
      <c r="AE57">
        <v>38.770000000000003</v>
      </c>
      <c r="AF57" t="s">
        <v>884</v>
      </c>
      <c r="AG57">
        <v>3360</v>
      </c>
      <c r="AK57">
        <v>164</v>
      </c>
      <c r="AL57" t="s">
        <v>880</v>
      </c>
      <c r="AN57" t="s">
        <v>885</v>
      </c>
      <c r="AQ57">
        <v>26600</v>
      </c>
      <c r="AR57" t="s">
        <v>368</v>
      </c>
      <c r="AS57">
        <v>613680197205</v>
      </c>
      <c r="AT57" t="str">
        <f t="shared" si="33"/>
        <v>피****아①</v>
      </c>
      <c r="AU57" t="str">
        <f t="shared" si="26"/>
        <v xml:space="preserve"> 1****0</v>
      </c>
      <c r="AV57" t="str">
        <f t="shared" si="27"/>
        <v>***-****-1406</v>
      </c>
      <c r="AW57" t="str">
        <f t="shared" si="28"/>
        <v xml:space="preserve"> 서* 강*구 방*동 5****5 2* 김****님</v>
      </c>
      <c r="AX57" t="str">
        <f>""</f>
        <v/>
      </c>
      <c r="AY57" t="str">
        <f t="shared" si="29"/>
        <v>***-****-0388</v>
      </c>
      <c r="AZ57">
        <v>28056</v>
      </c>
      <c r="BA57">
        <v>1040584</v>
      </c>
      <c r="BB57">
        <v>38000</v>
      </c>
      <c r="BC57" t="s">
        <v>739</v>
      </c>
      <c r="BD57" t="s">
        <v>369</v>
      </c>
      <c r="BE57" t="str">
        <f t="shared" si="30"/>
        <v>피****아</v>
      </c>
      <c r="BF57" t="str">
        <f t="shared" si="31"/>
        <v>***-****-6097</v>
      </c>
      <c r="BG57" t="str">
        <f t="shared" si="32"/>
        <v>***-****-7488</v>
      </c>
      <c r="BH57" t="s">
        <v>453</v>
      </c>
      <c r="BI57" t="s">
        <v>454</v>
      </c>
      <c r="BJ57" t="s">
        <v>886</v>
      </c>
      <c r="BK57" t="s">
        <v>456</v>
      </c>
      <c r="BL57">
        <v>21185</v>
      </c>
      <c r="BM57" t="str">
        <f>"21185"</f>
        <v>21185</v>
      </c>
      <c r="BN57" t="str">
        <f t="shared" si="35"/>
        <v>20180124-0000013</v>
      </c>
      <c r="BQ57" t="s">
        <v>373</v>
      </c>
      <c r="BU57">
        <v>117</v>
      </c>
      <c r="BV57" t="s">
        <v>887</v>
      </c>
      <c r="BW57" t="s">
        <v>880</v>
      </c>
      <c r="BX57" t="s">
        <v>129</v>
      </c>
      <c r="BY57">
        <v>0</v>
      </c>
      <c r="BZ57">
        <v>8809560220536</v>
      </c>
      <c r="CA57" t="s">
        <v>888</v>
      </c>
      <c r="CF57" t="s">
        <v>882</v>
      </c>
      <c r="CG57" t="s">
        <v>376</v>
      </c>
      <c r="CH57" t="s">
        <v>377</v>
      </c>
      <c r="CI57" t="s">
        <v>879</v>
      </c>
      <c r="CJ57">
        <v>26600</v>
      </c>
      <c r="CK57">
        <v>26600</v>
      </c>
      <c r="CL57" t="s">
        <v>889</v>
      </c>
      <c r="CN57">
        <v>1</v>
      </c>
      <c r="CO57">
        <v>38948</v>
      </c>
      <c r="CP57">
        <v>38948</v>
      </c>
      <c r="CQ57" t="s">
        <v>379</v>
      </c>
      <c r="CS57">
        <v>0</v>
      </c>
    </row>
    <row r="58" spans="1:97" x14ac:dyDescent="0.4">
      <c r="A58" s="10">
        <v>43125</v>
      </c>
      <c r="B58" t="s">
        <v>182</v>
      </c>
      <c r="C58" t="s">
        <v>890</v>
      </c>
      <c r="D58" t="s">
        <v>359</v>
      </c>
      <c r="E58" t="s">
        <v>733</v>
      </c>
      <c r="F58" t="str">
        <f t="shared" si="34"/>
        <v>20180124-0000013</v>
      </c>
      <c r="G58">
        <v>1039907</v>
      </c>
      <c r="H58">
        <v>1</v>
      </c>
      <c r="I58" t="s">
        <v>891</v>
      </c>
      <c r="L58">
        <v>0</v>
      </c>
      <c r="M58">
        <v>1</v>
      </c>
      <c r="O58" t="s">
        <v>361</v>
      </c>
      <c r="P58" t="s">
        <v>712</v>
      </c>
      <c r="S58" t="s">
        <v>892</v>
      </c>
      <c r="T58" t="s">
        <v>364</v>
      </c>
      <c r="X58" t="s">
        <v>891</v>
      </c>
      <c r="AA58">
        <v>8288</v>
      </c>
      <c r="AB58">
        <v>6.19</v>
      </c>
      <c r="AC58" t="s">
        <v>893</v>
      </c>
      <c r="AD58">
        <v>6.75</v>
      </c>
      <c r="AE58">
        <v>6.93</v>
      </c>
      <c r="AF58" t="s">
        <v>894</v>
      </c>
      <c r="AG58">
        <v>1880</v>
      </c>
      <c r="AL58" t="s">
        <v>891</v>
      </c>
      <c r="AN58" t="s">
        <v>895</v>
      </c>
      <c r="AQ58">
        <v>3300</v>
      </c>
      <c r="AR58" t="s">
        <v>368</v>
      </c>
      <c r="AS58">
        <v>613680197205</v>
      </c>
      <c r="AT58" t="str">
        <f t="shared" si="33"/>
        <v>피****아①</v>
      </c>
      <c r="AU58" t="str">
        <f t="shared" si="26"/>
        <v xml:space="preserve"> 1****0</v>
      </c>
      <c r="AV58" t="str">
        <f t="shared" si="27"/>
        <v>***-****-1406</v>
      </c>
      <c r="AW58" t="str">
        <f t="shared" si="28"/>
        <v xml:space="preserve"> 서* 강*구 방*동 5****5 2* 김****님</v>
      </c>
      <c r="AX58" t="str">
        <f>""</f>
        <v/>
      </c>
      <c r="AY58" t="str">
        <f t="shared" si="29"/>
        <v>***-****-0388</v>
      </c>
      <c r="AZ58">
        <v>27844</v>
      </c>
      <c r="BA58">
        <v>1040602</v>
      </c>
      <c r="BB58">
        <v>9000</v>
      </c>
      <c r="BC58" t="s">
        <v>739</v>
      </c>
      <c r="BD58" t="s">
        <v>369</v>
      </c>
      <c r="BE58" t="str">
        <f t="shared" si="30"/>
        <v>피****아</v>
      </c>
      <c r="BF58" t="str">
        <f t="shared" si="31"/>
        <v>***-****-6097</v>
      </c>
      <c r="BG58" t="str">
        <f t="shared" si="32"/>
        <v>***-****-7488</v>
      </c>
      <c r="BH58" t="s">
        <v>453</v>
      </c>
      <c r="BI58" t="s">
        <v>454</v>
      </c>
      <c r="BJ58" t="s">
        <v>896</v>
      </c>
      <c r="BK58" t="s">
        <v>456</v>
      </c>
      <c r="BL58">
        <v>18304</v>
      </c>
      <c r="BM58" t="str">
        <f>"18304"</f>
        <v>18304</v>
      </c>
      <c r="BN58" t="str">
        <f t="shared" si="35"/>
        <v>20180124-0000013</v>
      </c>
      <c r="BQ58" t="s">
        <v>897</v>
      </c>
      <c r="BU58">
        <v>81</v>
      </c>
      <c r="BV58" t="s">
        <v>898</v>
      </c>
      <c r="BW58" t="s">
        <v>891</v>
      </c>
      <c r="BX58" t="s">
        <v>182</v>
      </c>
      <c r="BY58">
        <v>0</v>
      </c>
      <c r="BZ58">
        <v>8809270474397</v>
      </c>
      <c r="CA58" t="s">
        <v>899</v>
      </c>
      <c r="CF58" t="s">
        <v>891</v>
      </c>
      <c r="CG58" t="s">
        <v>480</v>
      </c>
      <c r="CH58" t="s">
        <v>377</v>
      </c>
      <c r="CI58" t="s">
        <v>890</v>
      </c>
      <c r="CJ58">
        <v>3300</v>
      </c>
      <c r="CK58">
        <v>3300</v>
      </c>
      <c r="CL58" t="s">
        <v>900</v>
      </c>
      <c r="CN58">
        <v>1</v>
      </c>
      <c r="CO58">
        <v>8288</v>
      </c>
      <c r="CP58">
        <v>8288</v>
      </c>
      <c r="CQ58" t="s">
        <v>379</v>
      </c>
      <c r="CS58">
        <v>0</v>
      </c>
    </row>
    <row r="59" spans="1:97" x14ac:dyDescent="0.4">
      <c r="A59" s="10">
        <v>43125</v>
      </c>
      <c r="B59" t="s">
        <v>182</v>
      </c>
      <c r="C59" t="s">
        <v>901</v>
      </c>
      <c r="D59" t="s">
        <v>359</v>
      </c>
      <c r="E59" t="s">
        <v>733</v>
      </c>
      <c r="F59" t="str">
        <f t="shared" si="34"/>
        <v>20180124-0000013</v>
      </c>
      <c r="G59">
        <v>1039907</v>
      </c>
      <c r="H59">
        <v>2</v>
      </c>
      <c r="I59" t="s">
        <v>902</v>
      </c>
      <c r="L59">
        <v>0</v>
      </c>
      <c r="M59">
        <v>1</v>
      </c>
      <c r="O59" t="s">
        <v>361</v>
      </c>
      <c r="P59" t="s">
        <v>712</v>
      </c>
      <c r="S59" t="s">
        <v>903</v>
      </c>
      <c r="T59" t="s">
        <v>364</v>
      </c>
      <c r="X59" t="s">
        <v>902</v>
      </c>
      <c r="AA59">
        <v>8288</v>
      </c>
      <c r="AB59">
        <v>6.19</v>
      </c>
      <c r="AC59" t="s">
        <v>904</v>
      </c>
      <c r="AD59">
        <v>6.75</v>
      </c>
      <c r="AE59">
        <v>6.93</v>
      </c>
      <c r="AF59" t="s">
        <v>894</v>
      </c>
      <c r="AG59">
        <v>1880</v>
      </c>
      <c r="AL59" t="s">
        <v>902</v>
      </c>
      <c r="AN59" t="s">
        <v>905</v>
      </c>
      <c r="AQ59">
        <v>3300</v>
      </c>
      <c r="AR59" t="s">
        <v>368</v>
      </c>
      <c r="AS59">
        <v>613680197205</v>
      </c>
      <c r="AT59" t="str">
        <f t="shared" si="33"/>
        <v>피****아①</v>
      </c>
      <c r="AU59" t="str">
        <f t="shared" si="26"/>
        <v xml:space="preserve"> 1****0</v>
      </c>
      <c r="AV59" t="str">
        <f t="shared" si="27"/>
        <v>***-****-1406</v>
      </c>
      <c r="AW59" t="str">
        <f t="shared" si="28"/>
        <v xml:space="preserve"> 서* 강*구 방*동 5****5 2* 김****님</v>
      </c>
      <c r="AX59" t="str">
        <f>""</f>
        <v/>
      </c>
      <c r="AY59" t="str">
        <f t="shared" si="29"/>
        <v>***-****-0388</v>
      </c>
      <c r="AZ59">
        <v>27845</v>
      </c>
      <c r="BA59">
        <v>1040603</v>
      </c>
      <c r="BB59">
        <v>18000</v>
      </c>
      <c r="BC59" t="s">
        <v>739</v>
      </c>
      <c r="BD59" t="s">
        <v>369</v>
      </c>
      <c r="BE59" t="str">
        <f t="shared" si="30"/>
        <v>피****아</v>
      </c>
      <c r="BF59" t="str">
        <f t="shared" si="31"/>
        <v>***-****-6097</v>
      </c>
      <c r="BG59" t="str">
        <f t="shared" si="32"/>
        <v>***-****-7488</v>
      </c>
      <c r="BH59" t="s">
        <v>453</v>
      </c>
      <c r="BI59" t="s">
        <v>454</v>
      </c>
      <c r="BJ59" t="s">
        <v>906</v>
      </c>
      <c r="BK59" t="s">
        <v>456</v>
      </c>
      <c r="BL59">
        <v>18304</v>
      </c>
      <c r="BM59" t="str">
        <f>"18304"</f>
        <v>18304</v>
      </c>
      <c r="BN59" t="str">
        <f t="shared" si="35"/>
        <v>20180124-0000013</v>
      </c>
      <c r="BQ59" t="s">
        <v>897</v>
      </c>
      <c r="BU59">
        <v>81</v>
      </c>
      <c r="BV59" t="s">
        <v>907</v>
      </c>
      <c r="BW59" t="s">
        <v>902</v>
      </c>
      <c r="BX59" t="s">
        <v>182</v>
      </c>
      <c r="BY59">
        <v>0</v>
      </c>
      <c r="BZ59">
        <v>8809270474380</v>
      </c>
      <c r="CA59" t="s">
        <v>908</v>
      </c>
      <c r="CF59" t="s">
        <v>902</v>
      </c>
      <c r="CG59" t="s">
        <v>480</v>
      </c>
      <c r="CH59" t="s">
        <v>377</v>
      </c>
      <c r="CI59" t="s">
        <v>901</v>
      </c>
      <c r="CJ59">
        <v>3300</v>
      </c>
      <c r="CK59">
        <v>6600</v>
      </c>
      <c r="CL59" t="s">
        <v>909</v>
      </c>
      <c r="CN59">
        <v>2</v>
      </c>
      <c r="CO59">
        <v>8288</v>
      </c>
      <c r="CP59">
        <v>16576</v>
      </c>
      <c r="CQ59" t="s">
        <v>379</v>
      </c>
      <c r="CS59">
        <v>0</v>
      </c>
    </row>
    <row r="60" spans="1:97" x14ac:dyDescent="0.4">
      <c r="A60" s="10">
        <v>43125</v>
      </c>
      <c r="B60" t="s">
        <v>182</v>
      </c>
      <c r="C60" t="s">
        <v>910</v>
      </c>
      <c r="D60" t="s">
        <v>359</v>
      </c>
      <c r="E60" t="s">
        <v>733</v>
      </c>
      <c r="F60" t="str">
        <f t="shared" si="34"/>
        <v>20180124-0000013</v>
      </c>
      <c r="G60">
        <v>1039907</v>
      </c>
      <c r="H60">
        <v>2</v>
      </c>
      <c r="I60" t="s">
        <v>911</v>
      </c>
      <c r="L60">
        <v>0</v>
      </c>
      <c r="M60">
        <v>1</v>
      </c>
      <c r="O60" t="s">
        <v>361</v>
      </c>
      <c r="P60" t="s">
        <v>712</v>
      </c>
      <c r="S60" t="s">
        <v>912</v>
      </c>
      <c r="T60" t="s">
        <v>364</v>
      </c>
      <c r="X60" t="s">
        <v>911</v>
      </c>
      <c r="AA60">
        <v>8288</v>
      </c>
      <c r="AB60">
        <v>6.19</v>
      </c>
      <c r="AC60" t="s">
        <v>913</v>
      </c>
      <c r="AD60">
        <v>6.75</v>
      </c>
      <c r="AE60">
        <v>6.93</v>
      </c>
      <c r="AF60" t="s">
        <v>894</v>
      </c>
      <c r="AG60">
        <v>1880</v>
      </c>
      <c r="AL60" t="s">
        <v>911</v>
      </c>
      <c r="AN60" t="s">
        <v>914</v>
      </c>
      <c r="AQ60">
        <v>3300</v>
      </c>
      <c r="AR60" t="s">
        <v>368</v>
      </c>
      <c r="AS60">
        <v>613680197205</v>
      </c>
      <c r="AT60" t="str">
        <f t="shared" si="33"/>
        <v>피****아①</v>
      </c>
      <c r="AU60" t="str">
        <f t="shared" si="26"/>
        <v xml:space="preserve"> 1****0</v>
      </c>
      <c r="AV60" t="str">
        <f t="shared" si="27"/>
        <v>***-****-1406</v>
      </c>
      <c r="AW60" t="str">
        <f t="shared" si="28"/>
        <v xml:space="preserve"> 서* 강*구 방*동 5****5 2* 김****님</v>
      </c>
      <c r="AX60" t="str">
        <f>""</f>
        <v/>
      </c>
      <c r="AY60" t="str">
        <f t="shared" si="29"/>
        <v>***-****-0388</v>
      </c>
      <c r="AZ60">
        <v>28913</v>
      </c>
      <c r="BA60">
        <v>1040604</v>
      </c>
      <c r="BB60">
        <v>18000</v>
      </c>
      <c r="BC60" t="s">
        <v>739</v>
      </c>
      <c r="BD60" t="s">
        <v>369</v>
      </c>
      <c r="BE60" t="str">
        <f t="shared" si="30"/>
        <v>피****아</v>
      </c>
      <c r="BF60" t="str">
        <f t="shared" si="31"/>
        <v>***-****-6097</v>
      </c>
      <c r="BG60" t="str">
        <f t="shared" si="32"/>
        <v>***-****-7488</v>
      </c>
      <c r="BH60" t="s">
        <v>453</v>
      </c>
      <c r="BI60" t="s">
        <v>454</v>
      </c>
      <c r="BJ60" t="s">
        <v>915</v>
      </c>
      <c r="BK60" t="s">
        <v>456</v>
      </c>
      <c r="BL60">
        <v>18304</v>
      </c>
      <c r="BM60" t="str">
        <f>"18304"</f>
        <v>18304</v>
      </c>
      <c r="BN60" t="str">
        <f t="shared" si="35"/>
        <v>20180124-0000013</v>
      </c>
      <c r="BQ60" t="s">
        <v>897</v>
      </c>
      <c r="BU60">
        <v>81</v>
      </c>
      <c r="BV60" t="s">
        <v>916</v>
      </c>
      <c r="BW60" t="s">
        <v>911</v>
      </c>
      <c r="BX60" t="s">
        <v>182</v>
      </c>
      <c r="BY60">
        <v>0</v>
      </c>
      <c r="BZ60">
        <v>8809270474373</v>
      </c>
      <c r="CA60" t="s">
        <v>917</v>
      </c>
      <c r="CF60" t="s">
        <v>911</v>
      </c>
      <c r="CG60" t="s">
        <v>480</v>
      </c>
      <c r="CH60" t="s">
        <v>377</v>
      </c>
      <c r="CI60" t="s">
        <v>910</v>
      </c>
      <c r="CJ60">
        <v>3300</v>
      </c>
      <c r="CK60">
        <v>6600</v>
      </c>
      <c r="CL60" t="s">
        <v>918</v>
      </c>
      <c r="CN60">
        <v>2</v>
      </c>
      <c r="CO60">
        <v>8288</v>
      </c>
      <c r="CP60">
        <v>16576</v>
      </c>
      <c r="CQ60" t="s">
        <v>379</v>
      </c>
      <c r="CS60">
        <v>0</v>
      </c>
    </row>
    <row r="61" spans="1:97" x14ac:dyDescent="0.4">
      <c r="A61" s="10">
        <v>43125</v>
      </c>
      <c r="B61" t="s">
        <v>182</v>
      </c>
      <c r="C61" t="s">
        <v>919</v>
      </c>
      <c r="D61" t="s">
        <v>359</v>
      </c>
      <c r="E61" t="s">
        <v>733</v>
      </c>
      <c r="F61" t="str">
        <f t="shared" si="34"/>
        <v>20180124-0000013</v>
      </c>
      <c r="G61">
        <v>1039907</v>
      </c>
      <c r="H61">
        <v>1</v>
      </c>
      <c r="I61" t="s">
        <v>920</v>
      </c>
      <c r="L61">
        <v>0</v>
      </c>
      <c r="M61">
        <v>1</v>
      </c>
      <c r="O61" t="s">
        <v>361</v>
      </c>
      <c r="P61" t="s">
        <v>712</v>
      </c>
      <c r="S61" t="s">
        <v>921</v>
      </c>
      <c r="T61" t="s">
        <v>364</v>
      </c>
      <c r="X61" t="s">
        <v>920</v>
      </c>
      <c r="AA61">
        <v>8288</v>
      </c>
      <c r="AB61">
        <v>6.19</v>
      </c>
      <c r="AC61" t="s">
        <v>922</v>
      </c>
      <c r="AD61">
        <v>6.75</v>
      </c>
      <c r="AE61">
        <v>6.93</v>
      </c>
      <c r="AF61" t="s">
        <v>894</v>
      </c>
      <c r="AG61">
        <v>1880</v>
      </c>
      <c r="AL61" t="s">
        <v>920</v>
      </c>
      <c r="AN61" t="s">
        <v>923</v>
      </c>
      <c r="AQ61">
        <v>3300</v>
      </c>
      <c r="AR61" t="s">
        <v>368</v>
      </c>
      <c r="AS61">
        <v>613680197205</v>
      </c>
      <c r="AT61" t="str">
        <f t="shared" si="33"/>
        <v>피****아①</v>
      </c>
      <c r="AU61" t="str">
        <f t="shared" si="26"/>
        <v xml:space="preserve"> 1****0</v>
      </c>
      <c r="AV61" t="str">
        <f t="shared" si="27"/>
        <v>***-****-1406</v>
      </c>
      <c r="AW61" t="str">
        <f t="shared" si="28"/>
        <v xml:space="preserve"> 서* 강*구 방*동 5****5 2* 김****님</v>
      </c>
      <c r="AX61" t="str">
        <f>""</f>
        <v/>
      </c>
      <c r="AY61" t="str">
        <f t="shared" si="29"/>
        <v>***-****-0388</v>
      </c>
      <c r="AZ61">
        <v>29212</v>
      </c>
      <c r="BA61">
        <v>1040605</v>
      </c>
      <c r="BB61">
        <v>9000</v>
      </c>
      <c r="BC61" t="s">
        <v>739</v>
      </c>
      <c r="BD61" t="s">
        <v>369</v>
      </c>
      <c r="BE61" t="str">
        <f t="shared" si="30"/>
        <v>피****아</v>
      </c>
      <c r="BF61" t="str">
        <f t="shared" si="31"/>
        <v>***-****-6097</v>
      </c>
      <c r="BG61" t="str">
        <f t="shared" si="32"/>
        <v>***-****-7488</v>
      </c>
      <c r="BH61" t="s">
        <v>453</v>
      </c>
      <c r="BI61" t="s">
        <v>454</v>
      </c>
      <c r="BJ61" t="s">
        <v>924</v>
      </c>
      <c r="BK61" t="s">
        <v>456</v>
      </c>
      <c r="BL61">
        <v>18304</v>
      </c>
      <c r="BM61" t="str">
        <f>"18304"</f>
        <v>18304</v>
      </c>
      <c r="BN61" t="str">
        <f t="shared" si="35"/>
        <v>20180124-0000013</v>
      </c>
      <c r="BQ61" t="s">
        <v>897</v>
      </c>
      <c r="BU61">
        <v>81</v>
      </c>
      <c r="BV61" t="s">
        <v>925</v>
      </c>
      <c r="BW61" t="s">
        <v>920</v>
      </c>
      <c r="BX61" t="s">
        <v>182</v>
      </c>
      <c r="BY61">
        <v>0</v>
      </c>
      <c r="BZ61">
        <v>8809270474366</v>
      </c>
      <c r="CA61" t="s">
        <v>926</v>
      </c>
      <c r="CF61" t="s">
        <v>920</v>
      </c>
      <c r="CG61" t="s">
        <v>480</v>
      </c>
      <c r="CH61" t="s">
        <v>377</v>
      </c>
      <c r="CI61" t="s">
        <v>919</v>
      </c>
      <c r="CJ61">
        <v>3300</v>
      </c>
      <c r="CK61">
        <v>3300</v>
      </c>
      <c r="CL61" t="s">
        <v>927</v>
      </c>
      <c r="CN61">
        <v>1</v>
      </c>
      <c r="CO61">
        <v>8288</v>
      </c>
      <c r="CP61">
        <v>8288</v>
      </c>
      <c r="CQ61" t="s">
        <v>379</v>
      </c>
      <c r="CS61">
        <v>0</v>
      </c>
    </row>
    <row r="62" spans="1:97" x14ac:dyDescent="0.4">
      <c r="A62" s="10">
        <v>43125</v>
      </c>
      <c r="B62" t="s">
        <v>182</v>
      </c>
      <c r="C62" t="s">
        <v>928</v>
      </c>
      <c r="D62" t="s">
        <v>359</v>
      </c>
      <c r="E62" t="s">
        <v>733</v>
      </c>
      <c r="F62" t="str">
        <f t="shared" si="34"/>
        <v>20180124-0000013</v>
      </c>
      <c r="G62">
        <v>1039907</v>
      </c>
      <c r="H62">
        <v>2</v>
      </c>
      <c r="I62" t="s">
        <v>929</v>
      </c>
      <c r="L62">
        <v>0</v>
      </c>
      <c r="M62">
        <v>1</v>
      </c>
      <c r="O62" t="s">
        <v>361</v>
      </c>
      <c r="P62" t="s">
        <v>712</v>
      </c>
      <c r="S62" t="s">
        <v>930</v>
      </c>
      <c r="T62" t="s">
        <v>364</v>
      </c>
      <c r="X62" t="s">
        <v>929</v>
      </c>
      <c r="AA62">
        <v>8288</v>
      </c>
      <c r="AB62">
        <v>6.19</v>
      </c>
      <c r="AC62" t="s">
        <v>931</v>
      </c>
      <c r="AD62">
        <v>6.75</v>
      </c>
      <c r="AE62">
        <v>6.93</v>
      </c>
      <c r="AF62" t="s">
        <v>894</v>
      </c>
      <c r="AG62">
        <v>1880</v>
      </c>
      <c r="AL62" t="s">
        <v>929</v>
      </c>
      <c r="AN62" t="s">
        <v>932</v>
      </c>
      <c r="AQ62">
        <v>3300</v>
      </c>
      <c r="AR62" t="s">
        <v>368</v>
      </c>
      <c r="AS62">
        <v>613680197205</v>
      </c>
      <c r="AT62" t="str">
        <f t="shared" si="33"/>
        <v>피****아①</v>
      </c>
      <c r="AU62" t="str">
        <f t="shared" si="26"/>
        <v xml:space="preserve"> 1****0</v>
      </c>
      <c r="AV62" t="str">
        <f t="shared" si="27"/>
        <v>***-****-1406</v>
      </c>
      <c r="AW62" t="str">
        <f t="shared" si="28"/>
        <v xml:space="preserve"> 서* 강*구 방*동 5****5 2* 김****님</v>
      </c>
      <c r="AX62" t="str">
        <f>""</f>
        <v/>
      </c>
      <c r="AY62" t="str">
        <f t="shared" si="29"/>
        <v>***-****-0388</v>
      </c>
      <c r="AZ62">
        <v>29427</v>
      </c>
      <c r="BA62">
        <v>1040606</v>
      </c>
      <c r="BB62">
        <v>18000</v>
      </c>
      <c r="BC62" t="s">
        <v>739</v>
      </c>
      <c r="BD62" t="s">
        <v>369</v>
      </c>
      <c r="BE62" t="str">
        <f t="shared" si="30"/>
        <v>피****아</v>
      </c>
      <c r="BF62" t="str">
        <f t="shared" si="31"/>
        <v>***-****-6097</v>
      </c>
      <c r="BG62" t="str">
        <f t="shared" si="32"/>
        <v>***-****-7488</v>
      </c>
      <c r="BH62" t="s">
        <v>453</v>
      </c>
      <c r="BI62" t="s">
        <v>454</v>
      </c>
      <c r="BJ62" t="s">
        <v>933</v>
      </c>
      <c r="BK62" t="s">
        <v>456</v>
      </c>
      <c r="BL62">
        <v>18304</v>
      </c>
      <c r="BM62" t="str">
        <f>"18304"</f>
        <v>18304</v>
      </c>
      <c r="BN62" t="str">
        <f t="shared" si="35"/>
        <v>20180124-0000013</v>
      </c>
      <c r="BQ62" t="s">
        <v>897</v>
      </c>
      <c r="BU62">
        <v>81</v>
      </c>
      <c r="BV62" t="s">
        <v>934</v>
      </c>
      <c r="BW62" t="s">
        <v>929</v>
      </c>
      <c r="BX62" t="s">
        <v>182</v>
      </c>
      <c r="BY62">
        <v>0</v>
      </c>
      <c r="BZ62">
        <v>8809270474359</v>
      </c>
      <c r="CA62" t="s">
        <v>935</v>
      </c>
      <c r="CF62" t="s">
        <v>929</v>
      </c>
      <c r="CG62" t="s">
        <v>480</v>
      </c>
      <c r="CH62" t="s">
        <v>377</v>
      </c>
      <c r="CI62" t="s">
        <v>928</v>
      </c>
      <c r="CJ62">
        <v>3300</v>
      </c>
      <c r="CK62">
        <v>6600</v>
      </c>
      <c r="CL62" t="s">
        <v>936</v>
      </c>
      <c r="CN62">
        <v>2</v>
      </c>
      <c r="CO62">
        <v>8288</v>
      </c>
      <c r="CP62">
        <v>16576</v>
      </c>
      <c r="CQ62" t="s">
        <v>379</v>
      </c>
      <c r="CS62">
        <v>0</v>
      </c>
    </row>
    <row r="63" spans="1:97" x14ac:dyDescent="0.4">
      <c r="A63" s="10">
        <v>43125</v>
      </c>
      <c r="B63" t="s">
        <v>191</v>
      </c>
      <c r="C63" t="s">
        <v>763</v>
      </c>
      <c r="D63" t="s">
        <v>359</v>
      </c>
      <c r="E63" t="s">
        <v>733</v>
      </c>
      <c r="F63" t="str">
        <f t="shared" si="34"/>
        <v>20180124-0000013</v>
      </c>
      <c r="G63">
        <v>1039907</v>
      </c>
      <c r="H63">
        <v>2</v>
      </c>
      <c r="I63" t="s">
        <v>764</v>
      </c>
      <c r="L63">
        <v>0</v>
      </c>
      <c r="M63">
        <v>1</v>
      </c>
      <c r="O63" t="s">
        <v>361</v>
      </c>
      <c r="P63" t="s">
        <v>712</v>
      </c>
      <c r="S63" t="s">
        <v>937</v>
      </c>
      <c r="T63" t="s">
        <v>364</v>
      </c>
      <c r="X63" t="s">
        <v>764</v>
      </c>
      <c r="AA63">
        <v>14462</v>
      </c>
      <c r="AB63">
        <v>18.34</v>
      </c>
      <c r="AC63" t="s">
        <v>766</v>
      </c>
      <c r="AD63">
        <v>19.989999999999998</v>
      </c>
      <c r="AE63">
        <v>20.54</v>
      </c>
      <c r="AF63" t="s">
        <v>572</v>
      </c>
      <c r="AG63">
        <v>6500</v>
      </c>
      <c r="AK63">
        <v>390</v>
      </c>
      <c r="AL63" t="s">
        <v>764</v>
      </c>
      <c r="AQ63">
        <v>8450</v>
      </c>
      <c r="AR63" t="s">
        <v>368</v>
      </c>
      <c r="AS63">
        <v>613680197205</v>
      </c>
      <c r="AT63" t="str">
        <f t="shared" si="33"/>
        <v>피****아①</v>
      </c>
      <c r="AU63" t="str">
        <f t="shared" si="26"/>
        <v xml:space="preserve"> 1****0</v>
      </c>
      <c r="AV63" t="str">
        <f t="shared" si="27"/>
        <v>***-****-1406</v>
      </c>
      <c r="AW63" t="str">
        <f t="shared" si="28"/>
        <v xml:space="preserve"> 서* 강*구 방*동 5****5 2* 김****님</v>
      </c>
      <c r="AX63" t="str">
        <f>""</f>
        <v/>
      </c>
      <c r="AY63" t="str">
        <f t="shared" si="29"/>
        <v>***-****-0388</v>
      </c>
      <c r="AZ63">
        <v>12761</v>
      </c>
      <c r="BA63">
        <v>1040590</v>
      </c>
      <c r="BB63">
        <v>26000</v>
      </c>
      <c r="BC63" t="s">
        <v>739</v>
      </c>
      <c r="BD63" t="s">
        <v>369</v>
      </c>
      <c r="BE63" t="str">
        <f t="shared" si="30"/>
        <v>피****아</v>
      </c>
      <c r="BF63" t="str">
        <f t="shared" si="31"/>
        <v>***-****-6097</v>
      </c>
      <c r="BG63" t="str">
        <f t="shared" si="32"/>
        <v>***-****-7488</v>
      </c>
      <c r="BH63" t="s">
        <v>453</v>
      </c>
      <c r="BI63" t="s">
        <v>454</v>
      </c>
      <c r="BJ63" t="s">
        <v>938</v>
      </c>
      <c r="BK63" t="s">
        <v>456</v>
      </c>
      <c r="BL63">
        <v>12744</v>
      </c>
      <c r="BM63" t="str">
        <f>"12744"</f>
        <v>12744</v>
      </c>
      <c r="BN63" t="str">
        <f t="shared" si="35"/>
        <v>20180124-0000013</v>
      </c>
      <c r="BQ63" t="s">
        <v>373</v>
      </c>
      <c r="BV63" t="s">
        <v>768</v>
      </c>
      <c r="BW63" t="s">
        <v>764</v>
      </c>
      <c r="BX63" t="s">
        <v>191</v>
      </c>
      <c r="BY63">
        <v>0</v>
      </c>
      <c r="BZ63">
        <v>8806182550836</v>
      </c>
      <c r="CA63" t="s">
        <v>769</v>
      </c>
      <c r="CF63" t="s">
        <v>764</v>
      </c>
      <c r="CG63" t="s">
        <v>770</v>
      </c>
      <c r="CH63" t="s">
        <v>377</v>
      </c>
      <c r="CI63" t="s">
        <v>763</v>
      </c>
      <c r="CJ63">
        <v>8450</v>
      </c>
      <c r="CK63">
        <v>16900</v>
      </c>
      <c r="CL63" t="s">
        <v>771</v>
      </c>
      <c r="CN63">
        <v>2</v>
      </c>
      <c r="CO63">
        <v>14462</v>
      </c>
      <c r="CP63">
        <v>28924</v>
      </c>
      <c r="CQ63" t="s">
        <v>379</v>
      </c>
      <c r="CS63">
        <v>0</v>
      </c>
    </row>
    <row r="64" spans="1:97" x14ac:dyDescent="0.4">
      <c r="A64" s="10">
        <v>43125</v>
      </c>
      <c r="B64" t="s">
        <v>191</v>
      </c>
      <c r="C64" t="s">
        <v>939</v>
      </c>
      <c r="D64" t="s">
        <v>359</v>
      </c>
      <c r="E64" t="s">
        <v>733</v>
      </c>
      <c r="F64" t="str">
        <f t="shared" si="34"/>
        <v>20180124-0000013</v>
      </c>
      <c r="G64">
        <v>1039907</v>
      </c>
      <c r="H64">
        <v>1</v>
      </c>
      <c r="I64" t="s">
        <v>940</v>
      </c>
      <c r="L64">
        <v>0</v>
      </c>
      <c r="M64">
        <v>1</v>
      </c>
      <c r="O64" t="s">
        <v>361</v>
      </c>
      <c r="P64" t="s">
        <v>712</v>
      </c>
      <c r="S64" t="s">
        <v>941</v>
      </c>
      <c r="T64" t="s">
        <v>364</v>
      </c>
      <c r="X64" t="s">
        <v>940</v>
      </c>
      <c r="AA64">
        <v>15488</v>
      </c>
      <c r="AB64">
        <v>12.64</v>
      </c>
      <c r="AC64" t="s">
        <v>942</v>
      </c>
      <c r="AD64">
        <v>13.78</v>
      </c>
      <c r="AE64">
        <v>14.15</v>
      </c>
      <c r="AF64" t="s">
        <v>943</v>
      </c>
      <c r="AG64">
        <v>1880</v>
      </c>
      <c r="AK64">
        <v>22</v>
      </c>
      <c r="AL64" t="s">
        <v>940</v>
      </c>
      <c r="AN64" t="s">
        <v>944</v>
      </c>
      <c r="AQ64">
        <v>7800</v>
      </c>
      <c r="AR64" t="s">
        <v>368</v>
      </c>
      <c r="AS64">
        <v>613680197205</v>
      </c>
      <c r="AT64" t="str">
        <f t="shared" si="33"/>
        <v>피****아①</v>
      </c>
      <c r="AU64" t="str">
        <f t="shared" si="26"/>
        <v xml:space="preserve"> 1****0</v>
      </c>
      <c r="AV64" t="str">
        <f t="shared" si="27"/>
        <v>***-****-1406</v>
      </c>
      <c r="AW64" t="str">
        <f t="shared" si="28"/>
        <v xml:space="preserve"> 서* 강*구 방*동 5****5 2* 김****님</v>
      </c>
      <c r="AX64" t="str">
        <f>""</f>
        <v/>
      </c>
      <c r="AY64" t="str">
        <f t="shared" si="29"/>
        <v>***-****-0388</v>
      </c>
      <c r="AZ64">
        <v>29426</v>
      </c>
      <c r="BA64">
        <v>1040591</v>
      </c>
      <c r="BB64">
        <v>12000</v>
      </c>
      <c r="BC64" t="s">
        <v>739</v>
      </c>
      <c r="BD64" t="s">
        <v>369</v>
      </c>
      <c r="BE64" t="str">
        <f t="shared" si="30"/>
        <v>피****아</v>
      </c>
      <c r="BF64" t="str">
        <f t="shared" si="31"/>
        <v>***-****-6097</v>
      </c>
      <c r="BG64" t="str">
        <f t="shared" si="32"/>
        <v>***-****-7488</v>
      </c>
      <c r="BH64" t="s">
        <v>453</v>
      </c>
      <c r="BI64" t="s">
        <v>454</v>
      </c>
      <c r="BJ64" t="s">
        <v>945</v>
      </c>
      <c r="BK64" t="s">
        <v>456</v>
      </c>
      <c r="BL64">
        <v>19204</v>
      </c>
      <c r="BM64" t="str">
        <f>"19204"</f>
        <v>19204</v>
      </c>
      <c r="BN64" t="str">
        <f t="shared" si="35"/>
        <v>20180124-0000013</v>
      </c>
      <c r="BQ64" t="s">
        <v>373</v>
      </c>
      <c r="BV64" t="s">
        <v>940</v>
      </c>
      <c r="BW64" t="s">
        <v>940</v>
      </c>
      <c r="BX64" t="s">
        <v>191</v>
      </c>
      <c r="BY64">
        <v>0</v>
      </c>
      <c r="BZ64">
        <v>8806182544811</v>
      </c>
      <c r="CA64" t="s">
        <v>946</v>
      </c>
      <c r="CF64" t="s">
        <v>940</v>
      </c>
      <c r="CG64" t="s">
        <v>480</v>
      </c>
      <c r="CH64" t="s">
        <v>377</v>
      </c>
      <c r="CI64" t="s">
        <v>939</v>
      </c>
      <c r="CJ64">
        <v>7800</v>
      </c>
      <c r="CK64">
        <v>7800</v>
      </c>
      <c r="CL64" t="s">
        <v>947</v>
      </c>
      <c r="CN64">
        <v>1</v>
      </c>
      <c r="CO64">
        <v>15488</v>
      </c>
      <c r="CP64">
        <v>15488</v>
      </c>
      <c r="CQ64" t="s">
        <v>379</v>
      </c>
      <c r="CS64">
        <v>0</v>
      </c>
    </row>
    <row r="65" spans="1:97" x14ac:dyDescent="0.4">
      <c r="A65" s="10">
        <v>43125</v>
      </c>
      <c r="B65" t="s">
        <v>191</v>
      </c>
      <c r="C65" t="s">
        <v>948</v>
      </c>
      <c r="D65" t="s">
        <v>359</v>
      </c>
      <c r="E65" t="s">
        <v>733</v>
      </c>
      <c r="F65" t="str">
        <f t="shared" si="34"/>
        <v>20180124-0000013</v>
      </c>
      <c r="G65">
        <v>1039907</v>
      </c>
      <c r="H65">
        <v>1</v>
      </c>
      <c r="I65" t="s">
        <v>949</v>
      </c>
      <c r="L65">
        <v>0</v>
      </c>
      <c r="M65">
        <v>1</v>
      </c>
      <c r="O65" t="s">
        <v>361</v>
      </c>
      <c r="P65" t="s">
        <v>712</v>
      </c>
      <c r="S65" t="s">
        <v>950</v>
      </c>
      <c r="T65" t="s">
        <v>364</v>
      </c>
      <c r="X65" t="s">
        <v>949</v>
      </c>
      <c r="AA65">
        <v>15488</v>
      </c>
      <c r="AB65">
        <v>12.19</v>
      </c>
      <c r="AC65" t="s">
        <v>951</v>
      </c>
      <c r="AD65">
        <v>13.29</v>
      </c>
      <c r="AE65">
        <v>13.65</v>
      </c>
      <c r="AF65" t="s">
        <v>952</v>
      </c>
      <c r="AG65">
        <v>1880</v>
      </c>
      <c r="AL65" t="s">
        <v>949</v>
      </c>
      <c r="AN65" t="s">
        <v>953</v>
      </c>
      <c r="AQ65">
        <v>7800</v>
      </c>
      <c r="AR65" t="s">
        <v>368</v>
      </c>
      <c r="AS65">
        <v>613680197205</v>
      </c>
      <c r="AT65" t="str">
        <f t="shared" si="33"/>
        <v>피****아①</v>
      </c>
      <c r="AU65" t="str">
        <f t="shared" si="26"/>
        <v xml:space="preserve"> 1****0</v>
      </c>
      <c r="AV65" t="str">
        <f t="shared" si="27"/>
        <v>***-****-1406</v>
      </c>
      <c r="AW65" t="str">
        <f t="shared" si="28"/>
        <v xml:space="preserve"> 서* 강*구 방*동 5****5 2* 김****님</v>
      </c>
      <c r="AX65" t="str">
        <f>""</f>
        <v/>
      </c>
      <c r="AY65" t="str">
        <f t="shared" si="29"/>
        <v>***-****-0388</v>
      </c>
      <c r="AZ65">
        <v>28434</v>
      </c>
      <c r="BA65">
        <v>1040592</v>
      </c>
      <c r="BB65">
        <v>12000</v>
      </c>
      <c r="BC65" t="s">
        <v>739</v>
      </c>
      <c r="BD65" t="s">
        <v>369</v>
      </c>
      <c r="BE65" t="str">
        <f t="shared" si="30"/>
        <v>피****아</v>
      </c>
      <c r="BF65" t="str">
        <f t="shared" si="31"/>
        <v>***-****-6097</v>
      </c>
      <c r="BG65" t="str">
        <f t="shared" si="32"/>
        <v>***-****-7488</v>
      </c>
      <c r="BH65" t="s">
        <v>453</v>
      </c>
      <c r="BI65" t="s">
        <v>454</v>
      </c>
      <c r="BJ65" t="s">
        <v>954</v>
      </c>
      <c r="BK65" t="s">
        <v>456</v>
      </c>
      <c r="BL65">
        <v>19643</v>
      </c>
      <c r="BM65" t="str">
        <f>"19643"</f>
        <v>19643</v>
      </c>
      <c r="BN65" t="str">
        <f t="shared" si="35"/>
        <v>20180124-0000013</v>
      </c>
      <c r="BQ65" t="s">
        <v>373</v>
      </c>
      <c r="BU65">
        <v>81</v>
      </c>
      <c r="BV65" t="s">
        <v>955</v>
      </c>
      <c r="BW65" t="s">
        <v>949</v>
      </c>
      <c r="BX65" t="s">
        <v>191</v>
      </c>
      <c r="BY65">
        <v>0</v>
      </c>
      <c r="BZ65">
        <v>8806182545115</v>
      </c>
      <c r="CA65" t="s">
        <v>956</v>
      </c>
      <c r="CF65" t="s">
        <v>949</v>
      </c>
      <c r="CG65" t="s">
        <v>480</v>
      </c>
      <c r="CH65" t="s">
        <v>377</v>
      </c>
      <c r="CI65" t="s">
        <v>948</v>
      </c>
      <c r="CJ65">
        <v>7800</v>
      </c>
      <c r="CK65">
        <v>7800</v>
      </c>
      <c r="CL65" t="s">
        <v>957</v>
      </c>
      <c r="CN65">
        <v>1</v>
      </c>
      <c r="CO65">
        <v>15488</v>
      </c>
      <c r="CP65">
        <v>15488</v>
      </c>
      <c r="CQ65" t="s">
        <v>379</v>
      </c>
      <c r="CS65">
        <v>0</v>
      </c>
    </row>
    <row r="66" spans="1:97" x14ac:dyDescent="0.4">
      <c r="A66" s="10">
        <v>43125</v>
      </c>
      <c r="B66" t="s">
        <v>191</v>
      </c>
      <c r="C66" t="s">
        <v>958</v>
      </c>
      <c r="D66" t="s">
        <v>359</v>
      </c>
      <c r="E66" t="s">
        <v>733</v>
      </c>
      <c r="F66" t="str">
        <f t="shared" si="34"/>
        <v>20180124-0000013</v>
      </c>
      <c r="G66">
        <v>1039907</v>
      </c>
      <c r="H66">
        <v>1</v>
      </c>
      <c r="I66" t="s">
        <v>959</v>
      </c>
      <c r="L66">
        <v>0</v>
      </c>
      <c r="M66">
        <v>1</v>
      </c>
      <c r="O66" t="s">
        <v>361</v>
      </c>
      <c r="P66" t="s">
        <v>712</v>
      </c>
      <c r="S66" t="s">
        <v>960</v>
      </c>
      <c r="T66" t="s">
        <v>364</v>
      </c>
      <c r="X66" t="s">
        <v>959</v>
      </c>
      <c r="AA66">
        <v>15488</v>
      </c>
      <c r="AB66">
        <v>12.19</v>
      </c>
      <c r="AC66" t="s">
        <v>961</v>
      </c>
      <c r="AD66">
        <v>13.29</v>
      </c>
      <c r="AE66">
        <v>13.65</v>
      </c>
      <c r="AF66" t="s">
        <v>952</v>
      </c>
      <c r="AG66">
        <v>1880</v>
      </c>
      <c r="AL66" t="s">
        <v>959</v>
      </c>
      <c r="AN66" t="s">
        <v>962</v>
      </c>
      <c r="AQ66">
        <v>7800</v>
      </c>
      <c r="AR66" t="s">
        <v>368</v>
      </c>
      <c r="AS66">
        <v>613680197205</v>
      </c>
      <c r="AT66" t="str">
        <f t="shared" si="33"/>
        <v>피****아①</v>
      </c>
      <c r="AU66" t="str">
        <f t="shared" si="26"/>
        <v xml:space="preserve"> 1****0</v>
      </c>
      <c r="AV66" t="str">
        <f t="shared" si="27"/>
        <v>***-****-1406</v>
      </c>
      <c r="AW66" t="str">
        <f t="shared" si="28"/>
        <v xml:space="preserve"> 서* 강*구 방*동 5****5 2* 김****님</v>
      </c>
      <c r="AX66" t="str">
        <f>""</f>
        <v/>
      </c>
      <c r="AY66" t="str">
        <f t="shared" si="29"/>
        <v>***-****-0388</v>
      </c>
      <c r="AZ66">
        <v>29425</v>
      </c>
      <c r="BA66">
        <v>1040593</v>
      </c>
      <c r="BB66">
        <v>12000</v>
      </c>
      <c r="BC66" t="s">
        <v>739</v>
      </c>
      <c r="BD66" t="s">
        <v>369</v>
      </c>
      <c r="BE66" t="str">
        <f t="shared" si="30"/>
        <v>피****아</v>
      </c>
      <c r="BF66" t="str">
        <f t="shared" si="31"/>
        <v>***-****-6097</v>
      </c>
      <c r="BG66" t="str">
        <f t="shared" si="32"/>
        <v>***-****-7488</v>
      </c>
      <c r="BH66" t="s">
        <v>453</v>
      </c>
      <c r="BI66" t="s">
        <v>454</v>
      </c>
      <c r="BJ66" t="s">
        <v>963</v>
      </c>
      <c r="BK66" t="s">
        <v>456</v>
      </c>
      <c r="BL66">
        <v>19643</v>
      </c>
      <c r="BM66" t="str">
        <f>"19643"</f>
        <v>19643</v>
      </c>
      <c r="BN66" t="str">
        <f t="shared" si="35"/>
        <v>20180124-0000013</v>
      </c>
      <c r="BQ66" t="s">
        <v>373</v>
      </c>
      <c r="BU66">
        <v>81</v>
      </c>
      <c r="BV66" t="s">
        <v>964</v>
      </c>
      <c r="BW66" t="s">
        <v>959</v>
      </c>
      <c r="BX66" t="s">
        <v>191</v>
      </c>
      <c r="BY66">
        <v>0</v>
      </c>
      <c r="BZ66">
        <v>8806182545092</v>
      </c>
      <c r="CA66" t="s">
        <v>965</v>
      </c>
      <c r="CF66" t="s">
        <v>959</v>
      </c>
      <c r="CG66" t="s">
        <v>480</v>
      </c>
      <c r="CH66" t="s">
        <v>377</v>
      </c>
      <c r="CI66" t="s">
        <v>958</v>
      </c>
      <c r="CJ66">
        <v>7800</v>
      </c>
      <c r="CK66">
        <v>7800</v>
      </c>
      <c r="CL66" t="s">
        <v>966</v>
      </c>
      <c r="CN66">
        <v>1</v>
      </c>
      <c r="CO66">
        <v>15488</v>
      </c>
      <c r="CP66">
        <v>15488</v>
      </c>
      <c r="CQ66" t="s">
        <v>379</v>
      </c>
      <c r="CS66">
        <v>0</v>
      </c>
    </row>
    <row r="67" spans="1:97" x14ac:dyDescent="0.4">
      <c r="A67" s="10">
        <v>43125</v>
      </c>
      <c r="B67" t="s">
        <v>191</v>
      </c>
      <c r="C67" t="s">
        <v>967</v>
      </c>
      <c r="D67" t="s">
        <v>359</v>
      </c>
      <c r="E67" t="s">
        <v>733</v>
      </c>
      <c r="F67" t="str">
        <f t="shared" si="34"/>
        <v>20180124-0000013</v>
      </c>
      <c r="G67">
        <v>1039907</v>
      </c>
      <c r="H67">
        <v>1</v>
      </c>
      <c r="I67" t="s">
        <v>968</v>
      </c>
      <c r="L67">
        <v>0</v>
      </c>
      <c r="M67">
        <v>1</v>
      </c>
      <c r="O67" t="s">
        <v>361</v>
      </c>
      <c r="P67" t="s">
        <v>712</v>
      </c>
      <c r="S67" t="s">
        <v>969</v>
      </c>
      <c r="T67" t="s">
        <v>364</v>
      </c>
      <c r="X67" t="s">
        <v>968</v>
      </c>
      <c r="AA67">
        <v>15488</v>
      </c>
      <c r="AB67">
        <v>12.19</v>
      </c>
      <c r="AC67" t="s">
        <v>970</v>
      </c>
      <c r="AD67">
        <v>13.29</v>
      </c>
      <c r="AE67">
        <v>13.65</v>
      </c>
      <c r="AF67" t="s">
        <v>952</v>
      </c>
      <c r="AG67">
        <v>1880</v>
      </c>
      <c r="AL67" t="s">
        <v>968</v>
      </c>
      <c r="AN67" t="s">
        <v>971</v>
      </c>
      <c r="AQ67">
        <v>7800</v>
      </c>
      <c r="AR67" t="s">
        <v>368</v>
      </c>
      <c r="AS67">
        <v>613680197205</v>
      </c>
      <c r="AT67" t="str">
        <f t="shared" si="33"/>
        <v>피****아①</v>
      </c>
      <c r="AU67" t="str">
        <f t="shared" si="26"/>
        <v xml:space="preserve"> 1****0</v>
      </c>
      <c r="AV67" t="str">
        <f t="shared" si="27"/>
        <v>***-****-1406</v>
      </c>
      <c r="AW67" t="str">
        <f t="shared" si="28"/>
        <v xml:space="preserve"> 서* 강*구 방*동 5****5 2* 김****님</v>
      </c>
      <c r="AX67" t="str">
        <f>""</f>
        <v/>
      </c>
      <c r="AY67" t="str">
        <f t="shared" si="29"/>
        <v>***-****-0388</v>
      </c>
      <c r="AZ67">
        <v>28085</v>
      </c>
      <c r="BA67">
        <v>1040594</v>
      </c>
      <c r="BB67">
        <v>12000</v>
      </c>
      <c r="BC67" t="s">
        <v>739</v>
      </c>
      <c r="BD67" t="s">
        <v>369</v>
      </c>
      <c r="BE67" t="str">
        <f t="shared" si="30"/>
        <v>피****아</v>
      </c>
      <c r="BF67" t="str">
        <f t="shared" si="31"/>
        <v>***-****-6097</v>
      </c>
      <c r="BG67" t="str">
        <f t="shared" si="32"/>
        <v>***-****-7488</v>
      </c>
      <c r="BH67" t="s">
        <v>453</v>
      </c>
      <c r="BI67" t="s">
        <v>454</v>
      </c>
      <c r="BJ67" t="s">
        <v>972</v>
      </c>
      <c r="BK67" t="s">
        <v>456</v>
      </c>
      <c r="BL67">
        <v>19643</v>
      </c>
      <c r="BM67" t="str">
        <f>"19643"</f>
        <v>19643</v>
      </c>
      <c r="BN67" t="str">
        <f t="shared" si="35"/>
        <v>20180124-0000013</v>
      </c>
      <c r="BQ67" t="s">
        <v>373</v>
      </c>
      <c r="BU67">
        <v>81</v>
      </c>
      <c r="BV67" t="s">
        <v>973</v>
      </c>
      <c r="BW67" t="s">
        <v>968</v>
      </c>
      <c r="BX67" t="s">
        <v>191</v>
      </c>
      <c r="BY67">
        <v>0</v>
      </c>
      <c r="BZ67">
        <v>8806182545085</v>
      </c>
      <c r="CA67" t="s">
        <v>974</v>
      </c>
      <c r="CF67" t="s">
        <v>968</v>
      </c>
      <c r="CG67" t="s">
        <v>480</v>
      </c>
      <c r="CH67" t="s">
        <v>377</v>
      </c>
      <c r="CI67" t="s">
        <v>967</v>
      </c>
      <c r="CJ67">
        <v>7800</v>
      </c>
      <c r="CK67">
        <v>7800</v>
      </c>
      <c r="CL67" t="s">
        <v>975</v>
      </c>
      <c r="CN67">
        <v>1</v>
      </c>
      <c r="CO67">
        <v>15488</v>
      </c>
      <c r="CP67">
        <v>15488</v>
      </c>
      <c r="CQ67" t="s">
        <v>379</v>
      </c>
      <c r="CS67">
        <v>0</v>
      </c>
    </row>
    <row r="68" spans="1:97" x14ac:dyDescent="0.4">
      <c r="A68" s="10">
        <v>43125</v>
      </c>
      <c r="B68" t="s">
        <v>191</v>
      </c>
      <c r="C68" t="s">
        <v>976</v>
      </c>
      <c r="D68" t="s">
        <v>359</v>
      </c>
      <c r="E68" t="s">
        <v>733</v>
      </c>
      <c r="F68" t="str">
        <f t="shared" si="34"/>
        <v>20180124-0000013</v>
      </c>
      <c r="G68">
        <v>1039907</v>
      </c>
      <c r="H68">
        <v>1</v>
      </c>
      <c r="I68" t="s">
        <v>977</v>
      </c>
      <c r="L68">
        <v>0</v>
      </c>
      <c r="M68">
        <v>1</v>
      </c>
      <c r="O68" t="s">
        <v>361</v>
      </c>
      <c r="P68" t="s">
        <v>712</v>
      </c>
      <c r="S68" t="s">
        <v>978</v>
      </c>
      <c r="T68" t="s">
        <v>364</v>
      </c>
      <c r="X68" t="s">
        <v>977</v>
      </c>
      <c r="AA68">
        <v>18102</v>
      </c>
      <c r="AB68">
        <v>17.690000000000001</v>
      </c>
      <c r="AC68" t="s">
        <v>979</v>
      </c>
      <c r="AD68">
        <v>19.28</v>
      </c>
      <c r="AE68">
        <v>19.809999999999999</v>
      </c>
      <c r="AF68" t="s">
        <v>980</v>
      </c>
      <c r="AG68">
        <v>3770</v>
      </c>
      <c r="AK68">
        <v>90</v>
      </c>
      <c r="AL68" t="s">
        <v>977</v>
      </c>
      <c r="AN68" t="s">
        <v>981</v>
      </c>
      <c r="AQ68">
        <v>11700</v>
      </c>
      <c r="AR68" t="s">
        <v>368</v>
      </c>
      <c r="AS68">
        <v>613680197205</v>
      </c>
      <c r="AT68" t="str">
        <f t="shared" si="33"/>
        <v>피****아①</v>
      </c>
      <c r="AU68" t="str">
        <f t="shared" si="26"/>
        <v xml:space="preserve"> 1****0</v>
      </c>
      <c r="AV68" t="str">
        <f t="shared" si="27"/>
        <v>***-****-1406</v>
      </c>
      <c r="AW68" t="str">
        <f t="shared" si="28"/>
        <v xml:space="preserve"> 서* 강*구 방*동 5****5 2* 김****님</v>
      </c>
      <c r="AX68" t="str">
        <f>""</f>
        <v/>
      </c>
      <c r="AY68" t="str">
        <f t="shared" si="29"/>
        <v>***-****-0388</v>
      </c>
      <c r="AZ68">
        <v>28095</v>
      </c>
      <c r="BA68">
        <v>1040588</v>
      </c>
      <c r="BB68">
        <v>16900</v>
      </c>
      <c r="BC68" t="s">
        <v>739</v>
      </c>
      <c r="BD68" t="s">
        <v>369</v>
      </c>
      <c r="BE68" t="str">
        <f t="shared" si="30"/>
        <v>피****아</v>
      </c>
      <c r="BF68" t="str">
        <f t="shared" si="31"/>
        <v>***-****-6097</v>
      </c>
      <c r="BG68" t="str">
        <f t="shared" si="32"/>
        <v>***-****-7488</v>
      </c>
      <c r="BH68" t="s">
        <v>453</v>
      </c>
      <c r="BI68" t="s">
        <v>454</v>
      </c>
      <c r="BJ68" t="s">
        <v>982</v>
      </c>
      <c r="BK68" t="s">
        <v>456</v>
      </c>
      <c r="BL68">
        <v>13253</v>
      </c>
      <c r="BM68" t="str">
        <f>"13253"</f>
        <v>13253</v>
      </c>
      <c r="BN68" t="str">
        <f t="shared" si="35"/>
        <v>20180124-0000013</v>
      </c>
      <c r="BQ68" t="s">
        <v>373</v>
      </c>
      <c r="BV68" t="s">
        <v>977</v>
      </c>
      <c r="BW68" t="s">
        <v>977</v>
      </c>
      <c r="BX68" t="s">
        <v>191</v>
      </c>
      <c r="BY68">
        <v>0</v>
      </c>
      <c r="BZ68">
        <v>8806182522307</v>
      </c>
      <c r="CA68" t="s">
        <v>983</v>
      </c>
      <c r="CF68" t="s">
        <v>977</v>
      </c>
      <c r="CG68" t="s">
        <v>730</v>
      </c>
      <c r="CH68" t="s">
        <v>377</v>
      </c>
      <c r="CI68" t="s">
        <v>976</v>
      </c>
      <c r="CJ68">
        <v>11700</v>
      </c>
      <c r="CK68">
        <v>11700</v>
      </c>
      <c r="CL68" t="s">
        <v>984</v>
      </c>
      <c r="CN68">
        <v>1</v>
      </c>
      <c r="CO68">
        <v>18102</v>
      </c>
      <c r="CP68">
        <v>18102</v>
      </c>
      <c r="CQ68" t="s">
        <v>379</v>
      </c>
      <c r="CS68">
        <v>0</v>
      </c>
    </row>
    <row r="69" spans="1:97" x14ac:dyDescent="0.4">
      <c r="A69" s="10">
        <v>43125</v>
      </c>
      <c r="B69" t="s">
        <v>191</v>
      </c>
      <c r="C69" t="s">
        <v>985</v>
      </c>
      <c r="D69" t="s">
        <v>359</v>
      </c>
      <c r="E69" t="s">
        <v>733</v>
      </c>
      <c r="F69" t="str">
        <f t="shared" si="34"/>
        <v>20180124-0000013</v>
      </c>
      <c r="G69">
        <v>1039907</v>
      </c>
      <c r="H69">
        <v>2</v>
      </c>
      <c r="I69" t="s">
        <v>986</v>
      </c>
      <c r="L69">
        <v>0</v>
      </c>
      <c r="M69">
        <v>1</v>
      </c>
      <c r="O69" t="s">
        <v>361</v>
      </c>
      <c r="P69" t="s">
        <v>712</v>
      </c>
      <c r="S69" t="s">
        <v>987</v>
      </c>
      <c r="T69" t="s">
        <v>364</v>
      </c>
      <c r="X69" t="s">
        <v>986</v>
      </c>
      <c r="AA69">
        <v>18102</v>
      </c>
      <c r="AB69">
        <v>17.690000000000001</v>
      </c>
      <c r="AC69" t="s">
        <v>988</v>
      </c>
      <c r="AD69">
        <v>19.28</v>
      </c>
      <c r="AE69">
        <v>19.809999999999999</v>
      </c>
      <c r="AF69" t="s">
        <v>980</v>
      </c>
      <c r="AG69">
        <v>3770</v>
      </c>
      <c r="AH69">
        <v>150</v>
      </c>
      <c r="AI69">
        <v>3770</v>
      </c>
      <c r="AK69">
        <v>90</v>
      </c>
      <c r="AL69" t="s">
        <v>986</v>
      </c>
      <c r="AN69" t="s">
        <v>989</v>
      </c>
      <c r="AQ69">
        <v>11700</v>
      </c>
      <c r="AR69" t="s">
        <v>368</v>
      </c>
      <c r="AS69">
        <v>613680197205</v>
      </c>
      <c r="AT69" t="str">
        <f t="shared" si="33"/>
        <v>피****아①</v>
      </c>
      <c r="AU69" t="str">
        <f t="shared" si="26"/>
        <v xml:space="preserve"> 1****0</v>
      </c>
      <c r="AV69" t="str">
        <f t="shared" si="27"/>
        <v>***-****-1406</v>
      </c>
      <c r="AW69" t="str">
        <f t="shared" si="28"/>
        <v xml:space="preserve"> 서* 강*구 방*동 5****5 2* 김****님</v>
      </c>
      <c r="AX69" t="str">
        <f>""</f>
        <v/>
      </c>
      <c r="AY69" t="str">
        <f t="shared" si="29"/>
        <v>***-****-0388</v>
      </c>
      <c r="AZ69">
        <v>28501</v>
      </c>
      <c r="BA69">
        <v>1040589</v>
      </c>
      <c r="BB69">
        <v>33800</v>
      </c>
      <c r="BC69" t="s">
        <v>739</v>
      </c>
      <c r="BD69" t="s">
        <v>369</v>
      </c>
      <c r="BE69" t="str">
        <f t="shared" si="30"/>
        <v>피****아</v>
      </c>
      <c r="BF69" t="str">
        <f t="shared" si="31"/>
        <v>***-****-6097</v>
      </c>
      <c r="BG69" t="str">
        <f t="shared" si="32"/>
        <v>***-****-7488</v>
      </c>
      <c r="BH69" t="s">
        <v>453</v>
      </c>
      <c r="BI69" t="s">
        <v>454</v>
      </c>
      <c r="BJ69" t="s">
        <v>990</v>
      </c>
      <c r="BK69" t="s">
        <v>456</v>
      </c>
      <c r="BL69">
        <v>13253</v>
      </c>
      <c r="BM69" t="str">
        <f>"13253"</f>
        <v>13253</v>
      </c>
      <c r="BN69" t="str">
        <f t="shared" si="35"/>
        <v>20180124-0000013</v>
      </c>
      <c r="BQ69" t="s">
        <v>373</v>
      </c>
      <c r="BV69" t="s">
        <v>986</v>
      </c>
      <c r="BW69" t="s">
        <v>986</v>
      </c>
      <c r="BX69" t="s">
        <v>191</v>
      </c>
      <c r="BY69">
        <v>0</v>
      </c>
      <c r="BZ69">
        <v>8806182522291</v>
      </c>
      <c r="CA69" t="s">
        <v>991</v>
      </c>
      <c r="CF69" t="s">
        <v>986</v>
      </c>
      <c r="CG69" t="s">
        <v>730</v>
      </c>
      <c r="CH69" t="s">
        <v>377</v>
      </c>
      <c r="CI69" t="s">
        <v>985</v>
      </c>
      <c r="CJ69">
        <v>11700</v>
      </c>
      <c r="CK69">
        <v>23400</v>
      </c>
      <c r="CL69" t="s">
        <v>992</v>
      </c>
      <c r="CN69">
        <v>2</v>
      </c>
      <c r="CO69">
        <v>18102</v>
      </c>
      <c r="CP69">
        <v>36204</v>
      </c>
      <c r="CQ69" t="s">
        <v>820</v>
      </c>
      <c r="CR69" t="s">
        <v>993</v>
      </c>
      <c r="CS69">
        <v>0</v>
      </c>
    </row>
    <row r="70" spans="1:97" x14ac:dyDescent="0.4">
      <c r="A70" s="10">
        <v>43125</v>
      </c>
      <c r="B70" t="s">
        <v>191</v>
      </c>
      <c r="C70" t="s">
        <v>994</v>
      </c>
      <c r="D70" t="s">
        <v>359</v>
      </c>
      <c r="E70" t="s">
        <v>733</v>
      </c>
      <c r="F70" t="str">
        <f t="shared" si="34"/>
        <v>20180124-0000013</v>
      </c>
      <c r="G70">
        <v>1039907</v>
      </c>
      <c r="H70">
        <v>1</v>
      </c>
      <c r="I70" t="s">
        <v>995</v>
      </c>
      <c r="L70">
        <v>0</v>
      </c>
      <c r="M70">
        <v>1</v>
      </c>
      <c r="O70" t="s">
        <v>361</v>
      </c>
      <c r="P70" t="s">
        <v>712</v>
      </c>
      <c r="S70" t="s">
        <v>996</v>
      </c>
      <c r="T70" t="s">
        <v>364</v>
      </c>
      <c r="X70" t="s">
        <v>995</v>
      </c>
      <c r="AA70">
        <v>5724</v>
      </c>
      <c r="AB70">
        <v>3.97</v>
      </c>
      <c r="AC70" t="s">
        <v>997</v>
      </c>
      <c r="AD70">
        <v>4.33</v>
      </c>
      <c r="AE70">
        <v>4.45</v>
      </c>
      <c r="AF70" t="s">
        <v>998</v>
      </c>
      <c r="AG70">
        <v>1880</v>
      </c>
      <c r="AK70">
        <v>6</v>
      </c>
      <c r="AL70" t="s">
        <v>995</v>
      </c>
      <c r="AN70" t="s">
        <v>999</v>
      </c>
      <c r="AQ70">
        <v>1300</v>
      </c>
      <c r="AR70" t="s">
        <v>368</v>
      </c>
      <c r="AS70">
        <v>613680197205</v>
      </c>
      <c r="AT70" t="str">
        <f t="shared" si="33"/>
        <v>피****아①</v>
      </c>
      <c r="AU70" t="str">
        <f t="shared" si="26"/>
        <v xml:space="preserve"> 1****0</v>
      </c>
      <c r="AV70" t="str">
        <f t="shared" si="27"/>
        <v>***-****-1406</v>
      </c>
      <c r="AW70" t="str">
        <f t="shared" si="28"/>
        <v xml:space="preserve"> 서* 강*구 방*동 5****5 2* 김****님</v>
      </c>
      <c r="AX70" t="str">
        <f>""</f>
        <v/>
      </c>
      <c r="AY70" t="str">
        <f t="shared" si="29"/>
        <v>***-****-0388</v>
      </c>
      <c r="AZ70">
        <v>28000</v>
      </c>
      <c r="BA70">
        <v>1040595</v>
      </c>
      <c r="BB70">
        <v>2000</v>
      </c>
      <c r="BC70" t="s">
        <v>739</v>
      </c>
      <c r="BD70" t="s">
        <v>369</v>
      </c>
      <c r="BE70" t="str">
        <f t="shared" si="30"/>
        <v>피****아</v>
      </c>
      <c r="BF70" t="str">
        <f t="shared" si="31"/>
        <v>***-****-6097</v>
      </c>
      <c r="BG70" t="str">
        <f t="shared" si="32"/>
        <v>***-****-7488</v>
      </c>
      <c r="BH70" t="s">
        <v>453</v>
      </c>
      <c r="BI70" t="s">
        <v>454</v>
      </c>
      <c r="BJ70" t="s">
        <v>1000</v>
      </c>
      <c r="BK70" t="s">
        <v>456</v>
      </c>
      <c r="BL70">
        <v>19333</v>
      </c>
      <c r="BM70" t="str">
        <f>"19333"</f>
        <v>19333</v>
      </c>
      <c r="BN70" t="str">
        <f t="shared" si="35"/>
        <v>20180124-0000013</v>
      </c>
      <c r="BQ70" t="s">
        <v>373</v>
      </c>
      <c r="BV70" t="s">
        <v>1001</v>
      </c>
      <c r="BW70" t="s">
        <v>995</v>
      </c>
      <c r="BX70" t="s">
        <v>191</v>
      </c>
      <c r="BY70">
        <v>0</v>
      </c>
      <c r="BZ70">
        <v>8806364060030</v>
      </c>
      <c r="CA70" t="s">
        <v>1002</v>
      </c>
      <c r="CF70" t="s">
        <v>995</v>
      </c>
      <c r="CG70" t="s">
        <v>1003</v>
      </c>
      <c r="CH70" t="s">
        <v>377</v>
      </c>
      <c r="CI70" t="s">
        <v>994</v>
      </c>
      <c r="CJ70">
        <v>1300</v>
      </c>
      <c r="CK70">
        <v>1300</v>
      </c>
      <c r="CL70" t="s">
        <v>1004</v>
      </c>
      <c r="CN70">
        <v>1</v>
      </c>
      <c r="CO70">
        <v>5724</v>
      </c>
      <c r="CP70">
        <v>5724</v>
      </c>
      <c r="CQ70" t="s">
        <v>379</v>
      </c>
      <c r="CS70">
        <v>0</v>
      </c>
    </row>
    <row r="71" spans="1:97" x14ac:dyDescent="0.4">
      <c r="A71" s="10">
        <v>43125</v>
      </c>
      <c r="B71" t="s">
        <v>135</v>
      </c>
      <c r="C71" t="s">
        <v>1005</v>
      </c>
      <c r="D71" t="s">
        <v>359</v>
      </c>
      <c r="F71" t="str">
        <f t="shared" si="34"/>
        <v>20180124-0000013</v>
      </c>
      <c r="G71">
        <v>1033879</v>
      </c>
      <c r="H71">
        <v>7</v>
      </c>
      <c r="I71" t="s">
        <v>1006</v>
      </c>
      <c r="L71">
        <v>0</v>
      </c>
      <c r="M71">
        <v>1</v>
      </c>
      <c r="N71" t="s">
        <v>462</v>
      </c>
      <c r="O71" t="s">
        <v>361</v>
      </c>
      <c r="P71" t="s">
        <v>712</v>
      </c>
      <c r="S71" t="s">
        <v>1007</v>
      </c>
      <c r="T71" t="s">
        <v>364</v>
      </c>
      <c r="X71" t="s">
        <v>1006</v>
      </c>
      <c r="AA71">
        <v>15960</v>
      </c>
      <c r="AB71">
        <v>12.31</v>
      </c>
      <c r="AC71" t="s">
        <v>1008</v>
      </c>
      <c r="AD71">
        <v>13.42</v>
      </c>
      <c r="AE71">
        <v>13.79</v>
      </c>
      <c r="AF71" t="s">
        <v>1009</v>
      </c>
      <c r="AG71">
        <v>6500</v>
      </c>
      <c r="AK71">
        <v>216</v>
      </c>
      <c r="AL71" t="s">
        <v>1006</v>
      </c>
      <c r="AQ71">
        <v>5390</v>
      </c>
      <c r="AR71" t="s">
        <v>368</v>
      </c>
      <c r="AT71" t="str">
        <f>"피****아"</f>
        <v>피****아</v>
      </c>
      <c r="AU71" t="str">
        <f t="shared" si="26"/>
        <v xml:space="preserve"> 1****0</v>
      </c>
      <c r="AV71" t="str">
        <f t="shared" si="27"/>
        <v>***-****-1406</v>
      </c>
      <c r="AW71" t="str">
        <f t="shared" si="28"/>
        <v xml:space="preserve"> 서* 강*구 방*동 5****5 2* 김****님</v>
      </c>
      <c r="AX71" t="str">
        <f>""</f>
        <v/>
      </c>
      <c r="AY71" t="str">
        <f t="shared" si="29"/>
        <v>***-****-0388</v>
      </c>
      <c r="AZ71">
        <v>20041</v>
      </c>
      <c r="BA71">
        <v>1041171</v>
      </c>
      <c r="BB71">
        <v>68600</v>
      </c>
      <c r="BD71" t="s">
        <v>369</v>
      </c>
      <c r="BE71" t="str">
        <f t="shared" si="30"/>
        <v>피****아</v>
      </c>
      <c r="BF71" t="str">
        <f t="shared" si="31"/>
        <v>***-****-6097</v>
      </c>
      <c r="BG71" t="str">
        <f t="shared" si="32"/>
        <v>***-****-7488</v>
      </c>
      <c r="BI71" t="s">
        <v>370</v>
      </c>
      <c r="BJ71" t="s">
        <v>1010</v>
      </c>
      <c r="BK71" t="s">
        <v>372</v>
      </c>
      <c r="BL71">
        <v>18773</v>
      </c>
      <c r="BM71" t="str">
        <f>"18773"</f>
        <v>18773</v>
      </c>
      <c r="BN71" t="str">
        <f t="shared" si="35"/>
        <v>20180124-0000013</v>
      </c>
      <c r="BQ71" t="s">
        <v>373</v>
      </c>
      <c r="BV71" t="s">
        <v>1011</v>
      </c>
      <c r="BW71" t="s">
        <v>1006</v>
      </c>
      <c r="BX71" t="s">
        <v>135</v>
      </c>
      <c r="BY71">
        <v>0</v>
      </c>
      <c r="BZ71">
        <v>8806358568412</v>
      </c>
      <c r="CA71" t="s">
        <v>1012</v>
      </c>
      <c r="CF71" t="s">
        <v>1006</v>
      </c>
      <c r="CG71" t="s">
        <v>877</v>
      </c>
      <c r="CH71" t="s">
        <v>377</v>
      </c>
      <c r="CI71" t="s">
        <v>1005</v>
      </c>
      <c r="CJ71">
        <v>5390</v>
      </c>
      <c r="CK71">
        <v>37730</v>
      </c>
      <c r="CL71" t="s">
        <v>1013</v>
      </c>
      <c r="CN71">
        <v>7</v>
      </c>
      <c r="CO71">
        <v>15960</v>
      </c>
      <c r="CP71">
        <v>111720</v>
      </c>
      <c r="CQ71" t="s">
        <v>820</v>
      </c>
      <c r="CR71" t="s">
        <v>821</v>
      </c>
      <c r="CS71">
        <v>0</v>
      </c>
    </row>
    <row r="72" spans="1:97" x14ac:dyDescent="0.4">
      <c r="A72" s="10">
        <v>43125</v>
      </c>
      <c r="B72" t="s">
        <v>102</v>
      </c>
      <c r="C72" t="s">
        <v>1014</v>
      </c>
      <c r="D72" t="s">
        <v>359</v>
      </c>
      <c r="E72" t="s">
        <v>447</v>
      </c>
      <c r="F72" t="str">
        <f>"20180125-0000021"</f>
        <v>20180125-0000021</v>
      </c>
      <c r="H72">
        <v>1</v>
      </c>
      <c r="I72" t="s">
        <v>1015</v>
      </c>
      <c r="J72">
        <v>20160</v>
      </c>
      <c r="L72">
        <v>0</v>
      </c>
      <c r="M72">
        <v>1</v>
      </c>
      <c r="O72" t="s">
        <v>361</v>
      </c>
      <c r="P72" t="s">
        <v>1016</v>
      </c>
      <c r="S72" t="s">
        <v>1017</v>
      </c>
      <c r="T72" t="s">
        <v>364</v>
      </c>
      <c r="X72" t="s">
        <v>1018</v>
      </c>
      <c r="AA72">
        <v>29848</v>
      </c>
      <c r="AB72">
        <v>25.454545450000001</v>
      </c>
      <c r="AC72" t="s">
        <v>1019</v>
      </c>
      <c r="AD72">
        <v>29.94</v>
      </c>
      <c r="AE72">
        <v>30.76</v>
      </c>
      <c r="AF72" t="s">
        <v>777</v>
      </c>
      <c r="AG72">
        <v>3360</v>
      </c>
      <c r="AL72" t="s">
        <v>1015</v>
      </c>
      <c r="AQ72">
        <v>19600</v>
      </c>
      <c r="AR72" t="s">
        <v>368</v>
      </c>
      <c r="AS72">
        <v>613680197220</v>
      </c>
      <c r="AT72" t="str">
        <f>"부**텍"</f>
        <v>부**텍</v>
      </c>
      <c r="AU72" t="str">
        <f>" 1****3"</f>
        <v xml:space="preserve"> 1****3</v>
      </c>
      <c r="AV72" t="str">
        <f>"***-****-4825"</f>
        <v>***-****-4825</v>
      </c>
      <c r="AW72" t="str">
        <f>" 서* 서*구 서**동 서***자 1***호"</f>
        <v xml:space="preserve"> 서* 서*구 서**동 서***자 1***호</v>
      </c>
      <c r="AY72" t="str">
        <f>"***-****-4199"</f>
        <v>***-****-4199</v>
      </c>
      <c r="AZ72">
        <v>28397</v>
      </c>
      <c r="BA72">
        <v>1040657</v>
      </c>
      <c r="BB72">
        <v>28000</v>
      </c>
      <c r="BC72" t="s">
        <v>1020</v>
      </c>
      <c r="BD72" t="s">
        <v>1021</v>
      </c>
      <c r="BE72" t="str">
        <f>"부**텍"</f>
        <v>부**텍</v>
      </c>
      <c r="BF72" t="str">
        <f>"***-****-4825"</f>
        <v>***-****-4825</v>
      </c>
      <c r="BG72" t="str">
        <f>"***-****-4199"</f>
        <v>***-****-4199</v>
      </c>
      <c r="BH72" t="s">
        <v>453</v>
      </c>
      <c r="BI72" t="s">
        <v>454</v>
      </c>
      <c r="BJ72" t="s">
        <v>1022</v>
      </c>
      <c r="BK72" t="s">
        <v>456</v>
      </c>
      <c r="BL72">
        <v>21429</v>
      </c>
      <c r="BM72" t="str">
        <f>"21429"</f>
        <v>21429</v>
      </c>
      <c r="BN72" t="str">
        <f>"20180125-0000021"</f>
        <v>20180125-0000021</v>
      </c>
      <c r="BQ72" t="s">
        <v>373</v>
      </c>
      <c r="BU72">
        <v>141</v>
      </c>
      <c r="BV72" t="s">
        <v>1023</v>
      </c>
      <c r="BW72" t="s">
        <v>1015</v>
      </c>
      <c r="BX72" t="s">
        <v>102</v>
      </c>
      <c r="BY72">
        <v>0</v>
      </c>
      <c r="BZ72">
        <v>8809516532447</v>
      </c>
      <c r="CA72" t="s">
        <v>1024</v>
      </c>
      <c r="CF72" t="s">
        <v>1018</v>
      </c>
      <c r="CG72" t="s">
        <v>534</v>
      </c>
      <c r="CH72" t="s">
        <v>377</v>
      </c>
      <c r="CI72" t="s">
        <v>1014</v>
      </c>
      <c r="CJ72">
        <v>19600</v>
      </c>
      <c r="CK72">
        <v>19600</v>
      </c>
      <c r="CL72" t="s">
        <v>653</v>
      </c>
      <c r="CN72">
        <v>1</v>
      </c>
      <c r="CO72">
        <v>29848</v>
      </c>
      <c r="CP72">
        <v>29848</v>
      </c>
      <c r="CQ72" t="s">
        <v>379</v>
      </c>
      <c r="CS72">
        <v>0</v>
      </c>
    </row>
    <row r="73" spans="1:97" x14ac:dyDescent="0.4">
      <c r="A73" s="10">
        <v>43124</v>
      </c>
      <c r="B73" t="s">
        <v>123</v>
      </c>
      <c r="C73" t="s">
        <v>1025</v>
      </c>
      <c r="D73" t="s">
        <v>359</v>
      </c>
      <c r="E73" t="s">
        <v>1026</v>
      </c>
      <c r="F73" t="str">
        <f t="shared" ref="F73:F82" si="36">"20180123-0000036"</f>
        <v>20180123-0000036</v>
      </c>
      <c r="G73">
        <v>1039961</v>
      </c>
      <c r="H73">
        <v>1</v>
      </c>
      <c r="I73" t="s">
        <v>1027</v>
      </c>
      <c r="L73">
        <v>0</v>
      </c>
      <c r="M73">
        <v>1</v>
      </c>
      <c r="O73" t="s">
        <v>361</v>
      </c>
      <c r="P73" t="s">
        <v>1028</v>
      </c>
      <c r="S73" t="s">
        <v>1029</v>
      </c>
      <c r="T73" t="s">
        <v>364</v>
      </c>
      <c r="X73" t="s">
        <v>1027</v>
      </c>
      <c r="AA73">
        <v>10189</v>
      </c>
      <c r="AB73">
        <v>7.77</v>
      </c>
      <c r="AC73" t="s">
        <v>1030</v>
      </c>
      <c r="AD73">
        <v>8.4700000000000006</v>
      </c>
      <c r="AE73">
        <v>8.7100000000000009</v>
      </c>
      <c r="AF73" t="s">
        <v>1031</v>
      </c>
      <c r="AG73">
        <v>1880</v>
      </c>
      <c r="AL73" t="s">
        <v>1027</v>
      </c>
      <c r="AN73" t="s">
        <v>1032</v>
      </c>
      <c r="AQ73">
        <v>4488</v>
      </c>
      <c r="AR73" t="s">
        <v>368</v>
      </c>
      <c r="AS73">
        <v>613660397414</v>
      </c>
      <c r="AT73" t="str">
        <f t="shared" ref="AT73:AT82" si="37">"이*수①"</f>
        <v>이*수①</v>
      </c>
      <c r="AU73" t="str">
        <f t="shared" ref="AU73:AU82" si="38">" 2***2"</f>
        <v xml:space="preserve"> 2***2</v>
      </c>
      <c r="AV73" t="str">
        <f t="shared" ref="AV73:AV82" si="39">"***-****-9592"</f>
        <v>***-****-9592</v>
      </c>
      <c r="AW73" t="str">
        <f t="shared" ref="AW73:AW82" si="40">" 인* 서* 원**로 8*2 (***) 삼***자 5**호 햇*찬 글*벌"</f>
        <v xml:space="preserve"> 인* 서* 원**로 8*2 (***) 삼***자 5**호 햇*찬 글*벌</v>
      </c>
      <c r="AX73" t="str">
        <f>""</f>
        <v/>
      </c>
      <c r="AY73" t="str">
        <f t="shared" ref="AY73:AY82" si="41">"***-****-9597"</f>
        <v>***-****-9597</v>
      </c>
      <c r="AZ73">
        <v>29394</v>
      </c>
      <c r="BA73">
        <v>1039961</v>
      </c>
      <c r="BB73">
        <v>8800</v>
      </c>
      <c r="BC73" t="s">
        <v>1033</v>
      </c>
      <c r="BD73" t="s">
        <v>707</v>
      </c>
      <c r="BE73" t="str">
        <f t="shared" ref="BE73:BE82" si="42">"이*수"</f>
        <v>이*수</v>
      </c>
      <c r="BF73" t="str">
        <f t="shared" ref="BF73:BF82" si="43">"***-****-9592"</f>
        <v>***-****-9592</v>
      </c>
      <c r="BG73" t="str">
        <f t="shared" ref="BG73:BG82" si="44">"***-****-9597"</f>
        <v>***-****-9597</v>
      </c>
      <c r="BH73" t="s">
        <v>453</v>
      </c>
      <c r="BI73" t="s">
        <v>454</v>
      </c>
      <c r="BJ73" t="s">
        <v>1034</v>
      </c>
      <c r="BK73" t="s">
        <v>456</v>
      </c>
      <c r="BL73">
        <v>19739</v>
      </c>
      <c r="BM73" t="str">
        <f>"19739"</f>
        <v>19739</v>
      </c>
      <c r="BN73" t="str">
        <f t="shared" ref="BN73:BN82" si="45">"20180123-0000036"</f>
        <v>20180123-0000036</v>
      </c>
      <c r="BQ73" t="s">
        <v>373</v>
      </c>
      <c r="BU73">
        <v>82</v>
      </c>
      <c r="BV73" t="s">
        <v>1035</v>
      </c>
      <c r="BW73" t="s">
        <v>1027</v>
      </c>
      <c r="BX73" t="s">
        <v>123</v>
      </c>
      <c r="BY73">
        <v>0</v>
      </c>
      <c r="BZ73">
        <v>8809454025766</v>
      </c>
      <c r="CA73" t="s">
        <v>1036</v>
      </c>
      <c r="CF73" t="s">
        <v>1027</v>
      </c>
      <c r="CG73" t="s">
        <v>1037</v>
      </c>
      <c r="CH73" t="s">
        <v>377</v>
      </c>
      <c r="CI73" t="s">
        <v>1025</v>
      </c>
      <c r="CJ73">
        <v>4488</v>
      </c>
      <c r="CK73">
        <v>4488</v>
      </c>
      <c r="CL73" t="s">
        <v>1038</v>
      </c>
      <c r="CN73">
        <v>1</v>
      </c>
      <c r="CO73">
        <v>10189</v>
      </c>
      <c r="CP73">
        <v>10189</v>
      </c>
      <c r="CQ73" t="s">
        <v>379</v>
      </c>
      <c r="CS73">
        <v>0</v>
      </c>
    </row>
    <row r="74" spans="1:97" x14ac:dyDescent="0.4">
      <c r="A74" s="10">
        <v>43124</v>
      </c>
      <c r="B74" t="s">
        <v>215</v>
      </c>
      <c r="C74" t="s">
        <v>1039</v>
      </c>
      <c r="D74" t="s">
        <v>359</v>
      </c>
      <c r="E74" t="s">
        <v>1026</v>
      </c>
      <c r="F74" t="str">
        <f t="shared" si="36"/>
        <v>20180123-0000036</v>
      </c>
      <c r="G74">
        <v>1039961</v>
      </c>
      <c r="H74">
        <v>1</v>
      </c>
      <c r="I74" t="s">
        <v>1040</v>
      </c>
      <c r="L74">
        <v>0</v>
      </c>
      <c r="M74">
        <v>1</v>
      </c>
      <c r="O74" t="s">
        <v>361</v>
      </c>
      <c r="P74" t="s">
        <v>1028</v>
      </c>
      <c r="S74" t="s">
        <v>1041</v>
      </c>
      <c r="T74" t="s">
        <v>364</v>
      </c>
      <c r="X74" t="s">
        <v>1040</v>
      </c>
      <c r="AA74">
        <v>19558</v>
      </c>
      <c r="AB74">
        <v>16.25</v>
      </c>
      <c r="AC74" t="s">
        <v>1042</v>
      </c>
      <c r="AD74">
        <v>17.71</v>
      </c>
      <c r="AE74">
        <v>18.2</v>
      </c>
      <c r="AF74" t="s">
        <v>1043</v>
      </c>
      <c r="AG74">
        <v>3770</v>
      </c>
      <c r="AK74">
        <v>139</v>
      </c>
      <c r="AL74" t="s">
        <v>1040</v>
      </c>
      <c r="AQ74">
        <v>10540</v>
      </c>
      <c r="AR74" t="s">
        <v>368</v>
      </c>
      <c r="AS74">
        <v>613660397414</v>
      </c>
      <c r="AT74" t="str">
        <f t="shared" si="37"/>
        <v>이*수①</v>
      </c>
      <c r="AU74" t="str">
        <f t="shared" si="38"/>
        <v xml:space="preserve"> 2***2</v>
      </c>
      <c r="AV74" t="str">
        <f t="shared" si="39"/>
        <v>***-****-9592</v>
      </c>
      <c r="AW74" t="str">
        <f t="shared" si="40"/>
        <v xml:space="preserve"> 인* 서* 원**로 8*2 (***) 삼***자 5**호 햇*찬 글*벌</v>
      </c>
      <c r="AX74" t="str">
        <f>""</f>
        <v/>
      </c>
      <c r="AY74" t="str">
        <f t="shared" si="41"/>
        <v>***-****-9597</v>
      </c>
      <c r="AZ74">
        <v>15099</v>
      </c>
      <c r="BA74">
        <v>1039969</v>
      </c>
      <c r="BB74">
        <v>17000</v>
      </c>
      <c r="BC74" t="s">
        <v>1033</v>
      </c>
      <c r="BD74" t="s">
        <v>707</v>
      </c>
      <c r="BE74" t="str">
        <f t="shared" si="42"/>
        <v>이*수</v>
      </c>
      <c r="BF74" t="str">
        <f t="shared" si="43"/>
        <v>***-****-9592</v>
      </c>
      <c r="BG74" t="str">
        <f t="shared" si="44"/>
        <v>***-****-9597</v>
      </c>
      <c r="BH74" t="s">
        <v>453</v>
      </c>
      <c r="BI74" t="s">
        <v>454</v>
      </c>
      <c r="BJ74" t="s">
        <v>1044</v>
      </c>
      <c r="BK74" t="s">
        <v>456</v>
      </c>
      <c r="BL74">
        <v>17702</v>
      </c>
      <c r="BM74" t="str">
        <f>"17702"</f>
        <v>17702</v>
      </c>
      <c r="BN74" t="str">
        <f t="shared" si="45"/>
        <v>20180123-0000036</v>
      </c>
      <c r="BQ74" t="s">
        <v>373</v>
      </c>
      <c r="BV74" t="s">
        <v>1045</v>
      </c>
      <c r="BW74" t="s">
        <v>1040</v>
      </c>
      <c r="BX74" t="s">
        <v>215</v>
      </c>
      <c r="BY74">
        <v>0</v>
      </c>
      <c r="BZ74">
        <v>8806199433030</v>
      </c>
      <c r="CA74" t="s">
        <v>1046</v>
      </c>
      <c r="CF74" t="s">
        <v>1040</v>
      </c>
      <c r="CG74" t="s">
        <v>1047</v>
      </c>
      <c r="CH74" t="s">
        <v>377</v>
      </c>
      <c r="CI74" t="s">
        <v>1039</v>
      </c>
      <c r="CJ74">
        <v>10540</v>
      </c>
      <c r="CK74">
        <v>10540</v>
      </c>
      <c r="CL74" t="s">
        <v>1048</v>
      </c>
      <c r="CN74">
        <v>1</v>
      </c>
      <c r="CO74">
        <v>19558</v>
      </c>
      <c r="CP74">
        <v>19558</v>
      </c>
      <c r="CQ74" t="s">
        <v>379</v>
      </c>
      <c r="CS74">
        <v>0</v>
      </c>
    </row>
    <row r="75" spans="1:97" x14ac:dyDescent="0.4">
      <c r="A75" s="10">
        <v>43124</v>
      </c>
      <c r="B75" t="s">
        <v>215</v>
      </c>
      <c r="C75" t="s">
        <v>1049</v>
      </c>
      <c r="D75" t="s">
        <v>359</v>
      </c>
      <c r="E75" t="s">
        <v>1026</v>
      </c>
      <c r="F75" t="str">
        <f t="shared" si="36"/>
        <v>20180123-0000036</v>
      </c>
      <c r="G75">
        <v>1039961</v>
      </c>
      <c r="H75">
        <v>1</v>
      </c>
      <c r="I75" t="s">
        <v>1050</v>
      </c>
      <c r="L75">
        <v>0</v>
      </c>
      <c r="M75">
        <v>1</v>
      </c>
      <c r="O75" t="s">
        <v>361</v>
      </c>
      <c r="P75" t="s">
        <v>1028</v>
      </c>
      <c r="S75" t="s">
        <v>1051</v>
      </c>
      <c r="T75" t="s">
        <v>364</v>
      </c>
      <c r="X75" t="s">
        <v>1050</v>
      </c>
      <c r="AA75">
        <v>0</v>
      </c>
      <c r="AB75">
        <v>7.2</v>
      </c>
      <c r="AC75" t="s">
        <v>1052</v>
      </c>
      <c r="AD75">
        <v>7.85</v>
      </c>
      <c r="AE75">
        <v>8.06</v>
      </c>
      <c r="AG75">
        <v>1880</v>
      </c>
      <c r="AH75">
        <v>85</v>
      </c>
      <c r="AI75">
        <v>1880</v>
      </c>
      <c r="AK75">
        <v>18</v>
      </c>
      <c r="AL75" t="s">
        <v>1050</v>
      </c>
      <c r="AN75" t="s">
        <v>1053</v>
      </c>
      <c r="AQ75">
        <v>3720</v>
      </c>
      <c r="AR75" t="s">
        <v>368</v>
      </c>
      <c r="AS75">
        <v>613660397414</v>
      </c>
      <c r="AT75" t="str">
        <f t="shared" si="37"/>
        <v>이*수①</v>
      </c>
      <c r="AU75" t="str">
        <f t="shared" si="38"/>
        <v xml:space="preserve"> 2***2</v>
      </c>
      <c r="AV75" t="str">
        <f t="shared" si="39"/>
        <v>***-****-9592</v>
      </c>
      <c r="AW75" t="str">
        <f t="shared" si="40"/>
        <v xml:space="preserve"> 인* 서* 원**로 8*2 (***) 삼***자 5**호 햇*찬 글*벌</v>
      </c>
      <c r="AX75" t="str">
        <f>""</f>
        <v/>
      </c>
      <c r="AY75" t="str">
        <f t="shared" si="41"/>
        <v>***-****-9597</v>
      </c>
      <c r="AZ75">
        <v>29406</v>
      </c>
      <c r="BA75">
        <v>1039967</v>
      </c>
      <c r="BB75">
        <v>6000</v>
      </c>
      <c r="BC75" t="s">
        <v>1033</v>
      </c>
      <c r="BD75" t="s">
        <v>707</v>
      </c>
      <c r="BE75" t="str">
        <f t="shared" si="42"/>
        <v>이*수</v>
      </c>
      <c r="BF75" t="str">
        <f t="shared" si="43"/>
        <v>***-****-9592</v>
      </c>
      <c r="BG75" t="str">
        <f t="shared" si="44"/>
        <v>***-****-9597</v>
      </c>
      <c r="BH75" t="s">
        <v>453</v>
      </c>
      <c r="BI75" t="s">
        <v>454</v>
      </c>
      <c r="BJ75" t="s">
        <v>1054</v>
      </c>
      <c r="BK75" t="s">
        <v>456</v>
      </c>
      <c r="BL75">
        <v>13263</v>
      </c>
      <c r="BM75" t="str">
        <f>"13263"</f>
        <v>13263</v>
      </c>
      <c r="BN75" t="str">
        <f t="shared" si="45"/>
        <v>20180123-0000036</v>
      </c>
      <c r="BQ75" t="s">
        <v>373</v>
      </c>
      <c r="BU75">
        <v>54</v>
      </c>
      <c r="BV75" t="s">
        <v>1055</v>
      </c>
      <c r="BW75" t="s">
        <v>1050</v>
      </c>
      <c r="BX75" t="s">
        <v>215</v>
      </c>
      <c r="BY75">
        <v>0</v>
      </c>
      <c r="BZ75">
        <v>8806199412813</v>
      </c>
      <c r="CA75" t="s">
        <v>1056</v>
      </c>
      <c r="CF75" t="s">
        <v>1050</v>
      </c>
      <c r="CG75" t="s">
        <v>1003</v>
      </c>
      <c r="CH75" t="s">
        <v>377</v>
      </c>
      <c r="CI75" t="s">
        <v>1049</v>
      </c>
      <c r="CJ75">
        <v>3720</v>
      </c>
      <c r="CK75">
        <v>3720</v>
      </c>
      <c r="CL75" t="s">
        <v>1057</v>
      </c>
      <c r="CN75">
        <v>1</v>
      </c>
      <c r="CO75">
        <v>0</v>
      </c>
      <c r="CP75">
        <v>0</v>
      </c>
      <c r="CQ75" t="s">
        <v>379</v>
      </c>
      <c r="CS75">
        <v>11</v>
      </c>
    </row>
    <row r="76" spans="1:97" x14ac:dyDescent="0.4">
      <c r="A76" s="10">
        <v>43124</v>
      </c>
      <c r="B76" t="s">
        <v>215</v>
      </c>
      <c r="C76" t="s">
        <v>1058</v>
      </c>
      <c r="D76" t="s">
        <v>359</v>
      </c>
      <c r="E76" t="s">
        <v>1026</v>
      </c>
      <c r="F76" t="str">
        <f t="shared" si="36"/>
        <v>20180123-0000036</v>
      </c>
      <c r="G76">
        <v>1039961</v>
      </c>
      <c r="H76">
        <v>2</v>
      </c>
      <c r="I76" t="s">
        <v>1059</v>
      </c>
      <c r="L76">
        <v>0</v>
      </c>
      <c r="M76">
        <v>1</v>
      </c>
      <c r="O76" t="s">
        <v>361</v>
      </c>
      <c r="P76" t="s">
        <v>1028</v>
      </c>
      <c r="S76" t="s">
        <v>1060</v>
      </c>
      <c r="T76" t="s">
        <v>364</v>
      </c>
      <c r="X76" t="s">
        <v>1061</v>
      </c>
      <c r="AA76">
        <v>11440</v>
      </c>
      <c r="AB76">
        <v>9.26</v>
      </c>
      <c r="AC76" t="s">
        <v>1062</v>
      </c>
      <c r="AD76">
        <v>10.1</v>
      </c>
      <c r="AE76">
        <v>10.38</v>
      </c>
      <c r="AF76" t="s">
        <v>514</v>
      </c>
      <c r="AG76">
        <v>1880</v>
      </c>
      <c r="AK76">
        <v>21</v>
      </c>
      <c r="AL76" t="s">
        <v>1059</v>
      </c>
      <c r="AN76" t="s">
        <v>1063</v>
      </c>
      <c r="AQ76">
        <v>5270</v>
      </c>
      <c r="AR76" t="s">
        <v>368</v>
      </c>
      <c r="AS76">
        <v>613660397414</v>
      </c>
      <c r="AT76" t="str">
        <f t="shared" si="37"/>
        <v>이*수①</v>
      </c>
      <c r="AU76" t="str">
        <f t="shared" si="38"/>
        <v xml:space="preserve"> 2***2</v>
      </c>
      <c r="AV76" t="str">
        <f t="shared" si="39"/>
        <v>***-****-9592</v>
      </c>
      <c r="AW76" t="str">
        <f t="shared" si="40"/>
        <v xml:space="preserve"> 인* 서* 원**로 8*2 (***) 삼***자 5**호 햇*찬 글*벌</v>
      </c>
      <c r="AX76" t="str">
        <f>""</f>
        <v/>
      </c>
      <c r="AY76" t="str">
        <f t="shared" si="41"/>
        <v>***-****-9597</v>
      </c>
      <c r="AZ76">
        <v>29059</v>
      </c>
      <c r="BA76">
        <v>1039964</v>
      </c>
      <c r="BB76">
        <v>17000</v>
      </c>
      <c r="BC76" t="s">
        <v>1033</v>
      </c>
      <c r="BD76" t="s">
        <v>707</v>
      </c>
      <c r="BE76" t="str">
        <f t="shared" si="42"/>
        <v>이*수</v>
      </c>
      <c r="BF76" t="str">
        <f t="shared" si="43"/>
        <v>***-****-9592</v>
      </c>
      <c r="BG76" t="str">
        <f t="shared" si="44"/>
        <v>***-****-9597</v>
      </c>
      <c r="BH76" t="s">
        <v>453</v>
      </c>
      <c r="BI76" t="s">
        <v>454</v>
      </c>
      <c r="BJ76" t="s">
        <v>1064</v>
      </c>
      <c r="BK76" t="s">
        <v>456</v>
      </c>
      <c r="BL76">
        <v>20636</v>
      </c>
      <c r="BM76" t="str">
        <f>"20636"</f>
        <v>20636</v>
      </c>
      <c r="BN76" t="str">
        <f t="shared" si="45"/>
        <v>20180123-0000036</v>
      </c>
      <c r="BQ76" t="s">
        <v>373</v>
      </c>
      <c r="BV76" t="s">
        <v>1065</v>
      </c>
      <c r="BW76" t="s">
        <v>1059</v>
      </c>
      <c r="BX76" t="s">
        <v>215</v>
      </c>
      <c r="BY76">
        <v>0</v>
      </c>
      <c r="BZ76">
        <v>8806199470387</v>
      </c>
      <c r="CA76" t="s">
        <v>1066</v>
      </c>
      <c r="CF76" t="s">
        <v>1061</v>
      </c>
      <c r="CG76" t="s">
        <v>1003</v>
      </c>
      <c r="CH76" t="s">
        <v>377</v>
      </c>
      <c r="CI76" t="s">
        <v>1058</v>
      </c>
      <c r="CJ76">
        <v>5270</v>
      </c>
      <c r="CK76">
        <v>10540</v>
      </c>
      <c r="CL76" s="10">
        <v>36924</v>
      </c>
      <c r="CN76">
        <v>2</v>
      </c>
      <c r="CO76">
        <v>11440</v>
      </c>
      <c r="CP76">
        <v>22880</v>
      </c>
      <c r="CQ76" t="s">
        <v>379</v>
      </c>
      <c r="CS76">
        <v>204</v>
      </c>
    </row>
    <row r="77" spans="1:97" x14ac:dyDescent="0.4">
      <c r="A77" s="10">
        <v>43124</v>
      </c>
      <c r="B77" t="s">
        <v>215</v>
      </c>
      <c r="C77" t="s">
        <v>1067</v>
      </c>
      <c r="D77" t="s">
        <v>359</v>
      </c>
      <c r="E77" t="s">
        <v>1026</v>
      </c>
      <c r="F77" t="str">
        <f t="shared" si="36"/>
        <v>20180123-0000036</v>
      </c>
      <c r="G77">
        <v>1039961</v>
      </c>
      <c r="H77">
        <v>1</v>
      </c>
      <c r="I77" t="s">
        <v>1068</v>
      </c>
      <c r="L77">
        <v>0</v>
      </c>
      <c r="M77">
        <v>1</v>
      </c>
      <c r="O77" t="s">
        <v>361</v>
      </c>
      <c r="P77" t="s">
        <v>1028</v>
      </c>
      <c r="S77" t="s">
        <v>1069</v>
      </c>
      <c r="T77" t="s">
        <v>364</v>
      </c>
      <c r="X77" t="s">
        <v>1070</v>
      </c>
      <c r="AA77">
        <v>11440</v>
      </c>
      <c r="AB77">
        <v>9.26</v>
      </c>
      <c r="AC77" t="s">
        <v>1071</v>
      </c>
      <c r="AD77">
        <v>10.1</v>
      </c>
      <c r="AE77">
        <v>10.38</v>
      </c>
      <c r="AF77" t="s">
        <v>514</v>
      </c>
      <c r="AG77">
        <v>1880</v>
      </c>
      <c r="AK77">
        <v>21</v>
      </c>
      <c r="AL77" t="s">
        <v>1068</v>
      </c>
      <c r="AN77" t="s">
        <v>1072</v>
      </c>
      <c r="AQ77">
        <v>5270</v>
      </c>
      <c r="AR77" t="s">
        <v>368</v>
      </c>
      <c r="AS77">
        <v>613660397414</v>
      </c>
      <c r="AT77" t="str">
        <f t="shared" si="37"/>
        <v>이*수①</v>
      </c>
      <c r="AU77" t="str">
        <f t="shared" si="38"/>
        <v xml:space="preserve"> 2***2</v>
      </c>
      <c r="AV77" t="str">
        <f t="shared" si="39"/>
        <v>***-****-9592</v>
      </c>
      <c r="AW77" t="str">
        <f t="shared" si="40"/>
        <v xml:space="preserve"> 인* 서* 원**로 8*2 (***) 삼***자 5**호 햇*찬 글*벌</v>
      </c>
      <c r="AX77" t="str">
        <f>""</f>
        <v/>
      </c>
      <c r="AY77" t="str">
        <f t="shared" si="41"/>
        <v>***-****-9597</v>
      </c>
      <c r="AZ77">
        <v>28863</v>
      </c>
      <c r="BA77">
        <v>1039965</v>
      </c>
      <c r="BB77">
        <v>8500</v>
      </c>
      <c r="BC77" t="s">
        <v>1033</v>
      </c>
      <c r="BD77" t="s">
        <v>707</v>
      </c>
      <c r="BE77" t="str">
        <f t="shared" si="42"/>
        <v>이*수</v>
      </c>
      <c r="BF77" t="str">
        <f t="shared" si="43"/>
        <v>***-****-9592</v>
      </c>
      <c r="BG77" t="str">
        <f t="shared" si="44"/>
        <v>***-****-9597</v>
      </c>
      <c r="BH77" t="s">
        <v>453</v>
      </c>
      <c r="BI77" t="s">
        <v>454</v>
      </c>
      <c r="BJ77" t="s">
        <v>1073</v>
      </c>
      <c r="BK77" t="s">
        <v>456</v>
      </c>
      <c r="BL77">
        <v>20636</v>
      </c>
      <c r="BM77" t="str">
        <f>"20636"</f>
        <v>20636</v>
      </c>
      <c r="BN77" t="str">
        <f t="shared" si="45"/>
        <v>20180123-0000036</v>
      </c>
      <c r="BQ77" t="s">
        <v>373</v>
      </c>
      <c r="BV77" t="s">
        <v>1074</v>
      </c>
      <c r="BW77" t="s">
        <v>1068</v>
      </c>
      <c r="BX77" t="s">
        <v>215</v>
      </c>
      <c r="BY77">
        <v>0</v>
      </c>
      <c r="BZ77">
        <v>8806199470394</v>
      </c>
      <c r="CA77" t="s">
        <v>1075</v>
      </c>
      <c r="CF77" t="s">
        <v>1070</v>
      </c>
      <c r="CG77" t="s">
        <v>1003</v>
      </c>
      <c r="CH77" t="s">
        <v>377</v>
      </c>
      <c r="CI77" t="s">
        <v>1067</v>
      </c>
      <c r="CJ77">
        <v>5270</v>
      </c>
      <c r="CK77">
        <v>5270</v>
      </c>
      <c r="CL77" t="s">
        <v>535</v>
      </c>
      <c r="CN77">
        <v>1</v>
      </c>
      <c r="CO77">
        <v>11440</v>
      </c>
      <c r="CP77">
        <v>11440</v>
      </c>
      <c r="CQ77" t="s">
        <v>379</v>
      </c>
      <c r="CS77">
        <v>208</v>
      </c>
    </row>
    <row r="78" spans="1:97" x14ac:dyDescent="0.4">
      <c r="A78" s="10">
        <v>43124</v>
      </c>
      <c r="B78" t="s">
        <v>215</v>
      </c>
      <c r="C78" t="s">
        <v>1076</v>
      </c>
      <c r="D78" t="s">
        <v>359</v>
      </c>
      <c r="E78" t="s">
        <v>1026</v>
      </c>
      <c r="F78" t="str">
        <f t="shared" si="36"/>
        <v>20180123-0000036</v>
      </c>
      <c r="G78">
        <v>1039961</v>
      </c>
      <c r="H78">
        <v>1</v>
      </c>
      <c r="I78" t="s">
        <v>1077</v>
      </c>
      <c r="L78">
        <v>0</v>
      </c>
      <c r="M78">
        <v>1</v>
      </c>
      <c r="O78" t="s">
        <v>361</v>
      </c>
      <c r="P78" t="s">
        <v>1028</v>
      </c>
      <c r="S78" t="s">
        <v>1078</v>
      </c>
      <c r="T78" t="s">
        <v>364</v>
      </c>
      <c r="X78" t="s">
        <v>1077</v>
      </c>
      <c r="AA78">
        <v>18648</v>
      </c>
      <c r="AB78">
        <v>15.28</v>
      </c>
      <c r="AC78" t="s">
        <v>1079</v>
      </c>
      <c r="AD78">
        <v>16.66</v>
      </c>
      <c r="AE78">
        <v>17.12</v>
      </c>
      <c r="AF78" t="s">
        <v>1009</v>
      </c>
      <c r="AG78">
        <v>6500</v>
      </c>
      <c r="AK78">
        <v>230</v>
      </c>
      <c r="AL78" t="s">
        <v>1077</v>
      </c>
      <c r="AQ78">
        <v>6820</v>
      </c>
      <c r="AR78" t="s">
        <v>368</v>
      </c>
      <c r="AS78">
        <v>613660397414</v>
      </c>
      <c r="AT78" t="str">
        <f t="shared" si="37"/>
        <v>이*수①</v>
      </c>
      <c r="AU78" t="str">
        <f t="shared" si="38"/>
        <v xml:space="preserve"> 2***2</v>
      </c>
      <c r="AV78" t="str">
        <f t="shared" si="39"/>
        <v>***-****-9592</v>
      </c>
      <c r="AW78" t="str">
        <f t="shared" si="40"/>
        <v xml:space="preserve"> 인* 서* 원**로 8*2 (***) 삼***자 5**호 햇*찬 글*벌</v>
      </c>
      <c r="AX78" t="str">
        <f>""</f>
        <v/>
      </c>
      <c r="AY78" t="str">
        <f t="shared" si="41"/>
        <v>***-****-9597</v>
      </c>
      <c r="AZ78">
        <v>23066</v>
      </c>
      <c r="BA78">
        <v>1039972</v>
      </c>
      <c r="BB78">
        <v>11000</v>
      </c>
      <c r="BC78" t="s">
        <v>1033</v>
      </c>
      <c r="BD78" t="s">
        <v>707</v>
      </c>
      <c r="BE78" t="str">
        <f t="shared" si="42"/>
        <v>이*수</v>
      </c>
      <c r="BF78" t="str">
        <f t="shared" si="43"/>
        <v>***-****-9592</v>
      </c>
      <c r="BG78" t="str">
        <f t="shared" si="44"/>
        <v>***-****-9597</v>
      </c>
      <c r="BH78" t="s">
        <v>453</v>
      </c>
      <c r="BI78" t="s">
        <v>454</v>
      </c>
      <c r="BJ78" t="s">
        <v>1080</v>
      </c>
      <c r="BK78" t="s">
        <v>456</v>
      </c>
      <c r="BL78">
        <v>20100</v>
      </c>
      <c r="BM78" t="str">
        <f>"20100"</f>
        <v>20100</v>
      </c>
      <c r="BN78" t="str">
        <f t="shared" si="45"/>
        <v>20180123-0000036</v>
      </c>
      <c r="BQ78" t="s">
        <v>373</v>
      </c>
      <c r="BU78">
        <v>409</v>
      </c>
      <c r="BV78" t="s">
        <v>1081</v>
      </c>
      <c r="BW78" t="s">
        <v>1077</v>
      </c>
      <c r="BX78" t="s">
        <v>215</v>
      </c>
      <c r="BY78">
        <v>0</v>
      </c>
      <c r="BZ78">
        <v>8806199472657</v>
      </c>
      <c r="CA78" t="s">
        <v>1082</v>
      </c>
      <c r="CF78" t="s">
        <v>1077</v>
      </c>
      <c r="CG78" t="s">
        <v>1083</v>
      </c>
      <c r="CH78" t="s">
        <v>377</v>
      </c>
      <c r="CI78" t="s">
        <v>1076</v>
      </c>
      <c r="CJ78">
        <v>6820</v>
      </c>
      <c r="CK78">
        <v>6820</v>
      </c>
      <c r="CL78" t="s">
        <v>1084</v>
      </c>
      <c r="CN78">
        <v>1</v>
      </c>
      <c r="CO78">
        <v>18648</v>
      </c>
      <c r="CP78">
        <v>18648</v>
      </c>
      <c r="CQ78" t="s">
        <v>379</v>
      </c>
      <c r="CS78">
        <v>2</v>
      </c>
    </row>
    <row r="79" spans="1:97" x14ac:dyDescent="0.4">
      <c r="A79" s="10">
        <v>43124</v>
      </c>
      <c r="B79" t="s">
        <v>215</v>
      </c>
      <c r="C79" t="s">
        <v>1085</v>
      </c>
      <c r="D79" t="s">
        <v>359</v>
      </c>
      <c r="E79" t="s">
        <v>1026</v>
      </c>
      <c r="F79" t="str">
        <f t="shared" si="36"/>
        <v>20180123-0000036</v>
      </c>
      <c r="G79">
        <v>1039961</v>
      </c>
      <c r="H79">
        <v>1</v>
      </c>
      <c r="I79" t="s">
        <v>1086</v>
      </c>
      <c r="L79">
        <v>0</v>
      </c>
      <c r="M79">
        <v>1</v>
      </c>
      <c r="O79" t="s">
        <v>361</v>
      </c>
      <c r="P79" t="s">
        <v>1028</v>
      </c>
      <c r="S79" t="s">
        <v>1087</v>
      </c>
      <c r="T79" t="s">
        <v>364</v>
      </c>
      <c r="X79" t="s">
        <v>1086</v>
      </c>
      <c r="AA79">
        <v>8768</v>
      </c>
      <c r="AB79">
        <v>7.2</v>
      </c>
      <c r="AC79" t="s">
        <v>1088</v>
      </c>
      <c r="AD79">
        <v>7.85</v>
      </c>
      <c r="AE79">
        <v>8.06</v>
      </c>
      <c r="AF79" t="s">
        <v>826</v>
      </c>
      <c r="AG79">
        <v>1880</v>
      </c>
      <c r="AH79">
        <v>46</v>
      </c>
      <c r="AI79">
        <v>1880</v>
      </c>
      <c r="AK79">
        <v>26</v>
      </c>
      <c r="AL79" t="s">
        <v>1086</v>
      </c>
      <c r="AN79" t="s">
        <v>1089</v>
      </c>
      <c r="AQ79">
        <v>3720</v>
      </c>
      <c r="AR79" t="s">
        <v>368</v>
      </c>
      <c r="AS79">
        <v>613660397414</v>
      </c>
      <c r="AT79" t="str">
        <f t="shared" si="37"/>
        <v>이*수①</v>
      </c>
      <c r="AU79" t="str">
        <f t="shared" si="38"/>
        <v xml:space="preserve"> 2***2</v>
      </c>
      <c r="AV79" t="str">
        <f t="shared" si="39"/>
        <v>***-****-9592</v>
      </c>
      <c r="AW79" t="str">
        <f t="shared" si="40"/>
        <v xml:space="preserve"> 인* 서* 원**로 8*2 (***) 삼***자 5**호 햇*찬 글*벌</v>
      </c>
      <c r="AX79" t="str">
        <f>""</f>
        <v/>
      </c>
      <c r="AY79" t="str">
        <f t="shared" si="41"/>
        <v>***-****-9597</v>
      </c>
      <c r="AZ79">
        <v>29402</v>
      </c>
      <c r="BA79">
        <v>1039963</v>
      </c>
      <c r="BB79">
        <v>6000</v>
      </c>
      <c r="BC79" t="s">
        <v>1033</v>
      </c>
      <c r="BD79" t="s">
        <v>707</v>
      </c>
      <c r="BE79" t="str">
        <f t="shared" si="42"/>
        <v>이*수</v>
      </c>
      <c r="BF79" t="str">
        <f t="shared" si="43"/>
        <v>***-****-9592</v>
      </c>
      <c r="BG79" t="str">
        <f t="shared" si="44"/>
        <v>***-****-9597</v>
      </c>
      <c r="BH79" t="s">
        <v>453</v>
      </c>
      <c r="BI79" t="s">
        <v>454</v>
      </c>
      <c r="BJ79" t="s">
        <v>1090</v>
      </c>
      <c r="BK79" t="s">
        <v>456</v>
      </c>
      <c r="BL79">
        <v>17327</v>
      </c>
      <c r="BM79" t="str">
        <f>"17327"</f>
        <v>17327</v>
      </c>
      <c r="BN79" t="str">
        <f t="shared" si="45"/>
        <v>20180123-0000036</v>
      </c>
      <c r="BQ79" t="s">
        <v>373</v>
      </c>
      <c r="BV79" t="s">
        <v>1091</v>
      </c>
      <c r="BW79" t="s">
        <v>1086</v>
      </c>
      <c r="BX79" t="s">
        <v>215</v>
      </c>
      <c r="BY79">
        <v>0</v>
      </c>
      <c r="BZ79">
        <v>8806199428319</v>
      </c>
      <c r="CA79" t="s">
        <v>1092</v>
      </c>
      <c r="CF79" t="s">
        <v>1086</v>
      </c>
      <c r="CG79" t="s">
        <v>406</v>
      </c>
      <c r="CH79" t="s">
        <v>377</v>
      </c>
      <c r="CI79" t="s">
        <v>1085</v>
      </c>
      <c r="CJ79">
        <v>3720</v>
      </c>
      <c r="CK79">
        <v>3720</v>
      </c>
      <c r="CL79" t="s">
        <v>1093</v>
      </c>
      <c r="CN79">
        <v>1</v>
      </c>
      <c r="CO79">
        <v>8768</v>
      </c>
      <c r="CP79">
        <v>8768</v>
      </c>
      <c r="CQ79" t="s">
        <v>379</v>
      </c>
      <c r="CS79">
        <v>0</v>
      </c>
    </row>
    <row r="80" spans="1:97" x14ac:dyDescent="0.4">
      <c r="A80" s="10">
        <v>43124</v>
      </c>
      <c r="B80" t="s">
        <v>226</v>
      </c>
      <c r="C80" t="s">
        <v>1094</v>
      </c>
      <c r="D80" t="s">
        <v>359</v>
      </c>
      <c r="E80" t="s">
        <v>1026</v>
      </c>
      <c r="F80" t="str">
        <f t="shared" si="36"/>
        <v>20180123-0000036</v>
      </c>
      <c r="G80">
        <v>1039961</v>
      </c>
      <c r="H80">
        <v>2</v>
      </c>
      <c r="I80" t="s">
        <v>1095</v>
      </c>
      <c r="L80">
        <v>0</v>
      </c>
      <c r="M80">
        <v>1</v>
      </c>
      <c r="O80" t="s">
        <v>361</v>
      </c>
      <c r="P80" t="s">
        <v>1028</v>
      </c>
      <c r="S80" t="s">
        <v>1096</v>
      </c>
      <c r="T80" t="s">
        <v>364</v>
      </c>
      <c r="X80" t="s">
        <v>1095</v>
      </c>
      <c r="AA80">
        <v>8147</v>
      </c>
      <c r="AB80">
        <v>5.64</v>
      </c>
      <c r="AC80" t="s">
        <v>1097</v>
      </c>
      <c r="AD80">
        <v>6.14</v>
      </c>
      <c r="AE80">
        <v>6.31</v>
      </c>
      <c r="AF80" t="s">
        <v>1098</v>
      </c>
      <c r="AG80">
        <v>1880</v>
      </c>
      <c r="AK80">
        <v>16</v>
      </c>
      <c r="AL80" t="s">
        <v>1095</v>
      </c>
      <c r="AQ80">
        <v>2548</v>
      </c>
      <c r="AR80" t="s">
        <v>368</v>
      </c>
      <c r="AS80">
        <v>613660397414</v>
      </c>
      <c r="AT80" t="str">
        <f t="shared" si="37"/>
        <v>이*수①</v>
      </c>
      <c r="AU80" t="str">
        <f t="shared" si="38"/>
        <v xml:space="preserve"> 2***2</v>
      </c>
      <c r="AV80" t="str">
        <f t="shared" si="39"/>
        <v>***-****-9592</v>
      </c>
      <c r="AW80" t="str">
        <f t="shared" si="40"/>
        <v xml:space="preserve"> 인* 서* 원**로 8*2 (***) 삼***자 5**호 햇*찬 글*벌</v>
      </c>
      <c r="AX80" t="str">
        <f>""</f>
        <v/>
      </c>
      <c r="AY80" t="str">
        <f t="shared" si="41"/>
        <v>***-****-9597</v>
      </c>
      <c r="AZ80">
        <v>19740</v>
      </c>
      <c r="BA80">
        <v>1039968</v>
      </c>
      <c r="BB80">
        <v>9800</v>
      </c>
      <c r="BC80" t="s">
        <v>1033</v>
      </c>
      <c r="BD80" t="s">
        <v>707</v>
      </c>
      <c r="BE80" t="str">
        <f t="shared" si="42"/>
        <v>이*수</v>
      </c>
      <c r="BF80" t="str">
        <f t="shared" si="43"/>
        <v>***-****-9592</v>
      </c>
      <c r="BG80" t="str">
        <f t="shared" si="44"/>
        <v>***-****-9597</v>
      </c>
      <c r="BH80" t="s">
        <v>453</v>
      </c>
      <c r="BI80" t="s">
        <v>454</v>
      </c>
      <c r="BJ80" t="s">
        <v>1099</v>
      </c>
      <c r="BK80" t="s">
        <v>456</v>
      </c>
      <c r="BL80">
        <v>19133</v>
      </c>
      <c r="BM80" t="str">
        <f>"19133"</f>
        <v>19133</v>
      </c>
      <c r="BN80" t="str">
        <f t="shared" si="45"/>
        <v>20180123-0000036</v>
      </c>
      <c r="BQ80" t="s">
        <v>373</v>
      </c>
      <c r="BV80" t="s">
        <v>1100</v>
      </c>
      <c r="BW80" t="s">
        <v>1095</v>
      </c>
      <c r="BX80" t="s">
        <v>226</v>
      </c>
      <c r="BY80">
        <v>0</v>
      </c>
      <c r="BZ80">
        <v>8809511270825</v>
      </c>
      <c r="CA80" t="s">
        <v>1101</v>
      </c>
      <c r="CF80" t="s">
        <v>1095</v>
      </c>
      <c r="CG80" t="s">
        <v>1102</v>
      </c>
      <c r="CH80" t="s">
        <v>377</v>
      </c>
      <c r="CI80" t="s">
        <v>1094</v>
      </c>
      <c r="CJ80">
        <v>2548</v>
      </c>
      <c r="CK80">
        <v>5096</v>
      </c>
      <c r="CL80" t="s">
        <v>1103</v>
      </c>
      <c r="CN80">
        <v>2</v>
      </c>
      <c r="CO80">
        <v>8147</v>
      </c>
      <c r="CP80">
        <v>16294</v>
      </c>
      <c r="CQ80" t="s">
        <v>379</v>
      </c>
      <c r="CS80">
        <v>0</v>
      </c>
    </row>
    <row r="81" spans="1:97" x14ac:dyDescent="0.4">
      <c r="A81" s="10">
        <v>43124</v>
      </c>
      <c r="B81" t="s">
        <v>200</v>
      </c>
      <c r="C81" t="s">
        <v>1104</v>
      </c>
      <c r="D81" t="s">
        <v>359</v>
      </c>
      <c r="E81" t="s">
        <v>1026</v>
      </c>
      <c r="F81" t="str">
        <f t="shared" si="36"/>
        <v>20180123-0000036</v>
      </c>
      <c r="G81">
        <v>1039961</v>
      </c>
      <c r="H81">
        <v>1</v>
      </c>
      <c r="I81" t="s">
        <v>1105</v>
      </c>
      <c r="L81">
        <v>0</v>
      </c>
      <c r="M81">
        <v>1</v>
      </c>
      <c r="O81" t="s">
        <v>361</v>
      </c>
      <c r="P81" t="s">
        <v>1028</v>
      </c>
      <c r="S81" t="s">
        <v>1106</v>
      </c>
      <c r="T81" t="s">
        <v>364</v>
      </c>
      <c r="X81" t="s">
        <v>1105</v>
      </c>
      <c r="AA81">
        <v>29653</v>
      </c>
      <c r="AB81">
        <v>22.66</v>
      </c>
      <c r="AC81" t="s">
        <v>1107</v>
      </c>
      <c r="AD81">
        <v>24.7</v>
      </c>
      <c r="AE81">
        <v>25.38</v>
      </c>
      <c r="AF81" t="s">
        <v>486</v>
      </c>
      <c r="AG81">
        <v>3770</v>
      </c>
      <c r="AK81">
        <v>179</v>
      </c>
      <c r="AL81" t="s">
        <v>1105</v>
      </c>
      <c r="AQ81">
        <v>15400</v>
      </c>
      <c r="AR81" t="s">
        <v>368</v>
      </c>
      <c r="AS81">
        <v>613660397414</v>
      </c>
      <c r="AT81" t="str">
        <f t="shared" si="37"/>
        <v>이*수①</v>
      </c>
      <c r="AU81" t="str">
        <f t="shared" si="38"/>
        <v xml:space="preserve"> 2***2</v>
      </c>
      <c r="AV81" t="str">
        <f t="shared" si="39"/>
        <v>***-****-9592</v>
      </c>
      <c r="AW81" t="str">
        <f t="shared" si="40"/>
        <v xml:space="preserve"> 인* 서* 원**로 8*2 (***) 삼***자 5**호 햇*찬 글*벌</v>
      </c>
      <c r="AX81" t="str">
        <f>""</f>
        <v/>
      </c>
      <c r="AY81" t="str">
        <f t="shared" si="41"/>
        <v>***-****-9597</v>
      </c>
      <c r="AZ81">
        <v>15604</v>
      </c>
      <c r="BA81">
        <v>1039966</v>
      </c>
      <c r="BB81">
        <v>28000</v>
      </c>
      <c r="BC81" t="s">
        <v>1033</v>
      </c>
      <c r="BD81" t="s">
        <v>707</v>
      </c>
      <c r="BE81" t="str">
        <f t="shared" si="42"/>
        <v>이*수</v>
      </c>
      <c r="BF81" t="str">
        <f t="shared" si="43"/>
        <v>***-****-9592</v>
      </c>
      <c r="BG81" t="str">
        <f t="shared" si="44"/>
        <v>***-****-9597</v>
      </c>
      <c r="BH81" t="s">
        <v>453</v>
      </c>
      <c r="BI81" t="s">
        <v>454</v>
      </c>
      <c r="BJ81" t="s">
        <v>1108</v>
      </c>
      <c r="BK81" t="s">
        <v>456</v>
      </c>
      <c r="BL81">
        <v>17748</v>
      </c>
      <c r="BM81" t="str">
        <f>"17748"</f>
        <v>17748</v>
      </c>
      <c r="BN81" t="str">
        <f t="shared" si="45"/>
        <v>20180123-0000036</v>
      </c>
      <c r="BQ81" t="s">
        <v>373</v>
      </c>
      <c r="BU81">
        <v>241</v>
      </c>
      <c r="BV81" t="s">
        <v>1109</v>
      </c>
      <c r="BW81" t="s">
        <v>1105</v>
      </c>
      <c r="BX81" t="s">
        <v>200</v>
      </c>
      <c r="BY81">
        <v>0</v>
      </c>
      <c r="BZ81">
        <v>8806185756600</v>
      </c>
      <c r="CA81" t="s">
        <v>1110</v>
      </c>
      <c r="CF81" t="s">
        <v>1105</v>
      </c>
      <c r="CG81" t="s">
        <v>1047</v>
      </c>
      <c r="CH81" t="s">
        <v>377</v>
      </c>
      <c r="CI81" t="s">
        <v>1104</v>
      </c>
      <c r="CJ81">
        <v>15400</v>
      </c>
      <c r="CK81">
        <v>15400</v>
      </c>
      <c r="CL81" t="s">
        <v>1111</v>
      </c>
      <c r="CN81">
        <v>1</v>
      </c>
      <c r="CO81">
        <v>29653</v>
      </c>
      <c r="CP81">
        <v>29653</v>
      </c>
      <c r="CQ81" t="s">
        <v>379</v>
      </c>
      <c r="CS81">
        <v>0</v>
      </c>
    </row>
    <row r="82" spans="1:97" x14ac:dyDescent="0.4">
      <c r="A82" s="10">
        <v>43124</v>
      </c>
      <c r="B82" t="s">
        <v>200</v>
      </c>
      <c r="C82" t="s">
        <v>1112</v>
      </c>
      <c r="D82" t="s">
        <v>359</v>
      </c>
      <c r="E82" t="s">
        <v>1026</v>
      </c>
      <c r="F82" t="str">
        <f t="shared" si="36"/>
        <v>20180123-0000036</v>
      </c>
      <c r="G82">
        <v>1039961</v>
      </c>
      <c r="H82">
        <v>1</v>
      </c>
      <c r="I82" t="s">
        <v>1113</v>
      </c>
      <c r="L82">
        <v>0</v>
      </c>
      <c r="M82">
        <v>1</v>
      </c>
      <c r="O82" t="s">
        <v>361</v>
      </c>
      <c r="P82" t="s">
        <v>1028</v>
      </c>
      <c r="S82" t="s">
        <v>1114</v>
      </c>
      <c r="T82" t="s">
        <v>364</v>
      </c>
      <c r="X82" t="s">
        <v>1113</v>
      </c>
      <c r="AA82">
        <v>14818</v>
      </c>
      <c r="AB82">
        <v>11.62</v>
      </c>
      <c r="AC82" t="s">
        <v>1115</v>
      </c>
      <c r="AD82">
        <v>12.67</v>
      </c>
      <c r="AE82">
        <v>13.02</v>
      </c>
      <c r="AF82" t="s">
        <v>826</v>
      </c>
      <c r="AG82">
        <v>1880</v>
      </c>
      <c r="AK82">
        <v>31</v>
      </c>
      <c r="AL82" t="s">
        <v>1113</v>
      </c>
      <c r="AN82" t="s">
        <v>1116</v>
      </c>
      <c r="AQ82">
        <v>7040</v>
      </c>
      <c r="AR82" t="s">
        <v>368</v>
      </c>
      <c r="AS82">
        <v>613660397414</v>
      </c>
      <c r="AT82" t="str">
        <f t="shared" si="37"/>
        <v>이*수①</v>
      </c>
      <c r="AU82" t="str">
        <f t="shared" si="38"/>
        <v xml:space="preserve"> 2***2</v>
      </c>
      <c r="AV82" t="str">
        <f t="shared" si="39"/>
        <v>***-****-9592</v>
      </c>
      <c r="AW82" t="str">
        <f t="shared" si="40"/>
        <v xml:space="preserve"> 인* 서* 원**로 8*2 (***) 삼***자 5**호 햇*찬 글*벌</v>
      </c>
      <c r="AX82" t="str">
        <f>""</f>
        <v/>
      </c>
      <c r="AY82" t="str">
        <f t="shared" si="41"/>
        <v>***-****-9597</v>
      </c>
      <c r="AZ82">
        <v>27152</v>
      </c>
      <c r="BA82">
        <v>1039970</v>
      </c>
      <c r="BB82">
        <v>12800</v>
      </c>
      <c r="BC82" t="s">
        <v>1033</v>
      </c>
      <c r="BD82" t="s">
        <v>707</v>
      </c>
      <c r="BE82" t="str">
        <f t="shared" si="42"/>
        <v>이*수</v>
      </c>
      <c r="BF82" t="str">
        <f t="shared" si="43"/>
        <v>***-****-9592</v>
      </c>
      <c r="BG82" t="str">
        <f t="shared" si="44"/>
        <v>***-****-9597</v>
      </c>
      <c r="BH82" t="s">
        <v>453</v>
      </c>
      <c r="BI82" t="s">
        <v>454</v>
      </c>
      <c r="BJ82" t="s">
        <v>1117</v>
      </c>
      <c r="BK82" t="s">
        <v>456</v>
      </c>
      <c r="BL82">
        <v>18470</v>
      </c>
      <c r="BM82" t="str">
        <f>"18470"</f>
        <v>18470</v>
      </c>
      <c r="BN82" t="str">
        <f t="shared" si="45"/>
        <v>20180123-0000036</v>
      </c>
      <c r="BQ82" t="s">
        <v>373</v>
      </c>
      <c r="BV82" t="s">
        <v>1118</v>
      </c>
      <c r="BW82" t="s">
        <v>1113</v>
      </c>
      <c r="BX82" t="s">
        <v>200</v>
      </c>
      <c r="BY82">
        <v>0</v>
      </c>
      <c r="BZ82">
        <v>8806185758161</v>
      </c>
      <c r="CA82" t="s">
        <v>1119</v>
      </c>
      <c r="CF82" t="s">
        <v>1113</v>
      </c>
      <c r="CG82" t="s">
        <v>831</v>
      </c>
      <c r="CH82" t="s">
        <v>377</v>
      </c>
      <c r="CI82" t="s">
        <v>1112</v>
      </c>
      <c r="CJ82">
        <v>7040</v>
      </c>
      <c r="CK82">
        <v>7040</v>
      </c>
      <c r="CL82" t="s">
        <v>832</v>
      </c>
      <c r="CN82">
        <v>1</v>
      </c>
      <c r="CO82">
        <v>14818</v>
      </c>
      <c r="CP82">
        <v>14818</v>
      </c>
      <c r="CQ82" t="s">
        <v>379</v>
      </c>
      <c r="CS82">
        <v>0</v>
      </c>
    </row>
    <row r="83" spans="1:97" x14ac:dyDescent="0.4">
      <c r="A83" s="10">
        <v>43124</v>
      </c>
      <c r="B83" t="s">
        <v>117</v>
      </c>
      <c r="C83" t="s">
        <v>1120</v>
      </c>
      <c r="D83" t="s">
        <v>359</v>
      </c>
      <c r="E83" t="s">
        <v>1121</v>
      </c>
      <c r="F83" t="str">
        <f>"20180122-0000037"</f>
        <v>20180122-0000037</v>
      </c>
      <c r="G83">
        <v>1033939</v>
      </c>
      <c r="H83">
        <v>1</v>
      </c>
      <c r="I83" t="s">
        <v>1122</v>
      </c>
      <c r="L83">
        <v>0</v>
      </c>
      <c r="M83">
        <v>1</v>
      </c>
      <c r="O83" t="s">
        <v>361</v>
      </c>
      <c r="P83" t="s">
        <v>1123</v>
      </c>
      <c r="S83" t="s">
        <v>1124</v>
      </c>
      <c r="T83" t="s">
        <v>364</v>
      </c>
      <c r="X83" t="s">
        <v>1122</v>
      </c>
      <c r="Y83" t="s">
        <v>1125</v>
      </c>
      <c r="AA83">
        <v>11632</v>
      </c>
      <c r="AB83">
        <v>7.4</v>
      </c>
      <c r="AC83" t="s">
        <v>1126</v>
      </c>
      <c r="AD83">
        <v>8.07</v>
      </c>
      <c r="AE83">
        <v>8.2899999999999991</v>
      </c>
      <c r="AF83" t="s">
        <v>666</v>
      </c>
      <c r="AG83">
        <v>3770</v>
      </c>
      <c r="AK83">
        <v>51</v>
      </c>
      <c r="AL83" t="s">
        <v>1122</v>
      </c>
      <c r="AN83" t="s">
        <v>1127</v>
      </c>
      <c r="AQ83">
        <v>3150</v>
      </c>
      <c r="AR83" t="s">
        <v>368</v>
      </c>
      <c r="AS83">
        <v>613660397440</v>
      </c>
      <c r="AT83" t="str">
        <f>"강*현"</f>
        <v>강*현</v>
      </c>
      <c r="AU83" t="str">
        <f>" 1***1"</f>
        <v xml:space="preserve"> 1***1</v>
      </c>
      <c r="AV83" t="str">
        <f>"***-****-0441"</f>
        <v>***-****-0441</v>
      </c>
      <c r="AW83" t="str">
        <f>" 경* 파*시 송*로 1* (***) 팜*****트 1**동 4**호"</f>
        <v xml:space="preserve"> 경* 파*시 송*로 1* (***) 팜*****트 1**동 4**호</v>
      </c>
      <c r="AX83" t="str">
        <f>""</f>
        <v/>
      </c>
      <c r="AY83" t="str">
        <f>"***-****-0444"</f>
        <v>***-****-0444</v>
      </c>
      <c r="AZ83">
        <v>29116</v>
      </c>
      <c r="BA83">
        <v>1033939</v>
      </c>
      <c r="BB83">
        <v>5000</v>
      </c>
      <c r="BC83" t="s">
        <v>1128</v>
      </c>
      <c r="BD83" t="s">
        <v>1129</v>
      </c>
      <c r="BE83" t="str">
        <f>"강*현"</f>
        <v>강*현</v>
      </c>
      <c r="BF83" t="str">
        <f>"***-****-0441"</f>
        <v>***-****-0441</v>
      </c>
      <c r="BG83" t="str">
        <f>"***-****-0444"</f>
        <v>***-****-0444</v>
      </c>
      <c r="BH83" t="s">
        <v>453</v>
      </c>
      <c r="BI83" t="s">
        <v>454</v>
      </c>
      <c r="BJ83" t="s">
        <v>1130</v>
      </c>
      <c r="BK83" t="s">
        <v>456</v>
      </c>
      <c r="BL83">
        <v>19002</v>
      </c>
      <c r="BM83" t="str">
        <f>"19002"</f>
        <v>19002</v>
      </c>
      <c r="BN83" t="str">
        <f>"20180122-0000037"</f>
        <v>20180122-0000037</v>
      </c>
      <c r="BQ83" t="s">
        <v>373</v>
      </c>
      <c r="BU83">
        <v>0</v>
      </c>
      <c r="BV83" t="s">
        <v>1131</v>
      </c>
      <c r="BW83" t="s">
        <v>1122</v>
      </c>
      <c r="BX83" t="s">
        <v>117</v>
      </c>
      <c r="BY83">
        <v>0</v>
      </c>
      <c r="BZ83">
        <v>8806173531677</v>
      </c>
      <c r="CA83" t="s">
        <v>1132</v>
      </c>
      <c r="CF83" t="s">
        <v>1122</v>
      </c>
      <c r="CG83" t="s">
        <v>1133</v>
      </c>
      <c r="CH83" t="s">
        <v>377</v>
      </c>
      <c r="CI83" t="s">
        <v>1120</v>
      </c>
      <c r="CJ83">
        <v>3150</v>
      </c>
      <c r="CK83">
        <v>3150</v>
      </c>
      <c r="CL83" t="s">
        <v>1134</v>
      </c>
      <c r="CN83">
        <v>1</v>
      </c>
      <c r="CO83">
        <v>11632</v>
      </c>
      <c r="CP83">
        <v>11632</v>
      </c>
      <c r="CQ83" t="s">
        <v>379</v>
      </c>
      <c r="CS83">
        <v>0</v>
      </c>
    </row>
    <row r="84" spans="1:97" x14ac:dyDescent="0.4">
      <c r="A84" s="10">
        <v>43124</v>
      </c>
      <c r="B84" t="s">
        <v>123</v>
      </c>
      <c r="C84" t="s">
        <v>1135</v>
      </c>
      <c r="D84" t="s">
        <v>359</v>
      </c>
      <c r="E84" t="s">
        <v>1121</v>
      </c>
      <c r="F84" t="str">
        <f>"20180123-0000065"</f>
        <v>20180123-0000065</v>
      </c>
      <c r="G84">
        <v>1033939</v>
      </c>
      <c r="H84">
        <v>3</v>
      </c>
      <c r="I84" t="s">
        <v>1136</v>
      </c>
      <c r="L84">
        <v>0</v>
      </c>
      <c r="M84">
        <v>1</v>
      </c>
      <c r="O84" t="s">
        <v>361</v>
      </c>
      <c r="P84" t="s">
        <v>1137</v>
      </c>
      <c r="S84" t="s">
        <v>1138</v>
      </c>
      <c r="T84" t="s">
        <v>364</v>
      </c>
      <c r="X84" t="s">
        <v>1136</v>
      </c>
      <c r="Y84" t="s">
        <v>1125</v>
      </c>
      <c r="AA84">
        <v>12272</v>
      </c>
      <c r="AB84">
        <v>7.62</v>
      </c>
      <c r="AC84" t="s">
        <v>1139</v>
      </c>
      <c r="AD84">
        <v>8.31</v>
      </c>
      <c r="AE84">
        <v>8.5299999999999994</v>
      </c>
      <c r="AF84" t="s">
        <v>1140</v>
      </c>
      <c r="AG84">
        <v>3770</v>
      </c>
      <c r="AH84">
        <v>119</v>
      </c>
      <c r="AI84">
        <v>3770</v>
      </c>
      <c r="AK84">
        <v>46</v>
      </c>
      <c r="AL84" t="s">
        <v>1136</v>
      </c>
      <c r="AN84" t="s">
        <v>1141</v>
      </c>
      <c r="AQ84">
        <v>3315</v>
      </c>
      <c r="AR84" t="s">
        <v>368</v>
      </c>
      <c r="AS84">
        <v>613660397440</v>
      </c>
      <c r="AT84" t="str">
        <f>"강*현"</f>
        <v>강*현</v>
      </c>
      <c r="AU84" t="str">
        <f>" 1***1"</f>
        <v xml:space="preserve"> 1***1</v>
      </c>
      <c r="AV84" t="str">
        <f>"***-****-0441"</f>
        <v>***-****-0441</v>
      </c>
      <c r="AW84" t="str">
        <f>" 경* 파*시 송*로 1* (***) 팜*****트 1**동 4**호"</f>
        <v xml:space="preserve"> 경* 파*시 송*로 1* (***) 팜*****트 1**동 4**호</v>
      </c>
      <c r="AX84" t="str">
        <f>""</f>
        <v/>
      </c>
      <c r="AY84" t="str">
        <f>"***-****-0444"</f>
        <v>***-****-0444</v>
      </c>
      <c r="AZ84">
        <v>28449</v>
      </c>
      <c r="BA84">
        <v>1039901</v>
      </c>
      <c r="BB84">
        <v>19500</v>
      </c>
      <c r="BC84" t="s">
        <v>1128</v>
      </c>
      <c r="BD84" t="s">
        <v>707</v>
      </c>
      <c r="BE84" t="str">
        <f>"강*현"</f>
        <v>강*현</v>
      </c>
      <c r="BF84" t="str">
        <f>"***-****-0441"</f>
        <v>***-****-0441</v>
      </c>
      <c r="BG84" t="str">
        <f>"***-****-0444"</f>
        <v>***-****-0444</v>
      </c>
      <c r="BH84" t="s">
        <v>453</v>
      </c>
      <c r="BI84" t="s">
        <v>454</v>
      </c>
      <c r="BJ84" t="s">
        <v>1142</v>
      </c>
      <c r="BK84" t="s">
        <v>456</v>
      </c>
      <c r="BL84">
        <v>13815</v>
      </c>
      <c r="BM84" t="str">
        <f>"13815"</f>
        <v>13815</v>
      </c>
      <c r="BN84" t="str">
        <f>"20180123-0000065"</f>
        <v>20180123-0000065</v>
      </c>
      <c r="BQ84" t="s">
        <v>373</v>
      </c>
      <c r="BV84" t="s">
        <v>1136</v>
      </c>
      <c r="BW84" t="s">
        <v>1136</v>
      </c>
      <c r="BX84" t="s">
        <v>123</v>
      </c>
      <c r="BY84">
        <v>0</v>
      </c>
      <c r="BZ84">
        <v>8809454021096</v>
      </c>
      <c r="CA84" t="s">
        <v>1143</v>
      </c>
      <c r="CF84" t="s">
        <v>1136</v>
      </c>
      <c r="CG84" t="s">
        <v>730</v>
      </c>
      <c r="CH84" t="s">
        <v>377</v>
      </c>
      <c r="CI84" t="s">
        <v>1135</v>
      </c>
      <c r="CJ84">
        <v>3315</v>
      </c>
      <c r="CK84">
        <v>9945</v>
      </c>
      <c r="CL84" t="s">
        <v>1144</v>
      </c>
      <c r="CN84">
        <v>3</v>
      </c>
      <c r="CO84">
        <v>12272</v>
      </c>
      <c r="CP84">
        <v>36816</v>
      </c>
      <c r="CQ84" t="s">
        <v>379</v>
      </c>
      <c r="CS84">
        <v>0</v>
      </c>
    </row>
    <row r="85" spans="1:97" x14ac:dyDescent="0.4">
      <c r="A85" s="10">
        <v>43124</v>
      </c>
      <c r="B85" t="s">
        <v>117</v>
      </c>
      <c r="C85" t="s">
        <v>1145</v>
      </c>
      <c r="D85" t="s">
        <v>359</v>
      </c>
      <c r="E85" t="s">
        <v>1121</v>
      </c>
      <c r="F85" t="str">
        <f>"20180123-0000065"</f>
        <v>20180123-0000065</v>
      </c>
      <c r="G85">
        <v>1033939</v>
      </c>
      <c r="H85">
        <v>1</v>
      </c>
      <c r="I85" t="s">
        <v>1146</v>
      </c>
      <c r="L85">
        <v>0</v>
      </c>
      <c r="M85">
        <v>1</v>
      </c>
      <c r="O85" t="s">
        <v>361</v>
      </c>
      <c r="P85" t="s">
        <v>1137</v>
      </c>
      <c r="S85" t="s">
        <v>1147</v>
      </c>
      <c r="T85" t="s">
        <v>364</v>
      </c>
      <c r="X85" t="s">
        <v>1146</v>
      </c>
      <c r="Y85" t="s">
        <v>1125</v>
      </c>
      <c r="AA85">
        <v>23730</v>
      </c>
      <c r="AB85">
        <v>16.38</v>
      </c>
      <c r="AC85" t="s">
        <v>1148</v>
      </c>
      <c r="AD85">
        <v>17.86</v>
      </c>
      <c r="AE85">
        <v>18.350000000000001</v>
      </c>
      <c r="AF85" t="s">
        <v>1149</v>
      </c>
      <c r="AG85">
        <v>10650</v>
      </c>
      <c r="AK85">
        <v>412</v>
      </c>
      <c r="AL85" t="s">
        <v>1146</v>
      </c>
      <c r="AN85" t="s">
        <v>1150</v>
      </c>
      <c r="AQ85">
        <v>6300</v>
      </c>
      <c r="AR85" t="s">
        <v>368</v>
      </c>
      <c r="AS85">
        <v>613660397440</v>
      </c>
      <c r="AT85" t="str">
        <f>"강*현"</f>
        <v>강*현</v>
      </c>
      <c r="AU85" t="str">
        <f>" 1***1"</f>
        <v xml:space="preserve"> 1***1</v>
      </c>
      <c r="AV85" t="str">
        <f>"***-****-0441"</f>
        <v>***-****-0441</v>
      </c>
      <c r="AW85" t="str">
        <f>" 경* 파*시 송*로 1* (***) 팜*****트 1**동 4**호"</f>
        <v xml:space="preserve"> 경* 파*시 송*로 1* (***) 팜*****트 1**동 4**호</v>
      </c>
      <c r="AX85" t="str">
        <f>""</f>
        <v/>
      </c>
      <c r="AY85" t="str">
        <f>"***-****-0444"</f>
        <v>***-****-0444</v>
      </c>
      <c r="AZ85">
        <v>27493</v>
      </c>
      <c r="BA85">
        <v>1039903</v>
      </c>
      <c r="BB85">
        <v>10000</v>
      </c>
      <c r="BC85" t="s">
        <v>1128</v>
      </c>
      <c r="BD85" t="s">
        <v>707</v>
      </c>
      <c r="BE85" t="str">
        <f>"강*현"</f>
        <v>강*현</v>
      </c>
      <c r="BF85" t="str">
        <f>"***-****-0441"</f>
        <v>***-****-0441</v>
      </c>
      <c r="BG85" t="str">
        <f>"***-****-0444"</f>
        <v>***-****-0444</v>
      </c>
      <c r="BH85" t="s">
        <v>453</v>
      </c>
      <c r="BI85" t="s">
        <v>454</v>
      </c>
      <c r="BJ85" t="s">
        <v>1151</v>
      </c>
      <c r="BK85" t="s">
        <v>456</v>
      </c>
      <c r="BL85">
        <v>19716</v>
      </c>
      <c r="BM85" t="str">
        <f>"19716"</f>
        <v>19716</v>
      </c>
      <c r="BN85" t="str">
        <f>"20180123-0000065"</f>
        <v>20180123-0000065</v>
      </c>
      <c r="BQ85" t="s">
        <v>373</v>
      </c>
      <c r="BU85">
        <v>0</v>
      </c>
      <c r="BV85" t="s">
        <v>1152</v>
      </c>
      <c r="BW85" t="s">
        <v>1146</v>
      </c>
      <c r="BX85" t="s">
        <v>117</v>
      </c>
      <c r="BY85">
        <v>0</v>
      </c>
      <c r="BZ85">
        <v>8809516525814</v>
      </c>
      <c r="CA85" t="s">
        <v>1153</v>
      </c>
      <c r="CF85" t="s">
        <v>1146</v>
      </c>
      <c r="CG85" t="s">
        <v>1154</v>
      </c>
      <c r="CH85" t="s">
        <v>377</v>
      </c>
      <c r="CI85" t="s">
        <v>1145</v>
      </c>
      <c r="CJ85">
        <v>6300</v>
      </c>
      <c r="CK85">
        <v>6300</v>
      </c>
      <c r="CL85" t="s">
        <v>1155</v>
      </c>
      <c r="CN85">
        <v>1</v>
      </c>
      <c r="CO85">
        <v>23730</v>
      </c>
      <c r="CP85">
        <v>23730</v>
      </c>
      <c r="CQ85" t="s">
        <v>379</v>
      </c>
      <c r="CS85">
        <v>0</v>
      </c>
    </row>
    <row r="86" spans="1:97" x14ac:dyDescent="0.4">
      <c r="A86" s="10">
        <v>43124</v>
      </c>
      <c r="B86" t="s">
        <v>213</v>
      </c>
      <c r="C86" t="s">
        <v>1156</v>
      </c>
      <c r="D86" t="s">
        <v>359</v>
      </c>
      <c r="E86" t="s">
        <v>1121</v>
      </c>
      <c r="F86" t="str">
        <f>"20180123-0000065"</f>
        <v>20180123-0000065</v>
      </c>
      <c r="G86">
        <v>1033939</v>
      </c>
      <c r="H86">
        <v>1</v>
      </c>
      <c r="I86" t="s">
        <v>1157</v>
      </c>
      <c r="L86">
        <v>0</v>
      </c>
      <c r="M86">
        <v>1</v>
      </c>
      <c r="O86" t="s">
        <v>361</v>
      </c>
      <c r="P86" t="s">
        <v>1137</v>
      </c>
      <c r="S86" t="s">
        <v>1158</v>
      </c>
      <c r="T86" t="s">
        <v>364</v>
      </c>
      <c r="X86" t="s">
        <v>1157</v>
      </c>
      <c r="Y86" t="s">
        <v>1125</v>
      </c>
      <c r="AA86">
        <v>15078</v>
      </c>
      <c r="AB86">
        <v>11.87</v>
      </c>
      <c r="AC86" t="s">
        <v>1159</v>
      </c>
      <c r="AD86">
        <v>12.93</v>
      </c>
      <c r="AE86">
        <v>13.29</v>
      </c>
      <c r="AF86" t="s">
        <v>1160</v>
      </c>
      <c r="AG86">
        <v>3770</v>
      </c>
      <c r="AK86">
        <v>126</v>
      </c>
      <c r="AL86" t="s">
        <v>1157</v>
      </c>
      <c r="AQ86">
        <v>6500</v>
      </c>
      <c r="AR86" t="s">
        <v>368</v>
      </c>
      <c r="AS86">
        <v>613660397440</v>
      </c>
      <c r="AT86" t="str">
        <f>"강*현"</f>
        <v>강*현</v>
      </c>
      <c r="AU86" t="str">
        <f>" 1***1"</f>
        <v xml:space="preserve"> 1***1</v>
      </c>
      <c r="AV86" t="str">
        <f>"***-****-0441"</f>
        <v>***-****-0441</v>
      </c>
      <c r="AW86" t="str">
        <f>" 경* 파*시 송*로 1* (***) 팜*****트 1**동 4**호"</f>
        <v xml:space="preserve"> 경* 파*시 송*로 1* (***) 팜*****트 1**동 4**호</v>
      </c>
      <c r="AX86" t="str">
        <f>""</f>
        <v/>
      </c>
      <c r="AY86" t="str">
        <f>"***-****-0444"</f>
        <v>***-****-0444</v>
      </c>
      <c r="AZ86">
        <v>17762</v>
      </c>
      <c r="BA86">
        <v>1039904</v>
      </c>
      <c r="BB86">
        <v>10000</v>
      </c>
      <c r="BC86" t="s">
        <v>1128</v>
      </c>
      <c r="BD86" t="s">
        <v>707</v>
      </c>
      <c r="BE86" t="str">
        <f>"강*현"</f>
        <v>강*현</v>
      </c>
      <c r="BF86" t="str">
        <f>"***-****-0441"</f>
        <v>***-****-0441</v>
      </c>
      <c r="BG86" t="str">
        <f>"***-****-0444"</f>
        <v>***-****-0444</v>
      </c>
      <c r="BH86" t="s">
        <v>453</v>
      </c>
      <c r="BI86" t="s">
        <v>454</v>
      </c>
      <c r="BJ86" t="s">
        <v>1161</v>
      </c>
      <c r="BK86" t="s">
        <v>456</v>
      </c>
      <c r="BL86">
        <v>18367</v>
      </c>
      <c r="BM86" t="str">
        <f>"18367"</f>
        <v>18367</v>
      </c>
      <c r="BN86" t="str">
        <f>"20180123-0000065"</f>
        <v>20180123-0000065</v>
      </c>
      <c r="BQ86" t="s">
        <v>373</v>
      </c>
      <c r="BV86" t="s">
        <v>1162</v>
      </c>
      <c r="BW86" t="s">
        <v>1157</v>
      </c>
      <c r="BX86" t="s">
        <v>213</v>
      </c>
      <c r="BY86">
        <v>0</v>
      </c>
      <c r="BZ86">
        <v>8806390547765</v>
      </c>
      <c r="CA86" t="s">
        <v>1163</v>
      </c>
      <c r="CF86" t="s">
        <v>1157</v>
      </c>
      <c r="CG86" t="s">
        <v>1164</v>
      </c>
      <c r="CH86" t="s">
        <v>377</v>
      </c>
      <c r="CI86" t="s">
        <v>1156</v>
      </c>
      <c r="CJ86">
        <v>6500</v>
      </c>
      <c r="CK86">
        <v>6500</v>
      </c>
      <c r="CL86" t="s">
        <v>1165</v>
      </c>
      <c r="CN86">
        <v>1</v>
      </c>
      <c r="CO86">
        <v>15078</v>
      </c>
      <c r="CP86">
        <v>15078</v>
      </c>
      <c r="CQ86" t="s">
        <v>379</v>
      </c>
      <c r="CS86">
        <v>0</v>
      </c>
    </row>
    <row r="87" spans="1:97" x14ac:dyDescent="0.4">
      <c r="A87" s="10">
        <v>43124</v>
      </c>
      <c r="B87" t="s">
        <v>146</v>
      </c>
      <c r="C87" t="s">
        <v>1166</v>
      </c>
      <c r="D87" t="s">
        <v>359</v>
      </c>
      <c r="F87" t="str">
        <f>"20180122-0000044"</f>
        <v>20180122-0000044</v>
      </c>
      <c r="G87">
        <v>1033923</v>
      </c>
      <c r="H87">
        <v>1</v>
      </c>
      <c r="I87" t="s">
        <v>1167</v>
      </c>
      <c r="L87">
        <v>0</v>
      </c>
      <c r="M87">
        <v>1</v>
      </c>
      <c r="N87" t="s">
        <v>1168</v>
      </c>
      <c r="O87" t="s">
        <v>361</v>
      </c>
      <c r="P87" t="s">
        <v>1169</v>
      </c>
      <c r="S87" t="s">
        <v>1170</v>
      </c>
      <c r="T87" t="s">
        <v>364</v>
      </c>
      <c r="X87" t="s">
        <v>1167</v>
      </c>
      <c r="AA87">
        <v>15778</v>
      </c>
      <c r="AB87">
        <v>15.16</v>
      </c>
      <c r="AC87" t="s">
        <v>1171</v>
      </c>
      <c r="AD87">
        <v>16.53</v>
      </c>
      <c r="AE87">
        <v>16.98</v>
      </c>
      <c r="AF87" t="s">
        <v>366</v>
      </c>
      <c r="AG87">
        <v>3770</v>
      </c>
      <c r="AK87">
        <v>146</v>
      </c>
      <c r="AL87" t="s">
        <v>1167</v>
      </c>
      <c r="AN87" t="s">
        <v>1172</v>
      </c>
      <c r="AQ87">
        <v>8250</v>
      </c>
      <c r="AR87" t="s">
        <v>368</v>
      </c>
      <c r="AT87" t="str">
        <f>"이*수②"</f>
        <v>이*수②</v>
      </c>
      <c r="AU87" t="str">
        <f>" 2***2"</f>
        <v xml:space="preserve"> 2***2</v>
      </c>
      <c r="AV87" t="str">
        <f>"***-****-9592"</f>
        <v>***-****-9592</v>
      </c>
      <c r="AW87" t="str">
        <f>" 인* 서* 원**로 8*2 (***) 삼***자 5**호 햇*찬 글*벌"</f>
        <v xml:space="preserve"> 인* 서* 원**로 8*2 (***) 삼***자 5**호 햇*찬 글*벌</v>
      </c>
      <c r="AX87" t="str">
        <f>""</f>
        <v/>
      </c>
      <c r="AY87" t="str">
        <f>"***-****-9597"</f>
        <v>***-****-9597</v>
      </c>
      <c r="AZ87">
        <v>29066</v>
      </c>
      <c r="BA87">
        <v>1033923</v>
      </c>
      <c r="BB87">
        <v>15000</v>
      </c>
      <c r="BD87" t="s">
        <v>1129</v>
      </c>
      <c r="BE87" t="str">
        <f>"이*수"</f>
        <v>이*수</v>
      </c>
      <c r="BF87" t="str">
        <f>"***-****-9592"</f>
        <v>***-****-9592</v>
      </c>
      <c r="BG87" t="str">
        <f>"***-****-9597"</f>
        <v>***-****-9597</v>
      </c>
      <c r="BI87" t="s">
        <v>370</v>
      </c>
      <c r="BJ87" t="s">
        <v>1173</v>
      </c>
      <c r="BK87" t="s">
        <v>372</v>
      </c>
      <c r="BL87">
        <v>18888</v>
      </c>
      <c r="BM87" t="str">
        <f>"18888"</f>
        <v>18888</v>
      </c>
      <c r="BN87" t="str">
        <f>"20180122-0000044"</f>
        <v>20180122-0000044</v>
      </c>
      <c r="BQ87" t="s">
        <v>373</v>
      </c>
      <c r="BV87" t="s">
        <v>1174</v>
      </c>
      <c r="BW87" t="s">
        <v>1167</v>
      </c>
      <c r="BX87" t="s">
        <v>146</v>
      </c>
      <c r="BY87">
        <v>0</v>
      </c>
      <c r="BZ87">
        <v>8806164140758</v>
      </c>
      <c r="CA87" t="s">
        <v>1175</v>
      </c>
      <c r="CF87" t="s">
        <v>1167</v>
      </c>
      <c r="CG87" t="s">
        <v>376</v>
      </c>
      <c r="CH87" t="s">
        <v>377</v>
      </c>
      <c r="CI87" t="s">
        <v>1166</v>
      </c>
      <c r="CJ87">
        <v>8250</v>
      </c>
      <c r="CK87">
        <v>8250</v>
      </c>
      <c r="CL87" t="s">
        <v>1176</v>
      </c>
      <c r="CN87">
        <v>1</v>
      </c>
      <c r="CO87">
        <v>15778</v>
      </c>
      <c r="CP87">
        <v>15778</v>
      </c>
      <c r="CQ87" t="s">
        <v>379</v>
      </c>
      <c r="CS87">
        <v>0</v>
      </c>
    </row>
    <row r="88" spans="1:97" x14ac:dyDescent="0.4">
      <c r="A88" s="10">
        <v>43124</v>
      </c>
      <c r="B88" t="s">
        <v>200</v>
      </c>
      <c r="C88" t="s">
        <v>1177</v>
      </c>
      <c r="D88" t="s">
        <v>359</v>
      </c>
      <c r="F88" t="str">
        <f>"20180123-0000036"</f>
        <v>20180123-0000036</v>
      </c>
      <c r="G88">
        <v>1033923</v>
      </c>
      <c r="H88">
        <v>25</v>
      </c>
      <c r="I88" t="s">
        <v>1178</v>
      </c>
      <c r="L88">
        <v>0</v>
      </c>
      <c r="M88">
        <v>1</v>
      </c>
      <c r="N88" t="s">
        <v>1168</v>
      </c>
      <c r="O88" t="s">
        <v>361</v>
      </c>
      <c r="P88" t="s">
        <v>1028</v>
      </c>
      <c r="S88" t="s">
        <v>1179</v>
      </c>
      <c r="T88" t="s">
        <v>364</v>
      </c>
      <c r="X88" t="s">
        <v>1178</v>
      </c>
      <c r="AA88">
        <v>6444</v>
      </c>
      <c r="AB88">
        <v>3.62</v>
      </c>
      <c r="AC88" t="s">
        <v>1180</v>
      </c>
      <c r="AD88">
        <v>3.95</v>
      </c>
      <c r="AE88">
        <v>4.0599999999999996</v>
      </c>
      <c r="AF88" t="s">
        <v>1181</v>
      </c>
      <c r="AG88">
        <v>1880</v>
      </c>
      <c r="AK88">
        <v>19</v>
      </c>
      <c r="AL88" t="s">
        <v>1178</v>
      </c>
      <c r="AQ88">
        <v>1375</v>
      </c>
      <c r="AR88" t="s">
        <v>368</v>
      </c>
      <c r="AT88" t="str">
        <f>"이*수②"</f>
        <v>이*수②</v>
      </c>
      <c r="AU88" t="str">
        <f>" 2***2"</f>
        <v xml:space="preserve"> 2***2</v>
      </c>
      <c r="AV88" t="str">
        <f>"***-****-9592"</f>
        <v>***-****-9592</v>
      </c>
      <c r="AW88" t="str">
        <f>" 인* 서* 원**로 8*2 (***) 삼***자 5**호 햇*찬 글*벌"</f>
        <v xml:space="preserve"> 인* 서* 원**로 8*2 (***) 삼***자 5**호 햇*찬 글*벌</v>
      </c>
      <c r="AX88" t="str">
        <f>""</f>
        <v/>
      </c>
      <c r="AY88" t="str">
        <f>"***-****-9597"</f>
        <v>***-****-9597</v>
      </c>
      <c r="AZ88">
        <v>18647</v>
      </c>
      <c r="BA88">
        <v>1039976</v>
      </c>
      <c r="BB88">
        <v>62500</v>
      </c>
      <c r="BD88" t="s">
        <v>707</v>
      </c>
      <c r="BE88" t="str">
        <f>"이*수"</f>
        <v>이*수</v>
      </c>
      <c r="BF88" t="str">
        <f>"***-****-9592"</f>
        <v>***-****-9592</v>
      </c>
      <c r="BG88" t="str">
        <f>"***-****-9597"</f>
        <v>***-****-9597</v>
      </c>
      <c r="BI88" t="s">
        <v>370</v>
      </c>
      <c r="BJ88" t="s">
        <v>1182</v>
      </c>
      <c r="BK88" t="s">
        <v>372</v>
      </c>
      <c r="BL88">
        <v>18693</v>
      </c>
      <c r="BM88" t="str">
        <f>"18693"</f>
        <v>18693</v>
      </c>
      <c r="BN88" t="str">
        <f>"20180123-0000036"</f>
        <v>20180123-0000036</v>
      </c>
      <c r="BQ88" t="s">
        <v>373</v>
      </c>
      <c r="BU88">
        <v>75</v>
      </c>
      <c r="BV88" t="s">
        <v>1183</v>
      </c>
      <c r="BW88" t="s">
        <v>1178</v>
      </c>
      <c r="BX88" t="s">
        <v>200</v>
      </c>
      <c r="BY88">
        <v>0</v>
      </c>
      <c r="BZ88">
        <v>8806185764520</v>
      </c>
      <c r="CA88" t="s">
        <v>1184</v>
      </c>
      <c r="CF88" t="s">
        <v>1178</v>
      </c>
      <c r="CG88" t="s">
        <v>433</v>
      </c>
      <c r="CH88" t="s">
        <v>377</v>
      </c>
      <c r="CI88" t="s">
        <v>1177</v>
      </c>
      <c r="CJ88">
        <v>1375</v>
      </c>
      <c r="CK88">
        <v>34375</v>
      </c>
      <c r="CL88" t="s">
        <v>1185</v>
      </c>
      <c r="CN88">
        <v>25</v>
      </c>
      <c r="CO88">
        <v>6444</v>
      </c>
      <c r="CP88">
        <v>161100</v>
      </c>
      <c r="CQ88" t="s">
        <v>820</v>
      </c>
      <c r="CR88" t="s">
        <v>1186</v>
      </c>
      <c r="CS88">
        <v>0</v>
      </c>
    </row>
    <row r="89" spans="1:97" x14ac:dyDescent="0.4">
      <c r="A89" s="10">
        <v>43124</v>
      </c>
      <c r="B89" t="s">
        <v>226</v>
      </c>
      <c r="C89" t="s">
        <v>1187</v>
      </c>
      <c r="D89" t="s">
        <v>359</v>
      </c>
      <c r="E89" t="s">
        <v>1188</v>
      </c>
      <c r="F89" t="str">
        <f>"20180118-0000038"</f>
        <v>20180118-0000038</v>
      </c>
      <c r="G89">
        <v>1031916</v>
      </c>
      <c r="H89">
        <v>1</v>
      </c>
      <c r="I89" t="s">
        <v>1189</v>
      </c>
      <c r="J89">
        <v>5200</v>
      </c>
      <c r="L89">
        <v>0</v>
      </c>
      <c r="M89">
        <v>1</v>
      </c>
      <c r="O89" t="s">
        <v>361</v>
      </c>
      <c r="P89" t="s">
        <v>1190</v>
      </c>
      <c r="S89" t="s">
        <v>1191</v>
      </c>
      <c r="T89" t="s">
        <v>364</v>
      </c>
      <c r="X89" t="s">
        <v>1189</v>
      </c>
      <c r="AA89">
        <v>18200</v>
      </c>
      <c r="AB89">
        <v>11.1</v>
      </c>
      <c r="AC89" t="s">
        <v>1192</v>
      </c>
      <c r="AD89">
        <v>12.09</v>
      </c>
      <c r="AE89">
        <v>12.43</v>
      </c>
      <c r="AF89" t="s">
        <v>1193</v>
      </c>
      <c r="AG89">
        <v>6500</v>
      </c>
      <c r="AK89">
        <v>207</v>
      </c>
      <c r="AL89" t="s">
        <v>1189</v>
      </c>
      <c r="AQ89">
        <v>5200</v>
      </c>
      <c r="AR89" t="s">
        <v>368</v>
      </c>
      <c r="AS89">
        <v>613660397425</v>
      </c>
      <c r="AT89" t="str">
        <f t="shared" ref="AT89:AT138" si="46">"피****아①"</f>
        <v>피****아①</v>
      </c>
      <c r="AU89" t="str">
        <f t="shared" ref="AU89:AU138" si="47">" 1****0"</f>
        <v xml:space="preserve"> 1****0</v>
      </c>
      <c r="AV89" t="str">
        <f t="shared" ref="AV89:AV138" si="48">"***-****-1406"</f>
        <v>***-****-1406</v>
      </c>
      <c r="AW89" t="str">
        <f t="shared" ref="AW89:AW138" si="49">" 서* 강*구 방*동 5****5 2* 김****님"</f>
        <v xml:space="preserve"> 서* 강*구 방*동 5****5 2* 김****님</v>
      </c>
      <c r="AX89" t="str">
        <f>""</f>
        <v/>
      </c>
      <c r="AY89" t="str">
        <f t="shared" ref="AY89:AY138" si="50">"***-****-0388"</f>
        <v>***-****-0388</v>
      </c>
      <c r="AZ89">
        <v>12180</v>
      </c>
      <c r="BA89">
        <v>1031939</v>
      </c>
      <c r="BB89">
        <v>10000</v>
      </c>
      <c r="BC89" t="s">
        <v>1194</v>
      </c>
      <c r="BD89" t="s">
        <v>1195</v>
      </c>
      <c r="BE89" t="str">
        <f t="shared" ref="BE89:BE138" si="51">"피****아"</f>
        <v>피****아</v>
      </c>
      <c r="BF89" t="str">
        <f t="shared" ref="BF89:BF138" si="52">"***-****-6097"</f>
        <v>***-****-6097</v>
      </c>
      <c r="BG89" t="str">
        <f t="shared" ref="BG89:BG138" si="53">"***-****-7488"</f>
        <v>***-****-7488</v>
      </c>
      <c r="BH89" t="s">
        <v>453</v>
      </c>
      <c r="BI89" t="s">
        <v>454</v>
      </c>
      <c r="BJ89" t="s">
        <v>1196</v>
      </c>
      <c r="BK89" t="s">
        <v>456</v>
      </c>
      <c r="BL89">
        <v>15423</v>
      </c>
      <c r="BM89" t="str">
        <f>"15423"</f>
        <v>15423</v>
      </c>
      <c r="BN89" t="str">
        <f>"20180118-0000038"</f>
        <v>20180118-0000038</v>
      </c>
      <c r="BQ89" t="s">
        <v>373</v>
      </c>
      <c r="BV89" t="s">
        <v>1197</v>
      </c>
      <c r="BW89" t="s">
        <v>1189</v>
      </c>
      <c r="BX89" t="s">
        <v>226</v>
      </c>
      <c r="BY89">
        <v>0</v>
      </c>
      <c r="BZ89">
        <v>8809427864309</v>
      </c>
      <c r="CA89" t="s">
        <v>1198</v>
      </c>
      <c r="CF89" t="s">
        <v>1189</v>
      </c>
      <c r="CG89" t="s">
        <v>877</v>
      </c>
      <c r="CH89" t="s">
        <v>377</v>
      </c>
      <c r="CI89" t="s">
        <v>1187</v>
      </c>
      <c r="CJ89">
        <v>5200</v>
      </c>
      <c r="CK89">
        <v>5200</v>
      </c>
      <c r="CL89" t="s">
        <v>1199</v>
      </c>
      <c r="CN89">
        <v>1</v>
      </c>
      <c r="CO89">
        <v>18200</v>
      </c>
      <c r="CP89">
        <v>18200</v>
      </c>
      <c r="CQ89" t="s">
        <v>379</v>
      </c>
      <c r="CS89">
        <v>0</v>
      </c>
    </row>
    <row r="90" spans="1:97" x14ac:dyDescent="0.4">
      <c r="A90" s="10">
        <v>43124</v>
      </c>
      <c r="B90" t="s">
        <v>226</v>
      </c>
      <c r="C90" t="s">
        <v>1187</v>
      </c>
      <c r="D90" t="s">
        <v>359</v>
      </c>
      <c r="E90" t="s">
        <v>1188</v>
      </c>
      <c r="F90" t="str">
        <f>"20180118-0000048"</f>
        <v>20180118-0000048</v>
      </c>
      <c r="G90">
        <v>1031916</v>
      </c>
      <c r="H90">
        <v>1</v>
      </c>
      <c r="I90" t="s">
        <v>1189</v>
      </c>
      <c r="J90">
        <v>5200</v>
      </c>
      <c r="L90">
        <v>0</v>
      </c>
      <c r="M90">
        <v>1</v>
      </c>
      <c r="O90" t="s">
        <v>361</v>
      </c>
      <c r="P90" t="s">
        <v>1200</v>
      </c>
      <c r="S90" t="s">
        <v>1201</v>
      </c>
      <c r="T90" t="s">
        <v>364</v>
      </c>
      <c r="X90" t="s">
        <v>1189</v>
      </c>
      <c r="AA90">
        <v>18200</v>
      </c>
      <c r="AB90">
        <v>11.1</v>
      </c>
      <c r="AC90" t="s">
        <v>1192</v>
      </c>
      <c r="AD90">
        <v>12.09</v>
      </c>
      <c r="AE90">
        <v>12.43</v>
      </c>
      <c r="AF90" t="s">
        <v>1193</v>
      </c>
      <c r="AG90">
        <v>6500</v>
      </c>
      <c r="AK90">
        <v>207</v>
      </c>
      <c r="AL90" t="s">
        <v>1189</v>
      </c>
      <c r="AQ90">
        <v>5200</v>
      </c>
      <c r="AR90" t="s">
        <v>368</v>
      </c>
      <c r="AS90">
        <v>613660397425</v>
      </c>
      <c r="AT90" t="str">
        <f t="shared" si="46"/>
        <v>피****아①</v>
      </c>
      <c r="AU90" t="str">
        <f t="shared" si="47"/>
        <v xml:space="preserve"> 1****0</v>
      </c>
      <c r="AV90" t="str">
        <f t="shared" si="48"/>
        <v>***-****-1406</v>
      </c>
      <c r="AW90" t="str">
        <f t="shared" si="49"/>
        <v xml:space="preserve"> 서* 강*구 방*동 5****5 2* 김****님</v>
      </c>
      <c r="AX90" t="str">
        <f>""</f>
        <v/>
      </c>
      <c r="AY90" t="str">
        <f t="shared" si="50"/>
        <v>***-****-0388</v>
      </c>
      <c r="AZ90">
        <v>12180</v>
      </c>
      <c r="BA90">
        <v>1031916</v>
      </c>
      <c r="BB90">
        <v>10000</v>
      </c>
      <c r="BC90" t="s">
        <v>1194</v>
      </c>
      <c r="BD90" t="s">
        <v>1195</v>
      </c>
      <c r="BE90" t="str">
        <f t="shared" si="51"/>
        <v>피****아</v>
      </c>
      <c r="BF90" t="str">
        <f t="shared" si="52"/>
        <v>***-****-6097</v>
      </c>
      <c r="BG90" t="str">
        <f t="shared" si="53"/>
        <v>***-****-7488</v>
      </c>
      <c r="BH90" t="s">
        <v>453</v>
      </c>
      <c r="BI90" t="s">
        <v>454</v>
      </c>
      <c r="BJ90" t="s">
        <v>1202</v>
      </c>
      <c r="BK90" t="s">
        <v>456</v>
      </c>
      <c r="BL90">
        <v>15423</v>
      </c>
      <c r="BM90" t="str">
        <f>"15423"</f>
        <v>15423</v>
      </c>
      <c r="BN90" t="str">
        <f>"20180118-0000048"</f>
        <v>20180118-0000048</v>
      </c>
      <c r="BQ90" t="s">
        <v>373</v>
      </c>
      <c r="BV90" t="s">
        <v>1197</v>
      </c>
      <c r="BW90" t="s">
        <v>1189</v>
      </c>
      <c r="BX90" t="s">
        <v>226</v>
      </c>
      <c r="BY90">
        <v>0</v>
      </c>
      <c r="BZ90">
        <v>8809427864309</v>
      </c>
      <c r="CA90" t="s">
        <v>1198</v>
      </c>
      <c r="CF90" t="s">
        <v>1189</v>
      </c>
      <c r="CG90" t="s">
        <v>877</v>
      </c>
      <c r="CH90" t="s">
        <v>377</v>
      </c>
      <c r="CI90" t="s">
        <v>1187</v>
      </c>
      <c r="CJ90">
        <v>5200</v>
      </c>
      <c r="CK90">
        <v>5200</v>
      </c>
      <c r="CL90" t="s">
        <v>1199</v>
      </c>
      <c r="CN90">
        <v>1</v>
      </c>
      <c r="CO90">
        <v>18200</v>
      </c>
      <c r="CP90">
        <v>18200</v>
      </c>
      <c r="CQ90" t="s">
        <v>379</v>
      </c>
      <c r="CS90">
        <v>0</v>
      </c>
    </row>
    <row r="91" spans="1:97" x14ac:dyDescent="0.4">
      <c r="A91" s="10">
        <v>43124</v>
      </c>
      <c r="B91" t="s">
        <v>135</v>
      </c>
      <c r="C91" t="s">
        <v>811</v>
      </c>
      <c r="D91" t="s">
        <v>359</v>
      </c>
      <c r="E91" t="s">
        <v>1188</v>
      </c>
      <c r="F91" t="str">
        <f>"20180119-0000011"</f>
        <v>20180119-0000011</v>
      </c>
      <c r="G91">
        <v>1031916</v>
      </c>
      <c r="H91">
        <v>10</v>
      </c>
      <c r="I91" t="s">
        <v>812</v>
      </c>
      <c r="L91">
        <v>0</v>
      </c>
      <c r="M91">
        <v>1</v>
      </c>
      <c r="O91" t="s">
        <v>361</v>
      </c>
      <c r="P91" t="s">
        <v>1203</v>
      </c>
      <c r="S91" t="s">
        <v>1204</v>
      </c>
      <c r="T91" t="s">
        <v>364</v>
      </c>
      <c r="X91" t="s">
        <v>812</v>
      </c>
      <c r="AA91">
        <v>10288</v>
      </c>
      <c r="AB91">
        <v>7.97</v>
      </c>
      <c r="AC91" t="s">
        <v>814</v>
      </c>
      <c r="AD91">
        <v>8.68</v>
      </c>
      <c r="AE91">
        <v>8.92</v>
      </c>
      <c r="AF91" t="s">
        <v>815</v>
      </c>
      <c r="AG91">
        <v>3770</v>
      </c>
      <c r="AH91">
        <v>409</v>
      </c>
      <c r="AI91">
        <v>6500</v>
      </c>
      <c r="AK91">
        <v>92</v>
      </c>
      <c r="AL91" t="s">
        <v>812</v>
      </c>
      <c r="AQ91">
        <v>3575</v>
      </c>
      <c r="AR91" t="s">
        <v>368</v>
      </c>
      <c r="AS91">
        <v>613660397425</v>
      </c>
      <c r="AT91" t="str">
        <f t="shared" si="46"/>
        <v>피****아①</v>
      </c>
      <c r="AU91" t="str">
        <f t="shared" si="47"/>
        <v xml:space="preserve"> 1****0</v>
      </c>
      <c r="AV91" t="str">
        <f t="shared" si="48"/>
        <v>***-****-1406</v>
      </c>
      <c r="AW91" t="str">
        <f t="shared" si="49"/>
        <v xml:space="preserve"> 서* 강*구 방*동 5****5 2* 김****님</v>
      </c>
      <c r="AX91" t="str">
        <f>""</f>
        <v/>
      </c>
      <c r="AY91" t="str">
        <f t="shared" si="50"/>
        <v>***-****-0388</v>
      </c>
      <c r="AZ91">
        <v>6256</v>
      </c>
      <c r="BA91">
        <v>1033880</v>
      </c>
      <c r="BB91">
        <v>65000</v>
      </c>
      <c r="BC91" t="s">
        <v>1194</v>
      </c>
      <c r="BD91" t="s">
        <v>1205</v>
      </c>
      <c r="BE91" t="str">
        <f t="shared" si="51"/>
        <v>피****아</v>
      </c>
      <c r="BF91" t="str">
        <f t="shared" si="52"/>
        <v>***-****-6097</v>
      </c>
      <c r="BG91" t="str">
        <f t="shared" si="53"/>
        <v>***-****-7488</v>
      </c>
      <c r="BH91" t="s">
        <v>453</v>
      </c>
      <c r="BI91" t="s">
        <v>454</v>
      </c>
      <c r="BJ91" t="s">
        <v>1206</v>
      </c>
      <c r="BK91" t="s">
        <v>456</v>
      </c>
      <c r="BL91">
        <v>13058</v>
      </c>
      <c r="BM91" t="str">
        <f>"13058"</f>
        <v>13058</v>
      </c>
      <c r="BN91" t="str">
        <f>"20180119-0000011"</f>
        <v>20180119-0000011</v>
      </c>
      <c r="BQ91" t="s">
        <v>373</v>
      </c>
      <c r="BV91" t="s">
        <v>817</v>
      </c>
      <c r="BW91" t="s">
        <v>812</v>
      </c>
      <c r="BX91" t="s">
        <v>135</v>
      </c>
      <c r="BY91">
        <v>0</v>
      </c>
      <c r="BZ91">
        <v>8806358517458</v>
      </c>
      <c r="CA91" t="s">
        <v>818</v>
      </c>
      <c r="CF91" t="s">
        <v>812</v>
      </c>
      <c r="CG91" t="s">
        <v>610</v>
      </c>
      <c r="CH91" t="s">
        <v>377</v>
      </c>
      <c r="CI91" t="s">
        <v>811</v>
      </c>
      <c r="CJ91">
        <v>3575</v>
      </c>
      <c r="CK91">
        <v>35750</v>
      </c>
      <c r="CL91" t="s">
        <v>819</v>
      </c>
      <c r="CN91">
        <v>10</v>
      </c>
      <c r="CO91">
        <v>10288</v>
      </c>
      <c r="CP91">
        <v>102880</v>
      </c>
      <c r="CQ91" t="s">
        <v>820</v>
      </c>
      <c r="CR91" t="s">
        <v>821</v>
      </c>
      <c r="CS91">
        <v>1</v>
      </c>
    </row>
    <row r="92" spans="1:97" x14ac:dyDescent="0.4">
      <c r="A92" s="10">
        <v>43124</v>
      </c>
      <c r="B92" t="s">
        <v>189</v>
      </c>
      <c r="C92" t="s">
        <v>1207</v>
      </c>
      <c r="D92" t="s">
        <v>359</v>
      </c>
      <c r="E92" t="s">
        <v>1188</v>
      </c>
      <c r="F92" t="str">
        <f t="shared" ref="F92:F138" si="54">"20180123-0000059"</f>
        <v>20180123-0000059</v>
      </c>
      <c r="G92">
        <v>1031916</v>
      </c>
      <c r="H92">
        <v>1</v>
      </c>
      <c r="I92" t="s">
        <v>1208</v>
      </c>
      <c r="L92">
        <v>0</v>
      </c>
      <c r="M92">
        <v>1</v>
      </c>
      <c r="O92" t="s">
        <v>361</v>
      </c>
      <c r="P92" t="s">
        <v>702</v>
      </c>
      <c r="S92" t="s">
        <v>1209</v>
      </c>
      <c r="T92" t="s">
        <v>364</v>
      </c>
      <c r="X92" t="s">
        <v>1208</v>
      </c>
      <c r="AA92">
        <v>29276</v>
      </c>
      <c r="AB92">
        <v>26.8</v>
      </c>
      <c r="AC92" t="s">
        <v>1210</v>
      </c>
      <c r="AD92">
        <v>29.22</v>
      </c>
      <c r="AE92">
        <v>30.02</v>
      </c>
      <c r="AF92" t="s">
        <v>777</v>
      </c>
      <c r="AG92">
        <v>3770</v>
      </c>
      <c r="AL92" t="s">
        <v>1208</v>
      </c>
      <c r="AQ92">
        <v>18750</v>
      </c>
      <c r="AR92" t="s">
        <v>368</v>
      </c>
      <c r="AS92">
        <v>613660397425</v>
      </c>
      <c r="AT92" t="str">
        <f t="shared" si="46"/>
        <v>피****아①</v>
      </c>
      <c r="AU92" t="str">
        <f t="shared" si="47"/>
        <v xml:space="preserve"> 1****0</v>
      </c>
      <c r="AV92" t="str">
        <f t="shared" si="48"/>
        <v>***-****-1406</v>
      </c>
      <c r="AW92" t="str">
        <f t="shared" si="49"/>
        <v xml:space="preserve"> 서* 강*구 방*동 5****5 2* 김****님</v>
      </c>
      <c r="AX92" t="str">
        <f>""</f>
        <v/>
      </c>
      <c r="AY92" t="str">
        <f t="shared" si="50"/>
        <v>***-****-0388</v>
      </c>
      <c r="AZ92">
        <v>22019</v>
      </c>
      <c r="BA92">
        <v>1039916</v>
      </c>
      <c r="BB92">
        <v>25000</v>
      </c>
      <c r="BC92" t="s">
        <v>1194</v>
      </c>
      <c r="BD92" t="s">
        <v>707</v>
      </c>
      <c r="BE92" t="str">
        <f t="shared" si="51"/>
        <v>피****아</v>
      </c>
      <c r="BF92" t="str">
        <f t="shared" si="52"/>
        <v>***-****-6097</v>
      </c>
      <c r="BG92" t="str">
        <f t="shared" si="53"/>
        <v>***-****-7488</v>
      </c>
      <c r="BH92" t="s">
        <v>453</v>
      </c>
      <c r="BI92" t="s">
        <v>454</v>
      </c>
      <c r="BJ92" t="s">
        <v>1211</v>
      </c>
      <c r="BK92" t="s">
        <v>456</v>
      </c>
      <c r="BL92">
        <v>18971</v>
      </c>
      <c r="BM92" t="str">
        <f>"18971"</f>
        <v>18971</v>
      </c>
      <c r="BN92" t="str">
        <f t="shared" ref="BN92:BN138" si="55">"20180123-0000059"</f>
        <v>20180123-0000059</v>
      </c>
      <c r="BQ92" t="s">
        <v>373</v>
      </c>
      <c r="BU92">
        <v>232</v>
      </c>
      <c r="BV92" t="s">
        <v>1212</v>
      </c>
      <c r="BW92" t="s">
        <v>1208</v>
      </c>
      <c r="BX92" t="s">
        <v>189</v>
      </c>
      <c r="BY92">
        <v>0</v>
      </c>
      <c r="BZ92">
        <v>8801051961775</v>
      </c>
      <c r="CA92" t="s">
        <v>1213</v>
      </c>
      <c r="CF92" t="s">
        <v>1208</v>
      </c>
      <c r="CG92" t="s">
        <v>1214</v>
      </c>
      <c r="CH92" t="s">
        <v>377</v>
      </c>
      <c r="CI92" t="s">
        <v>1207</v>
      </c>
      <c r="CJ92">
        <v>18750</v>
      </c>
      <c r="CK92">
        <v>18750</v>
      </c>
      <c r="CL92" t="s">
        <v>1215</v>
      </c>
      <c r="CN92">
        <v>1</v>
      </c>
      <c r="CO92">
        <v>29276</v>
      </c>
      <c r="CP92">
        <v>29276</v>
      </c>
      <c r="CQ92" t="s">
        <v>379</v>
      </c>
      <c r="CS92">
        <v>0</v>
      </c>
    </row>
    <row r="93" spans="1:97" x14ac:dyDescent="0.4">
      <c r="A93" s="10">
        <v>43124</v>
      </c>
      <c r="B93" t="s">
        <v>189</v>
      </c>
      <c r="C93" t="s">
        <v>1216</v>
      </c>
      <c r="D93" t="s">
        <v>359</v>
      </c>
      <c r="E93" t="s">
        <v>1188</v>
      </c>
      <c r="F93" t="str">
        <f t="shared" si="54"/>
        <v>20180123-0000059</v>
      </c>
      <c r="G93">
        <v>1031916</v>
      </c>
      <c r="H93">
        <v>2</v>
      </c>
      <c r="I93" t="s">
        <v>1217</v>
      </c>
      <c r="L93">
        <v>0</v>
      </c>
      <c r="M93">
        <v>1</v>
      </c>
      <c r="O93" t="s">
        <v>361</v>
      </c>
      <c r="P93" t="s">
        <v>702</v>
      </c>
      <c r="S93" t="s">
        <v>1218</v>
      </c>
      <c r="T93" t="s">
        <v>364</v>
      </c>
      <c r="X93" t="s">
        <v>1217</v>
      </c>
      <c r="AA93">
        <v>21532</v>
      </c>
      <c r="AB93">
        <v>18.5</v>
      </c>
      <c r="AC93" t="s">
        <v>1219</v>
      </c>
      <c r="AD93">
        <v>20.170000000000002</v>
      </c>
      <c r="AE93">
        <v>20.73</v>
      </c>
      <c r="AF93" t="s">
        <v>1220</v>
      </c>
      <c r="AG93">
        <v>1880</v>
      </c>
      <c r="AL93" t="s">
        <v>1217</v>
      </c>
      <c r="AQ93">
        <v>13500</v>
      </c>
      <c r="AR93" t="s">
        <v>368</v>
      </c>
      <c r="AS93">
        <v>613660397425</v>
      </c>
      <c r="AT93" t="str">
        <f t="shared" si="46"/>
        <v>피****아①</v>
      </c>
      <c r="AU93" t="str">
        <f t="shared" si="47"/>
        <v xml:space="preserve"> 1****0</v>
      </c>
      <c r="AV93" t="str">
        <f t="shared" si="48"/>
        <v>***-****-1406</v>
      </c>
      <c r="AW93" t="str">
        <f t="shared" si="49"/>
        <v xml:space="preserve"> 서* 강*구 방*동 5****5 2* 김****님</v>
      </c>
      <c r="AX93" t="str">
        <f>""</f>
        <v/>
      </c>
      <c r="AY93" t="str">
        <f t="shared" si="50"/>
        <v>***-****-0388</v>
      </c>
      <c r="AZ93">
        <v>27834</v>
      </c>
      <c r="BA93">
        <v>1039917</v>
      </c>
      <c r="BB93">
        <v>36000</v>
      </c>
      <c r="BC93" t="s">
        <v>1194</v>
      </c>
      <c r="BD93" t="s">
        <v>707</v>
      </c>
      <c r="BE93" t="str">
        <f t="shared" si="51"/>
        <v>피****아</v>
      </c>
      <c r="BF93" t="str">
        <f t="shared" si="52"/>
        <v>***-****-6097</v>
      </c>
      <c r="BG93" t="str">
        <f t="shared" si="53"/>
        <v>***-****-7488</v>
      </c>
      <c r="BH93" t="s">
        <v>453</v>
      </c>
      <c r="BI93" t="s">
        <v>454</v>
      </c>
      <c r="BJ93" t="s">
        <v>1221</v>
      </c>
      <c r="BK93" t="s">
        <v>456</v>
      </c>
      <c r="BL93">
        <v>18972</v>
      </c>
      <c r="BM93" t="str">
        <f>"18972"</f>
        <v>18972</v>
      </c>
      <c r="BN93" t="str">
        <f t="shared" si="55"/>
        <v>20180123-0000059</v>
      </c>
      <c r="BQ93" t="s">
        <v>373</v>
      </c>
      <c r="BU93">
        <v>85</v>
      </c>
      <c r="BV93" t="s">
        <v>1222</v>
      </c>
      <c r="BW93" t="s">
        <v>1217</v>
      </c>
      <c r="BX93" t="s">
        <v>189</v>
      </c>
      <c r="BY93">
        <v>0</v>
      </c>
      <c r="BZ93">
        <v>8801051961799</v>
      </c>
      <c r="CA93" t="s">
        <v>1223</v>
      </c>
      <c r="CF93" t="s">
        <v>1217</v>
      </c>
      <c r="CG93" t="s">
        <v>1214</v>
      </c>
      <c r="CH93" t="s">
        <v>377</v>
      </c>
      <c r="CI93" t="s">
        <v>1216</v>
      </c>
      <c r="CJ93">
        <v>13500</v>
      </c>
      <c r="CK93">
        <v>27000</v>
      </c>
      <c r="CL93" t="s">
        <v>1224</v>
      </c>
      <c r="CN93">
        <v>2</v>
      </c>
      <c r="CO93">
        <v>21532</v>
      </c>
      <c r="CP93">
        <v>43064</v>
      </c>
      <c r="CQ93" t="s">
        <v>379</v>
      </c>
      <c r="CS93">
        <v>0</v>
      </c>
    </row>
    <row r="94" spans="1:97" x14ac:dyDescent="0.4">
      <c r="A94" s="10">
        <v>43124</v>
      </c>
      <c r="B94" t="s">
        <v>107</v>
      </c>
      <c r="C94" t="s">
        <v>710</v>
      </c>
      <c r="D94" t="s">
        <v>359</v>
      </c>
      <c r="E94" t="s">
        <v>1188</v>
      </c>
      <c r="F94" t="str">
        <f t="shared" si="54"/>
        <v>20180123-0000059</v>
      </c>
      <c r="G94">
        <v>1031916</v>
      </c>
      <c r="H94">
        <v>1</v>
      </c>
      <c r="I94" t="s">
        <v>711</v>
      </c>
      <c r="L94">
        <v>0</v>
      </c>
      <c r="M94">
        <v>1</v>
      </c>
      <c r="O94" t="s">
        <v>361</v>
      </c>
      <c r="P94" t="s">
        <v>702</v>
      </c>
      <c r="S94" t="s">
        <v>1225</v>
      </c>
      <c r="T94" t="s">
        <v>364</v>
      </c>
      <c r="X94" t="s">
        <v>714</v>
      </c>
      <c r="AA94">
        <v>66248</v>
      </c>
      <c r="AB94">
        <v>61.82</v>
      </c>
      <c r="AC94" t="s">
        <v>715</v>
      </c>
      <c r="AD94">
        <v>60.31</v>
      </c>
      <c r="AE94">
        <v>61.97</v>
      </c>
      <c r="AF94" t="s">
        <v>716</v>
      </c>
      <c r="AG94">
        <v>3360</v>
      </c>
      <c r="AL94" t="s">
        <v>711</v>
      </c>
      <c r="AN94" t="s">
        <v>717</v>
      </c>
      <c r="AQ94">
        <v>47600</v>
      </c>
      <c r="AR94" t="s">
        <v>368</v>
      </c>
      <c r="AS94">
        <v>613660397425</v>
      </c>
      <c r="AT94" t="str">
        <f t="shared" si="46"/>
        <v>피****아①</v>
      </c>
      <c r="AU94" t="str">
        <f t="shared" si="47"/>
        <v xml:space="preserve"> 1****0</v>
      </c>
      <c r="AV94" t="str">
        <f t="shared" si="48"/>
        <v>***-****-1406</v>
      </c>
      <c r="AW94" t="str">
        <f t="shared" si="49"/>
        <v xml:space="preserve"> 서* 강*구 방*동 5****5 2* 김****님</v>
      </c>
      <c r="AX94" t="str">
        <f>""</f>
        <v/>
      </c>
      <c r="AY94" t="str">
        <f t="shared" si="50"/>
        <v>***-****-0388</v>
      </c>
      <c r="AZ94">
        <v>27784</v>
      </c>
      <c r="BA94">
        <v>1039948</v>
      </c>
      <c r="BB94">
        <v>68000</v>
      </c>
      <c r="BC94" t="s">
        <v>1194</v>
      </c>
      <c r="BD94" t="s">
        <v>707</v>
      </c>
      <c r="BE94" t="str">
        <f t="shared" si="51"/>
        <v>피****아</v>
      </c>
      <c r="BF94" t="str">
        <f t="shared" si="52"/>
        <v>***-****-6097</v>
      </c>
      <c r="BG94" t="str">
        <f t="shared" si="53"/>
        <v>***-****-7488</v>
      </c>
      <c r="BH94" t="s">
        <v>453</v>
      </c>
      <c r="BI94" t="s">
        <v>454</v>
      </c>
      <c r="BJ94" t="s">
        <v>1226</v>
      </c>
      <c r="BK94" t="s">
        <v>456</v>
      </c>
      <c r="BL94">
        <v>21264</v>
      </c>
      <c r="BM94" t="str">
        <f>"21264"</f>
        <v>21264</v>
      </c>
      <c r="BN94" t="str">
        <f t="shared" si="55"/>
        <v>20180123-0000059</v>
      </c>
      <c r="BQ94" t="s">
        <v>373</v>
      </c>
      <c r="BU94">
        <v>112</v>
      </c>
      <c r="BV94" t="s">
        <v>719</v>
      </c>
      <c r="BW94" t="s">
        <v>711</v>
      </c>
      <c r="BX94" t="s">
        <v>107</v>
      </c>
      <c r="BY94">
        <v>0</v>
      </c>
      <c r="BZ94">
        <v>8809539427294</v>
      </c>
      <c r="CA94" t="s">
        <v>720</v>
      </c>
      <c r="CF94" t="s">
        <v>714</v>
      </c>
      <c r="CG94" t="s">
        <v>376</v>
      </c>
      <c r="CH94" t="s">
        <v>377</v>
      </c>
      <c r="CI94" t="s">
        <v>710</v>
      </c>
      <c r="CJ94">
        <v>47600</v>
      </c>
      <c r="CK94">
        <v>47600</v>
      </c>
      <c r="CL94" t="s">
        <v>721</v>
      </c>
      <c r="CN94">
        <v>1</v>
      </c>
      <c r="CO94">
        <v>66248</v>
      </c>
      <c r="CP94">
        <v>66248</v>
      </c>
      <c r="CQ94" t="s">
        <v>379</v>
      </c>
      <c r="CS94">
        <v>0</v>
      </c>
    </row>
    <row r="95" spans="1:97" x14ac:dyDescent="0.4">
      <c r="A95" s="10">
        <v>43124</v>
      </c>
      <c r="B95" t="s">
        <v>107</v>
      </c>
      <c r="C95" t="s">
        <v>1227</v>
      </c>
      <c r="D95" t="s">
        <v>359</v>
      </c>
      <c r="E95" t="s">
        <v>1188</v>
      </c>
      <c r="F95" t="str">
        <f t="shared" si="54"/>
        <v>20180123-0000059</v>
      </c>
      <c r="G95">
        <v>1031916</v>
      </c>
      <c r="H95">
        <v>1</v>
      </c>
      <c r="I95" t="s">
        <v>1228</v>
      </c>
      <c r="L95">
        <v>0</v>
      </c>
      <c r="M95">
        <v>1</v>
      </c>
      <c r="O95" t="s">
        <v>361</v>
      </c>
      <c r="P95" t="s">
        <v>702</v>
      </c>
      <c r="S95" t="s">
        <v>1229</v>
      </c>
      <c r="T95" t="s">
        <v>364</v>
      </c>
      <c r="X95" t="s">
        <v>1228</v>
      </c>
      <c r="AA95">
        <v>27924</v>
      </c>
      <c r="AB95">
        <v>26.06</v>
      </c>
      <c r="AC95" t="s">
        <v>1230</v>
      </c>
      <c r="AD95">
        <v>28.4</v>
      </c>
      <c r="AE95">
        <v>29.18</v>
      </c>
      <c r="AF95" t="s">
        <v>786</v>
      </c>
      <c r="AG95">
        <v>1880</v>
      </c>
      <c r="AK95">
        <v>15</v>
      </c>
      <c r="AL95" t="s">
        <v>1228</v>
      </c>
      <c r="AN95" t="s">
        <v>1231</v>
      </c>
      <c r="AQ95">
        <v>19600</v>
      </c>
      <c r="AR95" t="s">
        <v>368</v>
      </c>
      <c r="AS95">
        <v>613660397425</v>
      </c>
      <c r="AT95" t="str">
        <f t="shared" si="46"/>
        <v>피****아①</v>
      </c>
      <c r="AU95" t="str">
        <f t="shared" si="47"/>
        <v xml:space="preserve"> 1****0</v>
      </c>
      <c r="AV95" t="str">
        <f t="shared" si="48"/>
        <v>***-****-1406</v>
      </c>
      <c r="AW95" t="str">
        <f t="shared" si="49"/>
        <v xml:space="preserve"> 서* 강*구 방*동 5****5 2* 김****님</v>
      </c>
      <c r="AX95" t="str">
        <f>""</f>
        <v/>
      </c>
      <c r="AY95" t="str">
        <f t="shared" si="50"/>
        <v>***-****-0388</v>
      </c>
      <c r="AZ95">
        <v>27800</v>
      </c>
      <c r="BA95">
        <v>1039947</v>
      </c>
      <c r="BB95">
        <v>28000</v>
      </c>
      <c r="BC95" t="s">
        <v>1194</v>
      </c>
      <c r="BD95" t="s">
        <v>707</v>
      </c>
      <c r="BE95" t="str">
        <f t="shared" si="51"/>
        <v>피****아</v>
      </c>
      <c r="BF95" t="str">
        <f t="shared" si="52"/>
        <v>***-****-6097</v>
      </c>
      <c r="BG95" t="str">
        <f t="shared" si="53"/>
        <v>***-****-7488</v>
      </c>
      <c r="BH95" t="s">
        <v>453</v>
      </c>
      <c r="BI95" t="s">
        <v>454</v>
      </c>
      <c r="BJ95" t="s">
        <v>1232</v>
      </c>
      <c r="BK95" t="s">
        <v>456</v>
      </c>
      <c r="BL95">
        <v>20296</v>
      </c>
      <c r="BM95" t="str">
        <f>"20296"</f>
        <v>20296</v>
      </c>
      <c r="BN95" t="str">
        <f t="shared" si="55"/>
        <v>20180123-0000059</v>
      </c>
      <c r="BQ95" t="s">
        <v>373</v>
      </c>
      <c r="BU95">
        <v>80</v>
      </c>
      <c r="BV95" t="s">
        <v>1233</v>
      </c>
      <c r="BW95" t="s">
        <v>1228</v>
      </c>
      <c r="BX95" t="s">
        <v>107</v>
      </c>
      <c r="BY95">
        <v>0</v>
      </c>
      <c r="BZ95">
        <v>8801042655911</v>
      </c>
      <c r="CA95" t="s">
        <v>1234</v>
      </c>
      <c r="CF95" t="s">
        <v>1228</v>
      </c>
      <c r="CG95" t="s">
        <v>458</v>
      </c>
      <c r="CH95" t="s">
        <v>377</v>
      </c>
      <c r="CI95" t="s">
        <v>1227</v>
      </c>
      <c r="CJ95">
        <v>19600</v>
      </c>
      <c r="CK95">
        <v>19600</v>
      </c>
      <c r="CL95" t="s">
        <v>1235</v>
      </c>
      <c r="CN95">
        <v>1</v>
      </c>
      <c r="CO95">
        <v>27924</v>
      </c>
      <c r="CP95">
        <v>27924</v>
      </c>
      <c r="CQ95" t="s">
        <v>379</v>
      </c>
      <c r="CS95">
        <v>0</v>
      </c>
    </row>
    <row r="96" spans="1:97" x14ac:dyDescent="0.4">
      <c r="A96" s="10">
        <v>43124</v>
      </c>
      <c r="B96" t="s">
        <v>107</v>
      </c>
      <c r="C96" t="s">
        <v>792</v>
      </c>
      <c r="D96" t="s">
        <v>359</v>
      </c>
      <c r="E96" t="s">
        <v>1188</v>
      </c>
      <c r="F96" t="str">
        <f t="shared" si="54"/>
        <v>20180123-0000059</v>
      </c>
      <c r="G96">
        <v>1031916</v>
      </c>
      <c r="H96">
        <v>6</v>
      </c>
      <c r="I96" t="s">
        <v>793</v>
      </c>
      <c r="L96">
        <v>0</v>
      </c>
      <c r="M96">
        <v>1</v>
      </c>
      <c r="O96" t="s">
        <v>361</v>
      </c>
      <c r="P96" t="s">
        <v>702</v>
      </c>
      <c r="S96" t="s">
        <v>1236</v>
      </c>
      <c r="T96" t="s">
        <v>364</v>
      </c>
      <c r="X96" t="s">
        <v>795</v>
      </c>
      <c r="AA96">
        <v>38948</v>
      </c>
      <c r="AB96">
        <v>34.61</v>
      </c>
      <c r="AC96" t="s">
        <v>796</v>
      </c>
      <c r="AD96">
        <v>37.729999999999997</v>
      </c>
      <c r="AE96">
        <v>38.770000000000003</v>
      </c>
      <c r="AF96" t="s">
        <v>486</v>
      </c>
      <c r="AG96">
        <v>3360</v>
      </c>
      <c r="AL96" t="s">
        <v>793</v>
      </c>
      <c r="AQ96">
        <v>26600</v>
      </c>
      <c r="AR96" t="s">
        <v>368</v>
      </c>
      <c r="AS96">
        <v>613660397425</v>
      </c>
      <c r="AT96" t="str">
        <f t="shared" si="46"/>
        <v>피****아①</v>
      </c>
      <c r="AU96" t="str">
        <f t="shared" si="47"/>
        <v xml:space="preserve"> 1****0</v>
      </c>
      <c r="AV96" t="str">
        <f t="shared" si="48"/>
        <v>***-****-1406</v>
      </c>
      <c r="AW96" t="str">
        <f t="shared" si="49"/>
        <v xml:space="preserve"> 서* 강*구 방*동 5****5 2* 김****님</v>
      </c>
      <c r="AX96" t="str">
        <f>""</f>
        <v/>
      </c>
      <c r="AY96" t="str">
        <f t="shared" si="50"/>
        <v>***-****-0388</v>
      </c>
      <c r="AZ96">
        <v>28112</v>
      </c>
      <c r="BA96">
        <v>1039909</v>
      </c>
      <c r="BB96">
        <v>228000</v>
      </c>
      <c r="BC96" t="s">
        <v>1194</v>
      </c>
      <c r="BD96" t="s">
        <v>707</v>
      </c>
      <c r="BE96" t="str">
        <f t="shared" si="51"/>
        <v>피****아</v>
      </c>
      <c r="BF96" t="str">
        <f t="shared" si="52"/>
        <v>***-****-6097</v>
      </c>
      <c r="BG96" t="str">
        <f t="shared" si="53"/>
        <v>***-****-7488</v>
      </c>
      <c r="BH96" t="s">
        <v>453</v>
      </c>
      <c r="BI96" t="s">
        <v>454</v>
      </c>
      <c r="BJ96" t="s">
        <v>1237</v>
      </c>
      <c r="BK96" t="s">
        <v>456</v>
      </c>
      <c r="BL96">
        <v>20779</v>
      </c>
      <c r="BM96" t="str">
        <f>"20779"</f>
        <v>20779</v>
      </c>
      <c r="BN96" t="str">
        <f t="shared" si="55"/>
        <v>20180123-0000059</v>
      </c>
      <c r="BQ96" t="s">
        <v>373</v>
      </c>
      <c r="BV96" t="s">
        <v>798</v>
      </c>
      <c r="BW96" t="s">
        <v>793</v>
      </c>
      <c r="BX96" t="s">
        <v>107</v>
      </c>
      <c r="BY96">
        <v>0</v>
      </c>
      <c r="BZ96">
        <v>8806390505789</v>
      </c>
      <c r="CA96" t="s">
        <v>799</v>
      </c>
      <c r="CF96" t="s">
        <v>795</v>
      </c>
      <c r="CG96" t="s">
        <v>489</v>
      </c>
      <c r="CH96" t="s">
        <v>377</v>
      </c>
      <c r="CI96" t="s">
        <v>792</v>
      </c>
      <c r="CJ96">
        <v>26600</v>
      </c>
      <c r="CK96">
        <v>159600</v>
      </c>
      <c r="CL96" t="s">
        <v>800</v>
      </c>
      <c r="CN96">
        <v>6</v>
      </c>
      <c r="CO96">
        <v>38948</v>
      </c>
      <c r="CP96">
        <v>233688</v>
      </c>
      <c r="CQ96" t="s">
        <v>379</v>
      </c>
      <c r="CS96">
        <v>12</v>
      </c>
    </row>
    <row r="97" spans="1:97" x14ac:dyDescent="0.4">
      <c r="A97" s="10">
        <v>43124</v>
      </c>
      <c r="B97" t="s">
        <v>135</v>
      </c>
      <c r="C97" t="s">
        <v>1238</v>
      </c>
      <c r="D97" t="s">
        <v>359</v>
      </c>
      <c r="E97" t="s">
        <v>1188</v>
      </c>
      <c r="F97" t="str">
        <f t="shared" si="54"/>
        <v>20180123-0000059</v>
      </c>
      <c r="G97">
        <v>1031916</v>
      </c>
      <c r="H97">
        <v>1</v>
      </c>
      <c r="I97" t="s">
        <v>1239</v>
      </c>
      <c r="L97">
        <v>0</v>
      </c>
      <c r="M97">
        <v>1</v>
      </c>
      <c r="O97" t="s">
        <v>361</v>
      </c>
      <c r="P97" t="s">
        <v>702</v>
      </c>
      <c r="S97" t="s">
        <v>1240</v>
      </c>
      <c r="T97" t="s">
        <v>364</v>
      </c>
      <c r="X97" t="s">
        <v>1239</v>
      </c>
      <c r="AA97">
        <v>20678</v>
      </c>
      <c r="AB97">
        <v>18.57</v>
      </c>
      <c r="AC97" t="s">
        <v>1241</v>
      </c>
      <c r="AD97">
        <v>20.239999999999998</v>
      </c>
      <c r="AE97">
        <v>20.8</v>
      </c>
      <c r="AF97" t="s">
        <v>1242</v>
      </c>
      <c r="AG97">
        <v>3770</v>
      </c>
      <c r="AK97">
        <v>137</v>
      </c>
      <c r="AL97" t="s">
        <v>1239</v>
      </c>
      <c r="AQ97">
        <v>12100</v>
      </c>
      <c r="AR97" t="s">
        <v>368</v>
      </c>
      <c r="AS97">
        <v>613660397425</v>
      </c>
      <c r="AT97" t="str">
        <f t="shared" si="46"/>
        <v>피****아①</v>
      </c>
      <c r="AU97" t="str">
        <f t="shared" si="47"/>
        <v xml:space="preserve"> 1****0</v>
      </c>
      <c r="AV97" t="str">
        <f t="shared" si="48"/>
        <v>***-****-1406</v>
      </c>
      <c r="AW97" t="str">
        <f t="shared" si="49"/>
        <v xml:space="preserve"> 서* 강*구 방*동 5****5 2* 김****님</v>
      </c>
      <c r="AX97" t="str">
        <f>""</f>
        <v/>
      </c>
      <c r="AY97" t="str">
        <f t="shared" si="50"/>
        <v>***-****-0388</v>
      </c>
      <c r="AZ97">
        <v>18865</v>
      </c>
      <c r="BA97">
        <v>1039920</v>
      </c>
      <c r="BB97">
        <v>22000</v>
      </c>
      <c r="BC97" t="s">
        <v>1194</v>
      </c>
      <c r="BD97" t="s">
        <v>707</v>
      </c>
      <c r="BE97" t="str">
        <f t="shared" si="51"/>
        <v>피****아</v>
      </c>
      <c r="BF97" t="str">
        <f t="shared" si="52"/>
        <v>***-****-6097</v>
      </c>
      <c r="BG97" t="str">
        <f t="shared" si="53"/>
        <v>***-****-7488</v>
      </c>
      <c r="BH97" t="s">
        <v>453</v>
      </c>
      <c r="BI97" t="s">
        <v>454</v>
      </c>
      <c r="BJ97" t="s">
        <v>1243</v>
      </c>
      <c r="BK97" t="s">
        <v>456</v>
      </c>
      <c r="BL97">
        <v>18737</v>
      </c>
      <c r="BM97" t="str">
        <f>"18737"</f>
        <v>18737</v>
      </c>
      <c r="BN97" t="str">
        <f t="shared" si="55"/>
        <v>20180123-0000059</v>
      </c>
      <c r="BQ97" t="s">
        <v>373</v>
      </c>
      <c r="BU97">
        <v>178</v>
      </c>
      <c r="BV97" t="s">
        <v>1244</v>
      </c>
      <c r="BW97" t="s">
        <v>1239</v>
      </c>
      <c r="BX97" t="s">
        <v>135</v>
      </c>
      <c r="BY97">
        <v>0</v>
      </c>
      <c r="BZ97">
        <v>8806358563400</v>
      </c>
      <c r="CA97" t="s">
        <v>1245</v>
      </c>
      <c r="CF97" t="s">
        <v>1239</v>
      </c>
      <c r="CG97" t="s">
        <v>534</v>
      </c>
      <c r="CH97" t="s">
        <v>377</v>
      </c>
      <c r="CI97" t="s">
        <v>1238</v>
      </c>
      <c r="CJ97">
        <v>12100</v>
      </c>
      <c r="CK97">
        <v>12100</v>
      </c>
      <c r="CL97" t="s">
        <v>1246</v>
      </c>
      <c r="CN97">
        <v>1</v>
      </c>
      <c r="CO97">
        <v>20678</v>
      </c>
      <c r="CP97">
        <v>20678</v>
      </c>
      <c r="CQ97" t="s">
        <v>379</v>
      </c>
      <c r="CS97">
        <v>0</v>
      </c>
    </row>
    <row r="98" spans="1:97" x14ac:dyDescent="0.4">
      <c r="A98" s="10">
        <v>43124</v>
      </c>
      <c r="B98" t="s">
        <v>135</v>
      </c>
      <c r="C98" t="s">
        <v>1005</v>
      </c>
      <c r="D98" t="s">
        <v>359</v>
      </c>
      <c r="E98" t="s">
        <v>1188</v>
      </c>
      <c r="F98" t="str">
        <f t="shared" si="54"/>
        <v>20180123-0000059</v>
      </c>
      <c r="G98">
        <v>1031916</v>
      </c>
      <c r="H98">
        <v>3</v>
      </c>
      <c r="I98" t="s">
        <v>1006</v>
      </c>
      <c r="L98">
        <v>0</v>
      </c>
      <c r="M98">
        <v>1</v>
      </c>
      <c r="O98" t="s">
        <v>361</v>
      </c>
      <c r="P98" t="s">
        <v>702</v>
      </c>
      <c r="S98" t="s">
        <v>1247</v>
      </c>
      <c r="T98" t="s">
        <v>364</v>
      </c>
      <c r="X98" t="s">
        <v>1006</v>
      </c>
      <c r="AA98">
        <v>15960</v>
      </c>
      <c r="AB98">
        <v>12.31</v>
      </c>
      <c r="AC98" t="s">
        <v>1008</v>
      </c>
      <c r="AD98">
        <v>13.42</v>
      </c>
      <c r="AE98">
        <v>13.79</v>
      </c>
      <c r="AF98" t="s">
        <v>1009</v>
      </c>
      <c r="AG98">
        <v>6500</v>
      </c>
      <c r="AK98">
        <v>216</v>
      </c>
      <c r="AL98" t="s">
        <v>1006</v>
      </c>
      <c r="AQ98">
        <v>5390</v>
      </c>
      <c r="AR98" t="s">
        <v>368</v>
      </c>
      <c r="AS98">
        <v>613660397425</v>
      </c>
      <c r="AT98" t="str">
        <f t="shared" si="46"/>
        <v>피****아①</v>
      </c>
      <c r="AU98" t="str">
        <f t="shared" si="47"/>
        <v xml:space="preserve"> 1****0</v>
      </c>
      <c r="AV98" t="str">
        <f t="shared" si="48"/>
        <v>***-****-1406</v>
      </c>
      <c r="AW98" t="str">
        <f t="shared" si="49"/>
        <v xml:space="preserve"> 서* 강*구 방*동 5****5 2* 김****님</v>
      </c>
      <c r="AX98" t="str">
        <f>""</f>
        <v/>
      </c>
      <c r="AY98" t="str">
        <f t="shared" si="50"/>
        <v>***-****-0388</v>
      </c>
      <c r="AZ98">
        <v>20041</v>
      </c>
      <c r="BA98">
        <v>1039915</v>
      </c>
      <c r="BB98">
        <v>29400</v>
      </c>
      <c r="BC98" t="s">
        <v>1194</v>
      </c>
      <c r="BD98" t="s">
        <v>707</v>
      </c>
      <c r="BE98" t="str">
        <f t="shared" si="51"/>
        <v>피****아</v>
      </c>
      <c r="BF98" t="str">
        <f t="shared" si="52"/>
        <v>***-****-6097</v>
      </c>
      <c r="BG98" t="str">
        <f t="shared" si="53"/>
        <v>***-****-7488</v>
      </c>
      <c r="BH98" t="s">
        <v>453</v>
      </c>
      <c r="BI98" t="s">
        <v>454</v>
      </c>
      <c r="BJ98" t="s">
        <v>1248</v>
      </c>
      <c r="BK98" t="s">
        <v>456</v>
      </c>
      <c r="BL98">
        <v>18773</v>
      </c>
      <c r="BM98" t="str">
        <f>"18773"</f>
        <v>18773</v>
      </c>
      <c r="BN98" t="str">
        <f t="shared" si="55"/>
        <v>20180123-0000059</v>
      </c>
      <c r="BQ98" t="s">
        <v>373</v>
      </c>
      <c r="BV98" t="s">
        <v>1011</v>
      </c>
      <c r="BW98" t="s">
        <v>1006</v>
      </c>
      <c r="BX98" t="s">
        <v>135</v>
      </c>
      <c r="BY98">
        <v>0</v>
      </c>
      <c r="BZ98">
        <v>8806358568412</v>
      </c>
      <c r="CA98" t="s">
        <v>1012</v>
      </c>
      <c r="CF98" t="s">
        <v>1006</v>
      </c>
      <c r="CG98" t="s">
        <v>877</v>
      </c>
      <c r="CH98" t="s">
        <v>377</v>
      </c>
      <c r="CI98" t="s">
        <v>1005</v>
      </c>
      <c r="CJ98">
        <v>5390</v>
      </c>
      <c r="CK98">
        <v>16170</v>
      </c>
      <c r="CL98" t="s">
        <v>1013</v>
      </c>
      <c r="CN98">
        <v>3</v>
      </c>
      <c r="CO98">
        <v>15960</v>
      </c>
      <c r="CP98">
        <v>47880</v>
      </c>
      <c r="CQ98" t="s">
        <v>820</v>
      </c>
      <c r="CR98" t="s">
        <v>821</v>
      </c>
      <c r="CS98">
        <v>0</v>
      </c>
    </row>
    <row r="99" spans="1:97" x14ac:dyDescent="0.4">
      <c r="A99" s="10">
        <v>43124</v>
      </c>
      <c r="B99" t="s">
        <v>135</v>
      </c>
      <c r="C99" t="s">
        <v>1249</v>
      </c>
      <c r="D99" t="s">
        <v>359</v>
      </c>
      <c r="E99" t="s">
        <v>1188</v>
      </c>
      <c r="F99" t="str">
        <f t="shared" si="54"/>
        <v>20180123-0000059</v>
      </c>
      <c r="G99">
        <v>1031916</v>
      </c>
      <c r="H99">
        <v>1</v>
      </c>
      <c r="I99" t="s">
        <v>1250</v>
      </c>
      <c r="L99">
        <v>0</v>
      </c>
      <c r="M99">
        <v>1</v>
      </c>
      <c r="O99" t="s">
        <v>361</v>
      </c>
      <c r="P99" t="s">
        <v>702</v>
      </c>
      <c r="S99" t="s">
        <v>1251</v>
      </c>
      <c r="T99" t="s">
        <v>364</v>
      </c>
      <c r="X99" t="s">
        <v>1250</v>
      </c>
      <c r="AA99">
        <v>19600</v>
      </c>
      <c r="AB99">
        <v>17.190000000000001</v>
      </c>
      <c r="AC99" t="s">
        <v>1252</v>
      </c>
      <c r="AD99">
        <v>18.739999999999998</v>
      </c>
      <c r="AE99">
        <v>19.25</v>
      </c>
      <c r="AF99" t="s">
        <v>1009</v>
      </c>
      <c r="AG99">
        <v>6500</v>
      </c>
      <c r="AK99">
        <v>178</v>
      </c>
      <c r="AL99" t="s">
        <v>1250</v>
      </c>
      <c r="AQ99">
        <v>8250</v>
      </c>
      <c r="AR99" t="s">
        <v>368</v>
      </c>
      <c r="AS99">
        <v>613660397425</v>
      </c>
      <c r="AT99" t="str">
        <f t="shared" si="46"/>
        <v>피****아①</v>
      </c>
      <c r="AU99" t="str">
        <f t="shared" si="47"/>
        <v xml:space="preserve"> 1****0</v>
      </c>
      <c r="AV99" t="str">
        <f t="shared" si="48"/>
        <v>***-****-1406</v>
      </c>
      <c r="AW99" t="str">
        <f t="shared" si="49"/>
        <v xml:space="preserve"> 서* 강*구 방*동 5****5 2* 김****님</v>
      </c>
      <c r="AX99" t="str">
        <f>""</f>
        <v/>
      </c>
      <c r="AY99" t="str">
        <f t="shared" si="50"/>
        <v>***-****-0388</v>
      </c>
      <c r="AZ99">
        <v>20708</v>
      </c>
      <c r="BA99">
        <v>1039923</v>
      </c>
      <c r="BB99">
        <v>15000</v>
      </c>
      <c r="BC99" t="s">
        <v>1194</v>
      </c>
      <c r="BD99" t="s">
        <v>707</v>
      </c>
      <c r="BE99" t="str">
        <f t="shared" si="51"/>
        <v>피****아</v>
      </c>
      <c r="BF99" t="str">
        <f t="shared" si="52"/>
        <v>***-****-6097</v>
      </c>
      <c r="BG99" t="str">
        <f t="shared" si="53"/>
        <v>***-****-7488</v>
      </c>
      <c r="BH99" t="s">
        <v>453</v>
      </c>
      <c r="BI99" t="s">
        <v>454</v>
      </c>
      <c r="BJ99" t="s">
        <v>1253</v>
      </c>
      <c r="BK99" t="s">
        <v>456</v>
      </c>
      <c r="BL99">
        <v>18775</v>
      </c>
      <c r="BM99" t="str">
        <f>"18775"</f>
        <v>18775</v>
      </c>
      <c r="BN99" t="str">
        <f t="shared" si="55"/>
        <v>20180123-0000059</v>
      </c>
      <c r="BQ99" t="s">
        <v>373</v>
      </c>
      <c r="BU99">
        <v>413</v>
      </c>
      <c r="BV99" t="s">
        <v>1254</v>
      </c>
      <c r="BW99" t="s">
        <v>1250</v>
      </c>
      <c r="BX99" t="s">
        <v>135</v>
      </c>
      <c r="BY99">
        <v>0</v>
      </c>
      <c r="BZ99">
        <v>8806358568443</v>
      </c>
      <c r="CA99" t="s">
        <v>1255</v>
      </c>
      <c r="CF99" t="s">
        <v>1250</v>
      </c>
      <c r="CG99" t="s">
        <v>1256</v>
      </c>
      <c r="CH99" t="s">
        <v>377</v>
      </c>
      <c r="CI99" t="s">
        <v>1249</v>
      </c>
      <c r="CJ99">
        <v>8250</v>
      </c>
      <c r="CK99">
        <v>8250</v>
      </c>
      <c r="CL99" t="s">
        <v>1257</v>
      </c>
      <c r="CN99">
        <v>1</v>
      </c>
      <c r="CO99">
        <v>19600</v>
      </c>
      <c r="CP99">
        <v>19600</v>
      </c>
      <c r="CQ99" t="s">
        <v>379</v>
      </c>
      <c r="CS99">
        <v>0</v>
      </c>
    </row>
    <row r="100" spans="1:97" x14ac:dyDescent="0.4">
      <c r="A100" s="10">
        <v>43124</v>
      </c>
      <c r="B100" t="s">
        <v>135</v>
      </c>
      <c r="C100" t="s">
        <v>1258</v>
      </c>
      <c r="D100" t="s">
        <v>359</v>
      </c>
      <c r="E100" t="s">
        <v>1188</v>
      </c>
      <c r="F100" t="str">
        <f t="shared" si="54"/>
        <v>20180123-0000059</v>
      </c>
      <c r="G100">
        <v>1031916</v>
      </c>
      <c r="H100">
        <v>1</v>
      </c>
      <c r="I100" t="s">
        <v>1259</v>
      </c>
      <c r="L100">
        <v>0</v>
      </c>
      <c r="M100">
        <v>1</v>
      </c>
      <c r="O100" t="s">
        <v>361</v>
      </c>
      <c r="P100" t="s">
        <v>702</v>
      </c>
      <c r="S100" t="s">
        <v>1260</v>
      </c>
      <c r="T100" t="s">
        <v>364</v>
      </c>
      <c r="X100" t="s">
        <v>1259</v>
      </c>
      <c r="AA100">
        <v>28561</v>
      </c>
      <c r="AB100">
        <v>20.9</v>
      </c>
      <c r="AC100" t="s">
        <v>1261</v>
      </c>
      <c r="AD100">
        <v>22.79</v>
      </c>
      <c r="AE100">
        <v>23.41</v>
      </c>
      <c r="AF100" t="s">
        <v>486</v>
      </c>
      <c r="AG100">
        <v>3770</v>
      </c>
      <c r="AK100">
        <v>127</v>
      </c>
      <c r="AL100" t="s">
        <v>1259</v>
      </c>
      <c r="AQ100">
        <v>14300</v>
      </c>
      <c r="AR100" t="s">
        <v>368</v>
      </c>
      <c r="AS100">
        <v>613660397425</v>
      </c>
      <c r="AT100" t="str">
        <f t="shared" si="46"/>
        <v>피****아①</v>
      </c>
      <c r="AU100" t="str">
        <f t="shared" si="47"/>
        <v xml:space="preserve"> 1****0</v>
      </c>
      <c r="AV100" t="str">
        <f t="shared" si="48"/>
        <v>***-****-1406</v>
      </c>
      <c r="AW100" t="str">
        <f t="shared" si="49"/>
        <v xml:space="preserve"> 서* 강*구 방*동 5****5 2* 김****님</v>
      </c>
      <c r="AX100" t="str">
        <f>""</f>
        <v/>
      </c>
      <c r="AY100" t="str">
        <f t="shared" si="50"/>
        <v>***-****-0388</v>
      </c>
      <c r="AZ100">
        <v>14455</v>
      </c>
      <c r="BA100">
        <v>1039924</v>
      </c>
      <c r="BB100">
        <v>26000</v>
      </c>
      <c r="BC100" t="s">
        <v>1194</v>
      </c>
      <c r="BD100" t="s">
        <v>707</v>
      </c>
      <c r="BE100" t="str">
        <f t="shared" si="51"/>
        <v>피****아</v>
      </c>
      <c r="BF100" t="str">
        <f t="shared" si="52"/>
        <v>***-****-6097</v>
      </c>
      <c r="BG100" t="str">
        <f t="shared" si="53"/>
        <v>***-****-7488</v>
      </c>
      <c r="BH100" t="s">
        <v>453</v>
      </c>
      <c r="BI100" t="s">
        <v>454</v>
      </c>
      <c r="BJ100" t="s">
        <v>1262</v>
      </c>
      <c r="BK100" t="s">
        <v>456</v>
      </c>
      <c r="BL100">
        <v>13110</v>
      </c>
      <c r="BM100" t="str">
        <f>"13110"</f>
        <v>13110</v>
      </c>
      <c r="BN100" t="str">
        <f t="shared" si="55"/>
        <v>20180123-0000059</v>
      </c>
      <c r="BQ100" t="s">
        <v>373</v>
      </c>
      <c r="BV100" t="s">
        <v>1263</v>
      </c>
      <c r="BW100" t="s">
        <v>1259</v>
      </c>
      <c r="BX100" t="s">
        <v>135</v>
      </c>
      <c r="BY100">
        <v>0</v>
      </c>
      <c r="BZ100">
        <v>8806358521592</v>
      </c>
      <c r="CA100" t="s">
        <v>1264</v>
      </c>
      <c r="CF100" t="s">
        <v>1259</v>
      </c>
      <c r="CG100" t="s">
        <v>534</v>
      </c>
      <c r="CH100" t="s">
        <v>377</v>
      </c>
      <c r="CI100" t="s">
        <v>1258</v>
      </c>
      <c r="CJ100">
        <v>14300</v>
      </c>
      <c r="CK100">
        <v>14300</v>
      </c>
      <c r="CL100" t="s">
        <v>1265</v>
      </c>
      <c r="CN100">
        <v>1</v>
      </c>
      <c r="CO100">
        <v>28561</v>
      </c>
      <c r="CP100">
        <v>28561</v>
      </c>
      <c r="CQ100" t="s">
        <v>379</v>
      </c>
      <c r="CS100">
        <v>0</v>
      </c>
    </row>
    <row r="101" spans="1:97" x14ac:dyDescent="0.4">
      <c r="A101" s="10">
        <v>43124</v>
      </c>
      <c r="B101" t="s">
        <v>123</v>
      </c>
      <c r="C101" t="s">
        <v>1266</v>
      </c>
      <c r="D101" t="s">
        <v>359</v>
      </c>
      <c r="E101" t="s">
        <v>1188</v>
      </c>
      <c r="F101" t="str">
        <f t="shared" si="54"/>
        <v>20180123-0000059</v>
      </c>
      <c r="G101">
        <v>1031916</v>
      </c>
      <c r="H101">
        <v>1</v>
      </c>
      <c r="I101" t="s">
        <v>1267</v>
      </c>
      <c r="L101">
        <v>0</v>
      </c>
      <c r="M101">
        <v>1</v>
      </c>
      <c r="O101" t="s">
        <v>361</v>
      </c>
      <c r="P101" t="s">
        <v>702</v>
      </c>
      <c r="S101" t="s">
        <v>1268</v>
      </c>
      <c r="T101" t="s">
        <v>364</v>
      </c>
      <c r="X101" t="s">
        <v>1267</v>
      </c>
      <c r="AA101">
        <v>13616</v>
      </c>
      <c r="AB101">
        <v>10.63</v>
      </c>
      <c r="AC101" t="s">
        <v>1269</v>
      </c>
      <c r="AD101">
        <v>11.59</v>
      </c>
      <c r="AE101">
        <v>11.91</v>
      </c>
      <c r="AF101">
        <v>0</v>
      </c>
      <c r="AG101">
        <v>1880</v>
      </c>
      <c r="AL101" t="s">
        <v>1267</v>
      </c>
      <c r="AN101" t="s">
        <v>1270</v>
      </c>
      <c r="AQ101">
        <v>6630</v>
      </c>
      <c r="AR101" t="s">
        <v>368</v>
      </c>
      <c r="AS101">
        <v>613660397425</v>
      </c>
      <c r="AT101" t="str">
        <f t="shared" si="46"/>
        <v>피****아①</v>
      </c>
      <c r="AU101" t="str">
        <f t="shared" si="47"/>
        <v xml:space="preserve"> 1****0</v>
      </c>
      <c r="AV101" t="str">
        <f t="shared" si="48"/>
        <v>***-****-1406</v>
      </c>
      <c r="AW101" t="str">
        <f t="shared" si="49"/>
        <v xml:space="preserve"> 서* 강*구 방*동 5****5 2* 김****님</v>
      </c>
      <c r="AX101" t="str">
        <f>""</f>
        <v/>
      </c>
      <c r="AY101" t="str">
        <f t="shared" si="50"/>
        <v>***-****-0388</v>
      </c>
      <c r="AZ101">
        <v>29392</v>
      </c>
      <c r="BA101">
        <v>1039951</v>
      </c>
      <c r="BB101">
        <v>13000</v>
      </c>
      <c r="BC101" t="s">
        <v>1194</v>
      </c>
      <c r="BD101" t="s">
        <v>707</v>
      </c>
      <c r="BE101" t="str">
        <f t="shared" si="51"/>
        <v>피****아</v>
      </c>
      <c r="BF101" t="str">
        <f t="shared" si="52"/>
        <v>***-****-6097</v>
      </c>
      <c r="BG101" t="str">
        <f t="shared" si="53"/>
        <v>***-****-7488</v>
      </c>
      <c r="BH101" t="s">
        <v>453</v>
      </c>
      <c r="BI101" t="s">
        <v>454</v>
      </c>
      <c r="BJ101" t="s">
        <v>1271</v>
      </c>
      <c r="BK101" t="s">
        <v>456</v>
      </c>
      <c r="BL101">
        <v>19966</v>
      </c>
      <c r="BM101" t="str">
        <f>"19966"</f>
        <v>19966</v>
      </c>
      <c r="BN101" t="str">
        <f t="shared" si="55"/>
        <v>20180123-0000059</v>
      </c>
      <c r="BQ101" t="s">
        <v>373</v>
      </c>
      <c r="BU101">
        <v>71</v>
      </c>
      <c r="BV101" t="s">
        <v>1272</v>
      </c>
      <c r="BW101" t="s">
        <v>1267</v>
      </c>
      <c r="BX101" t="s">
        <v>123</v>
      </c>
      <c r="BY101">
        <v>0</v>
      </c>
      <c r="BZ101">
        <v>8809454024547</v>
      </c>
      <c r="CA101" t="s">
        <v>1273</v>
      </c>
      <c r="CF101" t="s">
        <v>1267</v>
      </c>
      <c r="CG101" t="s">
        <v>480</v>
      </c>
      <c r="CH101" t="s">
        <v>377</v>
      </c>
      <c r="CI101" t="s">
        <v>1266</v>
      </c>
      <c r="CJ101">
        <v>6630</v>
      </c>
      <c r="CK101">
        <v>6630</v>
      </c>
      <c r="CL101" t="s">
        <v>1274</v>
      </c>
      <c r="CN101">
        <v>1</v>
      </c>
      <c r="CO101">
        <v>13616</v>
      </c>
      <c r="CP101">
        <v>13616</v>
      </c>
      <c r="CQ101" t="s">
        <v>379</v>
      </c>
      <c r="CS101">
        <v>0</v>
      </c>
    </row>
    <row r="102" spans="1:97" x14ac:dyDescent="0.4">
      <c r="A102" s="10">
        <v>43124</v>
      </c>
      <c r="B102" t="s">
        <v>123</v>
      </c>
      <c r="C102" t="s">
        <v>1275</v>
      </c>
      <c r="D102" t="s">
        <v>359</v>
      </c>
      <c r="E102" t="s">
        <v>1188</v>
      </c>
      <c r="F102" t="str">
        <f t="shared" si="54"/>
        <v>20180123-0000059</v>
      </c>
      <c r="G102">
        <v>1031916</v>
      </c>
      <c r="H102">
        <v>1</v>
      </c>
      <c r="I102" t="s">
        <v>1276</v>
      </c>
      <c r="L102">
        <v>0</v>
      </c>
      <c r="M102">
        <v>1</v>
      </c>
      <c r="O102" t="s">
        <v>361</v>
      </c>
      <c r="P102" t="s">
        <v>702</v>
      </c>
      <c r="S102" t="s">
        <v>1277</v>
      </c>
      <c r="T102" t="s">
        <v>364</v>
      </c>
      <c r="X102" t="s">
        <v>1276</v>
      </c>
      <c r="AA102">
        <v>13616</v>
      </c>
      <c r="AB102">
        <v>10.63</v>
      </c>
      <c r="AC102" t="s">
        <v>1278</v>
      </c>
      <c r="AD102">
        <v>11.59</v>
      </c>
      <c r="AE102">
        <v>11.91</v>
      </c>
      <c r="AF102">
        <v>0</v>
      </c>
      <c r="AG102">
        <v>1880</v>
      </c>
      <c r="AL102" t="s">
        <v>1276</v>
      </c>
      <c r="AN102" t="s">
        <v>1279</v>
      </c>
      <c r="AQ102">
        <v>6630</v>
      </c>
      <c r="AR102" t="s">
        <v>368</v>
      </c>
      <c r="AS102">
        <v>613660397425</v>
      </c>
      <c r="AT102" t="str">
        <f t="shared" si="46"/>
        <v>피****아①</v>
      </c>
      <c r="AU102" t="str">
        <f t="shared" si="47"/>
        <v xml:space="preserve"> 1****0</v>
      </c>
      <c r="AV102" t="str">
        <f t="shared" si="48"/>
        <v>***-****-1406</v>
      </c>
      <c r="AW102" t="str">
        <f t="shared" si="49"/>
        <v xml:space="preserve"> 서* 강*구 방*동 5****5 2* 김****님</v>
      </c>
      <c r="AX102" t="str">
        <f>""</f>
        <v/>
      </c>
      <c r="AY102" t="str">
        <f t="shared" si="50"/>
        <v>***-****-0388</v>
      </c>
      <c r="AZ102">
        <v>29393</v>
      </c>
      <c r="BA102">
        <v>1039950</v>
      </c>
      <c r="BB102">
        <v>13000</v>
      </c>
      <c r="BC102" t="s">
        <v>1194</v>
      </c>
      <c r="BD102" t="s">
        <v>707</v>
      </c>
      <c r="BE102" t="str">
        <f t="shared" si="51"/>
        <v>피****아</v>
      </c>
      <c r="BF102" t="str">
        <f t="shared" si="52"/>
        <v>***-****-6097</v>
      </c>
      <c r="BG102" t="str">
        <f t="shared" si="53"/>
        <v>***-****-7488</v>
      </c>
      <c r="BH102" t="s">
        <v>453</v>
      </c>
      <c r="BI102" t="s">
        <v>454</v>
      </c>
      <c r="BJ102" t="s">
        <v>1280</v>
      </c>
      <c r="BK102" t="s">
        <v>456</v>
      </c>
      <c r="BL102">
        <v>19966</v>
      </c>
      <c r="BM102" t="str">
        <f>"19966"</f>
        <v>19966</v>
      </c>
      <c r="BN102" t="str">
        <f t="shared" si="55"/>
        <v>20180123-0000059</v>
      </c>
      <c r="BQ102" t="s">
        <v>373</v>
      </c>
      <c r="BU102">
        <v>71</v>
      </c>
      <c r="BV102" t="s">
        <v>1281</v>
      </c>
      <c r="BW102" t="s">
        <v>1276</v>
      </c>
      <c r="BX102" t="s">
        <v>123</v>
      </c>
      <c r="BY102">
        <v>0</v>
      </c>
      <c r="BZ102">
        <v>8809454024516</v>
      </c>
      <c r="CA102" t="s">
        <v>1282</v>
      </c>
      <c r="CF102" t="s">
        <v>1276</v>
      </c>
      <c r="CG102" t="s">
        <v>480</v>
      </c>
      <c r="CH102" t="s">
        <v>377</v>
      </c>
      <c r="CI102" t="s">
        <v>1275</v>
      </c>
      <c r="CJ102">
        <v>6630</v>
      </c>
      <c r="CK102">
        <v>6630</v>
      </c>
      <c r="CL102" t="s">
        <v>1283</v>
      </c>
      <c r="CN102">
        <v>1</v>
      </c>
      <c r="CO102">
        <v>13616</v>
      </c>
      <c r="CP102">
        <v>13616</v>
      </c>
      <c r="CQ102" t="s">
        <v>379</v>
      </c>
      <c r="CS102">
        <v>0</v>
      </c>
    </row>
    <row r="103" spans="1:97" x14ac:dyDescent="0.4">
      <c r="A103" s="10">
        <v>43124</v>
      </c>
      <c r="B103" t="s">
        <v>123</v>
      </c>
      <c r="C103" t="s">
        <v>1284</v>
      </c>
      <c r="D103" t="s">
        <v>359</v>
      </c>
      <c r="E103" t="s">
        <v>1188</v>
      </c>
      <c r="F103" t="str">
        <f t="shared" si="54"/>
        <v>20180123-0000059</v>
      </c>
      <c r="G103">
        <v>1031916</v>
      </c>
      <c r="H103">
        <v>1</v>
      </c>
      <c r="I103" t="s">
        <v>1285</v>
      </c>
      <c r="L103">
        <v>0</v>
      </c>
      <c r="M103">
        <v>1</v>
      </c>
      <c r="O103" t="s">
        <v>361</v>
      </c>
      <c r="P103" t="s">
        <v>702</v>
      </c>
      <c r="S103" t="s">
        <v>1286</v>
      </c>
      <c r="T103" t="s">
        <v>364</v>
      </c>
      <c r="X103" t="s">
        <v>1285</v>
      </c>
      <c r="AA103">
        <v>13616</v>
      </c>
      <c r="AB103">
        <v>10.63</v>
      </c>
      <c r="AC103" t="s">
        <v>1287</v>
      </c>
      <c r="AD103">
        <v>11.59</v>
      </c>
      <c r="AE103">
        <v>11.91</v>
      </c>
      <c r="AF103">
        <v>0</v>
      </c>
      <c r="AG103">
        <v>1880</v>
      </c>
      <c r="AL103" t="s">
        <v>1285</v>
      </c>
      <c r="AN103" t="s">
        <v>1288</v>
      </c>
      <c r="AQ103">
        <v>6630</v>
      </c>
      <c r="AR103" t="s">
        <v>368</v>
      </c>
      <c r="AS103">
        <v>613660397425</v>
      </c>
      <c r="AT103" t="str">
        <f t="shared" si="46"/>
        <v>피****아①</v>
      </c>
      <c r="AU103" t="str">
        <f t="shared" si="47"/>
        <v xml:space="preserve"> 1****0</v>
      </c>
      <c r="AV103" t="str">
        <f t="shared" si="48"/>
        <v>***-****-1406</v>
      </c>
      <c r="AW103" t="str">
        <f t="shared" si="49"/>
        <v xml:space="preserve"> 서* 강*구 방*동 5****5 2* 김****님</v>
      </c>
      <c r="AX103" t="str">
        <f>""</f>
        <v/>
      </c>
      <c r="AY103" t="str">
        <f t="shared" si="50"/>
        <v>***-****-0388</v>
      </c>
      <c r="AZ103">
        <v>28431</v>
      </c>
      <c r="BA103">
        <v>1039949</v>
      </c>
      <c r="BB103">
        <v>26000</v>
      </c>
      <c r="BC103" t="s">
        <v>1194</v>
      </c>
      <c r="BD103" t="s">
        <v>707</v>
      </c>
      <c r="BE103" t="str">
        <f t="shared" si="51"/>
        <v>피****아</v>
      </c>
      <c r="BF103" t="str">
        <f t="shared" si="52"/>
        <v>***-****-6097</v>
      </c>
      <c r="BG103" t="str">
        <f t="shared" si="53"/>
        <v>***-****-7488</v>
      </c>
      <c r="BH103" t="s">
        <v>453</v>
      </c>
      <c r="BI103" t="s">
        <v>454</v>
      </c>
      <c r="BJ103" t="s">
        <v>1289</v>
      </c>
      <c r="BK103" t="s">
        <v>456</v>
      </c>
      <c r="BL103">
        <v>19966</v>
      </c>
      <c r="BM103" t="str">
        <f>"19966"</f>
        <v>19966</v>
      </c>
      <c r="BN103" t="str">
        <f t="shared" si="55"/>
        <v>20180123-0000059</v>
      </c>
      <c r="BQ103" t="s">
        <v>373</v>
      </c>
      <c r="BU103">
        <v>71</v>
      </c>
      <c r="BV103" t="s">
        <v>1290</v>
      </c>
      <c r="BW103" t="s">
        <v>1285</v>
      </c>
      <c r="BX103" t="s">
        <v>123</v>
      </c>
      <c r="BY103">
        <v>0</v>
      </c>
      <c r="BZ103">
        <v>8809454024509</v>
      </c>
      <c r="CA103" t="s">
        <v>1291</v>
      </c>
      <c r="CF103" t="s">
        <v>1285</v>
      </c>
      <c r="CG103" t="s">
        <v>480</v>
      </c>
      <c r="CH103" t="s">
        <v>377</v>
      </c>
      <c r="CI103" t="s">
        <v>1284</v>
      </c>
      <c r="CJ103">
        <v>6630</v>
      </c>
      <c r="CK103">
        <v>6630</v>
      </c>
      <c r="CL103" t="s">
        <v>1292</v>
      </c>
      <c r="CN103">
        <v>1</v>
      </c>
      <c r="CO103">
        <v>13616</v>
      </c>
      <c r="CP103">
        <v>13616</v>
      </c>
      <c r="CQ103" t="s">
        <v>820</v>
      </c>
      <c r="CR103" t="s">
        <v>1293</v>
      </c>
      <c r="CS103">
        <v>0</v>
      </c>
    </row>
    <row r="104" spans="1:97" x14ac:dyDescent="0.4">
      <c r="A104" s="10">
        <v>43124</v>
      </c>
      <c r="B104" t="s">
        <v>123</v>
      </c>
      <c r="C104" t="s">
        <v>1294</v>
      </c>
      <c r="D104" t="s">
        <v>359</v>
      </c>
      <c r="E104" t="s">
        <v>1188</v>
      </c>
      <c r="F104" t="str">
        <f t="shared" si="54"/>
        <v>20180123-0000059</v>
      </c>
      <c r="G104">
        <v>1031916</v>
      </c>
      <c r="H104">
        <v>1</v>
      </c>
      <c r="I104" t="s">
        <v>1295</v>
      </c>
      <c r="L104">
        <v>0</v>
      </c>
      <c r="M104">
        <v>1</v>
      </c>
      <c r="O104" t="s">
        <v>361</v>
      </c>
      <c r="P104" t="s">
        <v>702</v>
      </c>
      <c r="S104" t="s">
        <v>1296</v>
      </c>
      <c r="T104" t="s">
        <v>364</v>
      </c>
      <c r="X104" t="s">
        <v>1295</v>
      </c>
      <c r="AA104">
        <v>9536</v>
      </c>
      <c r="AB104">
        <v>6.41</v>
      </c>
      <c r="AC104" t="s">
        <v>1297</v>
      </c>
      <c r="AD104">
        <v>6.99</v>
      </c>
      <c r="AE104">
        <v>7.18</v>
      </c>
      <c r="AF104" t="s">
        <v>705</v>
      </c>
      <c r="AG104">
        <v>1880</v>
      </c>
      <c r="AL104" t="s">
        <v>1295</v>
      </c>
      <c r="AN104" t="s">
        <v>1298</v>
      </c>
      <c r="AQ104">
        <v>3468</v>
      </c>
      <c r="AR104" t="s">
        <v>368</v>
      </c>
      <c r="AS104">
        <v>613660397425</v>
      </c>
      <c r="AT104" t="str">
        <f t="shared" si="46"/>
        <v>피****아①</v>
      </c>
      <c r="AU104" t="str">
        <f t="shared" si="47"/>
        <v xml:space="preserve"> 1****0</v>
      </c>
      <c r="AV104" t="str">
        <f t="shared" si="48"/>
        <v>***-****-1406</v>
      </c>
      <c r="AW104" t="str">
        <f t="shared" si="49"/>
        <v xml:space="preserve"> 서* 강*구 방*동 5****5 2* 김****님</v>
      </c>
      <c r="AX104" t="str">
        <f>""</f>
        <v/>
      </c>
      <c r="AY104" t="str">
        <f t="shared" si="50"/>
        <v>***-****-0388</v>
      </c>
      <c r="AZ104">
        <v>29405</v>
      </c>
      <c r="BA104">
        <v>1039953</v>
      </c>
      <c r="BB104">
        <v>6800</v>
      </c>
      <c r="BC104" t="s">
        <v>1194</v>
      </c>
      <c r="BD104" t="s">
        <v>707</v>
      </c>
      <c r="BE104" t="str">
        <f t="shared" si="51"/>
        <v>피****아</v>
      </c>
      <c r="BF104" t="str">
        <f t="shared" si="52"/>
        <v>***-****-6097</v>
      </c>
      <c r="BG104" t="str">
        <f t="shared" si="53"/>
        <v>***-****-7488</v>
      </c>
      <c r="BH104" t="s">
        <v>453</v>
      </c>
      <c r="BI104" t="s">
        <v>454</v>
      </c>
      <c r="BJ104" t="s">
        <v>1299</v>
      </c>
      <c r="BK104" t="s">
        <v>456</v>
      </c>
      <c r="BL104">
        <v>14962</v>
      </c>
      <c r="BM104" t="str">
        <f>"14962"</f>
        <v>14962</v>
      </c>
      <c r="BN104" t="str">
        <f t="shared" si="55"/>
        <v>20180123-0000059</v>
      </c>
      <c r="BQ104" t="s">
        <v>373</v>
      </c>
      <c r="BU104">
        <v>86</v>
      </c>
      <c r="BV104" t="s">
        <v>1295</v>
      </c>
      <c r="BW104" t="s">
        <v>1295</v>
      </c>
      <c r="BX104" t="s">
        <v>123</v>
      </c>
      <c r="BY104">
        <v>0</v>
      </c>
      <c r="BZ104">
        <v>8809323736052</v>
      </c>
      <c r="CA104" t="s">
        <v>1300</v>
      </c>
      <c r="CF104" t="s">
        <v>1295</v>
      </c>
      <c r="CG104" t="s">
        <v>458</v>
      </c>
      <c r="CH104" t="s">
        <v>377</v>
      </c>
      <c r="CI104" t="s">
        <v>1294</v>
      </c>
      <c r="CJ104">
        <v>3468</v>
      </c>
      <c r="CK104">
        <v>3468</v>
      </c>
      <c r="CL104" t="s">
        <v>1301</v>
      </c>
      <c r="CN104">
        <v>1</v>
      </c>
      <c r="CO104">
        <v>9536</v>
      </c>
      <c r="CP104">
        <v>9536</v>
      </c>
      <c r="CQ104" t="s">
        <v>379</v>
      </c>
      <c r="CS104">
        <v>0</v>
      </c>
    </row>
    <row r="105" spans="1:97" x14ac:dyDescent="0.4">
      <c r="A105" s="10">
        <v>43124</v>
      </c>
      <c r="B105" t="s">
        <v>123</v>
      </c>
      <c r="C105" t="s">
        <v>1302</v>
      </c>
      <c r="D105" t="s">
        <v>359</v>
      </c>
      <c r="E105" t="s">
        <v>1188</v>
      </c>
      <c r="F105" t="str">
        <f t="shared" si="54"/>
        <v>20180123-0000059</v>
      </c>
      <c r="G105">
        <v>1031916</v>
      </c>
      <c r="H105">
        <v>2</v>
      </c>
      <c r="I105" t="s">
        <v>1303</v>
      </c>
      <c r="L105">
        <v>0</v>
      </c>
      <c r="M105">
        <v>1</v>
      </c>
      <c r="O105" t="s">
        <v>361</v>
      </c>
      <c r="P105" t="s">
        <v>702</v>
      </c>
      <c r="S105" t="s">
        <v>1304</v>
      </c>
      <c r="T105" t="s">
        <v>364</v>
      </c>
      <c r="X105" t="s">
        <v>1305</v>
      </c>
      <c r="AA105">
        <v>9536</v>
      </c>
      <c r="AB105">
        <v>6.41</v>
      </c>
      <c r="AC105" t="s">
        <v>1306</v>
      </c>
      <c r="AD105">
        <v>6.99</v>
      </c>
      <c r="AE105">
        <v>7.18</v>
      </c>
      <c r="AF105" t="s">
        <v>705</v>
      </c>
      <c r="AG105">
        <v>1880</v>
      </c>
      <c r="AL105" t="s">
        <v>1303</v>
      </c>
      <c r="AN105" t="s">
        <v>1307</v>
      </c>
      <c r="AQ105">
        <v>3468</v>
      </c>
      <c r="AR105" t="s">
        <v>368</v>
      </c>
      <c r="AS105">
        <v>613660397425</v>
      </c>
      <c r="AT105" t="str">
        <f t="shared" si="46"/>
        <v>피****아①</v>
      </c>
      <c r="AU105" t="str">
        <f t="shared" si="47"/>
        <v xml:space="preserve"> 1****0</v>
      </c>
      <c r="AV105" t="str">
        <f t="shared" si="48"/>
        <v>***-****-1406</v>
      </c>
      <c r="AW105" t="str">
        <f t="shared" si="49"/>
        <v xml:space="preserve"> 서* 강*구 방*동 5****5 2* 김****님</v>
      </c>
      <c r="AX105" t="str">
        <f>""</f>
        <v/>
      </c>
      <c r="AY105" t="str">
        <f t="shared" si="50"/>
        <v>***-****-0388</v>
      </c>
      <c r="AZ105">
        <v>29404</v>
      </c>
      <c r="BA105">
        <v>1039954</v>
      </c>
      <c r="BB105">
        <v>13600</v>
      </c>
      <c r="BC105" t="s">
        <v>1194</v>
      </c>
      <c r="BD105" t="s">
        <v>707</v>
      </c>
      <c r="BE105" t="str">
        <f t="shared" si="51"/>
        <v>피****아</v>
      </c>
      <c r="BF105" t="str">
        <f t="shared" si="52"/>
        <v>***-****-6097</v>
      </c>
      <c r="BG105" t="str">
        <f t="shared" si="53"/>
        <v>***-****-7488</v>
      </c>
      <c r="BH105" t="s">
        <v>453</v>
      </c>
      <c r="BI105" t="s">
        <v>454</v>
      </c>
      <c r="BJ105" t="s">
        <v>1308</v>
      </c>
      <c r="BK105" t="s">
        <v>456</v>
      </c>
      <c r="BL105">
        <v>14962</v>
      </c>
      <c r="BM105" t="str">
        <f>"14962"</f>
        <v>14962</v>
      </c>
      <c r="BN105" t="str">
        <f t="shared" si="55"/>
        <v>20180123-0000059</v>
      </c>
      <c r="BQ105" t="s">
        <v>373</v>
      </c>
      <c r="BU105">
        <v>86</v>
      </c>
      <c r="BV105" t="s">
        <v>1305</v>
      </c>
      <c r="BW105" t="s">
        <v>1303</v>
      </c>
      <c r="BX105" t="s">
        <v>123</v>
      </c>
      <c r="BY105">
        <v>0</v>
      </c>
      <c r="BZ105">
        <v>8809323736182</v>
      </c>
      <c r="CA105" t="s">
        <v>1309</v>
      </c>
      <c r="CF105" t="s">
        <v>1305</v>
      </c>
      <c r="CG105" t="s">
        <v>458</v>
      </c>
      <c r="CH105" t="s">
        <v>377</v>
      </c>
      <c r="CI105" t="s">
        <v>1302</v>
      </c>
      <c r="CJ105">
        <v>3468</v>
      </c>
      <c r="CK105">
        <v>6936</v>
      </c>
      <c r="CL105" t="s">
        <v>1310</v>
      </c>
      <c r="CN105">
        <v>2</v>
      </c>
      <c r="CO105">
        <v>9536</v>
      </c>
      <c r="CP105">
        <v>19072</v>
      </c>
      <c r="CQ105" t="s">
        <v>379</v>
      </c>
      <c r="CS105">
        <v>0</v>
      </c>
    </row>
    <row r="106" spans="1:97" x14ac:dyDescent="0.4">
      <c r="A106" s="10">
        <v>43124</v>
      </c>
      <c r="B106" t="s">
        <v>123</v>
      </c>
      <c r="C106" t="s">
        <v>833</v>
      </c>
      <c r="D106" t="s">
        <v>359</v>
      </c>
      <c r="E106" t="s">
        <v>1188</v>
      </c>
      <c r="F106" t="str">
        <f t="shared" si="54"/>
        <v>20180123-0000059</v>
      </c>
      <c r="G106">
        <v>1031916</v>
      </c>
      <c r="H106">
        <v>1</v>
      </c>
      <c r="I106" t="s">
        <v>834</v>
      </c>
      <c r="L106">
        <v>0</v>
      </c>
      <c r="M106">
        <v>1</v>
      </c>
      <c r="O106" t="s">
        <v>361</v>
      </c>
      <c r="P106" t="s">
        <v>702</v>
      </c>
      <c r="S106" t="s">
        <v>1311</v>
      </c>
      <c r="T106" t="s">
        <v>364</v>
      </c>
      <c r="X106" t="s">
        <v>834</v>
      </c>
      <c r="AA106">
        <v>9536</v>
      </c>
      <c r="AB106">
        <v>6.41</v>
      </c>
      <c r="AC106" t="s">
        <v>836</v>
      </c>
      <c r="AD106">
        <v>6.99</v>
      </c>
      <c r="AE106">
        <v>7.18</v>
      </c>
      <c r="AF106" t="s">
        <v>705</v>
      </c>
      <c r="AG106">
        <v>1880</v>
      </c>
      <c r="AL106" t="s">
        <v>834</v>
      </c>
      <c r="AN106" t="s">
        <v>837</v>
      </c>
      <c r="AQ106">
        <v>3468</v>
      </c>
      <c r="AR106" t="s">
        <v>368</v>
      </c>
      <c r="AS106">
        <v>613660397425</v>
      </c>
      <c r="AT106" t="str">
        <f t="shared" si="46"/>
        <v>피****아①</v>
      </c>
      <c r="AU106" t="str">
        <f t="shared" si="47"/>
        <v xml:space="preserve"> 1****0</v>
      </c>
      <c r="AV106" t="str">
        <f t="shared" si="48"/>
        <v>***-****-1406</v>
      </c>
      <c r="AW106" t="str">
        <f t="shared" si="49"/>
        <v xml:space="preserve"> 서* 강*구 방*동 5****5 2* 김****님</v>
      </c>
      <c r="AX106" t="str">
        <f>""</f>
        <v/>
      </c>
      <c r="AY106" t="str">
        <f t="shared" si="50"/>
        <v>***-****-0388</v>
      </c>
      <c r="AZ106">
        <v>28249</v>
      </c>
      <c r="BA106">
        <v>1039955</v>
      </c>
      <c r="BB106">
        <v>6800</v>
      </c>
      <c r="BC106" t="s">
        <v>1194</v>
      </c>
      <c r="BD106" t="s">
        <v>707</v>
      </c>
      <c r="BE106" t="str">
        <f t="shared" si="51"/>
        <v>피****아</v>
      </c>
      <c r="BF106" t="str">
        <f t="shared" si="52"/>
        <v>***-****-6097</v>
      </c>
      <c r="BG106" t="str">
        <f t="shared" si="53"/>
        <v>***-****-7488</v>
      </c>
      <c r="BH106" t="s">
        <v>453</v>
      </c>
      <c r="BI106" t="s">
        <v>454</v>
      </c>
      <c r="BJ106" t="s">
        <v>1312</v>
      </c>
      <c r="BK106" t="s">
        <v>456</v>
      </c>
      <c r="BL106">
        <v>14962</v>
      </c>
      <c r="BM106" t="str">
        <f>"14962"</f>
        <v>14962</v>
      </c>
      <c r="BN106" t="str">
        <f t="shared" si="55"/>
        <v>20180123-0000059</v>
      </c>
      <c r="BQ106" t="s">
        <v>373</v>
      </c>
      <c r="BU106">
        <v>86</v>
      </c>
      <c r="BV106" t="s">
        <v>834</v>
      </c>
      <c r="BW106" t="s">
        <v>834</v>
      </c>
      <c r="BX106" t="s">
        <v>123</v>
      </c>
      <c r="BY106">
        <v>0</v>
      </c>
      <c r="BZ106">
        <v>8809323735772</v>
      </c>
      <c r="CA106" t="s">
        <v>839</v>
      </c>
      <c r="CF106" t="s">
        <v>834</v>
      </c>
      <c r="CG106" t="s">
        <v>458</v>
      </c>
      <c r="CH106" t="s">
        <v>377</v>
      </c>
      <c r="CI106" t="s">
        <v>833</v>
      </c>
      <c r="CJ106">
        <v>3468</v>
      </c>
      <c r="CK106">
        <v>3468</v>
      </c>
      <c r="CL106" t="s">
        <v>840</v>
      </c>
      <c r="CN106">
        <v>1</v>
      </c>
      <c r="CO106">
        <v>9536</v>
      </c>
      <c r="CP106">
        <v>9536</v>
      </c>
      <c r="CQ106" t="s">
        <v>379</v>
      </c>
      <c r="CS106">
        <v>0</v>
      </c>
    </row>
    <row r="107" spans="1:97" x14ac:dyDescent="0.4">
      <c r="A107" s="10">
        <v>43124</v>
      </c>
      <c r="B107" t="s">
        <v>123</v>
      </c>
      <c r="C107" t="s">
        <v>1313</v>
      </c>
      <c r="D107" t="s">
        <v>359</v>
      </c>
      <c r="E107" t="s">
        <v>1188</v>
      </c>
      <c r="F107" t="str">
        <f t="shared" si="54"/>
        <v>20180123-0000059</v>
      </c>
      <c r="G107">
        <v>1031916</v>
      </c>
      <c r="H107">
        <v>3</v>
      </c>
      <c r="I107" t="s">
        <v>1314</v>
      </c>
      <c r="L107">
        <v>0</v>
      </c>
      <c r="M107">
        <v>1</v>
      </c>
      <c r="O107" t="s">
        <v>361</v>
      </c>
      <c r="P107" t="s">
        <v>702</v>
      </c>
      <c r="S107" t="s">
        <v>1315</v>
      </c>
      <c r="T107" t="s">
        <v>364</v>
      </c>
      <c r="X107" t="s">
        <v>1314</v>
      </c>
      <c r="AA107">
        <v>15296</v>
      </c>
      <c r="AB107">
        <v>9.1999999999999993</v>
      </c>
      <c r="AC107" t="s">
        <v>1316</v>
      </c>
      <c r="AD107">
        <v>10.029999999999999</v>
      </c>
      <c r="AE107">
        <v>10.31</v>
      </c>
      <c r="AF107" t="s">
        <v>467</v>
      </c>
      <c r="AG107">
        <v>6500</v>
      </c>
      <c r="AK107">
        <v>284</v>
      </c>
      <c r="AL107" t="s">
        <v>1314</v>
      </c>
      <c r="AN107" t="s">
        <v>1317</v>
      </c>
      <c r="AQ107">
        <v>3060</v>
      </c>
      <c r="AR107" t="s">
        <v>368</v>
      </c>
      <c r="AS107">
        <v>613660397425</v>
      </c>
      <c r="AT107" t="str">
        <f t="shared" si="46"/>
        <v>피****아①</v>
      </c>
      <c r="AU107" t="str">
        <f t="shared" si="47"/>
        <v xml:space="preserve"> 1****0</v>
      </c>
      <c r="AV107" t="str">
        <f t="shared" si="48"/>
        <v>***-****-1406</v>
      </c>
      <c r="AW107" t="str">
        <f t="shared" si="49"/>
        <v xml:space="preserve"> 서* 강*구 방*동 5****5 2* 김****님</v>
      </c>
      <c r="AX107" t="str">
        <f>""</f>
        <v/>
      </c>
      <c r="AY107" t="str">
        <f t="shared" si="50"/>
        <v>***-****-0388</v>
      </c>
      <c r="AZ107">
        <v>28033</v>
      </c>
      <c r="BA107">
        <v>1039912</v>
      </c>
      <c r="BB107">
        <v>18000</v>
      </c>
      <c r="BC107" t="s">
        <v>1194</v>
      </c>
      <c r="BD107" t="s">
        <v>707</v>
      </c>
      <c r="BE107" t="str">
        <f t="shared" si="51"/>
        <v>피****아</v>
      </c>
      <c r="BF107" t="str">
        <f t="shared" si="52"/>
        <v>***-****-6097</v>
      </c>
      <c r="BG107" t="str">
        <f t="shared" si="53"/>
        <v>***-****-7488</v>
      </c>
      <c r="BH107" t="s">
        <v>453</v>
      </c>
      <c r="BI107" t="s">
        <v>454</v>
      </c>
      <c r="BJ107" t="s">
        <v>1318</v>
      </c>
      <c r="BK107" t="s">
        <v>456</v>
      </c>
      <c r="BL107">
        <v>18351</v>
      </c>
      <c r="BM107" t="str">
        <f>"18351"</f>
        <v>18351</v>
      </c>
      <c r="BN107" t="str">
        <f t="shared" si="55"/>
        <v>20180123-0000059</v>
      </c>
      <c r="BQ107" t="s">
        <v>373</v>
      </c>
      <c r="BV107" t="s">
        <v>1319</v>
      </c>
      <c r="BW107" t="s">
        <v>1314</v>
      </c>
      <c r="BX107" t="s">
        <v>123</v>
      </c>
      <c r="BY107">
        <v>0</v>
      </c>
      <c r="BZ107">
        <v>8809454022864</v>
      </c>
      <c r="CA107" t="s">
        <v>1320</v>
      </c>
      <c r="CF107" t="s">
        <v>1314</v>
      </c>
      <c r="CH107" t="s">
        <v>377</v>
      </c>
      <c r="CI107" t="s">
        <v>1313</v>
      </c>
      <c r="CJ107">
        <v>3060</v>
      </c>
      <c r="CK107">
        <v>9180</v>
      </c>
      <c r="CL107" t="s">
        <v>1321</v>
      </c>
      <c r="CN107">
        <v>3</v>
      </c>
      <c r="CO107">
        <v>15296</v>
      </c>
      <c r="CP107">
        <v>45888</v>
      </c>
      <c r="CQ107" t="s">
        <v>379</v>
      </c>
      <c r="CS107">
        <v>0</v>
      </c>
    </row>
    <row r="108" spans="1:97" x14ac:dyDescent="0.4">
      <c r="A108" s="10">
        <v>43124</v>
      </c>
      <c r="B108" t="s">
        <v>123</v>
      </c>
      <c r="C108" t="s">
        <v>1322</v>
      </c>
      <c r="D108" t="s">
        <v>359</v>
      </c>
      <c r="E108" t="s">
        <v>1188</v>
      </c>
      <c r="F108" t="str">
        <f t="shared" si="54"/>
        <v>20180123-0000059</v>
      </c>
      <c r="G108">
        <v>1031916</v>
      </c>
      <c r="H108">
        <v>1</v>
      </c>
      <c r="I108" t="s">
        <v>1323</v>
      </c>
      <c r="L108">
        <v>0</v>
      </c>
      <c r="M108">
        <v>1</v>
      </c>
      <c r="O108" t="s">
        <v>361</v>
      </c>
      <c r="P108" t="s">
        <v>702</v>
      </c>
      <c r="S108" t="s">
        <v>1324</v>
      </c>
      <c r="T108" t="s">
        <v>364</v>
      </c>
      <c r="X108" t="s">
        <v>1323</v>
      </c>
      <c r="AA108">
        <v>12560</v>
      </c>
      <c r="AB108">
        <v>8.7899999999999991</v>
      </c>
      <c r="AC108" t="s">
        <v>1325</v>
      </c>
      <c r="AD108">
        <v>9.58</v>
      </c>
      <c r="AE108">
        <v>9.84</v>
      </c>
      <c r="AF108" t="s">
        <v>1009</v>
      </c>
      <c r="AG108">
        <v>6500</v>
      </c>
      <c r="AH108">
        <v>250</v>
      </c>
      <c r="AI108">
        <v>3770</v>
      </c>
      <c r="AK108">
        <v>183</v>
      </c>
      <c r="AL108" t="s">
        <v>1323</v>
      </c>
      <c r="AQ108">
        <v>3468</v>
      </c>
      <c r="AR108" t="s">
        <v>368</v>
      </c>
      <c r="AS108">
        <v>613660397425</v>
      </c>
      <c r="AT108" t="str">
        <f t="shared" si="46"/>
        <v>피****아①</v>
      </c>
      <c r="AU108" t="str">
        <f t="shared" si="47"/>
        <v xml:space="preserve"> 1****0</v>
      </c>
      <c r="AV108" t="str">
        <f t="shared" si="48"/>
        <v>***-****-1406</v>
      </c>
      <c r="AW108" t="str">
        <f t="shared" si="49"/>
        <v xml:space="preserve"> 서* 강*구 방*동 5****5 2* 김****님</v>
      </c>
      <c r="AX108" t="str">
        <f>""</f>
        <v/>
      </c>
      <c r="AY108" t="str">
        <f t="shared" si="50"/>
        <v>***-****-0388</v>
      </c>
      <c r="AZ108">
        <v>7256</v>
      </c>
      <c r="BA108">
        <v>1039922</v>
      </c>
      <c r="BB108">
        <v>6800</v>
      </c>
      <c r="BC108" t="s">
        <v>1194</v>
      </c>
      <c r="BD108" t="s">
        <v>707</v>
      </c>
      <c r="BE108" t="str">
        <f t="shared" si="51"/>
        <v>피****아</v>
      </c>
      <c r="BF108" t="str">
        <f t="shared" si="52"/>
        <v>***-****-6097</v>
      </c>
      <c r="BG108" t="str">
        <f t="shared" si="53"/>
        <v>***-****-7488</v>
      </c>
      <c r="BH108" t="s">
        <v>453</v>
      </c>
      <c r="BI108" t="s">
        <v>454</v>
      </c>
      <c r="BJ108" t="s">
        <v>1326</v>
      </c>
      <c r="BK108" t="s">
        <v>456</v>
      </c>
      <c r="BL108">
        <v>11973</v>
      </c>
      <c r="BM108" t="str">
        <f>"11973"</f>
        <v>11973</v>
      </c>
      <c r="BN108" t="str">
        <f t="shared" si="55"/>
        <v>20180123-0000059</v>
      </c>
      <c r="BQ108" t="s">
        <v>373</v>
      </c>
      <c r="BV108" t="s">
        <v>1327</v>
      </c>
      <c r="BW108" t="s">
        <v>1323</v>
      </c>
      <c r="BX108" t="s">
        <v>123</v>
      </c>
      <c r="BZ108">
        <v>8809241887447</v>
      </c>
      <c r="CA108" t="s">
        <v>1328</v>
      </c>
      <c r="CF108" t="s">
        <v>1323</v>
      </c>
      <c r="CG108" t="s">
        <v>877</v>
      </c>
      <c r="CH108" t="s">
        <v>377</v>
      </c>
      <c r="CI108" t="s">
        <v>1322</v>
      </c>
      <c r="CJ108">
        <v>3468</v>
      </c>
      <c r="CK108">
        <v>3468</v>
      </c>
      <c r="CL108" t="s">
        <v>653</v>
      </c>
      <c r="CN108">
        <v>1</v>
      </c>
      <c r="CO108">
        <v>14798</v>
      </c>
      <c r="CP108">
        <v>14798</v>
      </c>
      <c r="CQ108" t="s">
        <v>379</v>
      </c>
      <c r="CS108">
        <v>0</v>
      </c>
    </row>
    <row r="109" spans="1:97" x14ac:dyDescent="0.4">
      <c r="A109" s="10">
        <v>43124</v>
      </c>
      <c r="B109" t="s">
        <v>215</v>
      </c>
      <c r="C109" t="s">
        <v>1329</v>
      </c>
      <c r="D109" t="s">
        <v>359</v>
      </c>
      <c r="E109" t="s">
        <v>1188</v>
      </c>
      <c r="F109" t="str">
        <f t="shared" si="54"/>
        <v>20180123-0000059</v>
      </c>
      <c r="G109">
        <v>1031916</v>
      </c>
      <c r="H109">
        <v>2</v>
      </c>
      <c r="I109" t="s">
        <v>1330</v>
      </c>
      <c r="L109">
        <v>0</v>
      </c>
      <c r="M109">
        <v>1</v>
      </c>
      <c r="O109" t="s">
        <v>361</v>
      </c>
      <c r="P109" t="s">
        <v>702</v>
      </c>
      <c r="S109" t="s">
        <v>1331</v>
      </c>
      <c r="T109" t="s">
        <v>364</v>
      </c>
      <c r="X109" t="s">
        <v>1330</v>
      </c>
      <c r="AA109">
        <v>17500</v>
      </c>
      <c r="AB109">
        <v>12.43</v>
      </c>
      <c r="AC109" t="s">
        <v>1332</v>
      </c>
      <c r="AD109">
        <v>13.55</v>
      </c>
      <c r="AE109">
        <v>13.92</v>
      </c>
      <c r="AF109" t="s">
        <v>1009</v>
      </c>
      <c r="AG109">
        <v>6500</v>
      </c>
      <c r="AK109">
        <v>190</v>
      </c>
      <c r="AL109" t="s">
        <v>1330</v>
      </c>
      <c r="AQ109">
        <v>6200</v>
      </c>
      <c r="AR109" t="s">
        <v>368</v>
      </c>
      <c r="AS109">
        <v>613660397425</v>
      </c>
      <c r="AT109" t="str">
        <f t="shared" si="46"/>
        <v>피****아①</v>
      </c>
      <c r="AU109" t="str">
        <f t="shared" si="47"/>
        <v xml:space="preserve"> 1****0</v>
      </c>
      <c r="AV109" t="str">
        <f t="shared" si="48"/>
        <v>***-****-1406</v>
      </c>
      <c r="AW109" t="str">
        <f t="shared" si="49"/>
        <v xml:space="preserve"> 서* 강*구 방*동 5****5 2* 김****님</v>
      </c>
      <c r="AX109" t="str">
        <f>""</f>
        <v/>
      </c>
      <c r="AY109" t="str">
        <f t="shared" si="50"/>
        <v>***-****-0388</v>
      </c>
      <c r="AZ109">
        <v>11331</v>
      </c>
      <c r="BA109">
        <v>1039918</v>
      </c>
      <c r="BB109">
        <v>20000</v>
      </c>
      <c r="BC109" t="s">
        <v>1194</v>
      </c>
      <c r="BD109" t="s">
        <v>707</v>
      </c>
      <c r="BE109" t="str">
        <f t="shared" si="51"/>
        <v>피****아</v>
      </c>
      <c r="BF109" t="str">
        <f t="shared" si="52"/>
        <v>***-****-6097</v>
      </c>
      <c r="BG109" t="str">
        <f t="shared" si="53"/>
        <v>***-****-7488</v>
      </c>
      <c r="BH109" t="s">
        <v>453</v>
      </c>
      <c r="BI109" t="s">
        <v>454</v>
      </c>
      <c r="BJ109" t="s">
        <v>1333</v>
      </c>
      <c r="BK109" t="s">
        <v>456</v>
      </c>
      <c r="BL109">
        <v>15155</v>
      </c>
      <c r="BM109" t="str">
        <f>"15155"</f>
        <v>15155</v>
      </c>
      <c r="BN109" t="str">
        <f t="shared" si="55"/>
        <v>20180123-0000059</v>
      </c>
      <c r="BQ109" t="s">
        <v>373</v>
      </c>
      <c r="BV109" t="s">
        <v>1334</v>
      </c>
      <c r="BW109" t="s">
        <v>1330</v>
      </c>
      <c r="BX109" t="s">
        <v>215</v>
      </c>
      <c r="BY109">
        <v>0</v>
      </c>
      <c r="BZ109">
        <v>8806179486452</v>
      </c>
      <c r="CA109" t="s">
        <v>1335</v>
      </c>
      <c r="CF109" t="s">
        <v>1330</v>
      </c>
      <c r="CG109" t="s">
        <v>1336</v>
      </c>
      <c r="CH109" t="s">
        <v>377</v>
      </c>
      <c r="CI109" t="s">
        <v>1329</v>
      </c>
      <c r="CJ109">
        <v>6200</v>
      </c>
      <c r="CK109">
        <v>12400</v>
      </c>
      <c r="CL109" t="s">
        <v>1337</v>
      </c>
      <c r="CN109">
        <v>2</v>
      </c>
      <c r="CO109">
        <v>17500</v>
      </c>
      <c r="CP109">
        <v>35000</v>
      </c>
      <c r="CQ109" t="s">
        <v>379</v>
      </c>
      <c r="CS109">
        <v>0</v>
      </c>
    </row>
    <row r="110" spans="1:97" x14ac:dyDescent="0.4">
      <c r="A110" s="10">
        <v>43124</v>
      </c>
      <c r="B110" t="s">
        <v>210</v>
      </c>
      <c r="C110" t="s">
        <v>1338</v>
      </c>
      <c r="D110" t="s">
        <v>359</v>
      </c>
      <c r="E110" t="s">
        <v>1188</v>
      </c>
      <c r="F110" t="str">
        <f t="shared" si="54"/>
        <v>20180123-0000059</v>
      </c>
      <c r="G110">
        <v>1031916</v>
      </c>
      <c r="H110">
        <v>2</v>
      </c>
      <c r="I110" t="s">
        <v>1339</v>
      </c>
      <c r="L110">
        <v>0</v>
      </c>
      <c r="M110">
        <v>1</v>
      </c>
      <c r="O110" t="s">
        <v>361</v>
      </c>
      <c r="P110" t="s">
        <v>702</v>
      </c>
      <c r="S110" t="s">
        <v>1340</v>
      </c>
      <c r="T110" t="s">
        <v>364</v>
      </c>
      <c r="X110" t="s">
        <v>1339</v>
      </c>
      <c r="AA110">
        <v>19012</v>
      </c>
      <c r="AB110">
        <v>16.72</v>
      </c>
      <c r="AC110" t="s">
        <v>1341</v>
      </c>
      <c r="AD110">
        <v>18.23</v>
      </c>
      <c r="AE110">
        <v>18.73</v>
      </c>
      <c r="AF110" t="s">
        <v>845</v>
      </c>
      <c r="AG110">
        <v>1880</v>
      </c>
      <c r="AK110">
        <v>27</v>
      </c>
      <c r="AL110" t="s">
        <v>1339</v>
      </c>
      <c r="AN110" t="s">
        <v>1342</v>
      </c>
      <c r="AQ110">
        <v>11700</v>
      </c>
      <c r="AR110" t="s">
        <v>368</v>
      </c>
      <c r="AS110">
        <v>613660397425</v>
      </c>
      <c r="AT110" t="str">
        <f t="shared" si="46"/>
        <v>피****아①</v>
      </c>
      <c r="AU110" t="str">
        <f t="shared" si="47"/>
        <v xml:space="preserve"> 1****0</v>
      </c>
      <c r="AV110" t="str">
        <f t="shared" si="48"/>
        <v>***-****-1406</v>
      </c>
      <c r="AW110" t="str">
        <f t="shared" si="49"/>
        <v xml:space="preserve"> 서* 강*구 방*동 5****5 2* 김****님</v>
      </c>
      <c r="AX110" t="str">
        <f>""</f>
        <v/>
      </c>
      <c r="AY110" t="str">
        <f t="shared" si="50"/>
        <v>***-****-0388</v>
      </c>
      <c r="AZ110">
        <v>27826</v>
      </c>
      <c r="BA110">
        <v>1039931</v>
      </c>
      <c r="BB110">
        <v>36000</v>
      </c>
      <c r="BC110" t="s">
        <v>1194</v>
      </c>
      <c r="BD110" t="s">
        <v>707</v>
      </c>
      <c r="BE110" t="str">
        <f t="shared" si="51"/>
        <v>피****아</v>
      </c>
      <c r="BF110" t="str">
        <f t="shared" si="52"/>
        <v>***-****-6097</v>
      </c>
      <c r="BG110" t="str">
        <f t="shared" si="53"/>
        <v>***-****-7488</v>
      </c>
      <c r="BH110" t="s">
        <v>453</v>
      </c>
      <c r="BI110" t="s">
        <v>454</v>
      </c>
      <c r="BJ110" t="s">
        <v>1343</v>
      </c>
      <c r="BK110" t="s">
        <v>456</v>
      </c>
      <c r="BL110">
        <v>19267</v>
      </c>
      <c r="BM110" t="str">
        <f>"19267"</f>
        <v>19267</v>
      </c>
      <c r="BN110" t="str">
        <f t="shared" si="55"/>
        <v>20180123-0000059</v>
      </c>
      <c r="BQ110" t="s">
        <v>373</v>
      </c>
      <c r="BV110" t="s">
        <v>1344</v>
      </c>
      <c r="BW110" t="s">
        <v>1339</v>
      </c>
      <c r="BX110" t="s">
        <v>210</v>
      </c>
      <c r="BY110">
        <v>0</v>
      </c>
      <c r="BZ110">
        <v>8801042677951</v>
      </c>
      <c r="CA110" t="s">
        <v>1345</v>
      </c>
      <c r="CF110" t="s">
        <v>1339</v>
      </c>
      <c r="CG110" t="s">
        <v>458</v>
      </c>
      <c r="CH110" t="s">
        <v>377</v>
      </c>
      <c r="CI110" t="s">
        <v>1338</v>
      </c>
      <c r="CJ110">
        <v>11700</v>
      </c>
      <c r="CK110">
        <v>23400</v>
      </c>
      <c r="CL110" t="s">
        <v>1346</v>
      </c>
      <c r="CN110">
        <v>2</v>
      </c>
      <c r="CO110">
        <v>19012</v>
      </c>
      <c r="CP110">
        <v>38024</v>
      </c>
      <c r="CQ110" t="s">
        <v>379</v>
      </c>
      <c r="CS110">
        <v>0</v>
      </c>
    </row>
    <row r="111" spans="1:97" x14ac:dyDescent="0.4">
      <c r="A111" s="10">
        <v>43124</v>
      </c>
      <c r="B111" t="s">
        <v>226</v>
      </c>
      <c r="C111" t="s">
        <v>1347</v>
      </c>
      <c r="D111" t="s">
        <v>359</v>
      </c>
      <c r="E111" t="s">
        <v>1188</v>
      </c>
      <c r="F111" t="str">
        <f t="shared" si="54"/>
        <v>20180123-0000059</v>
      </c>
      <c r="G111">
        <v>1031916</v>
      </c>
      <c r="H111">
        <v>1</v>
      </c>
      <c r="I111" t="s">
        <v>1348</v>
      </c>
      <c r="L111">
        <v>0</v>
      </c>
      <c r="M111">
        <v>1</v>
      </c>
      <c r="O111" t="s">
        <v>361</v>
      </c>
      <c r="P111" t="s">
        <v>702</v>
      </c>
      <c r="S111" t="s">
        <v>1349</v>
      </c>
      <c r="T111" t="s">
        <v>364</v>
      </c>
      <c r="X111" t="s">
        <v>1348</v>
      </c>
      <c r="AA111">
        <v>17290</v>
      </c>
      <c r="AB111">
        <v>12.43</v>
      </c>
      <c r="AC111" t="s">
        <v>1350</v>
      </c>
      <c r="AD111">
        <v>13.55</v>
      </c>
      <c r="AE111">
        <v>13.92</v>
      </c>
      <c r="AF111" t="s">
        <v>1009</v>
      </c>
      <c r="AG111">
        <v>6500</v>
      </c>
      <c r="AL111" t="s">
        <v>1348</v>
      </c>
      <c r="AQ111">
        <v>4680</v>
      </c>
      <c r="AR111" t="s">
        <v>368</v>
      </c>
      <c r="AS111">
        <v>613660397425</v>
      </c>
      <c r="AT111" t="str">
        <f t="shared" si="46"/>
        <v>피****아①</v>
      </c>
      <c r="AU111" t="str">
        <f t="shared" si="47"/>
        <v xml:space="preserve"> 1****0</v>
      </c>
      <c r="AV111" t="str">
        <f t="shared" si="48"/>
        <v>***-****-1406</v>
      </c>
      <c r="AW111" t="str">
        <f t="shared" si="49"/>
        <v xml:space="preserve"> 서* 강*구 방*동 5****5 2* 김****님</v>
      </c>
      <c r="AX111" t="str">
        <f>""</f>
        <v/>
      </c>
      <c r="AY111" t="str">
        <f t="shared" si="50"/>
        <v>***-****-0388</v>
      </c>
      <c r="AZ111">
        <v>19045</v>
      </c>
      <c r="BA111">
        <v>1039926</v>
      </c>
      <c r="BB111">
        <v>9000</v>
      </c>
      <c r="BC111" t="s">
        <v>1194</v>
      </c>
      <c r="BD111" t="s">
        <v>707</v>
      </c>
      <c r="BE111" t="str">
        <f t="shared" si="51"/>
        <v>피****아</v>
      </c>
      <c r="BF111" t="str">
        <f t="shared" si="52"/>
        <v>***-****-6097</v>
      </c>
      <c r="BG111" t="str">
        <f t="shared" si="53"/>
        <v>***-****-7488</v>
      </c>
      <c r="BH111" t="s">
        <v>453</v>
      </c>
      <c r="BI111" t="s">
        <v>454</v>
      </c>
      <c r="BJ111" t="s">
        <v>1351</v>
      </c>
      <c r="BK111" t="s">
        <v>456</v>
      </c>
      <c r="BL111">
        <v>17732</v>
      </c>
      <c r="BM111" t="str">
        <f>"17732"</f>
        <v>17732</v>
      </c>
      <c r="BN111" t="str">
        <f t="shared" si="55"/>
        <v>20180123-0000059</v>
      </c>
      <c r="BQ111" t="s">
        <v>373</v>
      </c>
      <c r="BU111">
        <v>408</v>
      </c>
      <c r="BV111" t="s">
        <v>1352</v>
      </c>
      <c r="BW111" t="s">
        <v>1348</v>
      </c>
      <c r="BX111" t="s">
        <v>226</v>
      </c>
      <c r="BY111">
        <v>0</v>
      </c>
      <c r="BZ111">
        <v>8809427865276</v>
      </c>
      <c r="CA111" t="s">
        <v>1353</v>
      </c>
      <c r="CF111" t="s">
        <v>1348</v>
      </c>
      <c r="CG111" t="s">
        <v>877</v>
      </c>
      <c r="CH111" t="s">
        <v>377</v>
      </c>
      <c r="CI111" t="s">
        <v>1347</v>
      </c>
      <c r="CJ111">
        <v>4680</v>
      </c>
      <c r="CK111">
        <v>4680</v>
      </c>
      <c r="CL111" t="s">
        <v>1354</v>
      </c>
      <c r="CN111">
        <v>1</v>
      </c>
      <c r="CO111">
        <v>17290</v>
      </c>
      <c r="CP111">
        <v>17290</v>
      </c>
      <c r="CQ111" t="s">
        <v>379</v>
      </c>
      <c r="CS111">
        <v>0</v>
      </c>
    </row>
    <row r="112" spans="1:97" x14ac:dyDescent="0.4">
      <c r="A112" s="10">
        <v>43124</v>
      </c>
      <c r="B112" t="s">
        <v>226</v>
      </c>
      <c r="C112" t="s">
        <v>1355</v>
      </c>
      <c r="D112" t="s">
        <v>359</v>
      </c>
      <c r="E112" t="s">
        <v>1188</v>
      </c>
      <c r="F112" t="str">
        <f t="shared" si="54"/>
        <v>20180123-0000059</v>
      </c>
      <c r="G112">
        <v>1031916</v>
      </c>
      <c r="H112">
        <v>3</v>
      </c>
      <c r="I112" t="s">
        <v>1356</v>
      </c>
      <c r="L112">
        <v>0</v>
      </c>
      <c r="M112">
        <v>1</v>
      </c>
      <c r="O112" t="s">
        <v>361</v>
      </c>
      <c r="P112" t="s">
        <v>702</v>
      </c>
      <c r="S112" t="s">
        <v>1357</v>
      </c>
      <c r="T112" t="s">
        <v>364</v>
      </c>
      <c r="X112" t="s">
        <v>1356</v>
      </c>
      <c r="AA112">
        <v>14352</v>
      </c>
      <c r="AB112">
        <v>9.7100000000000009</v>
      </c>
      <c r="AC112" t="s">
        <v>1358</v>
      </c>
      <c r="AD112">
        <v>10.58</v>
      </c>
      <c r="AE112">
        <v>10.87</v>
      </c>
      <c r="AF112" t="s">
        <v>1359</v>
      </c>
      <c r="AG112">
        <v>3770</v>
      </c>
      <c r="AK112">
        <v>146</v>
      </c>
      <c r="AL112" t="s">
        <v>1356</v>
      </c>
      <c r="AQ112">
        <v>4160</v>
      </c>
      <c r="AR112" t="s">
        <v>368</v>
      </c>
      <c r="AS112">
        <v>613660397425</v>
      </c>
      <c r="AT112" t="str">
        <f t="shared" si="46"/>
        <v>피****아①</v>
      </c>
      <c r="AU112" t="str">
        <f t="shared" si="47"/>
        <v xml:space="preserve"> 1****0</v>
      </c>
      <c r="AV112" t="str">
        <f t="shared" si="48"/>
        <v>***-****-1406</v>
      </c>
      <c r="AW112" t="str">
        <f t="shared" si="49"/>
        <v xml:space="preserve"> 서* 강*구 방*동 5****5 2* 김****님</v>
      </c>
      <c r="AX112" t="str">
        <f>""</f>
        <v/>
      </c>
      <c r="AY112" t="str">
        <f t="shared" si="50"/>
        <v>***-****-0388</v>
      </c>
      <c r="AZ112">
        <v>16181</v>
      </c>
      <c r="BA112">
        <v>1039930</v>
      </c>
      <c r="BB112">
        <v>24000</v>
      </c>
      <c r="BC112" t="s">
        <v>1194</v>
      </c>
      <c r="BD112" t="s">
        <v>707</v>
      </c>
      <c r="BE112" t="str">
        <f t="shared" si="51"/>
        <v>피****아</v>
      </c>
      <c r="BF112" t="str">
        <f t="shared" si="52"/>
        <v>***-****-6097</v>
      </c>
      <c r="BG112" t="str">
        <f t="shared" si="53"/>
        <v>***-****-7488</v>
      </c>
      <c r="BH112" t="s">
        <v>453</v>
      </c>
      <c r="BI112" t="s">
        <v>454</v>
      </c>
      <c r="BJ112" t="s">
        <v>1360</v>
      </c>
      <c r="BK112" t="s">
        <v>456</v>
      </c>
      <c r="BL112">
        <v>17535</v>
      </c>
      <c r="BM112" t="str">
        <f>"17535"</f>
        <v>17535</v>
      </c>
      <c r="BN112" t="str">
        <f t="shared" si="55"/>
        <v>20180123-0000059</v>
      </c>
      <c r="BQ112" t="s">
        <v>373</v>
      </c>
      <c r="BV112" t="s">
        <v>1361</v>
      </c>
      <c r="BW112" t="s">
        <v>1356</v>
      </c>
      <c r="BX112" t="s">
        <v>226</v>
      </c>
      <c r="BY112">
        <v>0</v>
      </c>
      <c r="BZ112">
        <v>8809427864491</v>
      </c>
      <c r="CA112" t="s">
        <v>1362</v>
      </c>
      <c r="CF112" t="s">
        <v>1356</v>
      </c>
      <c r="CG112" t="s">
        <v>1363</v>
      </c>
      <c r="CH112" t="s">
        <v>377</v>
      </c>
      <c r="CI112" t="s">
        <v>1355</v>
      </c>
      <c r="CJ112">
        <v>4160</v>
      </c>
      <c r="CK112">
        <v>12480</v>
      </c>
      <c r="CL112" t="s">
        <v>1364</v>
      </c>
      <c r="CN112">
        <v>3</v>
      </c>
      <c r="CO112">
        <v>14352</v>
      </c>
      <c r="CP112">
        <v>43056</v>
      </c>
      <c r="CQ112" t="s">
        <v>379</v>
      </c>
      <c r="CS112">
        <v>0</v>
      </c>
    </row>
    <row r="113" spans="1:97" x14ac:dyDescent="0.4">
      <c r="A113" s="10">
        <v>43124</v>
      </c>
      <c r="B113" t="s">
        <v>226</v>
      </c>
      <c r="C113" t="s">
        <v>851</v>
      </c>
      <c r="D113" t="s">
        <v>359</v>
      </c>
      <c r="E113" t="s">
        <v>1188</v>
      </c>
      <c r="F113" t="str">
        <f t="shared" si="54"/>
        <v>20180123-0000059</v>
      </c>
      <c r="G113">
        <v>1031916</v>
      </c>
      <c r="H113">
        <v>3</v>
      </c>
      <c r="I113" t="s">
        <v>852</v>
      </c>
      <c r="L113">
        <v>0</v>
      </c>
      <c r="M113">
        <v>1</v>
      </c>
      <c r="O113" t="s">
        <v>361</v>
      </c>
      <c r="P113" t="s">
        <v>702</v>
      </c>
      <c r="S113" t="s">
        <v>1365</v>
      </c>
      <c r="T113" t="s">
        <v>364</v>
      </c>
      <c r="X113" t="s">
        <v>852</v>
      </c>
      <c r="AA113">
        <v>27131</v>
      </c>
      <c r="AB113">
        <v>20.25</v>
      </c>
      <c r="AC113" t="s">
        <v>854</v>
      </c>
      <c r="AD113">
        <v>22.07</v>
      </c>
      <c r="AE113">
        <v>22.68</v>
      </c>
      <c r="AF113" t="s">
        <v>855</v>
      </c>
      <c r="AG113">
        <v>6500</v>
      </c>
      <c r="AH113">
        <v>437</v>
      </c>
      <c r="AI113">
        <v>6500</v>
      </c>
      <c r="AK113">
        <v>368</v>
      </c>
      <c r="AL113" t="s">
        <v>852</v>
      </c>
      <c r="AQ113">
        <v>9880</v>
      </c>
      <c r="AR113" t="s">
        <v>368</v>
      </c>
      <c r="AS113">
        <v>613660397425</v>
      </c>
      <c r="AT113" t="str">
        <f t="shared" si="46"/>
        <v>피****아①</v>
      </c>
      <c r="AU113" t="str">
        <f t="shared" si="47"/>
        <v xml:space="preserve"> 1****0</v>
      </c>
      <c r="AV113" t="str">
        <f t="shared" si="48"/>
        <v>***-****-1406</v>
      </c>
      <c r="AW113" t="str">
        <f t="shared" si="49"/>
        <v xml:space="preserve"> 서* 강*구 방*동 5****5 2* 김****님</v>
      </c>
      <c r="AX113" t="str">
        <f>""</f>
        <v/>
      </c>
      <c r="AY113" t="str">
        <f t="shared" si="50"/>
        <v>***-****-0388</v>
      </c>
      <c r="AZ113">
        <v>4791</v>
      </c>
      <c r="BA113">
        <v>1039929</v>
      </c>
      <c r="BB113">
        <v>57000</v>
      </c>
      <c r="BC113" t="s">
        <v>1194</v>
      </c>
      <c r="BD113" t="s">
        <v>707</v>
      </c>
      <c r="BE113" t="str">
        <f t="shared" si="51"/>
        <v>피****아</v>
      </c>
      <c r="BF113" t="str">
        <f t="shared" si="52"/>
        <v>***-****-6097</v>
      </c>
      <c r="BG113" t="str">
        <f t="shared" si="53"/>
        <v>***-****-7488</v>
      </c>
      <c r="BH113" t="s">
        <v>453</v>
      </c>
      <c r="BI113" t="s">
        <v>454</v>
      </c>
      <c r="BJ113" t="s">
        <v>1366</v>
      </c>
      <c r="BK113" t="s">
        <v>456</v>
      </c>
      <c r="BL113">
        <v>12615</v>
      </c>
      <c r="BM113" t="str">
        <f>"12615"</f>
        <v>12615</v>
      </c>
      <c r="BN113" t="str">
        <f t="shared" si="55"/>
        <v>20180123-0000059</v>
      </c>
      <c r="BQ113" t="s">
        <v>373</v>
      </c>
      <c r="BV113" t="s">
        <v>857</v>
      </c>
      <c r="BW113" t="s">
        <v>852</v>
      </c>
      <c r="BX113" t="s">
        <v>226</v>
      </c>
      <c r="BZ113">
        <v>8809221273703</v>
      </c>
      <c r="CA113" t="s">
        <v>858</v>
      </c>
      <c r="CF113" t="s">
        <v>852</v>
      </c>
      <c r="CG113" t="s">
        <v>859</v>
      </c>
      <c r="CH113" t="s">
        <v>377</v>
      </c>
      <c r="CI113" t="s">
        <v>851</v>
      </c>
      <c r="CJ113">
        <v>9880</v>
      </c>
      <c r="CK113">
        <v>29640</v>
      </c>
      <c r="CL113" t="s">
        <v>860</v>
      </c>
      <c r="CN113">
        <v>3</v>
      </c>
      <c r="CO113">
        <v>27131</v>
      </c>
      <c r="CP113">
        <v>81393</v>
      </c>
      <c r="CQ113" t="s">
        <v>379</v>
      </c>
      <c r="CS113">
        <v>0</v>
      </c>
    </row>
    <row r="114" spans="1:97" x14ac:dyDescent="0.4">
      <c r="A114" s="10">
        <v>43124</v>
      </c>
      <c r="B114" t="s">
        <v>97</v>
      </c>
      <c r="C114" t="s">
        <v>861</v>
      </c>
      <c r="D114" t="s">
        <v>359</v>
      </c>
      <c r="E114" t="s">
        <v>1188</v>
      </c>
      <c r="F114" t="str">
        <f t="shared" si="54"/>
        <v>20180123-0000059</v>
      </c>
      <c r="G114">
        <v>1031916</v>
      </c>
      <c r="H114">
        <v>7</v>
      </c>
      <c r="I114" t="s">
        <v>862</v>
      </c>
      <c r="L114">
        <v>0</v>
      </c>
      <c r="M114">
        <v>1</v>
      </c>
      <c r="O114" t="s">
        <v>361</v>
      </c>
      <c r="P114" t="s">
        <v>702</v>
      </c>
      <c r="S114" t="s">
        <v>1367</v>
      </c>
      <c r="T114" t="s">
        <v>364</v>
      </c>
      <c r="X114" t="s">
        <v>862</v>
      </c>
      <c r="AA114">
        <v>196001</v>
      </c>
      <c r="AB114">
        <v>161.91999999999999</v>
      </c>
      <c r="AC114" t="s">
        <v>864</v>
      </c>
      <c r="AD114">
        <v>176.5</v>
      </c>
      <c r="AE114">
        <v>181.35</v>
      </c>
      <c r="AF114" t="s">
        <v>486</v>
      </c>
      <c r="AG114">
        <v>6500</v>
      </c>
      <c r="AH114">
        <v>273</v>
      </c>
      <c r="AI114">
        <v>6500</v>
      </c>
      <c r="AK114">
        <v>211</v>
      </c>
      <c r="AL114" t="s">
        <v>862</v>
      </c>
      <c r="AQ114">
        <v>147000</v>
      </c>
      <c r="AR114" t="s">
        <v>368</v>
      </c>
      <c r="AS114">
        <v>613660397425</v>
      </c>
      <c r="AT114" t="str">
        <f t="shared" si="46"/>
        <v>피****아①</v>
      </c>
      <c r="AU114" t="str">
        <f t="shared" si="47"/>
        <v xml:space="preserve"> 1****0</v>
      </c>
      <c r="AV114" t="str">
        <f t="shared" si="48"/>
        <v>***-****-1406</v>
      </c>
      <c r="AW114" t="str">
        <f t="shared" si="49"/>
        <v xml:space="preserve"> 서* 강*구 방*동 5****5 2* 김****님</v>
      </c>
      <c r="AX114" t="str">
        <f>""</f>
        <v/>
      </c>
      <c r="AY114" t="str">
        <f t="shared" si="50"/>
        <v>***-****-0388</v>
      </c>
      <c r="AZ114">
        <v>12972</v>
      </c>
      <c r="BA114">
        <v>1039914</v>
      </c>
      <c r="BB114">
        <v>1470000</v>
      </c>
      <c r="BC114" t="s">
        <v>1194</v>
      </c>
      <c r="BD114" t="s">
        <v>707</v>
      </c>
      <c r="BE114" t="str">
        <f t="shared" si="51"/>
        <v>피****아</v>
      </c>
      <c r="BF114" t="str">
        <f t="shared" si="52"/>
        <v>***-****-6097</v>
      </c>
      <c r="BG114" t="str">
        <f t="shared" si="53"/>
        <v>***-****-7488</v>
      </c>
      <c r="BH114" t="s">
        <v>453</v>
      </c>
      <c r="BI114" t="s">
        <v>454</v>
      </c>
      <c r="BJ114" t="s">
        <v>1368</v>
      </c>
      <c r="BK114" t="s">
        <v>456</v>
      </c>
      <c r="BL114">
        <v>19386</v>
      </c>
      <c r="BM114" t="str">
        <f>"19386"</f>
        <v>19386</v>
      </c>
      <c r="BN114" t="str">
        <f t="shared" si="55"/>
        <v>20180123-0000059</v>
      </c>
      <c r="BQ114" t="s">
        <v>373</v>
      </c>
      <c r="BV114" t="s">
        <v>866</v>
      </c>
      <c r="BW114" t="s">
        <v>862</v>
      </c>
      <c r="BX114" t="s">
        <v>97</v>
      </c>
      <c r="BY114">
        <v>0</v>
      </c>
      <c r="BZ114">
        <v>8806390509176</v>
      </c>
      <c r="CA114" t="s">
        <v>867</v>
      </c>
      <c r="CF114" t="s">
        <v>862</v>
      </c>
      <c r="CG114" t="s">
        <v>638</v>
      </c>
      <c r="CH114" t="s">
        <v>377</v>
      </c>
      <c r="CI114" t="s">
        <v>861</v>
      </c>
      <c r="CJ114">
        <v>147000</v>
      </c>
      <c r="CK114">
        <v>1029000</v>
      </c>
      <c r="CL114" t="s">
        <v>868</v>
      </c>
      <c r="CN114">
        <v>7</v>
      </c>
      <c r="CO114">
        <v>0</v>
      </c>
      <c r="CP114">
        <v>0</v>
      </c>
      <c r="CQ114" t="s">
        <v>379</v>
      </c>
      <c r="CS114">
        <v>36</v>
      </c>
    </row>
    <row r="115" spans="1:97" x14ac:dyDescent="0.4">
      <c r="A115" s="10">
        <v>43124</v>
      </c>
      <c r="B115" t="s">
        <v>187</v>
      </c>
      <c r="C115" t="s">
        <v>869</v>
      </c>
      <c r="D115" t="s">
        <v>359</v>
      </c>
      <c r="E115" t="s">
        <v>1188</v>
      </c>
      <c r="F115" t="str">
        <f t="shared" si="54"/>
        <v>20180123-0000059</v>
      </c>
      <c r="G115">
        <v>1031916</v>
      </c>
      <c r="H115">
        <v>3</v>
      </c>
      <c r="I115" t="s">
        <v>870</v>
      </c>
      <c r="L115">
        <v>0</v>
      </c>
      <c r="M115">
        <v>1</v>
      </c>
      <c r="O115" t="s">
        <v>361</v>
      </c>
      <c r="P115" t="s">
        <v>702</v>
      </c>
      <c r="S115" t="s">
        <v>1369</v>
      </c>
      <c r="T115" t="s">
        <v>364</v>
      </c>
      <c r="X115" t="s">
        <v>870</v>
      </c>
      <c r="AA115">
        <v>27950</v>
      </c>
      <c r="AB115">
        <v>29.89</v>
      </c>
      <c r="AC115" t="s">
        <v>872</v>
      </c>
      <c r="AD115">
        <v>32.58</v>
      </c>
      <c r="AE115">
        <v>33.47</v>
      </c>
      <c r="AF115" t="s">
        <v>873</v>
      </c>
      <c r="AG115">
        <v>6500</v>
      </c>
      <c r="AK115">
        <v>279</v>
      </c>
      <c r="AL115" t="s">
        <v>870</v>
      </c>
      <c r="AQ115">
        <v>20000</v>
      </c>
      <c r="AR115" t="s">
        <v>368</v>
      </c>
      <c r="AS115">
        <v>613660397425</v>
      </c>
      <c r="AT115" t="str">
        <f t="shared" si="46"/>
        <v>피****아①</v>
      </c>
      <c r="AU115" t="str">
        <f t="shared" si="47"/>
        <v xml:space="preserve"> 1****0</v>
      </c>
      <c r="AV115" t="str">
        <f t="shared" si="48"/>
        <v>***-****-1406</v>
      </c>
      <c r="AW115" t="str">
        <f t="shared" si="49"/>
        <v xml:space="preserve"> 서* 강*구 방*동 5****5 2* 김****님</v>
      </c>
      <c r="AX115" t="str">
        <f>""</f>
        <v/>
      </c>
      <c r="AY115" t="str">
        <f t="shared" si="50"/>
        <v>***-****-0388</v>
      </c>
      <c r="AZ115">
        <v>11550</v>
      </c>
      <c r="BA115">
        <v>1039939</v>
      </c>
      <c r="BB115">
        <v>75000</v>
      </c>
      <c r="BC115" t="s">
        <v>1194</v>
      </c>
      <c r="BD115" t="s">
        <v>707</v>
      </c>
      <c r="BE115" t="str">
        <f t="shared" si="51"/>
        <v>피****아</v>
      </c>
      <c r="BF115" t="str">
        <f t="shared" si="52"/>
        <v>***-****-6097</v>
      </c>
      <c r="BG115" t="str">
        <f t="shared" si="53"/>
        <v>***-****-7488</v>
      </c>
      <c r="BH115" t="s">
        <v>453</v>
      </c>
      <c r="BI115" t="s">
        <v>454</v>
      </c>
      <c r="BJ115" t="s">
        <v>1370</v>
      </c>
      <c r="BK115" t="s">
        <v>456</v>
      </c>
      <c r="BL115">
        <v>14329</v>
      </c>
      <c r="BM115" t="str">
        <f>"14329"</f>
        <v>14329</v>
      </c>
      <c r="BN115" t="str">
        <f t="shared" si="55"/>
        <v>20180123-0000059</v>
      </c>
      <c r="BQ115" t="s">
        <v>373</v>
      </c>
      <c r="BV115" t="s">
        <v>875</v>
      </c>
      <c r="BW115" t="s">
        <v>870</v>
      </c>
      <c r="BX115" t="s">
        <v>187</v>
      </c>
      <c r="BZ115">
        <v>8801051178449</v>
      </c>
      <c r="CA115" t="s">
        <v>876</v>
      </c>
      <c r="CF115" t="s">
        <v>870</v>
      </c>
      <c r="CG115" t="s">
        <v>877</v>
      </c>
      <c r="CH115" t="s">
        <v>377</v>
      </c>
      <c r="CI115" t="s">
        <v>869</v>
      </c>
      <c r="CJ115">
        <v>20000</v>
      </c>
      <c r="CK115">
        <v>60000</v>
      </c>
      <c r="CL115" t="s">
        <v>878</v>
      </c>
      <c r="CN115">
        <v>3</v>
      </c>
      <c r="CO115">
        <v>27950</v>
      </c>
      <c r="CP115">
        <v>83850</v>
      </c>
      <c r="CQ115" t="s">
        <v>379</v>
      </c>
      <c r="CS115">
        <v>0</v>
      </c>
    </row>
    <row r="116" spans="1:97" x14ac:dyDescent="0.4">
      <c r="A116" s="10">
        <v>43124</v>
      </c>
      <c r="B116" t="s">
        <v>187</v>
      </c>
      <c r="C116" t="s">
        <v>1371</v>
      </c>
      <c r="D116" t="s">
        <v>359</v>
      </c>
      <c r="E116" t="s">
        <v>1188</v>
      </c>
      <c r="F116" t="str">
        <f t="shared" si="54"/>
        <v>20180123-0000059</v>
      </c>
      <c r="G116">
        <v>1031916</v>
      </c>
      <c r="H116">
        <v>6</v>
      </c>
      <c r="I116" t="s">
        <v>1372</v>
      </c>
      <c r="L116">
        <v>0</v>
      </c>
      <c r="M116">
        <v>1</v>
      </c>
      <c r="O116" t="s">
        <v>361</v>
      </c>
      <c r="P116" t="s">
        <v>702</v>
      </c>
      <c r="S116" t="s">
        <v>1373</v>
      </c>
      <c r="T116" t="s">
        <v>364</v>
      </c>
      <c r="X116" t="s">
        <v>1372</v>
      </c>
      <c r="AA116">
        <v>20188</v>
      </c>
      <c r="AB116">
        <v>18.2</v>
      </c>
      <c r="AC116" t="s">
        <v>1374</v>
      </c>
      <c r="AD116">
        <v>19.84</v>
      </c>
      <c r="AE116">
        <v>20.38</v>
      </c>
      <c r="AF116" t="s">
        <v>467</v>
      </c>
      <c r="AG116">
        <v>6500</v>
      </c>
      <c r="AK116">
        <v>299</v>
      </c>
      <c r="AL116" t="s">
        <v>1372</v>
      </c>
      <c r="AQ116">
        <v>10560</v>
      </c>
      <c r="AR116" t="s">
        <v>368</v>
      </c>
      <c r="AS116">
        <v>613660397425</v>
      </c>
      <c r="AT116" t="str">
        <f t="shared" si="46"/>
        <v>피****아①</v>
      </c>
      <c r="AU116" t="str">
        <f t="shared" si="47"/>
        <v xml:space="preserve"> 1****0</v>
      </c>
      <c r="AV116" t="str">
        <f t="shared" si="48"/>
        <v>***-****-1406</v>
      </c>
      <c r="AW116" t="str">
        <f t="shared" si="49"/>
        <v xml:space="preserve"> 서* 강*구 방*동 5****5 2* 김****님</v>
      </c>
      <c r="AX116" t="str">
        <f>""</f>
        <v/>
      </c>
      <c r="AY116" t="str">
        <f t="shared" si="50"/>
        <v>***-****-0388</v>
      </c>
      <c r="AZ116">
        <v>12721</v>
      </c>
      <c r="BA116">
        <v>1039905</v>
      </c>
      <c r="BB116">
        <v>79200</v>
      </c>
      <c r="BC116" t="s">
        <v>1194</v>
      </c>
      <c r="BD116" t="s">
        <v>707</v>
      </c>
      <c r="BE116" t="str">
        <f t="shared" si="51"/>
        <v>피****아</v>
      </c>
      <c r="BF116" t="str">
        <f t="shared" si="52"/>
        <v>***-****-6097</v>
      </c>
      <c r="BG116" t="str">
        <f t="shared" si="53"/>
        <v>***-****-7488</v>
      </c>
      <c r="BH116" t="s">
        <v>453</v>
      </c>
      <c r="BI116" t="s">
        <v>454</v>
      </c>
      <c r="BJ116" t="s">
        <v>1375</v>
      </c>
      <c r="BK116" t="s">
        <v>456</v>
      </c>
      <c r="BL116">
        <v>14410</v>
      </c>
      <c r="BM116" t="str">
        <f>"14410"</f>
        <v>14410</v>
      </c>
      <c r="BN116" t="str">
        <f t="shared" si="55"/>
        <v>20180123-0000059</v>
      </c>
      <c r="BQ116" t="s">
        <v>373</v>
      </c>
      <c r="BV116" t="s">
        <v>1376</v>
      </c>
      <c r="BW116" t="s">
        <v>1372</v>
      </c>
      <c r="BX116" t="s">
        <v>187</v>
      </c>
      <c r="BY116">
        <v>0</v>
      </c>
      <c r="BZ116">
        <v>8801051914986</v>
      </c>
      <c r="CA116" t="s">
        <v>1377</v>
      </c>
      <c r="CF116" t="s">
        <v>1372</v>
      </c>
      <c r="CG116" t="s">
        <v>583</v>
      </c>
      <c r="CH116" t="s">
        <v>377</v>
      </c>
      <c r="CI116" t="s">
        <v>1371</v>
      </c>
      <c r="CJ116">
        <v>10560</v>
      </c>
      <c r="CK116">
        <v>63360</v>
      </c>
      <c r="CL116" t="s">
        <v>1378</v>
      </c>
      <c r="CN116">
        <v>6</v>
      </c>
      <c r="CO116">
        <v>20188</v>
      </c>
      <c r="CP116">
        <v>121128</v>
      </c>
      <c r="CQ116" t="s">
        <v>820</v>
      </c>
      <c r="CR116" t="s">
        <v>1379</v>
      </c>
      <c r="CS116">
        <v>0</v>
      </c>
    </row>
    <row r="117" spans="1:97" x14ac:dyDescent="0.4">
      <c r="A117" s="10">
        <v>43124</v>
      </c>
      <c r="B117" t="s">
        <v>129</v>
      </c>
      <c r="C117" t="s">
        <v>879</v>
      </c>
      <c r="D117" t="s">
        <v>359</v>
      </c>
      <c r="E117" t="s">
        <v>1188</v>
      </c>
      <c r="F117" t="str">
        <f t="shared" si="54"/>
        <v>20180123-0000059</v>
      </c>
      <c r="G117">
        <v>1031916</v>
      </c>
      <c r="H117">
        <v>3</v>
      </c>
      <c r="I117" t="s">
        <v>880</v>
      </c>
      <c r="L117">
        <v>0</v>
      </c>
      <c r="M117">
        <v>1</v>
      </c>
      <c r="O117" t="s">
        <v>361</v>
      </c>
      <c r="P117" t="s">
        <v>702</v>
      </c>
      <c r="S117" t="s">
        <v>1380</v>
      </c>
      <c r="T117" t="s">
        <v>364</v>
      </c>
      <c r="X117" t="s">
        <v>882</v>
      </c>
      <c r="AA117">
        <v>38948</v>
      </c>
      <c r="AB117">
        <v>34.549999999999997</v>
      </c>
      <c r="AC117" t="s">
        <v>883</v>
      </c>
      <c r="AD117">
        <v>37.729999999999997</v>
      </c>
      <c r="AE117">
        <v>38.770000000000003</v>
      </c>
      <c r="AF117" t="s">
        <v>884</v>
      </c>
      <c r="AG117">
        <v>3360</v>
      </c>
      <c r="AK117">
        <v>164</v>
      </c>
      <c r="AL117" t="s">
        <v>880</v>
      </c>
      <c r="AN117" t="s">
        <v>885</v>
      </c>
      <c r="AQ117">
        <v>26600</v>
      </c>
      <c r="AR117" t="s">
        <v>368</v>
      </c>
      <c r="AS117">
        <v>613660397425</v>
      </c>
      <c r="AT117" t="str">
        <f t="shared" si="46"/>
        <v>피****아①</v>
      </c>
      <c r="AU117" t="str">
        <f t="shared" si="47"/>
        <v xml:space="preserve"> 1****0</v>
      </c>
      <c r="AV117" t="str">
        <f t="shared" si="48"/>
        <v>***-****-1406</v>
      </c>
      <c r="AW117" t="str">
        <f t="shared" si="49"/>
        <v xml:space="preserve"> 서* 강*구 방*동 5****5 2* 김****님</v>
      </c>
      <c r="AX117" t="str">
        <f>""</f>
        <v/>
      </c>
      <c r="AY117" t="str">
        <f t="shared" si="50"/>
        <v>***-****-0388</v>
      </c>
      <c r="AZ117">
        <v>28056</v>
      </c>
      <c r="BA117">
        <v>1039925</v>
      </c>
      <c r="BB117">
        <v>114000</v>
      </c>
      <c r="BC117" t="s">
        <v>1194</v>
      </c>
      <c r="BD117" t="s">
        <v>707</v>
      </c>
      <c r="BE117" t="str">
        <f t="shared" si="51"/>
        <v>피****아</v>
      </c>
      <c r="BF117" t="str">
        <f t="shared" si="52"/>
        <v>***-****-6097</v>
      </c>
      <c r="BG117" t="str">
        <f t="shared" si="53"/>
        <v>***-****-7488</v>
      </c>
      <c r="BH117" t="s">
        <v>453</v>
      </c>
      <c r="BI117" t="s">
        <v>454</v>
      </c>
      <c r="BJ117" t="s">
        <v>1381</v>
      </c>
      <c r="BK117" t="s">
        <v>456</v>
      </c>
      <c r="BL117">
        <v>21185</v>
      </c>
      <c r="BM117" t="str">
        <f>"21185"</f>
        <v>21185</v>
      </c>
      <c r="BN117" t="str">
        <f t="shared" si="55"/>
        <v>20180123-0000059</v>
      </c>
      <c r="BQ117" t="s">
        <v>373</v>
      </c>
      <c r="BU117">
        <v>117</v>
      </c>
      <c r="BV117" t="s">
        <v>887</v>
      </c>
      <c r="BW117" t="s">
        <v>880</v>
      </c>
      <c r="BX117" t="s">
        <v>129</v>
      </c>
      <c r="BY117">
        <v>0</v>
      </c>
      <c r="BZ117">
        <v>8809560220536</v>
      </c>
      <c r="CA117" t="s">
        <v>888</v>
      </c>
      <c r="CF117" t="s">
        <v>882</v>
      </c>
      <c r="CG117" t="s">
        <v>376</v>
      </c>
      <c r="CH117" t="s">
        <v>377</v>
      </c>
      <c r="CI117" t="s">
        <v>879</v>
      </c>
      <c r="CJ117">
        <v>26600</v>
      </c>
      <c r="CK117">
        <v>79800</v>
      </c>
      <c r="CL117" t="s">
        <v>889</v>
      </c>
      <c r="CN117">
        <v>3</v>
      </c>
      <c r="CO117">
        <v>38948</v>
      </c>
      <c r="CP117">
        <v>116844</v>
      </c>
      <c r="CQ117" t="s">
        <v>379</v>
      </c>
      <c r="CS117">
        <v>0</v>
      </c>
    </row>
    <row r="118" spans="1:97" x14ac:dyDescent="0.4">
      <c r="A118" s="10">
        <v>43124</v>
      </c>
      <c r="B118" t="s">
        <v>213</v>
      </c>
      <c r="C118" t="s">
        <v>1382</v>
      </c>
      <c r="D118" t="s">
        <v>359</v>
      </c>
      <c r="E118" t="s">
        <v>1188</v>
      </c>
      <c r="F118" t="str">
        <f t="shared" si="54"/>
        <v>20180123-0000059</v>
      </c>
      <c r="G118">
        <v>1031916</v>
      </c>
      <c r="H118">
        <v>1</v>
      </c>
      <c r="I118" t="s">
        <v>1383</v>
      </c>
      <c r="L118">
        <v>0</v>
      </c>
      <c r="M118">
        <v>1</v>
      </c>
      <c r="O118" t="s">
        <v>361</v>
      </c>
      <c r="P118" t="s">
        <v>702</v>
      </c>
      <c r="S118" t="s">
        <v>1384</v>
      </c>
      <c r="T118" t="s">
        <v>364</v>
      </c>
      <c r="X118" t="s">
        <v>1383</v>
      </c>
      <c r="AA118">
        <v>25480</v>
      </c>
      <c r="AB118">
        <v>20.68</v>
      </c>
      <c r="AC118" t="s">
        <v>1385</v>
      </c>
      <c r="AD118">
        <v>22.54</v>
      </c>
      <c r="AE118">
        <v>23.16</v>
      </c>
      <c r="AF118" t="s">
        <v>1009</v>
      </c>
      <c r="AG118">
        <v>6500</v>
      </c>
      <c r="AK118">
        <v>230</v>
      </c>
      <c r="AL118" t="s">
        <v>1383</v>
      </c>
      <c r="AQ118">
        <v>11700</v>
      </c>
      <c r="AR118" t="s">
        <v>368</v>
      </c>
      <c r="AS118">
        <v>613660397425</v>
      </c>
      <c r="AT118" t="str">
        <f t="shared" si="46"/>
        <v>피****아①</v>
      </c>
      <c r="AU118" t="str">
        <f t="shared" si="47"/>
        <v xml:space="preserve"> 1****0</v>
      </c>
      <c r="AV118" t="str">
        <f t="shared" si="48"/>
        <v>***-****-1406</v>
      </c>
      <c r="AW118" t="str">
        <f t="shared" si="49"/>
        <v xml:space="preserve"> 서* 강*구 방*동 5****5 2* 김****님</v>
      </c>
      <c r="AX118" t="str">
        <f>""</f>
        <v/>
      </c>
      <c r="AY118" t="str">
        <f t="shared" si="50"/>
        <v>***-****-0388</v>
      </c>
      <c r="AZ118">
        <v>23695</v>
      </c>
      <c r="BA118">
        <v>1039956</v>
      </c>
      <c r="BB118">
        <v>18000</v>
      </c>
      <c r="BC118" t="s">
        <v>1194</v>
      </c>
      <c r="BD118" t="s">
        <v>707</v>
      </c>
      <c r="BE118" t="str">
        <f t="shared" si="51"/>
        <v>피****아</v>
      </c>
      <c r="BF118" t="str">
        <f t="shared" si="52"/>
        <v>***-****-6097</v>
      </c>
      <c r="BG118" t="str">
        <f t="shared" si="53"/>
        <v>***-****-7488</v>
      </c>
      <c r="BH118" t="s">
        <v>453</v>
      </c>
      <c r="BI118" t="s">
        <v>454</v>
      </c>
      <c r="BJ118" t="s">
        <v>1386</v>
      </c>
      <c r="BK118" t="s">
        <v>456</v>
      </c>
      <c r="BL118">
        <v>20459</v>
      </c>
      <c r="BM118" t="str">
        <f>"20459"</f>
        <v>20459</v>
      </c>
      <c r="BN118" t="str">
        <f t="shared" si="55"/>
        <v>20180123-0000059</v>
      </c>
      <c r="BQ118" t="s">
        <v>373</v>
      </c>
      <c r="BU118">
        <v>483</v>
      </c>
      <c r="BV118" t="s">
        <v>1387</v>
      </c>
      <c r="BW118" t="s">
        <v>1383</v>
      </c>
      <c r="BX118" t="s">
        <v>213</v>
      </c>
      <c r="BY118">
        <v>0</v>
      </c>
      <c r="BZ118">
        <v>8806390589178</v>
      </c>
      <c r="CA118" t="s">
        <v>1388</v>
      </c>
      <c r="CF118" t="s">
        <v>1383</v>
      </c>
      <c r="CG118" t="s">
        <v>534</v>
      </c>
      <c r="CH118" t="s">
        <v>377</v>
      </c>
      <c r="CI118" t="s">
        <v>1382</v>
      </c>
      <c r="CJ118">
        <v>11700</v>
      </c>
      <c r="CK118">
        <v>11700</v>
      </c>
      <c r="CL118" t="s">
        <v>1389</v>
      </c>
      <c r="CN118">
        <v>1</v>
      </c>
      <c r="CO118">
        <v>25480</v>
      </c>
      <c r="CP118">
        <v>25480</v>
      </c>
      <c r="CQ118" t="s">
        <v>379</v>
      </c>
      <c r="CS118">
        <v>0</v>
      </c>
    </row>
    <row r="119" spans="1:97" x14ac:dyDescent="0.4">
      <c r="A119" s="10">
        <v>43124</v>
      </c>
      <c r="B119" t="s">
        <v>213</v>
      </c>
      <c r="C119" t="s">
        <v>1390</v>
      </c>
      <c r="D119" t="s">
        <v>359</v>
      </c>
      <c r="E119" t="s">
        <v>1188</v>
      </c>
      <c r="F119" t="str">
        <f t="shared" si="54"/>
        <v>20180123-0000059</v>
      </c>
      <c r="G119">
        <v>1031916</v>
      </c>
      <c r="H119">
        <v>1</v>
      </c>
      <c r="I119" t="s">
        <v>1391</v>
      </c>
      <c r="L119">
        <v>0</v>
      </c>
      <c r="M119">
        <v>1</v>
      </c>
      <c r="O119" t="s">
        <v>361</v>
      </c>
      <c r="P119" t="s">
        <v>702</v>
      </c>
      <c r="S119" t="s">
        <v>1392</v>
      </c>
      <c r="T119" t="s">
        <v>364</v>
      </c>
      <c r="X119" t="s">
        <v>1391</v>
      </c>
      <c r="AA119">
        <v>15488</v>
      </c>
      <c r="AB119">
        <v>12.64</v>
      </c>
      <c r="AC119" t="s">
        <v>1393</v>
      </c>
      <c r="AD119">
        <v>13.78</v>
      </c>
      <c r="AE119">
        <v>14.15</v>
      </c>
      <c r="AF119" t="s">
        <v>943</v>
      </c>
      <c r="AG119">
        <v>1880</v>
      </c>
      <c r="AK119">
        <v>17</v>
      </c>
      <c r="AL119" t="s">
        <v>1391</v>
      </c>
      <c r="AN119" t="s">
        <v>1394</v>
      </c>
      <c r="AQ119">
        <v>7800</v>
      </c>
      <c r="AR119" t="s">
        <v>368</v>
      </c>
      <c r="AS119">
        <v>613660397425</v>
      </c>
      <c r="AT119" t="str">
        <f t="shared" si="46"/>
        <v>피****아①</v>
      </c>
      <c r="AU119" t="str">
        <f t="shared" si="47"/>
        <v xml:space="preserve"> 1****0</v>
      </c>
      <c r="AV119" t="str">
        <f t="shared" si="48"/>
        <v>***-****-1406</v>
      </c>
      <c r="AW119" t="str">
        <f t="shared" si="49"/>
        <v xml:space="preserve"> 서* 강*구 방*동 5****5 2* 김****님</v>
      </c>
      <c r="AX119" t="str">
        <f>""</f>
        <v/>
      </c>
      <c r="AY119" t="str">
        <f t="shared" si="50"/>
        <v>***-****-0388</v>
      </c>
      <c r="AZ119">
        <v>28491</v>
      </c>
      <c r="BA119">
        <v>1039928</v>
      </c>
      <c r="BB119">
        <v>12000</v>
      </c>
      <c r="BC119" t="s">
        <v>1194</v>
      </c>
      <c r="BD119" t="s">
        <v>707</v>
      </c>
      <c r="BE119" t="str">
        <f t="shared" si="51"/>
        <v>피****아</v>
      </c>
      <c r="BF119" t="str">
        <f t="shared" si="52"/>
        <v>***-****-6097</v>
      </c>
      <c r="BG119" t="str">
        <f t="shared" si="53"/>
        <v>***-****-7488</v>
      </c>
      <c r="BH119" t="s">
        <v>453</v>
      </c>
      <c r="BI119" t="s">
        <v>454</v>
      </c>
      <c r="BJ119" t="s">
        <v>1395</v>
      </c>
      <c r="BK119" t="s">
        <v>456</v>
      </c>
      <c r="BL119">
        <v>19170</v>
      </c>
      <c r="BM119" t="str">
        <f>"19170"</f>
        <v>19170</v>
      </c>
      <c r="BN119" t="str">
        <f t="shared" si="55"/>
        <v>20180123-0000059</v>
      </c>
      <c r="BQ119" t="s">
        <v>373</v>
      </c>
      <c r="BV119" t="s">
        <v>1396</v>
      </c>
      <c r="BW119" t="s">
        <v>1391</v>
      </c>
      <c r="BX119" t="s">
        <v>213</v>
      </c>
      <c r="BY119">
        <v>0</v>
      </c>
      <c r="BZ119">
        <v>8806390573665</v>
      </c>
      <c r="CA119" t="s">
        <v>1397</v>
      </c>
      <c r="CF119" t="s">
        <v>1391</v>
      </c>
      <c r="CG119" t="s">
        <v>480</v>
      </c>
      <c r="CH119" t="s">
        <v>377</v>
      </c>
      <c r="CI119" t="s">
        <v>1390</v>
      </c>
      <c r="CJ119">
        <v>7800</v>
      </c>
      <c r="CK119">
        <v>7800</v>
      </c>
      <c r="CL119" t="s">
        <v>1398</v>
      </c>
      <c r="CN119">
        <v>1</v>
      </c>
      <c r="CO119">
        <v>15488</v>
      </c>
      <c r="CP119">
        <v>15488</v>
      </c>
      <c r="CQ119" t="s">
        <v>379</v>
      </c>
      <c r="CS119">
        <v>0</v>
      </c>
    </row>
    <row r="120" spans="1:97" x14ac:dyDescent="0.4">
      <c r="A120" s="10">
        <v>43124</v>
      </c>
      <c r="B120" t="s">
        <v>213</v>
      </c>
      <c r="C120" t="s">
        <v>1399</v>
      </c>
      <c r="D120" t="s">
        <v>359</v>
      </c>
      <c r="E120" t="s">
        <v>1188</v>
      </c>
      <c r="F120" t="str">
        <f t="shared" si="54"/>
        <v>20180123-0000059</v>
      </c>
      <c r="G120">
        <v>1031916</v>
      </c>
      <c r="H120">
        <v>2</v>
      </c>
      <c r="I120" t="s">
        <v>1400</v>
      </c>
      <c r="L120">
        <v>0</v>
      </c>
      <c r="M120">
        <v>1</v>
      </c>
      <c r="O120" t="s">
        <v>361</v>
      </c>
      <c r="P120" t="s">
        <v>702</v>
      </c>
      <c r="S120" t="s">
        <v>1401</v>
      </c>
      <c r="T120" t="s">
        <v>364</v>
      </c>
      <c r="X120" t="s">
        <v>1400</v>
      </c>
      <c r="AA120">
        <v>16282</v>
      </c>
      <c r="AB120">
        <v>18.12</v>
      </c>
      <c r="AC120" t="s">
        <v>1402</v>
      </c>
      <c r="AD120">
        <v>19.75</v>
      </c>
      <c r="AE120">
        <v>20.3</v>
      </c>
      <c r="AF120" t="s">
        <v>467</v>
      </c>
      <c r="AG120">
        <v>6500</v>
      </c>
      <c r="AH120">
        <v>359</v>
      </c>
      <c r="AI120">
        <v>6500</v>
      </c>
      <c r="AK120">
        <v>292</v>
      </c>
      <c r="AL120" t="s">
        <v>1400</v>
      </c>
      <c r="AQ120">
        <v>9750</v>
      </c>
      <c r="AR120" t="s">
        <v>368</v>
      </c>
      <c r="AS120">
        <v>613660397425</v>
      </c>
      <c r="AT120" t="str">
        <f t="shared" si="46"/>
        <v>피****아①</v>
      </c>
      <c r="AU120" t="str">
        <f t="shared" si="47"/>
        <v xml:space="preserve"> 1****0</v>
      </c>
      <c r="AV120" t="str">
        <f t="shared" si="48"/>
        <v>***-****-1406</v>
      </c>
      <c r="AW120" t="str">
        <f t="shared" si="49"/>
        <v xml:space="preserve"> 서* 강*구 방*동 5****5 2* 김****님</v>
      </c>
      <c r="AX120" t="str">
        <f>""</f>
        <v/>
      </c>
      <c r="AY120" t="str">
        <f t="shared" si="50"/>
        <v>***-****-0388</v>
      </c>
      <c r="AZ120">
        <v>9634</v>
      </c>
      <c r="BA120">
        <v>1039927</v>
      </c>
      <c r="BB120">
        <v>30000</v>
      </c>
      <c r="BC120" t="s">
        <v>1194</v>
      </c>
      <c r="BD120" t="s">
        <v>707</v>
      </c>
      <c r="BE120" t="str">
        <f t="shared" si="51"/>
        <v>피****아</v>
      </c>
      <c r="BF120" t="str">
        <f t="shared" si="52"/>
        <v>***-****-6097</v>
      </c>
      <c r="BG120" t="str">
        <f t="shared" si="53"/>
        <v>***-****-7488</v>
      </c>
      <c r="BH120" t="s">
        <v>453</v>
      </c>
      <c r="BI120" t="s">
        <v>454</v>
      </c>
      <c r="BJ120" t="s">
        <v>1403</v>
      </c>
      <c r="BK120" t="s">
        <v>456</v>
      </c>
      <c r="BL120">
        <v>14817</v>
      </c>
      <c r="BM120" t="str">
        <f>"14817"</f>
        <v>14817</v>
      </c>
      <c r="BN120" t="str">
        <f t="shared" si="55"/>
        <v>20180123-0000059</v>
      </c>
      <c r="BQ120" t="s">
        <v>373</v>
      </c>
      <c r="BV120" t="s">
        <v>1404</v>
      </c>
      <c r="BW120" t="s">
        <v>1400</v>
      </c>
      <c r="BX120" t="s">
        <v>213</v>
      </c>
      <c r="BY120">
        <v>0</v>
      </c>
      <c r="BZ120">
        <v>8801042802919</v>
      </c>
      <c r="CA120" t="s">
        <v>1405</v>
      </c>
      <c r="CF120" t="s">
        <v>1400</v>
      </c>
      <c r="CG120" t="s">
        <v>444</v>
      </c>
      <c r="CH120" t="s">
        <v>377</v>
      </c>
      <c r="CI120" t="s">
        <v>1399</v>
      </c>
      <c r="CJ120">
        <v>9750</v>
      </c>
      <c r="CK120">
        <v>19500</v>
      </c>
      <c r="CL120" t="s">
        <v>535</v>
      </c>
      <c r="CN120">
        <v>2</v>
      </c>
      <c r="CO120">
        <v>16282</v>
      </c>
      <c r="CP120">
        <v>32564</v>
      </c>
      <c r="CQ120" t="s">
        <v>379</v>
      </c>
      <c r="CS120">
        <v>0</v>
      </c>
    </row>
    <row r="121" spans="1:97" x14ac:dyDescent="0.4">
      <c r="A121" s="10">
        <v>43124</v>
      </c>
      <c r="B121" t="s">
        <v>182</v>
      </c>
      <c r="C121" t="s">
        <v>890</v>
      </c>
      <c r="D121" t="s">
        <v>359</v>
      </c>
      <c r="E121" t="s">
        <v>1188</v>
      </c>
      <c r="F121" t="str">
        <f t="shared" si="54"/>
        <v>20180123-0000059</v>
      </c>
      <c r="G121">
        <v>1031916</v>
      </c>
      <c r="H121">
        <v>2</v>
      </c>
      <c r="I121" t="s">
        <v>891</v>
      </c>
      <c r="L121">
        <v>0</v>
      </c>
      <c r="M121">
        <v>1</v>
      </c>
      <c r="O121" t="s">
        <v>361</v>
      </c>
      <c r="P121" t="s">
        <v>702</v>
      </c>
      <c r="S121" t="s">
        <v>1406</v>
      </c>
      <c r="T121" t="s">
        <v>364</v>
      </c>
      <c r="X121" t="s">
        <v>891</v>
      </c>
      <c r="AA121">
        <v>8288</v>
      </c>
      <c r="AB121">
        <v>6.19</v>
      </c>
      <c r="AC121" t="s">
        <v>893</v>
      </c>
      <c r="AD121">
        <v>6.75</v>
      </c>
      <c r="AE121">
        <v>6.93</v>
      </c>
      <c r="AF121" t="s">
        <v>894</v>
      </c>
      <c r="AG121">
        <v>1880</v>
      </c>
      <c r="AL121" t="s">
        <v>891</v>
      </c>
      <c r="AN121" t="s">
        <v>895</v>
      </c>
      <c r="AQ121">
        <v>3300</v>
      </c>
      <c r="AR121" t="s">
        <v>368</v>
      </c>
      <c r="AS121">
        <v>613660397425</v>
      </c>
      <c r="AT121" t="str">
        <f t="shared" si="46"/>
        <v>피****아①</v>
      </c>
      <c r="AU121" t="str">
        <f t="shared" si="47"/>
        <v xml:space="preserve"> 1****0</v>
      </c>
      <c r="AV121" t="str">
        <f t="shared" si="48"/>
        <v>***-****-1406</v>
      </c>
      <c r="AW121" t="str">
        <f t="shared" si="49"/>
        <v xml:space="preserve"> 서* 강*구 방*동 5****5 2* 김****님</v>
      </c>
      <c r="AX121" t="str">
        <f>""</f>
        <v/>
      </c>
      <c r="AY121" t="str">
        <f t="shared" si="50"/>
        <v>***-****-0388</v>
      </c>
      <c r="AZ121">
        <v>27844</v>
      </c>
      <c r="BA121">
        <v>1039933</v>
      </c>
      <c r="BB121">
        <v>18000</v>
      </c>
      <c r="BC121" t="s">
        <v>1194</v>
      </c>
      <c r="BD121" t="s">
        <v>707</v>
      </c>
      <c r="BE121" t="str">
        <f t="shared" si="51"/>
        <v>피****아</v>
      </c>
      <c r="BF121" t="str">
        <f t="shared" si="52"/>
        <v>***-****-6097</v>
      </c>
      <c r="BG121" t="str">
        <f t="shared" si="53"/>
        <v>***-****-7488</v>
      </c>
      <c r="BH121" t="s">
        <v>453</v>
      </c>
      <c r="BI121" t="s">
        <v>454</v>
      </c>
      <c r="BJ121" t="s">
        <v>1407</v>
      </c>
      <c r="BK121" t="s">
        <v>456</v>
      </c>
      <c r="BL121">
        <v>18304</v>
      </c>
      <c r="BM121" t="str">
        <f>"18304"</f>
        <v>18304</v>
      </c>
      <c r="BN121" t="str">
        <f t="shared" si="55"/>
        <v>20180123-0000059</v>
      </c>
      <c r="BQ121" t="s">
        <v>897</v>
      </c>
      <c r="BU121">
        <v>81</v>
      </c>
      <c r="BV121" t="s">
        <v>898</v>
      </c>
      <c r="BW121" t="s">
        <v>891</v>
      </c>
      <c r="BX121" t="s">
        <v>182</v>
      </c>
      <c r="BY121">
        <v>0</v>
      </c>
      <c r="BZ121">
        <v>8809270474397</v>
      </c>
      <c r="CA121" t="s">
        <v>899</v>
      </c>
      <c r="CF121" t="s">
        <v>891</v>
      </c>
      <c r="CG121" t="s">
        <v>480</v>
      </c>
      <c r="CH121" t="s">
        <v>377</v>
      </c>
      <c r="CI121" t="s">
        <v>890</v>
      </c>
      <c r="CJ121">
        <v>3300</v>
      </c>
      <c r="CK121">
        <v>6600</v>
      </c>
      <c r="CL121" t="s">
        <v>900</v>
      </c>
      <c r="CN121">
        <v>2</v>
      </c>
      <c r="CO121">
        <v>8288</v>
      </c>
      <c r="CP121">
        <v>16576</v>
      </c>
      <c r="CQ121" t="s">
        <v>379</v>
      </c>
      <c r="CS121">
        <v>0</v>
      </c>
    </row>
    <row r="122" spans="1:97" x14ac:dyDescent="0.4">
      <c r="A122" s="10">
        <v>43124</v>
      </c>
      <c r="B122" t="s">
        <v>182</v>
      </c>
      <c r="C122" t="s">
        <v>901</v>
      </c>
      <c r="D122" t="s">
        <v>359</v>
      </c>
      <c r="E122" t="s">
        <v>1188</v>
      </c>
      <c r="F122" t="str">
        <f t="shared" si="54"/>
        <v>20180123-0000059</v>
      </c>
      <c r="G122">
        <v>1031916</v>
      </c>
      <c r="H122">
        <v>7</v>
      </c>
      <c r="I122" t="s">
        <v>902</v>
      </c>
      <c r="L122">
        <v>0</v>
      </c>
      <c r="M122">
        <v>1</v>
      </c>
      <c r="O122" t="s">
        <v>361</v>
      </c>
      <c r="P122" t="s">
        <v>702</v>
      </c>
      <c r="S122" t="s">
        <v>1408</v>
      </c>
      <c r="T122" t="s">
        <v>364</v>
      </c>
      <c r="X122" t="s">
        <v>902</v>
      </c>
      <c r="AA122">
        <v>8288</v>
      </c>
      <c r="AB122">
        <v>6.19</v>
      </c>
      <c r="AC122" t="s">
        <v>904</v>
      </c>
      <c r="AD122">
        <v>6.75</v>
      </c>
      <c r="AE122">
        <v>6.93</v>
      </c>
      <c r="AF122" t="s">
        <v>894</v>
      </c>
      <c r="AG122">
        <v>1880</v>
      </c>
      <c r="AL122" t="s">
        <v>902</v>
      </c>
      <c r="AN122" t="s">
        <v>905</v>
      </c>
      <c r="AQ122">
        <v>3300</v>
      </c>
      <c r="AR122" t="s">
        <v>368</v>
      </c>
      <c r="AS122">
        <v>613660397425</v>
      </c>
      <c r="AT122" t="str">
        <f t="shared" si="46"/>
        <v>피****아①</v>
      </c>
      <c r="AU122" t="str">
        <f t="shared" si="47"/>
        <v xml:space="preserve"> 1****0</v>
      </c>
      <c r="AV122" t="str">
        <f t="shared" si="48"/>
        <v>***-****-1406</v>
      </c>
      <c r="AW122" t="str">
        <f t="shared" si="49"/>
        <v xml:space="preserve"> 서* 강*구 방*동 5****5 2* 김****님</v>
      </c>
      <c r="AX122" t="str">
        <f>""</f>
        <v/>
      </c>
      <c r="AY122" t="str">
        <f t="shared" si="50"/>
        <v>***-****-0388</v>
      </c>
      <c r="AZ122">
        <v>27845</v>
      </c>
      <c r="BA122">
        <v>1039934</v>
      </c>
      <c r="BB122">
        <v>63000</v>
      </c>
      <c r="BC122" t="s">
        <v>1194</v>
      </c>
      <c r="BD122" t="s">
        <v>707</v>
      </c>
      <c r="BE122" t="str">
        <f t="shared" si="51"/>
        <v>피****아</v>
      </c>
      <c r="BF122" t="str">
        <f t="shared" si="52"/>
        <v>***-****-6097</v>
      </c>
      <c r="BG122" t="str">
        <f t="shared" si="53"/>
        <v>***-****-7488</v>
      </c>
      <c r="BH122" t="s">
        <v>453</v>
      </c>
      <c r="BI122" t="s">
        <v>454</v>
      </c>
      <c r="BJ122" t="s">
        <v>1409</v>
      </c>
      <c r="BK122" t="s">
        <v>456</v>
      </c>
      <c r="BL122">
        <v>18304</v>
      </c>
      <c r="BM122" t="str">
        <f>"18304"</f>
        <v>18304</v>
      </c>
      <c r="BN122" t="str">
        <f t="shared" si="55"/>
        <v>20180123-0000059</v>
      </c>
      <c r="BQ122" t="s">
        <v>897</v>
      </c>
      <c r="BU122">
        <v>81</v>
      </c>
      <c r="BV122" t="s">
        <v>907</v>
      </c>
      <c r="BW122" t="s">
        <v>902</v>
      </c>
      <c r="BX122" t="s">
        <v>182</v>
      </c>
      <c r="BY122">
        <v>0</v>
      </c>
      <c r="BZ122">
        <v>8809270474380</v>
      </c>
      <c r="CA122" t="s">
        <v>908</v>
      </c>
      <c r="CF122" t="s">
        <v>902</v>
      </c>
      <c r="CG122" t="s">
        <v>480</v>
      </c>
      <c r="CH122" t="s">
        <v>377</v>
      </c>
      <c r="CI122" t="s">
        <v>901</v>
      </c>
      <c r="CJ122">
        <v>3300</v>
      </c>
      <c r="CK122">
        <v>23100</v>
      </c>
      <c r="CL122" t="s">
        <v>909</v>
      </c>
      <c r="CN122">
        <v>7</v>
      </c>
      <c r="CO122">
        <v>8288</v>
      </c>
      <c r="CP122">
        <v>58016</v>
      </c>
      <c r="CQ122" t="s">
        <v>379</v>
      </c>
      <c r="CS122">
        <v>0</v>
      </c>
    </row>
    <row r="123" spans="1:97" x14ac:dyDescent="0.4">
      <c r="A123" s="10">
        <v>43124</v>
      </c>
      <c r="B123" t="s">
        <v>182</v>
      </c>
      <c r="C123" t="s">
        <v>910</v>
      </c>
      <c r="D123" t="s">
        <v>359</v>
      </c>
      <c r="E123" t="s">
        <v>1188</v>
      </c>
      <c r="F123" t="str">
        <f t="shared" si="54"/>
        <v>20180123-0000059</v>
      </c>
      <c r="G123">
        <v>1031916</v>
      </c>
      <c r="H123">
        <v>2</v>
      </c>
      <c r="I123" t="s">
        <v>911</v>
      </c>
      <c r="L123">
        <v>0</v>
      </c>
      <c r="M123">
        <v>1</v>
      </c>
      <c r="O123" t="s">
        <v>361</v>
      </c>
      <c r="P123" t="s">
        <v>702</v>
      </c>
      <c r="S123" t="s">
        <v>1410</v>
      </c>
      <c r="T123" t="s">
        <v>364</v>
      </c>
      <c r="X123" t="s">
        <v>911</v>
      </c>
      <c r="AA123">
        <v>8288</v>
      </c>
      <c r="AB123">
        <v>6.19</v>
      </c>
      <c r="AC123" t="s">
        <v>913</v>
      </c>
      <c r="AD123">
        <v>6.75</v>
      </c>
      <c r="AE123">
        <v>6.93</v>
      </c>
      <c r="AF123" t="s">
        <v>894</v>
      </c>
      <c r="AG123">
        <v>1880</v>
      </c>
      <c r="AL123" t="s">
        <v>911</v>
      </c>
      <c r="AN123" t="s">
        <v>914</v>
      </c>
      <c r="AQ123">
        <v>3300</v>
      </c>
      <c r="AR123" t="s">
        <v>368</v>
      </c>
      <c r="AS123">
        <v>613660397425</v>
      </c>
      <c r="AT123" t="str">
        <f t="shared" si="46"/>
        <v>피****아①</v>
      </c>
      <c r="AU123" t="str">
        <f t="shared" si="47"/>
        <v xml:space="preserve"> 1****0</v>
      </c>
      <c r="AV123" t="str">
        <f t="shared" si="48"/>
        <v>***-****-1406</v>
      </c>
      <c r="AW123" t="str">
        <f t="shared" si="49"/>
        <v xml:space="preserve"> 서* 강*구 방*동 5****5 2* 김****님</v>
      </c>
      <c r="AX123" t="str">
        <f>""</f>
        <v/>
      </c>
      <c r="AY123" t="str">
        <f t="shared" si="50"/>
        <v>***-****-0388</v>
      </c>
      <c r="AZ123">
        <v>28913</v>
      </c>
      <c r="BA123">
        <v>1039935</v>
      </c>
      <c r="BB123">
        <v>18000</v>
      </c>
      <c r="BC123" t="s">
        <v>1194</v>
      </c>
      <c r="BD123" t="s">
        <v>707</v>
      </c>
      <c r="BE123" t="str">
        <f t="shared" si="51"/>
        <v>피****아</v>
      </c>
      <c r="BF123" t="str">
        <f t="shared" si="52"/>
        <v>***-****-6097</v>
      </c>
      <c r="BG123" t="str">
        <f t="shared" si="53"/>
        <v>***-****-7488</v>
      </c>
      <c r="BH123" t="s">
        <v>453</v>
      </c>
      <c r="BI123" t="s">
        <v>454</v>
      </c>
      <c r="BJ123" t="s">
        <v>1411</v>
      </c>
      <c r="BK123" t="s">
        <v>456</v>
      </c>
      <c r="BL123">
        <v>18304</v>
      </c>
      <c r="BM123" t="str">
        <f>"18304"</f>
        <v>18304</v>
      </c>
      <c r="BN123" t="str">
        <f t="shared" si="55"/>
        <v>20180123-0000059</v>
      </c>
      <c r="BQ123" t="s">
        <v>897</v>
      </c>
      <c r="BU123">
        <v>81</v>
      </c>
      <c r="BV123" t="s">
        <v>916</v>
      </c>
      <c r="BW123" t="s">
        <v>911</v>
      </c>
      <c r="BX123" t="s">
        <v>182</v>
      </c>
      <c r="BY123">
        <v>0</v>
      </c>
      <c r="BZ123">
        <v>8809270474373</v>
      </c>
      <c r="CA123" t="s">
        <v>917</v>
      </c>
      <c r="CF123" t="s">
        <v>911</v>
      </c>
      <c r="CG123" t="s">
        <v>480</v>
      </c>
      <c r="CH123" t="s">
        <v>377</v>
      </c>
      <c r="CI123" t="s">
        <v>910</v>
      </c>
      <c r="CJ123">
        <v>3300</v>
      </c>
      <c r="CK123">
        <v>6600</v>
      </c>
      <c r="CL123" t="s">
        <v>918</v>
      </c>
      <c r="CN123">
        <v>2</v>
      </c>
      <c r="CO123">
        <v>8288</v>
      </c>
      <c r="CP123">
        <v>16576</v>
      </c>
      <c r="CQ123" t="s">
        <v>379</v>
      </c>
      <c r="CS123">
        <v>0</v>
      </c>
    </row>
    <row r="124" spans="1:97" x14ac:dyDescent="0.4">
      <c r="A124" s="10">
        <v>43124</v>
      </c>
      <c r="B124" t="s">
        <v>182</v>
      </c>
      <c r="C124" t="s">
        <v>919</v>
      </c>
      <c r="D124" t="s">
        <v>359</v>
      </c>
      <c r="E124" t="s">
        <v>1188</v>
      </c>
      <c r="F124" t="str">
        <f t="shared" si="54"/>
        <v>20180123-0000059</v>
      </c>
      <c r="G124">
        <v>1031916</v>
      </c>
      <c r="H124">
        <v>2</v>
      </c>
      <c r="I124" t="s">
        <v>920</v>
      </c>
      <c r="L124">
        <v>0</v>
      </c>
      <c r="M124">
        <v>1</v>
      </c>
      <c r="O124" t="s">
        <v>361</v>
      </c>
      <c r="P124" t="s">
        <v>702</v>
      </c>
      <c r="S124" t="s">
        <v>1412</v>
      </c>
      <c r="T124" t="s">
        <v>364</v>
      </c>
      <c r="X124" t="s">
        <v>920</v>
      </c>
      <c r="AA124">
        <v>8288</v>
      </c>
      <c r="AB124">
        <v>6.19</v>
      </c>
      <c r="AC124" t="s">
        <v>922</v>
      </c>
      <c r="AD124">
        <v>6.75</v>
      </c>
      <c r="AE124">
        <v>6.93</v>
      </c>
      <c r="AF124" t="s">
        <v>894</v>
      </c>
      <c r="AG124">
        <v>1880</v>
      </c>
      <c r="AL124" t="s">
        <v>920</v>
      </c>
      <c r="AN124" t="s">
        <v>923</v>
      </c>
      <c r="AQ124">
        <v>3300</v>
      </c>
      <c r="AR124" t="s">
        <v>368</v>
      </c>
      <c r="AS124">
        <v>613660397425</v>
      </c>
      <c r="AT124" t="str">
        <f t="shared" si="46"/>
        <v>피****아①</v>
      </c>
      <c r="AU124" t="str">
        <f t="shared" si="47"/>
        <v xml:space="preserve"> 1****0</v>
      </c>
      <c r="AV124" t="str">
        <f t="shared" si="48"/>
        <v>***-****-1406</v>
      </c>
      <c r="AW124" t="str">
        <f t="shared" si="49"/>
        <v xml:space="preserve"> 서* 강*구 방*동 5****5 2* 김****님</v>
      </c>
      <c r="AX124" t="str">
        <f>""</f>
        <v/>
      </c>
      <c r="AY124" t="str">
        <f t="shared" si="50"/>
        <v>***-****-0388</v>
      </c>
      <c r="AZ124">
        <v>29212</v>
      </c>
      <c r="BA124">
        <v>1039936</v>
      </c>
      <c r="BB124">
        <v>18000</v>
      </c>
      <c r="BC124" t="s">
        <v>1194</v>
      </c>
      <c r="BD124" t="s">
        <v>707</v>
      </c>
      <c r="BE124" t="str">
        <f t="shared" si="51"/>
        <v>피****아</v>
      </c>
      <c r="BF124" t="str">
        <f t="shared" si="52"/>
        <v>***-****-6097</v>
      </c>
      <c r="BG124" t="str">
        <f t="shared" si="53"/>
        <v>***-****-7488</v>
      </c>
      <c r="BH124" t="s">
        <v>453</v>
      </c>
      <c r="BI124" t="s">
        <v>454</v>
      </c>
      <c r="BJ124" t="s">
        <v>1413</v>
      </c>
      <c r="BK124" t="s">
        <v>456</v>
      </c>
      <c r="BL124">
        <v>18304</v>
      </c>
      <c r="BM124" t="str">
        <f>"18304"</f>
        <v>18304</v>
      </c>
      <c r="BN124" t="str">
        <f t="shared" si="55"/>
        <v>20180123-0000059</v>
      </c>
      <c r="BQ124" t="s">
        <v>897</v>
      </c>
      <c r="BU124">
        <v>81</v>
      </c>
      <c r="BV124" t="s">
        <v>925</v>
      </c>
      <c r="BW124" t="s">
        <v>920</v>
      </c>
      <c r="BX124" t="s">
        <v>182</v>
      </c>
      <c r="BY124">
        <v>0</v>
      </c>
      <c r="BZ124">
        <v>8809270474366</v>
      </c>
      <c r="CA124" t="s">
        <v>926</v>
      </c>
      <c r="CF124" t="s">
        <v>920</v>
      </c>
      <c r="CG124" t="s">
        <v>480</v>
      </c>
      <c r="CH124" t="s">
        <v>377</v>
      </c>
      <c r="CI124" t="s">
        <v>919</v>
      </c>
      <c r="CJ124">
        <v>3300</v>
      </c>
      <c r="CK124">
        <v>6600</v>
      </c>
      <c r="CL124" t="s">
        <v>927</v>
      </c>
      <c r="CN124">
        <v>2</v>
      </c>
      <c r="CO124">
        <v>8288</v>
      </c>
      <c r="CP124">
        <v>16576</v>
      </c>
      <c r="CQ124" t="s">
        <v>379</v>
      </c>
      <c r="CS124">
        <v>0</v>
      </c>
    </row>
    <row r="125" spans="1:97" x14ac:dyDescent="0.4">
      <c r="A125" s="10">
        <v>43124</v>
      </c>
      <c r="B125" t="s">
        <v>191</v>
      </c>
      <c r="C125" t="s">
        <v>1414</v>
      </c>
      <c r="D125" t="s">
        <v>359</v>
      </c>
      <c r="E125" t="s">
        <v>1188</v>
      </c>
      <c r="F125" t="str">
        <f t="shared" si="54"/>
        <v>20180123-0000059</v>
      </c>
      <c r="G125">
        <v>1031916</v>
      </c>
      <c r="H125">
        <v>1</v>
      </c>
      <c r="I125" t="s">
        <v>1415</v>
      </c>
      <c r="L125">
        <v>0</v>
      </c>
      <c r="M125">
        <v>1</v>
      </c>
      <c r="O125" t="s">
        <v>361</v>
      </c>
      <c r="P125" t="s">
        <v>702</v>
      </c>
      <c r="S125" t="s">
        <v>1416</v>
      </c>
      <c r="T125" t="s">
        <v>364</v>
      </c>
      <c r="X125" t="s">
        <v>1415</v>
      </c>
      <c r="AA125">
        <v>15488</v>
      </c>
      <c r="AB125">
        <v>12.64</v>
      </c>
      <c r="AC125" t="s">
        <v>1417</v>
      </c>
      <c r="AD125">
        <v>13.78</v>
      </c>
      <c r="AE125">
        <v>14.15</v>
      </c>
      <c r="AF125" t="s">
        <v>943</v>
      </c>
      <c r="AG125">
        <v>1880</v>
      </c>
      <c r="AK125">
        <v>22</v>
      </c>
      <c r="AL125" t="s">
        <v>1415</v>
      </c>
      <c r="AN125" t="s">
        <v>1418</v>
      </c>
      <c r="AQ125">
        <v>7800</v>
      </c>
      <c r="AR125" t="s">
        <v>368</v>
      </c>
      <c r="AS125">
        <v>613660397425</v>
      </c>
      <c r="AT125" t="str">
        <f t="shared" si="46"/>
        <v>피****아①</v>
      </c>
      <c r="AU125" t="str">
        <f t="shared" si="47"/>
        <v xml:space="preserve"> 1****0</v>
      </c>
      <c r="AV125" t="str">
        <f t="shared" si="48"/>
        <v>***-****-1406</v>
      </c>
      <c r="AW125" t="str">
        <f t="shared" si="49"/>
        <v xml:space="preserve"> 서* 강*구 방*동 5****5 2* 김****님</v>
      </c>
      <c r="AX125" t="str">
        <f>""</f>
        <v/>
      </c>
      <c r="AY125" t="str">
        <f t="shared" si="50"/>
        <v>***-****-0388</v>
      </c>
      <c r="AZ125">
        <v>28441</v>
      </c>
      <c r="BA125">
        <v>1039943</v>
      </c>
      <c r="BB125">
        <v>12000</v>
      </c>
      <c r="BC125" t="s">
        <v>1194</v>
      </c>
      <c r="BD125" t="s">
        <v>707</v>
      </c>
      <c r="BE125" t="str">
        <f t="shared" si="51"/>
        <v>피****아</v>
      </c>
      <c r="BF125" t="str">
        <f t="shared" si="52"/>
        <v>***-****-6097</v>
      </c>
      <c r="BG125" t="str">
        <f t="shared" si="53"/>
        <v>***-****-7488</v>
      </c>
      <c r="BH125" t="s">
        <v>453</v>
      </c>
      <c r="BI125" t="s">
        <v>454</v>
      </c>
      <c r="BJ125" t="s">
        <v>1419</v>
      </c>
      <c r="BK125" t="s">
        <v>456</v>
      </c>
      <c r="BL125">
        <v>19204</v>
      </c>
      <c r="BM125" t="str">
        <f t="shared" ref="BM125:BM131" si="56">"19204"</f>
        <v>19204</v>
      </c>
      <c r="BN125" t="str">
        <f t="shared" si="55"/>
        <v>20180123-0000059</v>
      </c>
      <c r="BQ125" t="s">
        <v>373</v>
      </c>
      <c r="BV125" t="s">
        <v>1415</v>
      </c>
      <c r="BW125" t="s">
        <v>1415</v>
      </c>
      <c r="BX125" t="s">
        <v>191</v>
      </c>
      <c r="BY125">
        <v>0</v>
      </c>
      <c r="BZ125">
        <v>8806182544828</v>
      </c>
      <c r="CA125" t="s">
        <v>1420</v>
      </c>
      <c r="CF125" t="s">
        <v>1415</v>
      </c>
      <c r="CG125" t="s">
        <v>480</v>
      </c>
      <c r="CH125" t="s">
        <v>377</v>
      </c>
      <c r="CI125" t="s">
        <v>1414</v>
      </c>
      <c r="CJ125">
        <v>7800</v>
      </c>
      <c r="CK125">
        <v>7800</v>
      </c>
      <c r="CL125" t="s">
        <v>1421</v>
      </c>
      <c r="CN125">
        <v>1</v>
      </c>
      <c r="CO125">
        <v>15488</v>
      </c>
      <c r="CP125">
        <v>15488</v>
      </c>
      <c r="CQ125" t="s">
        <v>379</v>
      </c>
      <c r="CS125">
        <v>0</v>
      </c>
    </row>
    <row r="126" spans="1:97" x14ac:dyDescent="0.4">
      <c r="A126" s="10">
        <v>43124</v>
      </c>
      <c r="B126" t="s">
        <v>191</v>
      </c>
      <c r="C126" t="s">
        <v>1422</v>
      </c>
      <c r="D126" t="s">
        <v>359</v>
      </c>
      <c r="E126" t="s">
        <v>1188</v>
      </c>
      <c r="F126" t="str">
        <f t="shared" si="54"/>
        <v>20180123-0000059</v>
      </c>
      <c r="G126">
        <v>1031916</v>
      </c>
      <c r="H126">
        <v>2</v>
      </c>
      <c r="I126" t="s">
        <v>1423</v>
      </c>
      <c r="L126">
        <v>0</v>
      </c>
      <c r="M126">
        <v>1</v>
      </c>
      <c r="O126" t="s">
        <v>361</v>
      </c>
      <c r="P126" t="s">
        <v>702</v>
      </c>
      <c r="S126" t="s">
        <v>1424</v>
      </c>
      <c r="T126" t="s">
        <v>364</v>
      </c>
      <c r="X126" t="s">
        <v>1423</v>
      </c>
      <c r="AA126">
        <v>15488</v>
      </c>
      <c r="AB126">
        <v>12.64</v>
      </c>
      <c r="AC126" t="s">
        <v>1425</v>
      </c>
      <c r="AD126">
        <v>13.78</v>
      </c>
      <c r="AE126">
        <v>14.15</v>
      </c>
      <c r="AF126" t="s">
        <v>943</v>
      </c>
      <c r="AG126">
        <v>1880</v>
      </c>
      <c r="AK126">
        <v>22</v>
      </c>
      <c r="AL126" t="s">
        <v>1423</v>
      </c>
      <c r="AN126" t="s">
        <v>1426</v>
      </c>
      <c r="AQ126">
        <v>7800</v>
      </c>
      <c r="AR126" t="s">
        <v>368</v>
      </c>
      <c r="AS126">
        <v>613660397425</v>
      </c>
      <c r="AT126" t="str">
        <f t="shared" si="46"/>
        <v>피****아①</v>
      </c>
      <c r="AU126" t="str">
        <f t="shared" si="47"/>
        <v xml:space="preserve"> 1****0</v>
      </c>
      <c r="AV126" t="str">
        <f t="shared" si="48"/>
        <v>***-****-1406</v>
      </c>
      <c r="AW126" t="str">
        <f t="shared" si="49"/>
        <v xml:space="preserve"> 서* 강*구 방*동 5****5 2* 김****님</v>
      </c>
      <c r="AX126" t="str">
        <f>""</f>
        <v/>
      </c>
      <c r="AY126" t="str">
        <f t="shared" si="50"/>
        <v>***-****-0388</v>
      </c>
      <c r="AZ126">
        <v>29397</v>
      </c>
      <c r="BA126">
        <v>1039921</v>
      </c>
      <c r="BB126">
        <v>24000</v>
      </c>
      <c r="BC126" t="s">
        <v>1194</v>
      </c>
      <c r="BD126" t="s">
        <v>707</v>
      </c>
      <c r="BE126" t="str">
        <f t="shared" si="51"/>
        <v>피****아</v>
      </c>
      <c r="BF126" t="str">
        <f t="shared" si="52"/>
        <v>***-****-6097</v>
      </c>
      <c r="BG126" t="str">
        <f t="shared" si="53"/>
        <v>***-****-7488</v>
      </c>
      <c r="BH126" t="s">
        <v>453</v>
      </c>
      <c r="BI126" t="s">
        <v>454</v>
      </c>
      <c r="BJ126" t="s">
        <v>1427</v>
      </c>
      <c r="BK126" t="s">
        <v>456</v>
      </c>
      <c r="BL126">
        <v>19204</v>
      </c>
      <c r="BM126" t="str">
        <f t="shared" si="56"/>
        <v>19204</v>
      </c>
      <c r="BN126" t="str">
        <f t="shared" si="55"/>
        <v>20180123-0000059</v>
      </c>
      <c r="BQ126" t="s">
        <v>373</v>
      </c>
      <c r="BV126" t="s">
        <v>1423</v>
      </c>
      <c r="BW126" t="s">
        <v>1423</v>
      </c>
      <c r="BX126" t="s">
        <v>191</v>
      </c>
      <c r="BY126">
        <v>0</v>
      </c>
      <c r="BZ126">
        <v>8806182544804</v>
      </c>
      <c r="CA126" t="s">
        <v>1428</v>
      </c>
      <c r="CF126" t="s">
        <v>1423</v>
      </c>
      <c r="CG126" t="s">
        <v>480</v>
      </c>
      <c r="CH126" t="s">
        <v>377</v>
      </c>
      <c r="CI126" t="s">
        <v>1422</v>
      </c>
      <c r="CJ126">
        <v>7800</v>
      </c>
      <c r="CK126">
        <v>15600</v>
      </c>
      <c r="CL126" t="s">
        <v>1429</v>
      </c>
      <c r="CN126">
        <v>2</v>
      </c>
      <c r="CO126">
        <v>15488</v>
      </c>
      <c r="CP126">
        <v>30976</v>
      </c>
      <c r="CQ126" t="s">
        <v>623</v>
      </c>
      <c r="CR126" t="s">
        <v>1430</v>
      </c>
      <c r="CS126">
        <v>0</v>
      </c>
    </row>
    <row r="127" spans="1:97" x14ac:dyDescent="0.4">
      <c r="A127" s="10">
        <v>43124</v>
      </c>
      <c r="B127" t="s">
        <v>191</v>
      </c>
      <c r="C127" t="s">
        <v>1431</v>
      </c>
      <c r="D127" t="s">
        <v>359</v>
      </c>
      <c r="E127" t="s">
        <v>1188</v>
      </c>
      <c r="F127" t="str">
        <f t="shared" si="54"/>
        <v>20180123-0000059</v>
      </c>
      <c r="G127">
        <v>1031916</v>
      </c>
      <c r="H127">
        <v>1</v>
      </c>
      <c r="I127" t="s">
        <v>1432</v>
      </c>
      <c r="L127">
        <v>0</v>
      </c>
      <c r="M127">
        <v>1</v>
      </c>
      <c r="O127" t="s">
        <v>361</v>
      </c>
      <c r="P127" t="s">
        <v>702</v>
      </c>
      <c r="S127" t="s">
        <v>1433</v>
      </c>
      <c r="T127" t="s">
        <v>364</v>
      </c>
      <c r="X127" t="s">
        <v>1432</v>
      </c>
      <c r="AA127">
        <v>15488</v>
      </c>
      <c r="AB127">
        <v>12.64</v>
      </c>
      <c r="AC127" t="s">
        <v>1434</v>
      </c>
      <c r="AD127">
        <v>13.78</v>
      </c>
      <c r="AE127">
        <v>14.15</v>
      </c>
      <c r="AF127" t="s">
        <v>943</v>
      </c>
      <c r="AG127">
        <v>1880</v>
      </c>
      <c r="AK127">
        <v>22</v>
      </c>
      <c r="AL127" t="s">
        <v>1432</v>
      </c>
      <c r="AN127" t="s">
        <v>1435</v>
      </c>
      <c r="AQ127">
        <v>7800</v>
      </c>
      <c r="AR127" t="s">
        <v>368</v>
      </c>
      <c r="AS127">
        <v>613660397425</v>
      </c>
      <c r="AT127" t="str">
        <f t="shared" si="46"/>
        <v>피****아①</v>
      </c>
      <c r="AU127" t="str">
        <f t="shared" si="47"/>
        <v xml:space="preserve"> 1****0</v>
      </c>
      <c r="AV127" t="str">
        <f t="shared" si="48"/>
        <v>***-****-1406</v>
      </c>
      <c r="AW127" t="str">
        <f t="shared" si="49"/>
        <v xml:space="preserve"> 서* 강*구 방*동 5****5 2* 김****님</v>
      </c>
      <c r="AX127" t="str">
        <f>""</f>
        <v/>
      </c>
      <c r="AY127" t="str">
        <f t="shared" si="50"/>
        <v>***-****-0388</v>
      </c>
      <c r="AZ127">
        <v>29398</v>
      </c>
      <c r="BA127">
        <v>1039941</v>
      </c>
      <c r="BB127">
        <v>12000</v>
      </c>
      <c r="BC127" t="s">
        <v>1194</v>
      </c>
      <c r="BD127" t="s">
        <v>707</v>
      </c>
      <c r="BE127" t="str">
        <f t="shared" si="51"/>
        <v>피****아</v>
      </c>
      <c r="BF127" t="str">
        <f t="shared" si="52"/>
        <v>***-****-6097</v>
      </c>
      <c r="BG127" t="str">
        <f t="shared" si="53"/>
        <v>***-****-7488</v>
      </c>
      <c r="BH127" t="s">
        <v>453</v>
      </c>
      <c r="BI127" t="s">
        <v>454</v>
      </c>
      <c r="BJ127" t="s">
        <v>1436</v>
      </c>
      <c r="BK127" t="s">
        <v>456</v>
      </c>
      <c r="BL127">
        <v>19204</v>
      </c>
      <c r="BM127" t="str">
        <f t="shared" si="56"/>
        <v>19204</v>
      </c>
      <c r="BN127" t="str">
        <f t="shared" si="55"/>
        <v>20180123-0000059</v>
      </c>
      <c r="BQ127" t="s">
        <v>373</v>
      </c>
      <c r="BV127" t="s">
        <v>1432</v>
      </c>
      <c r="BW127" t="s">
        <v>1432</v>
      </c>
      <c r="BX127" t="s">
        <v>191</v>
      </c>
      <c r="BY127">
        <v>0</v>
      </c>
      <c r="BZ127">
        <v>8806182544767</v>
      </c>
      <c r="CA127" t="s">
        <v>1437</v>
      </c>
      <c r="CF127" t="s">
        <v>1432</v>
      </c>
      <c r="CG127" t="s">
        <v>480</v>
      </c>
      <c r="CH127" t="s">
        <v>377</v>
      </c>
      <c r="CI127" t="s">
        <v>1431</v>
      </c>
      <c r="CJ127">
        <v>7800</v>
      </c>
      <c r="CK127">
        <v>7800</v>
      </c>
      <c r="CL127" t="s">
        <v>1438</v>
      </c>
      <c r="CN127">
        <v>1</v>
      </c>
      <c r="CO127">
        <v>15488</v>
      </c>
      <c r="CP127">
        <v>15488</v>
      </c>
      <c r="CQ127" t="s">
        <v>379</v>
      </c>
      <c r="CS127">
        <v>0</v>
      </c>
    </row>
    <row r="128" spans="1:97" x14ac:dyDescent="0.4">
      <c r="A128" s="10">
        <v>43124</v>
      </c>
      <c r="B128" t="s">
        <v>191</v>
      </c>
      <c r="C128" t="s">
        <v>1439</v>
      </c>
      <c r="D128" t="s">
        <v>359</v>
      </c>
      <c r="E128" t="s">
        <v>1188</v>
      </c>
      <c r="F128" t="str">
        <f t="shared" si="54"/>
        <v>20180123-0000059</v>
      </c>
      <c r="G128">
        <v>1031916</v>
      </c>
      <c r="H128">
        <v>1</v>
      </c>
      <c r="I128" t="s">
        <v>1440</v>
      </c>
      <c r="L128">
        <v>0</v>
      </c>
      <c r="M128">
        <v>1</v>
      </c>
      <c r="O128" t="s">
        <v>361</v>
      </c>
      <c r="P128" t="s">
        <v>702</v>
      </c>
      <c r="S128" t="s">
        <v>1441</v>
      </c>
      <c r="T128" t="s">
        <v>364</v>
      </c>
      <c r="X128" t="s">
        <v>1440</v>
      </c>
      <c r="AA128">
        <v>15488</v>
      </c>
      <c r="AB128">
        <v>12.64</v>
      </c>
      <c r="AC128" t="s">
        <v>1442</v>
      </c>
      <c r="AD128">
        <v>13.78</v>
      </c>
      <c r="AE128">
        <v>14.15</v>
      </c>
      <c r="AF128" t="s">
        <v>943</v>
      </c>
      <c r="AG128">
        <v>1880</v>
      </c>
      <c r="AK128">
        <v>22</v>
      </c>
      <c r="AL128" t="s">
        <v>1440</v>
      </c>
      <c r="AN128" t="s">
        <v>1443</v>
      </c>
      <c r="AQ128">
        <v>7800</v>
      </c>
      <c r="AR128" t="s">
        <v>368</v>
      </c>
      <c r="AS128">
        <v>613660397425</v>
      </c>
      <c r="AT128" t="str">
        <f t="shared" si="46"/>
        <v>피****아①</v>
      </c>
      <c r="AU128" t="str">
        <f t="shared" si="47"/>
        <v xml:space="preserve"> 1****0</v>
      </c>
      <c r="AV128" t="str">
        <f t="shared" si="48"/>
        <v>***-****-1406</v>
      </c>
      <c r="AW128" t="str">
        <f t="shared" si="49"/>
        <v xml:space="preserve"> 서* 강*구 방*동 5****5 2* 김****님</v>
      </c>
      <c r="AX128" t="str">
        <f>""</f>
        <v/>
      </c>
      <c r="AY128" t="str">
        <f t="shared" si="50"/>
        <v>***-****-0388</v>
      </c>
      <c r="AZ128">
        <v>29399</v>
      </c>
      <c r="BA128">
        <v>1039942</v>
      </c>
      <c r="BB128">
        <v>12000</v>
      </c>
      <c r="BC128" t="s">
        <v>1194</v>
      </c>
      <c r="BD128" t="s">
        <v>707</v>
      </c>
      <c r="BE128" t="str">
        <f t="shared" si="51"/>
        <v>피****아</v>
      </c>
      <c r="BF128" t="str">
        <f t="shared" si="52"/>
        <v>***-****-6097</v>
      </c>
      <c r="BG128" t="str">
        <f t="shared" si="53"/>
        <v>***-****-7488</v>
      </c>
      <c r="BH128" t="s">
        <v>453</v>
      </c>
      <c r="BI128" t="s">
        <v>454</v>
      </c>
      <c r="BJ128" t="s">
        <v>1444</v>
      </c>
      <c r="BK128" t="s">
        <v>456</v>
      </c>
      <c r="BL128">
        <v>19204</v>
      </c>
      <c r="BM128" t="str">
        <f t="shared" si="56"/>
        <v>19204</v>
      </c>
      <c r="BN128" t="str">
        <f t="shared" si="55"/>
        <v>20180123-0000059</v>
      </c>
      <c r="BQ128" t="s">
        <v>373</v>
      </c>
      <c r="BV128" t="s">
        <v>1440</v>
      </c>
      <c r="BW128" t="s">
        <v>1440</v>
      </c>
      <c r="BX128" t="s">
        <v>191</v>
      </c>
      <c r="BY128">
        <v>0</v>
      </c>
      <c r="BZ128">
        <v>8806182544729</v>
      </c>
      <c r="CA128" t="s">
        <v>1445</v>
      </c>
      <c r="CF128" t="s">
        <v>1440</v>
      </c>
      <c r="CG128" t="s">
        <v>480</v>
      </c>
      <c r="CH128" t="s">
        <v>377</v>
      </c>
      <c r="CI128" t="s">
        <v>1439</v>
      </c>
      <c r="CJ128">
        <v>7800</v>
      </c>
      <c r="CK128">
        <v>7800</v>
      </c>
      <c r="CL128" t="s">
        <v>1446</v>
      </c>
      <c r="CN128">
        <v>1</v>
      </c>
      <c r="CO128">
        <v>15488</v>
      </c>
      <c r="CP128">
        <v>15488</v>
      </c>
      <c r="CQ128" t="s">
        <v>379</v>
      </c>
      <c r="CS128">
        <v>0</v>
      </c>
    </row>
    <row r="129" spans="1:97" x14ac:dyDescent="0.4">
      <c r="A129" s="10">
        <v>43124</v>
      </c>
      <c r="B129" t="s">
        <v>191</v>
      </c>
      <c r="C129" t="s">
        <v>1447</v>
      </c>
      <c r="D129" t="s">
        <v>359</v>
      </c>
      <c r="E129" t="s">
        <v>1188</v>
      </c>
      <c r="F129" t="str">
        <f t="shared" si="54"/>
        <v>20180123-0000059</v>
      </c>
      <c r="G129">
        <v>1031916</v>
      </c>
      <c r="H129">
        <v>1</v>
      </c>
      <c r="I129" t="s">
        <v>1448</v>
      </c>
      <c r="L129">
        <v>0</v>
      </c>
      <c r="M129">
        <v>1</v>
      </c>
      <c r="O129" t="s">
        <v>361</v>
      </c>
      <c r="P129" t="s">
        <v>702</v>
      </c>
      <c r="S129" t="s">
        <v>1449</v>
      </c>
      <c r="T129" t="s">
        <v>364</v>
      </c>
      <c r="X129" t="s">
        <v>1448</v>
      </c>
      <c r="AA129">
        <v>15488</v>
      </c>
      <c r="AB129">
        <v>12.64</v>
      </c>
      <c r="AC129" t="s">
        <v>1450</v>
      </c>
      <c r="AD129">
        <v>13.78</v>
      </c>
      <c r="AE129">
        <v>14.15</v>
      </c>
      <c r="AF129" t="s">
        <v>943</v>
      </c>
      <c r="AG129">
        <v>1880</v>
      </c>
      <c r="AK129">
        <v>22</v>
      </c>
      <c r="AL129" t="s">
        <v>1448</v>
      </c>
      <c r="AN129" t="s">
        <v>1451</v>
      </c>
      <c r="AQ129">
        <v>7800</v>
      </c>
      <c r="AR129" t="s">
        <v>368</v>
      </c>
      <c r="AS129">
        <v>613660397425</v>
      </c>
      <c r="AT129" t="str">
        <f t="shared" si="46"/>
        <v>피****아①</v>
      </c>
      <c r="AU129" t="str">
        <f t="shared" si="47"/>
        <v xml:space="preserve"> 1****0</v>
      </c>
      <c r="AV129" t="str">
        <f t="shared" si="48"/>
        <v>***-****-1406</v>
      </c>
      <c r="AW129" t="str">
        <f t="shared" si="49"/>
        <v xml:space="preserve"> 서* 강*구 방*동 5****5 2* 김****님</v>
      </c>
      <c r="AX129" t="str">
        <f>""</f>
        <v/>
      </c>
      <c r="AY129" t="str">
        <f t="shared" si="50"/>
        <v>***-****-0388</v>
      </c>
      <c r="AZ129">
        <v>29396</v>
      </c>
      <c r="BA129">
        <v>1039940</v>
      </c>
      <c r="BB129">
        <v>12000</v>
      </c>
      <c r="BC129" t="s">
        <v>1194</v>
      </c>
      <c r="BD129" t="s">
        <v>707</v>
      </c>
      <c r="BE129" t="str">
        <f t="shared" si="51"/>
        <v>피****아</v>
      </c>
      <c r="BF129" t="str">
        <f t="shared" si="52"/>
        <v>***-****-6097</v>
      </c>
      <c r="BG129" t="str">
        <f t="shared" si="53"/>
        <v>***-****-7488</v>
      </c>
      <c r="BH129" t="s">
        <v>453</v>
      </c>
      <c r="BI129" t="s">
        <v>454</v>
      </c>
      <c r="BJ129" t="s">
        <v>1452</v>
      </c>
      <c r="BK129" t="s">
        <v>456</v>
      </c>
      <c r="BL129">
        <v>19204</v>
      </c>
      <c r="BM129" t="str">
        <f t="shared" si="56"/>
        <v>19204</v>
      </c>
      <c r="BN129" t="str">
        <f t="shared" si="55"/>
        <v>20180123-0000059</v>
      </c>
      <c r="BQ129" t="s">
        <v>373</v>
      </c>
      <c r="BV129" t="s">
        <v>1448</v>
      </c>
      <c r="BW129" t="s">
        <v>1448</v>
      </c>
      <c r="BX129" t="s">
        <v>191</v>
      </c>
      <c r="BY129">
        <v>0</v>
      </c>
      <c r="BZ129">
        <v>8806182544705</v>
      </c>
      <c r="CA129" t="s">
        <v>1453</v>
      </c>
      <c r="CF129" t="s">
        <v>1448</v>
      </c>
      <c r="CG129" t="s">
        <v>480</v>
      </c>
      <c r="CH129" t="s">
        <v>377</v>
      </c>
      <c r="CI129" t="s">
        <v>1447</v>
      </c>
      <c r="CJ129">
        <v>7800</v>
      </c>
      <c r="CK129">
        <v>7800</v>
      </c>
      <c r="CL129" t="s">
        <v>1454</v>
      </c>
      <c r="CN129">
        <v>1</v>
      </c>
      <c r="CO129">
        <v>15488</v>
      </c>
      <c r="CP129">
        <v>15488</v>
      </c>
      <c r="CQ129" t="s">
        <v>379</v>
      </c>
      <c r="CS129">
        <v>0</v>
      </c>
    </row>
    <row r="130" spans="1:97" x14ac:dyDescent="0.4">
      <c r="A130" s="10">
        <v>43124</v>
      </c>
      <c r="B130" t="s">
        <v>191</v>
      </c>
      <c r="C130" t="s">
        <v>1455</v>
      </c>
      <c r="D130" t="s">
        <v>359</v>
      </c>
      <c r="E130" t="s">
        <v>1188</v>
      </c>
      <c r="F130" t="str">
        <f t="shared" si="54"/>
        <v>20180123-0000059</v>
      </c>
      <c r="G130">
        <v>1031916</v>
      </c>
      <c r="H130">
        <v>1</v>
      </c>
      <c r="I130" t="s">
        <v>1456</v>
      </c>
      <c r="L130">
        <v>0</v>
      </c>
      <c r="M130">
        <v>1</v>
      </c>
      <c r="O130" t="s">
        <v>361</v>
      </c>
      <c r="P130" t="s">
        <v>702</v>
      </c>
      <c r="S130" t="s">
        <v>1457</v>
      </c>
      <c r="T130" t="s">
        <v>364</v>
      </c>
      <c r="X130" t="s">
        <v>1456</v>
      </c>
      <c r="AA130">
        <v>15488</v>
      </c>
      <c r="AB130">
        <v>12.64</v>
      </c>
      <c r="AC130" t="s">
        <v>1458</v>
      </c>
      <c r="AD130">
        <v>13.78</v>
      </c>
      <c r="AE130">
        <v>14.15</v>
      </c>
      <c r="AF130" t="s">
        <v>943</v>
      </c>
      <c r="AG130">
        <v>1880</v>
      </c>
      <c r="AK130">
        <v>22</v>
      </c>
      <c r="AL130" t="s">
        <v>1456</v>
      </c>
      <c r="AN130" t="s">
        <v>1459</v>
      </c>
      <c r="AQ130">
        <v>7800</v>
      </c>
      <c r="AR130" t="s">
        <v>368</v>
      </c>
      <c r="AS130">
        <v>613660397425</v>
      </c>
      <c r="AT130" t="str">
        <f t="shared" si="46"/>
        <v>피****아①</v>
      </c>
      <c r="AU130" t="str">
        <f t="shared" si="47"/>
        <v xml:space="preserve"> 1****0</v>
      </c>
      <c r="AV130" t="str">
        <f t="shared" si="48"/>
        <v>***-****-1406</v>
      </c>
      <c r="AW130" t="str">
        <f t="shared" si="49"/>
        <v xml:space="preserve"> 서* 강*구 방*동 5****5 2* 김****님</v>
      </c>
      <c r="AX130" t="str">
        <f>""</f>
        <v/>
      </c>
      <c r="AY130" t="str">
        <f t="shared" si="50"/>
        <v>***-****-0388</v>
      </c>
      <c r="AZ130">
        <v>29395</v>
      </c>
      <c r="BA130">
        <v>1039932</v>
      </c>
      <c r="BB130">
        <v>12000</v>
      </c>
      <c r="BC130" t="s">
        <v>1194</v>
      </c>
      <c r="BD130" t="s">
        <v>707</v>
      </c>
      <c r="BE130" t="str">
        <f t="shared" si="51"/>
        <v>피****아</v>
      </c>
      <c r="BF130" t="str">
        <f t="shared" si="52"/>
        <v>***-****-6097</v>
      </c>
      <c r="BG130" t="str">
        <f t="shared" si="53"/>
        <v>***-****-7488</v>
      </c>
      <c r="BH130" t="s">
        <v>453</v>
      </c>
      <c r="BI130" t="s">
        <v>454</v>
      </c>
      <c r="BJ130" t="s">
        <v>1460</v>
      </c>
      <c r="BK130" t="s">
        <v>456</v>
      </c>
      <c r="BL130">
        <v>19204</v>
      </c>
      <c r="BM130" t="str">
        <f t="shared" si="56"/>
        <v>19204</v>
      </c>
      <c r="BN130" t="str">
        <f t="shared" si="55"/>
        <v>20180123-0000059</v>
      </c>
      <c r="BQ130" t="s">
        <v>373</v>
      </c>
      <c r="BV130" t="s">
        <v>1456</v>
      </c>
      <c r="BW130" t="s">
        <v>1456</v>
      </c>
      <c r="BX130" t="s">
        <v>191</v>
      </c>
      <c r="BY130">
        <v>0</v>
      </c>
      <c r="BZ130">
        <v>8806182544736</v>
      </c>
      <c r="CA130" t="s">
        <v>1461</v>
      </c>
      <c r="CF130" t="s">
        <v>1456</v>
      </c>
      <c r="CG130" t="s">
        <v>480</v>
      </c>
      <c r="CH130" t="s">
        <v>377</v>
      </c>
      <c r="CI130" t="s">
        <v>1455</v>
      </c>
      <c r="CJ130">
        <v>7800</v>
      </c>
      <c r="CK130">
        <v>7800</v>
      </c>
      <c r="CL130" t="s">
        <v>1462</v>
      </c>
      <c r="CN130">
        <v>1</v>
      </c>
      <c r="CO130">
        <v>15488</v>
      </c>
      <c r="CP130">
        <v>15488</v>
      </c>
      <c r="CQ130" t="s">
        <v>379</v>
      </c>
      <c r="CS130">
        <v>0</v>
      </c>
    </row>
    <row r="131" spans="1:97" x14ac:dyDescent="0.4">
      <c r="A131" s="10">
        <v>43124</v>
      </c>
      <c r="B131" t="s">
        <v>191</v>
      </c>
      <c r="C131" t="s">
        <v>1463</v>
      </c>
      <c r="D131" t="s">
        <v>359</v>
      </c>
      <c r="E131" t="s">
        <v>1188</v>
      </c>
      <c r="F131" t="str">
        <f t="shared" si="54"/>
        <v>20180123-0000059</v>
      </c>
      <c r="G131">
        <v>1031916</v>
      </c>
      <c r="H131">
        <v>1</v>
      </c>
      <c r="I131" t="s">
        <v>1464</v>
      </c>
      <c r="L131">
        <v>0</v>
      </c>
      <c r="M131">
        <v>1</v>
      </c>
      <c r="O131" t="s">
        <v>361</v>
      </c>
      <c r="P131" t="s">
        <v>702</v>
      </c>
      <c r="S131" t="s">
        <v>1465</v>
      </c>
      <c r="T131" t="s">
        <v>364</v>
      </c>
      <c r="X131" t="s">
        <v>1464</v>
      </c>
      <c r="AA131">
        <v>15488</v>
      </c>
      <c r="AB131">
        <v>12.64</v>
      </c>
      <c r="AC131" t="s">
        <v>1466</v>
      </c>
      <c r="AD131">
        <v>13.78</v>
      </c>
      <c r="AE131">
        <v>14.15</v>
      </c>
      <c r="AF131" t="s">
        <v>943</v>
      </c>
      <c r="AG131">
        <v>1880</v>
      </c>
      <c r="AK131">
        <v>22</v>
      </c>
      <c r="AL131" t="s">
        <v>1464</v>
      </c>
      <c r="AN131" t="s">
        <v>1467</v>
      </c>
      <c r="AQ131">
        <v>7800</v>
      </c>
      <c r="AR131" t="s">
        <v>368</v>
      </c>
      <c r="AS131">
        <v>613660397425</v>
      </c>
      <c r="AT131" t="str">
        <f t="shared" si="46"/>
        <v>피****아①</v>
      </c>
      <c r="AU131" t="str">
        <f t="shared" si="47"/>
        <v xml:space="preserve"> 1****0</v>
      </c>
      <c r="AV131" t="str">
        <f t="shared" si="48"/>
        <v>***-****-1406</v>
      </c>
      <c r="AW131" t="str">
        <f t="shared" si="49"/>
        <v xml:space="preserve"> 서* 강*구 방*동 5****5 2* 김****님</v>
      </c>
      <c r="AX131" t="str">
        <f>""</f>
        <v/>
      </c>
      <c r="AY131" t="str">
        <f t="shared" si="50"/>
        <v>***-****-0388</v>
      </c>
      <c r="AZ131">
        <v>29400</v>
      </c>
      <c r="BA131">
        <v>1039944</v>
      </c>
      <c r="BB131">
        <v>12000</v>
      </c>
      <c r="BC131" t="s">
        <v>1194</v>
      </c>
      <c r="BD131" t="s">
        <v>707</v>
      </c>
      <c r="BE131" t="str">
        <f t="shared" si="51"/>
        <v>피****아</v>
      </c>
      <c r="BF131" t="str">
        <f t="shared" si="52"/>
        <v>***-****-6097</v>
      </c>
      <c r="BG131" t="str">
        <f t="shared" si="53"/>
        <v>***-****-7488</v>
      </c>
      <c r="BH131" t="s">
        <v>453</v>
      </c>
      <c r="BI131" t="s">
        <v>454</v>
      </c>
      <c r="BJ131" t="s">
        <v>1468</v>
      </c>
      <c r="BK131" t="s">
        <v>456</v>
      </c>
      <c r="BL131">
        <v>19204</v>
      </c>
      <c r="BM131" t="str">
        <f t="shared" si="56"/>
        <v>19204</v>
      </c>
      <c r="BN131" t="str">
        <f t="shared" si="55"/>
        <v>20180123-0000059</v>
      </c>
      <c r="BQ131" t="s">
        <v>373</v>
      </c>
      <c r="BV131" t="s">
        <v>1464</v>
      </c>
      <c r="BW131" t="s">
        <v>1464</v>
      </c>
      <c r="BX131" t="s">
        <v>191</v>
      </c>
      <c r="BY131">
        <v>0</v>
      </c>
      <c r="BZ131">
        <v>8806182544682</v>
      </c>
      <c r="CA131" t="s">
        <v>1469</v>
      </c>
      <c r="CF131" t="s">
        <v>1464</v>
      </c>
      <c r="CG131" t="s">
        <v>480</v>
      </c>
      <c r="CH131" t="s">
        <v>377</v>
      </c>
      <c r="CI131" t="s">
        <v>1463</v>
      </c>
      <c r="CJ131">
        <v>7800</v>
      </c>
      <c r="CK131">
        <v>7800</v>
      </c>
      <c r="CL131" t="s">
        <v>1470</v>
      </c>
      <c r="CN131">
        <v>1</v>
      </c>
      <c r="CO131">
        <v>15488</v>
      </c>
      <c r="CP131">
        <v>15488</v>
      </c>
      <c r="CQ131" t="s">
        <v>379</v>
      </c>
      <c r="CS131">
        <v>0</v>
      </c>
    </row>
    <row r="132" spans="1:97" x14ac:dyDescent="0.4">
      <c r="A132" s="10">
        <v>43124</v>
      </c>
      <c r="B132" t="s">
        <v>191</v>
      </c>
      <c r="C132" t="s">
        <v>985</v>
      </c>
      <c r="D132" t="s">
        <v>359</v>
      </c>
      <c r="E132" t="s">
        <v>1188</v>
      </c>
      <c r="F132" t="str">
        <f t="shared" si="54"/>
        <v>20180123-0000059</v>
      </c>
      <c r="G132">
        <v>1031916</v>
      </c>
      <c r="H132">
        <v>1</v>
      </c>
      <c r="I132" t="s">
        <v>986</v>
      </c>
      <c r="L132">
        <v>0</v>
      </c>
      <c r="M132">
        <v>1</v>
      </c>
      <c r="O132" t="s">
        <v>361</v>
      </c>
      <c r="P132" t="s">
        <v>702</v>
      </c>
      <c r="S132" t="s">
        <v>1471</v>
      </c>
      <c r="T132" t="s">
        <v>364</v>
      </c>
      <c r="X132" t="s">
        <v>986</v>
      </c>
      <c r="AA132">
        <v>18102</v>
      </c>
      <c r="AB132">
        <v>17.690000000000001</v>
      </c>
      <c r="AC132" t="s">
        <v>988</v>
      </c>
      <c r="AD132">
        <v>19.28</v>
      </c>
      <c r="AE132">
        <v>19.809999999999999</v>
      </c>
      <c r="AF132" t="s">
        <v>980</v>
      </c>
      <c r="AG132">
        <v>3770</v>
      </c>
      <c r="AH132">
        <v>150</v>
      </c>
      <c r="AI132">
        <v>3770</v>
      </c>
      <c r="AK132">
        <v>90</v>
      </c>
      <c r="AL132" t="s">
        <v>986</v>
      </c>
      <c r="AN132" t="s">
        <v>989</v>
      </c>
      <c r="AQ132">
        <v>11700</v>
      </c>
      <c r="AR132" t="s">
        <v>368</v>
      </c>
      <c r="AS132">
        <v>613660397425</v>
      </c>
      <c r="AT132" t="str">
        <f t="shared" si="46"/>
        <v>피****아①</v>
      </c>
      <c r="AU132" t="str">
        <f t="shared" si="47"/>
        <v xml:space="preserve"> 1****0</v>
      </c>
      <c r="AV132" t="str">
        <f t="shared" si="48"/>
        <v>***-****-1406</v>
      </c>
      <c r="AW132" t="str">
        <f t="shared" si="49"/>
        <v xml:space="preserve"> 서* 강*구 방*동 5****5 2* 김****님</v>
      </c>
      <c r="AX132" t="str">
        <f>""</f>
        <v/>
      </c>
      <c r="AY132" t="str">
        <f t="shared" si="50"/>
        <v>***-****-0388</v>
      </c>
      <c r="AZ132">
        <v>28501</v>
      </c>
      <c r="BA132">
        <v>1039906</v>
      </c>
      <c r="BB132">
        <v>16900</v>
      </c>
      <c r="BC132" t="s">
        <v>1194</v>
      </c>
      <c r="BD132" t="s">
        <v>707</v>
      </c>
      <c r="BE132" t="str">
        <f t="shared" si="51"/>
        <v>피****아</v>
      </c>
      <c r="BF132" t="str">
        <f t="shared" si="52"/>
        <v>***-****-6097</v>
      </c>
      <c r="BG132" t="str">
        <f t="shared" si="53"/>
        <v>***-****-7488</v>
      </c>
      <c r="BH132" t="s">
        <v>453</v>
      </c>
      <c r="BI132" t="s">
        <v>454</v>
      </c>
      <c r="BJ132" t="s">
        <v>1472</v>
      </c>
      <c r="BK132" t="s">
        <v>456</v>
      </c>
      <c r="BL132">
        <v>13253</v>
      </c>
      <c r="BM132" t="str">
        <f>"13253"</f>
        <v>13253</v>
      </c>
      <c r="BN132" t="str">
        <f t="shared" si="55"/>
        <v>20180123-0000059</v>
      </c>
      <c r="BQ132" t="s">
        <v>373</v>
      </c>
      <c r="BV132" t="s">
        <v>986</v>
      </c>
      <c r="BW132" t="s">
        <v>986</v>
      </c>
      <c r="BX132" t="s">
        <v>191</v>
      </c>
      <c r="BY132">
        <v>0</v>
      </c>
      <c r="BZ132">
        <v>8806182522291</v>
      </c>
      <c r="CA132" t="s">
        <v>991</v>
      </c>
      <c r="CF132" t="s">
        <v>986</v>
      </c>
      <c r="CG132" t="s">
        <v>730</v>
      </c>
      <c r="CH132" t="s">
        <v>377</v>
      </c>
      <c r="CI132" t="s">
        <v>985</v>
      </c>
      <c r="CJ132">
        <v>11700</v>
      </c>
      <c r="CK132">
        <v>11700</v>
      </c>
      <c r="CL132" t="s">
        <v>992</v>
      </c>
      <c r="CN132">
        <v>1</v>
      </c>
      <c r="CO132">
        <v>18102</v>
      </c>
      <c r="CP132">
        <v>18102</v>
      </c>
      <c r="CQ132" t="s">
        <v>820</v>
      </c>
      <c r="CR132" t="s">
        <v>993</v>
      </c>
      <c r="CS132">
        <v>0</v>
      </c>
    </row>
    <row r="133" spans="1:97" x14ac:dyDescent="0.4">
      <c r="A133" s="10">
        <v>43124</v>
      </c>
      <c r="B133" t="s">
        <v>191</v>
      </c>
      <c r="C133" t="s">
        <v>994</v>
      </c>
      <c r="D133" t="s">
        <v>359</v>
      </c>
      <c r="E133" t="s">
        <v>1188</v>
      </c>
      <c r="F133" t="str">
        <f t="shared" si="54"/>
        <v>20180123-0000059</v>
      </c>
      <c r="G133">
        <v>1031916</v>
      </c>
      <c r="H133">
        <v>1</v>
      </c>
      <c r="I133" t="s">
        <v>995</v>
      </c>
      <c r="L133">
        <v>0</v>
      </c>
      <c r="M133">
        <v>1</v>
      </c>
      <c r="O133" t="s">
        <v>361</v>
      </c>
      <c r="P133" t="s">
        <v>702</v>
      </c>
      <c r="S133" t="s">
        <v>1473</v>
      </c>
      <c r="T133" t="s">
        <v>364</v>
      </c>
      <c r="X133" t="s">
        <v>995</v>
      </c>
      <c r="AA133">
        <v>5724</v>
      </c>
      <c r="AB133">
        <v>3.97</v>
      </c>
      <c r="AC133" t="s">
        <v>997</v>
      </c>
      <c r="AD133">
        <v>4.33</v>
      </c>
      <c r="AE133">
        <v>4.45</v>
      </c>
      <c r="AF133" t="s">
        <v>998</v>
      </c>
      <c r="AG133">
        <v>1880</v>
      </c>
      <c r="AK133">
        <v>6</v>
      </c>
      <c r="AL133" t="s">
        <v>995</v>
      </c>
      <c r="AN133" t="s">
        <v>999</v>
      </c>
      <c r="AQ133">
        <v>1300</v>
      </c>
      <c r="AR133" t="s">
        <v>368</v>
      </c>
      <c r="AS133">
        <v>613660397425</v>
      </c>
      <c r="AT133" t="str">
        <f t="shared" si="46"/>
        <v>피****아①</v>
      </c>
      <c r="AU133" t="str">
        <f t="shared" si="47"/>
        <v xml:space="preserve"> 1****0</v>
      </c>
      <c r="AV133" t="str">
        <f t="shared" si="48"/>
        <v>***-****-1406</v>
      </c>
      <c r="AW133" t="str">
        <f t="shared" si="49"/>
        <v xml:space="preserve"> 서* 강*구 방*동 5****5 2* 김****님</v>
      </c>
      <c r="AX133" t="str">
        <f>""</f>
        <v/>
      </c>
      <c r="AY133" t="str">
        <f t="shared" si="50"/>
        <v>***-****-0388</v>
      </c>
      <c r="AZ133">
        <v>28000</v>
      </c>
      <c r="BA133">
        <v>1039945</v>
      </c>
      <c r="BB133">
        <v>2000</v>
      </c>
      <c r="BC133" t="s">
        <v>1194</v>
      </c>
      <c r="BD133" t="s">
        <v>707</v>
      </c>
      <c r="BE133" t="str">
        <f t="shared" si="51"/>
        <v>피****아</v>
      </c>
      <c r="BF133" t="str">
        <f t="shared" si="52"/>
        <v>***-****-6097</v>
      </c>
      <c r="BG133" t="str">
        <f t="shared" si="53"/>
        <v>***-****-7488</v>
      </c>
      <c r="BH133" t="s">
        <v>453</v>
      </c>
      <c r="BI133" t="s">
        <v>454</v>
      </c>
      <c r="BJ133" t="s">
        <v>1474</v>
      </c>
      <c r="BK133" t="s">
        <v>456</v>
      </c>
      <c r="BL133">
        <v>19333</v>
      </c>
      <c r="BM133" t="str">
        <f>"19333"</f>
        <v>19333</v>
      </c>
      <c r="BN133" t="str">
        <f t="shared" si="55"/>
        <v>20180123-0000059</v>
      </c>
      <c r="BQ133" t="s">
        <v>373</v>
      </c>
      <c r="BV133" t="s">
        <v>1001</v>
      </c>
      <c r="BW133" t="s">
        <v>995</v>
      </c>
      <c r="BX133" t="s">
        <v>191</v>
      </c>
      <c r="BY133">
        <v>0</v>
      </c>
      <c r="BZ133">
        <v>8806364060030</v>
      </c>
      <c r="CA133" t="s">
        <v>1002</v>
      </c>
      <c r="CF133" t="s">
        <v>995</v>
      </c>
      <c r="CG133" t="s">
        <v>1003</v>
      </c>
      <c r="CH133" t="s">
        <v>377</v>
      </c>
      <c r="CI133" t="s">
        <v>994</v>
      </c>
      <c r="CJ133">
        <v>1300</v>
      </c>
      <c r="CK133">
        <v>1300</v>
      </c>
      <c r="CL133" t="s">
        <v>1004</v>
      </c>
      <c r="CN133">
        <v>1</v>
      </c>
      <c r="CO133">
        <v>5724</v>
      </c>
      <c r="CP133">
        <v>5724</v>
      </c>
      <c r="CQ133" t="s">
        <v>379</v>
      </c>
      <c r="CS133">
        <v>0</v>
      </c>
    </row>
    <row r="134" spans="1:97" x14ac:dyDescent="0.4">
      <c r="A134" s="10">
        <v>43124</v>
      </c>
      <c r="B134" t="s">
        <v>191</v>
      </c>
      <c r="C134" t="s">
        <v>1475</v>
      </c>
      <c r="D134" t="s">
        <v>359</v>
      </c>
      <c r="E134" t="s">
        <v>1188</v>
      </c>
      <c r="F134" t="str">
        <f t="shared" si="54"/>
        <v>20180123-0000059</v>
      </c>
      <c r="G134">
        <v>1031916</v>
      </c>
      <c r="H134">
        <v>1</v>
      </c>
      <c r="I134" t="s">
        <v>1476</v>
      </c>
      <c r="L134">
        <v>0</v>
      </c>
      <c r="M134">
        <v>1</v>
      </c>
      <c r="O134" t="s">
        <v>361</v>
      </c>
      <c r="P134" t="s">
        <v>702</v>
      </c>
      <c r="S134" t="s">
        <v>1477</v>
      </c>
      <c r="T134" t="s">
        <v>364</v>
      </c>
      <c r="X134" t="s">
        <v>1476</v>
      </c>
      <c r="AA134">
        <v>5724</v>
      </c>
      <c r="AB134">
        <v>3.97</v>
      </c>
      <c r="AC134" t="s">
        <v>1478</v>
      </c>
      <c r="AD134">
        <v>4.33</v>
      </c>
      <c r="AE134">
        <v>4.45</v>
      </c>
      <c r="AF134" t="s">
        <v>998</v>
      </c>
      <c r="AG134">
        <v>1880</v>
      </c>
      <c r="AK134">
        <v>6</v>
      </c>
      <c r="AL134" t="s">
        <v>1476</v>
      </c>
      <c r="AN134" t="s">
        <v>1479</v>
      </c>
      <c r="AQ134">
        <v>1300</v>
      </c>
      <c r="AR134" t="s">
        <v>368</v>
      </c>
      <c r="AS134">
        <v>613660397425</v>
      </c>
      <c r="AT134" t="str">
        <f t="shared" si="46"/>
        <v>피****아①</v>
      </c>
      <c r="AU134" t="str">
        <f t="shared" si="47"/>
        <v xml:space="preserve"> 1****0</v>
      </c>
      <c r="AV134" t="str">
        <f t="shared" si="48"/>
        <v>***-****-1406</v>
      </c>
      <c r="AW134" t="str">
        <f t="shared" si="49"/>
        <v xml:space="preserve"> 서* 강*구 방*동 5****5 2* 김****님</v>
      </c>
      <c r="AX134" t="str">
        <f>""</f>
        <v/>
      </c>
      <c r="AY134" t="str">
        <f t="shared" si="50"/>
        <v>***-****-0388</v>
      </c>
      <c r="AZ134">
        <v>28433</v>
      </c>
      <c r="BA134">
        <v>1039946</v>
      </c>
      <c r="BB134">
        <v>2000</v>
      </c>
      <c r="BC134" t="s">
        <v>1194</v>
      </c>
      <c r="BD134" t="s">
        <v>707</v>
      </c>
      <c r="BE134" t="str">
        <f t="shared" si="51"/>
        <v>피****아</v>
      </c>
      <c r="BF134" t="str">
        <f t="shared" si="52"/>
        <v>***-****-6097</v>
      </c>
      <c r="BG134" t="str">
        <f t="shared" si="53"/>
        <v>***-****-7488</v>
      </c>
      <c r="BH134" t="s">
        <v>453</v>
      </c>
      <c r="BI134" t="s">
        <v>454</v>
      </c>
      <c r="BJ134" t="s">
        <v>1480</v>
      </c>
      <c r="BK134" t="s">
        <v>456</v>
      </c>
      <c r="BL134">
        <v>19333</v>
      </c>
      <c r="BM134" t="str">
        <f>"19333"</f>
        <v>19333</v>
      </c>
      <c r="BN134" t="str">
        <f t="shared" si="55"/>
        <v>20180123-0000059</v>
      </c>
      <c r="BQ134" t="s">
        <v>373</v>
      </c>
      <c r="BV134" t="s">
        <v>1481</v>
      </c>
      <c r="BW134" t="s">
        <v>1476</v>
      </c>
      <c r="BX134" t="s">
        <v>191</v>
      </c>
      <c r="BY134">
        <v>0</v>
      </c>
      <c r="BZ134">
        <v>8806364060023</v>
      </c>
      <c r="CA134" t="s">
        <v>1482</v>
      </c>
      <c r="CF134" t="s">
        <v>1476</v>
      </c>
      <c r="CG134" t="s">
        <v>1003</v>
      </c>
      <c r="CH134" t="s">
        <v>377</v>
      </c>
      <c r="CI134" t="s">
        <v>1475</v>
      </c>
      <c r="CJ134">
        <v>1300</v>
      </c>
      <c r="CK134">
        <v>1300</v>
      </c>
      <c r="CL134" t="s">
        <v>1483</v>
      </c>
      <c r="CN134">
        <v>1</v>
      </c>
      <c r="CO134">
        <v>5724</v>
      </c>
      <c r="CP134">
        <v>5724</v>
      </c>
      <c r="CQ134" t="s">
        <v>379</v>
      </c>
      <c r="CS134">
        <v>0</v>
      </c>
    </row>
    <row r="135" spans="1:97" x14ac:dyDescent="0.4">
      <c r="A135" s="10">
        <v>43124</v>
      </c>
      <c r="B135" t="s">
        <v>198</v>
      </c>
      <c r="C135" t="s">
        <v>1484</v>
      </c>
      <c r="D135" t="s">
        <v>359</v>
      </c>
      <c r="E135" t="s">
        <v>1188</v>
      </c>
      <c r="F135" t="str">
        <f t="shared" si="54"/>
        <v>20180123-0000059</v>
      </c>
      <c r="G135">
        <v>1031916</v>
      </c>
      <c r="H135">
        <v>4</v>
      </c>
      <c r="I135" t="s">
        <v>1485</v>
      </c>
      <c r="L135">
        <v>0</v>
      </c>
      <c r="M135">
        <v>1</v>
      </c>
      <c r="O135" t="s">
        <v>361</v>
      </c>
      <c r="P135" t="s">
        <v>702</v>
      </c>
      <c r="S135" t="s">
        <v>1486</v>
      </c>
      <c r="T135" t="s">
        <v>364</v>
      </c>
      <c r="X135" t="s">
        <v>1485</v>
      </c>
      <c r="AA135">
        <v>25228</v>
      </c>
      <c r="AB135">
        <v>26.9</v>
      </c>
      <c r="AC135" t="s">
        <v>1487</v>
      </c>
      <c r="AD135">
        <v>29.33</v>
      </c>
      <c r="AE135">
        <v>30.13</v>
      </c>
      <c r="AF135" t="s">
        <v>486</v>
      </c>
      <c r="AG135">
        <v>3770</v>
      </c>
      <c r="AK135">
        <v>216</v>
      </c>
      <c r="AL135" t="s">
        <v>1485</v>
      </c>
      <c r="AQ135">
        <v>18830</v>
      </c>
      <c r="AR135" t="s">
        <v>368</v>
      </c>
      <c r="AS135">
        <v>613660397425</v>
      </c>
      <c r="AT135" t="str">
        <f t="shared" si="46"/>
        <v>피****아①</v>
      </c>
      <c r="AU135" t="str">
        <f t="shared" si="47"/>
        <v xml:space="preserve"> 1****0</v>
      </c>
      <c r="AV135" t="str">
        <f t="shared" si="48"/>
        <v>***-****-1406</v>
      </c>
      <c r="AW135" t="str">
        <f t="shared" si="49"/>
        <v xml:space="preserve"> 서* 강*구 방*동 5****5 2* 김****님</v>
      </c>
      <c r="AX135" t="str">
        <f>""</f>
        <v/>
      </c>
      <c r="AY135" t="str">
        <f t="shared" si="50"/>
        <v>***-****-0388</v>
      </c>
      <c r="AZ135">
        <v>22714</v>
      </c>
      <c r="BA135">
        <v>1039913</v>
      </c>
      <c r="BB135">
        <v>107600</v>
      </c>
      <c r="BC135" t="s">
        <v>1194</v>
      </c>
      <c r="BD135" t="s">
        <v>707</v>
      </c>
      <c r="BE135" t="str">
        <f t="shared" si="51"/>
        <v>피****아</v>
      </c>
      <c r="BF135" t="str">
        <f t="shared" si="52"/>
        <v>***-****-6097</v>
      </c>
      <c r="BG135" t="str">
        <f t="shared" si="53"/>
        <v>***-****-7488</v>
      </c>
      <c r="BH135" t="s">
        <v>453</v>
      </c>
      <c r="BI135" t="s">
        <v>454</v>
      </c>
      <c r="BJ135" t="s">
        <v>1488</v>
      </c>
      <c r="BK135" t="s">
        <v>456</v>
      </c>
      <c r="BL135">
        <v>20147</v>
      </c>
      <c r="BM135" t="str">
        <f>"20147"</f>
        <v>20147</v>
      </c>
      <c r="BN135" t="str">
        <f t="shared" si="55"/>
        <v>20180123-0000059</v>
      </c>
      <c r="BQ135" t="s">
        <v>373</v>
      </c>
      <c r="BV135" t="s">
        <v>1489</v>
      </c>
      <c r="BW135" t="s">
        <v>1485</v>
      </c>
      <c r="BX135" t="s">
        <v>198</v>
      </c>
      <c r="BY135">
        <v>0</v>
      </c>
      <c r="BZ135">
        <v>8806173436538</v>
      </c>
      <c r="CA135" t="s">
        <v>1490</v>
      </c>
      <c r="CF135" t="s">
        <v>1485</v>
      </c>
      <c r="CG135" t="s">
        <v>534</v>
      </c>
      <c r="CH135" t="s">
        <v>377</v>
      </c>
      <c r="CI135" t="s">
        <v>1484</v>
      </c>
      <c r="CJ135">
        <v>18830</v>
      </c>
      <c r="CK135">
        <v>75320</v>
      </c>
      <c r="CL135" t="s">
        <v>760</v>
      </c>
      <c r="CN135">
        <v>4</v>
      </c>
      <c r="CO135">
        <v>25228</v>
      </c>
      <c r="CP135">
        <v>100912</v>
      </c>
      <c r="CQ135" t="s">
        <v>379</v>
      </c>
      <c r="CS135">
        <v>0</v>
      </c>
    </row>
    <row r="136" spans="1:97" x14ac:dyDescent="0.4">
      <c r="A136" s="10">
        <v>43124</v>
      </c>
      <c r="B136" t="s">
        <v>198</v>
      </c>
      <c r="C136" t="s">
        <v>1491</v>
      </c>
      <c r="D136" t="s">
        <v>359</v>
      </c>
      <c r="E136" t="s">
        <v>1188</v>
      </c>
      <c r="F136" t="str">
        <f t="shared" si="54"/>
        <v>20180123-0000059</v>
      </c>
      <c r="G136">
        <v>1031916</v>
      </c>
      <c r="H136">
        <v>1</v>
      </c>
      <c r="I136" t="s">
        <v>1492</v>
      </c>
      <c r="L136">
        <v>0</v>
      </c>
      <c r="M136">
        <v>1</v>
      </c>
      <c r="O136" t="s">
        <v>361</v>
      </c>
      <c r="P136" t="s">
        <v>702</v>
      </c>
      <c r="S136" t="s">
        <v>1493</v>
      </c>
      <c r="T136" t="s">
        <v>364</v>
      </c>
      <c r="X136" t="s">
        <v>1494</v>
      </c>
      <c r="AA136">
        <v>8800</v>
      </c>
      <c r="AB136">
        <v>4.09</v>
      </c>
      <c r="AC136" t="s">
        <v>1495</v>
      </c>
      <c r="AD136">
        <v>7.02</v>
      </c>
      <c r="AE136">
        <v>7.21</v>
      </c>
      <c r="AF136" t="s">
        <v>1496</v>
      </c>
      <c r="AG136">
        <v>2350</v>
      </c>
      <c r="AK136">
        <v>18</v>
      </c>
      <c r="AL136" t="s">
        <v>1492</v>
      </c>
      <c r="AN136" t="s">
        <v>1497</v>
      </c>
      <c r="AQ136">
        <v>3150</v>
      </c>
      <c r="AR136" t="s">
        <v>368</v>
      </c>
      <c r="AS136">
        <v>613660397425</v>
      </c>
      <c r="AT136" t="str">
        <f t="shared" si="46"/>
        <v>피****아①</v>
      </c>
      <c r="AU136" t="str">
        <f t="shared" si="47"/>
        <v xml:space="preserve"> 1****0</v>
      </c>
      <c r="AV136" t="str">
        <f t="shared" si="48"/>
        <v>***-****-1406</v>
      </c>
      <c r="AW136" t="str">
        <f t="shared" si="49"/>
        <v xml:space="preserve"> 서* 강*구 방*동 5****5 2* 김****님</v>
      </c>
      <c r="AX136" t="str">
        <f>""</f>
        <v/>
      </c>
      <c r="AY136" t="str">
        <f t="shared" si="50"/>
        <v>***-****-0388</v>
      </c>
      <c r="AZ136">
        <v>28010</v>
      </c>
      <c r="BA136">
        <v>1039959</v>
      </c>
      <c r="BB136">
        <v>4500</v>
      </c>
      <c r="BC136" t="s">
        <v>1194</v>
      </c>
      <c r="BD136" t="s">
        <v>707</v>
      </c>
      <c r="BE136" t="str">
        <f t="shared" si="51"/>
        <v>피****아</v>
      </c>
      <c r="BF136" t="str">
        <f t="shared" si="52"/>
        <v>***-****-6097</v>
      </c>
      <c r="BG136" t="str">
        <f t="shared" si="53"/>
        <v>***-****-7488</v>
      </c>
      <c r="BH136" t="s">
        <v>453</v>
      </c>
      <c r="BI136" t="s">
        <v>454</v>
      </c>
      <c r="BJ136" t="s">
        <v>1498</v>
      </c>
      <c r="BK136" t="s">
        <v>456</v>
      </c>
      <c r="BL136">
        <v>21249</v>
      </c>
      <c r="BM136" t="str">
        <f>"21249"</f>
        <v>21249</v>
      </c>
      <c r="BN136" t="str">
        <f t="shared" si="55"/>
        <v>20180123-0000059</v>
      </c>
      <c r="BQ136" t="s">
        <v>373</v>
      </c>
      <c r="BU136">
        <v>34</v>
      </c>
      <c r="BV136" t="s">
        <v>1499</v>
      </c>
      <c r="BW136" t="s">
        <v>1492</v>
      </c>
      <c r="BX136" t="s">
        <v>198</v>
      </c>
      <c r="BY136">
        <v>0</v>
      </c>
      <c r="BZ136">
        <v>8806173442478</v>
      </c>
      <c r="CA136" t="s">
        <v>1500</v>
      </c>
      <c r="CF136" t="s">
        <v>1494</v>
      </c>
      <c r="CG136" t="s">
        <v>389</v>
      </c>
      <c r="CH136" t="s">
        <v>377</v>
      </c>
      <c r="CI136" t="s">
        <v>1491</v>
      </c>
      <c r="CJ136">
        <v>3150</v>
      </c>
      <c r="CK136">
        <v>3150</v>
      </c>
      <c r="CL136" t="s">
        <v>1501</v>
      </c>
      <c r="CN136">
        <v>1</v>
      </c>
      <c r="CO136">
        <v>8800</v>
      </c>
      <c r="CP136">
        <v>8800</v>
      </c>
      <c r="CQ136" t="s">
        <v>379</v>
      </c>
      <c r="CS136">
        <v>0</v>
      </c>
    </row>
    <row r="137" spans="1:97" x14ac:dyDescent="0.4">
      <c r="A137" s="10">
        <v>43124</v>
      </c>
      <c r="B137" t="s">
        <v>198</v>
      </c>
      <c r="C137" t="s">
        <v>1502</v>
      </c>
      <c r="D137" t="s">
        <v>359</v>
      </c>
      <c r="E137" t="s">
        <v>1188</v>
      </c>
      <c r="F137" t="str">
        <f t="shared" si="54"/>
        <v>20180123-0000059</v>
      </c>
      <c r="G137">
        <v>1031916</v>
      </c>
      <c r="H137">
        <v>1</v>
      </c>
      <c r="I137" t="s">
        <v>1503</v>
      </c>
      <c r="L137">
        <v>0</v>
      </c>
      <c r="M137">
        <v>1</v>
      </c>
      <c r="O137" t="s">
        <v>361</v>
      </c>
      <c r="P137" t="s">
        <v>702</v>
      </c>
      <c r="S137" t="s">
        <v>1504</v>
      </c>
      <c r="T137" t="s">
        <v>364</v>
      </c>
      <c r="X137" t="s">
        <v>1505</v>
      </c>
      <c r="AA137">
        <v>8800</v>
      </c>
      <c r="AB137">
        <v>4.09</v>
      </c>
      <c r="AC137" t="s">
        <v>1506</v>
      </c>
      <c r="AD137">
        <v>7.02</v>
      </c>
      <c r="AE137">
        <v>7.21</v>
      </c>
      <c r="AF137" t="s">
        <v>1496</v>
      </c>
      <c r="AG137">
        <v>2350</v>
      </c>
      <c r="AK137">
        <v>18</v>
      </c>
      <c r="AL137" t="s">
        <v>1503</v>
      </c>
      <c r="AN137" t="s">
        <v>1507</v>
      </c>
      <c r="AQ137">
        <v>3150</v>
      </c>
      <c r="AR137" t="s">
        <v>368</v>
      </c>
      <c r="AS137">
        <v>613660397425</v>
      </c>
      <c r="AT137" t="str">
        <f t="shared" si="46"/>
        <v>피****아①</v>
      </c>
      <c r="AU137" t="str">
        <f t="shared" si="47"/>
        <v xml:space="preserve"> 1****0</v>
      </c>
      <c r="AV137" t="str">
        <f t="shared" si="48"/>
        <v>***-****-1406</v>
      </c>
      <c r="AW137" t="str">
        <f t="shared" si="49"/>
        <v xml:space="preserve"> 서* 강*구 방*동 5****5 2* 김****님</v>
      </c>
      <c r="AX137" t="str">
        <f>""</f>
        <v/>
      </c>
      <c r="AY137" t="str">
        <f t="shared" si="50"/>
        <v>***-****-0388</v>
      </c>
      <c r="AZ137">
        <v>29198</v>
      </c>
      <c r="BA137">
        <v>1039958</v>
      </c>
      <c r="BB137">
        <v>4500</v>
      </c>
      <c r="BC137" t="s">
        <v>1194</v>
      </c>
      <c r="BD137" t="s">
        <v>707</v>
      </c>
      <c r="BE137" t="str">
        <f t="shared" si="51"/>
        <v>피****아</v>
      </c>
      <c r="BF137" t="str">
        <f t="shared" si="52"/>
        <v>***-****-6097</v>
      </c>
      <c r="BG137" t="str">
        <f t="shared" si="53"/>
        <v>***-****-7488</v>
      </c>
      <c r="BH137" t="s">
        <v>453</v>
      </c>
      <c r="BI137" t="s">
        <v>454</v>
      </c>
      <c r="BJ137" t="s">
        <v>1508</v>
      </c>
      <c r="BK137" t="s">
        <v>456</v>
      </c>
      <c r="BL137">
        <v>21249</v>
      </c>
      <c r="BM137" t="str">
        <f>"21249"</f>
        <v>21249</v>
      </c>
      <c r="BN137" t="str">
        <f t="shared" si="55"/>
        <v>20180123-0000059</v>
      </c>
      <c r="BQ137" t="s">
        <v>373</v>
      </c>
      <c r="BU137">
        <v>34</v>
      </c>
      <c r="BV137" t="s">
        <v>1509</v>
      </c>
      <c r="BW137" t="s">
        <v>1503</v>
      </c>
      <c r="BX137" t="s">
        <v>198</v>
      </c>
      <c r="BY137">
        <v>0</v>
      </c>
      <c r="BZ137">
        <v>8806173442454</v>
      </c>
      <c r="CA137" t="s">
        <v>1510</v>
      </c>
      <c r="CF137" t="s">
        <v>1505</v>
      </c>
      <c r="CG137" t="s">
        <v>389</v>
      </c>
      <c r="CH137" t="s">
        <v>377</v>
      </c>
      <c r="CI137" t="s">
        <v>1502</v>
      </c>
      <c r="CJ137">
        <v>3150</v>
      </c>
      <c r="CK137">
        <v>3150</v>
      </c>
      <c r="CL137" t="s">
        <v>1511</v>
      </c>
      <c r="CN137">
        <v>1</v>
      </c>
      <c r="CO137">
        <v>8800</v>
      </c>
      <c r="CP137">
        <v>8800</v>
      </c>
      <c r="CQ137" t="s">
        <v>379</v>
      </c>
      <c r="CS137">
        <v>0</v>
      </c>
    </row>
    <row r="138" spans="1:97" x14ac:dyDescent="0.4">
      <c r="A138" s="10">
        <v>43124</v>
      </c>
      <c r="B138" t="s">
        <v>198</v>
      </c>
      <c r="C138" t="s">
        <v>1512</v>
      </c>
      <c r="D138" t="s">
        <v>359</v>
      </c>
      <c r="E138" t="s">
        <v>1188</v>
      </c>
      <c r="F138" t="str">
        <f t="shared" si="54"/>
        <v>20180123-0000059</v>
      </c>
      <c r="G138">
        <v>1031916</v>
      </c>
      <c r="H138">
        <v>1</v>
      </c>
      <c r="I138" t="s">
        <v>1513</v>
      </c>
      <c r="L138">
        <v>0</v>
      </c>
      <c r="M138">
        <v>1</v>
      </c>
      <c r="O138" t="s">
        <v>361</v>
      </c>
      <c r="P138" t="s">
        <v>702</v>
      </c>
      <c r="S138" t="s">
        <v>1514</v>
      </c>
      <c r="T138" t="s">
        <v>364</v>
      </c>
      <c r="X138" t="s">
        <v>1515</v>
      </c>
      <c r="AA138">
        <v>8800</v>
      </c>
      <c r="AB138">
        <v>4.09</v>
      </c>
      <c r="AC138" t="s">
        <v>1516</v>
      </c>
      <c r="AD138">
        <v>7.02</v>
      </c>
      <c r="AE138">
        <v>7.21</v>
      </c>
      <c r="AF138" t="s">
        <v>1496</v>
      </c>
      <c r="AG138">
        <v>2350</v>
      </c>
      <c r="AK138">
        <v>18</v>
      </c>
      <c r="AL138" t="s">
        <v>1513</v>
      </c>
      <c r="AN138" t="s">
        <v>1517</v>
      </c>
      <c r="AQ138">
        <v>3150</v>
      </c>
      <c r="AR138" t="s">
        <v>368</v>
      </c>
      <c r="AS138">
        <v>613660397425</v>
      </c>
      <c r="AT138" t="str">
        <f t="shared" si="46"/>
        <v>피****아①</v>
      </c>
      <c r="AU138" t="str">
        <f t="shared" si="47"/>
        <v xml:space="preserve"> 1****0</v>
      </c>
      <c r="AV138" t="str">
        <f t="shared" si="48"/>
        <v>***-****-1406</v>
      </c>
      <c r="AW138" t="str">
        <f t="shared" si="49"/>
        <v xml:space="preserve"> 서* 강*구 방*동 5****5 2* 김****님</v>
      </c>
      <c r="AX138" t="str">
        <f>""</f>
        <v/>
      </c>
      <c r="AY138" t="str">
        <f t="shared" si="50"/>
        <v>***-****-0388</v>
      </c>
      <c r="AZ138">
        <v>29391</v>
      </c>
      <c r="BA138">
        <v>1039957</v>
      </c>
      <c r="BB138">
        <v>4500</v>
      </c>
      <c r="BC138" t="s">
        <v>1194</v>
      </c>
      <c r="BD138" t="s">
        <v>707</v>
      </c>
      <c r="BE138" t="str">
        <f t="shared" si="51"/>
        <v>피****아</v>
      </c>
      <c r="BF138" t="str">
        <f t="shared" si="52"/>
        <v>***-****-6097</v>
      </c>
      <c r="BG138" t="str">
        <f t="shared" si="53"/>
        <v>***-****-7488</v>
      </c>
      <c r="BH138" t="s">
        <v>453</v>
      </c>
      <c r="BI138" t="s">
        <v>454</v>
      </c>
      <c r="BJ138" t="s">
        <v>1518</v>
      </c>
      <c r="BK138" t="s">
        <v>456</v>
      </c>
      <c r="BL138">
        <v>21249</v>
      </c>
      <c r="BM138" t="str">
        <f>"21249"</f>
        <v>21249</v>
      </c>
      <c r="BN138" t="str">
        <f t="shared" si="55"/>
        <v>20180123-0000059</v>
      </c>
      <c r="BQ138" t="s">
        <v>373</v>
      </c>
      <c r="BU138">
        <v>34</v>
      </c>
      <c r="BV138" t="s">
        <v>1519</v>
      </c>
      <c r="BW138" t="s">
        <v>1513</v>
      </c>
      <c r="BX138" t="s">
        <v>198</v>
      </c>
      <c r="BY138">
        <v>0</v>
      </c>
      <c r="BZ138">
        <v>8806173442447</v>
      </c>
      <c r="CA138" t="s">
        <v>1520</v>
      </c>
      <c r="CF138" t="s">
        <v>1515</v>
      </c>
      <c r="CG138" t="s">
        <v>389</v>
      </c>
      <c r="CH138" t="s">
        <v>377</v>
      </c>
      <c r="CI138" t="s">
        <v>1512</v>
      </c>
      <c r="CJ138">
        <v>3150</v>
      </c>
      <c r="CK138">
        <v>3150</v>
      </c>
      <c r="CL138" t="s">
        <v>1521</v>
      </c>
      <c r="CN138">
        <v>1</v>
      </c>
      <c r="CO138">
        <v>8800</v>
      </c>
      <c r="CP138">
        <v>8800</v>
      </c>
      <c r="CQ138" t="s">
        <v>379</v>
      </c>
      <c r="CS138">
        <v>0</v>
      </c>
    </row>
    <row r="139" spans="1:97" x14ac:dyDescent="0.4">
      <c r="A139" s="10">
        <v>43123</v>
      </c>
      <c r="B139" t="s">
        <v>123</v>
      </c>
      <c r="C139" t="s">
        <v>1522</v>
      </c>
      <c r="D139" t="s">
        <v>359</v>
      </c>
      <c r="E139" t="s">
        <v>1523</v>
      </c>
      <c r="F139" t="str">
        <f>"20180122-0000037"</f>
        <v>20180122-0000037</v>
      </c>
      <c r="G139">
        <v>1033940</v>
      </c>
      <c r="H139">
        <v>1</v>
      </c>
      <c r="I139" t="s">
        <v>1524</v>
      </c>
      <c r="L139">
        <v>0</v>
      </c>
      <c r="M139">
        <v>1</v>
      </c>
      <c r="O139" t="s">
        <v>361</v>
      </c>
      <c r="P139" t="s">
        <v>1123</v>
      </c>
      <c r="S139" t="s">
        <v>1525</v>
      </c>
      <c r="T139" t="s">
        <v>364</v>
      </c>
      <c r="X139" t="s">
        <v>1524</v>
      </c>
      <c r="Y139" t="s">
        <v>1125</v>
      </c>
      <c r="AA139">
        <v>8768</v>
      </c>
      <c r="AB139">
        <v>6.32</v>
      </c>
      <c r="AC139" t="s">
        <v>1526</v>
      </c>
      <c r="AD139">
        <v>6.89</v>
      </c>
      <c r="AE139">
        <v>7.08</v>
      </c>
      <c r="AF139" t="s">
        <v>1527</v>
      </c>
      <c r="AG139">
        <v>1880</v>
      </c>
      <c r="AK139">
        <v>26</v>
      </c>
      <c r="AL139" t="s">
        <v>1524</v>
      </c>
      <c r="AN139" t="s">
        <v>1528</v>
      </c>
      <c r="AQ139">
        <v>3060</v>
      </c>
      <c r="AR139" t="s">
        <v>368</v>
      </c>
      <c r="AS139">
        <v>613639038163</v>
      </c>
      <c r="AT139" t="str">
        <f>"강*현①"</f>
        <v>강*현①</v>
      </c>
      <c r="AU139" t="str">
        <f>" 1***1"</f>
        <v xml:space="preserve"> 1***1</v>
      </c>
      <c r="AV139" t="str">
        <f>"***-****-0441"</f>
        <v>***-****-0441</v>
      </c>
      <c r="AW139" t="str">
        <f>" 경* 파*시 송*로 1* (***) 팜*****트 1**동 4**호"</f>
        <v xml:space="preserve"> 경* 파*시 송*로 1* (***) 팜*****트 1**동 4**호</v>
      </c>
      <c r="AY139" t="str">
        <f>"***-****-0444"</f>
        <v>***-****-0444</v>
      </c>
      <c r="AZ139">
        <v>24083</v>
      </c>
      <c r="BA139">
        <v>1033940</v>
      </c>
      <c r="BB139">
        <v>6000</v>
      </c>
      <c r="BC139" t="s">
        <v>1529</v>
      </c>
      <c r="BD139" t="s">
        <v>1129</v>
      </c>
      <c r="BE139" t="str">
        <f>"강*현"</f>
        <v>강*현</v>
      </c>
      <c r="BF139" t="str">
        <f>"***-****-0441"</f>
        <v>***-****-0441</v>
      </c>
      <c r="BG139" t="str">
        <f>"***-****-0444"</f>
        <v>***-****-0444</v>
      </c>
      <c r="BH139" t="s">
        <v>453</v>
      </c>
      <c r="BI139" t="s">
        <v>454</v>
      </c>
      <c r="BJ139" t="s">
        <v>1530</v>
      </c>
      <c r="BK139" t="s">
        <v>456</v>
      </c>
      <c r="BL139">
        <v>13801</v>
      </c>
      <c r="BM139" t="str">
        <f>"13801"</f>
        <v>13801</v>
      </c>
      <c r="BN139" t="str">
        <f>"20180122-0000037"</f>
        <v>20180122-0000037</v>
      </c>
      <c r="BQ139" t="s">
        <v>373</v>
      </c>
      <c r="BV139" t="s">
        <v>1531</v>
      </c>
      <c r="BW139" t="s">
        <v>1524</v>
      </c>
      <c r="BX139" t="s">
        <v>123</v>
      </c>
      <c r="BZ139">
        <v>8809241889793</v>
      </c>
      <c r="CA139" t="s">
        <v>1532</v>
      </c>
      <c r="CF139" t="s">
        <v>1524</v>
      </c>
      <c r="CG139" t="s">
        <v>1533</v>
      </c>
      <c r="CH139" t="s">
        <v>377</v>
      </c>
      <c r="CI139" t="s">
        <v>1522</v>
      </c>
      <c r="CJ139">
        <v>3060</v>
      </c>
      <c r="CK139">
        <v>3060</v>
      </c>
      <c r="CL139" t="s">
        <v>1534</v>
      </c>
      <c r="CN139">
        <v>1</v>
      </c>
      <c r="CO139">
        <v>8768</v>
      </c>
      <c r="CP139">
        <v>8768</v>
      </c>
      <c r="CQ139" t="s">
        <v>379</v>
      </c>
      <c r="CS139">
        <v>0</v>
      </c>
    </row>
    <row r="140" spans="1:97" x14ac:dyDescent="0.4">
      <c r="A140" s="10">
        <v>43123</v>
      </c>
      <c r="B140" t="s">
        <v>146</v>
      </c>
      <c r="C140" t="s">
        <v>1535</v>
      </c>
      <c r="D140" t="s">
        <v>359</v>
      </c>
      <c r="E140" t="s">
        <v>1523</v>
      </c>
      <c r="F140" t="str">
        <f>"20180122-0000037"</f>
        <v>20180122-0000037</v>
      </c>
      <c r="G140">
        <v>1033940</v>
      </c>
      <c r="H140">
        <v>1</v>
      </c>
      <c r="I140" t="s">
        <v>1536</v>
      </c>
      <c r="L140">
        <v>0</v>
      </c>
      <c r="M140">
        <v>1</v>
      </c>
      <c r="O140" t="s">
        <v>361</v>
      </c>
      <c r="P140" t="s">
        <v>1123</v>
      </c>
      <c r="S140" t="s">
        <v>1537</v>
      </c>
      <c r="T140" t="s">
        <v>364</v>
      </c>
      <c r="X140" t="s">
        <v>1536</v>
      </c>
      <c r="Y140" t="s">
        <v>1125</v>
      </c>
      <c r="AA140">
        <v>24780</v>
      </c>
      <c r="AB140">
        <v>17.920000000000002</v>
      </c>
      <c r="AC140" t="s">
        <v>1538</v>
      </c>
      <c r="AD140">
        <v>19.54</v>
      </c>
      <c r="AE140">
        <v>20.07</v>
      </c>
      <c r="AF140" t="s">
        <v>1009</v>
      </c>
      <c r="AG140">
        <v>6500</v>
      </c>
      <c r="AL140" t="s">
        <v>1536</v>
      </c>
      <c r="AQ140">
        <v>8800</v>
      </c>
      <c r="AR140" t="s">
        <v>368</v>
      </c>
      <c r="AS140">
        <v>613639038163</v>
      </c>
      <c r="AT140" t="str">
        <f>"강*현①"</f>
        <v>강*현①</v>
      </c>
      <c r="AU140" t="str">
        <f>" 1***1"</f>
        <v xml:space="preserve"> 1***1</v>
      </c>
      <c r="AV140" t="str">
        <f>"***-****-0441"</f>
        <v>***-****-0441</v>
      </c>
      <c r="AW140" t="str">
        <f>" 경* 파*시 송*로 1* (***) 팜*****트 1**동 4**호"</f>
        <v xml:space="preserve"> 경* 파*시 송*로 1* (***) 팜*****트 1**동 4**호</v>
      </c>
      <c r="AY140" t="str">
        <f>"***-****-0444"</f>
        <v>***-****-0444</v>
      </c>
      <c r="AZ140">
        <v>14773</v>
      </c>
      <c r="BA140">
        <v>1033942</v>
      </c>
      <c r="BB140">
        <v>16000</v>
      </c>
      <c r="BC140" t="s">
        <v>1529</v>
      </c>
      <c r="BD140" t="s">
        <v>1129</v>
      </c>
      <c r="BE140" t="str">
        <f>"강*현"</f>
        <v>강*현</v>
      </c>
      <c r="BF140" t="str">
        <f>"***-****-0441"</f>
        <v>***-****-0441</v>
      </c>
      <c r="BG140" t="str">
        <f>"***-****-0444"</f>
        <v>***-****-0444</v>
      </c>
      <c r="BH140" t="s">
        <v>453</v>
      </c>
      <c r="BI140" t="s">
        <v>454</v>
      </c>
      <c r="BJ140" t="s">
        <v>1539</v>
      </c>
      <c r="BK140" t="s">
        <v>456</v>
      </c>
      <c r="BL140">
        <v>17084</v>
      </c>
      <c r="BM140" t="str">
        <f>"17084"</f>
        <v>17084</v>
      </c>
      <c r="BN140" t="str">
        <f>"20180122-0000037"</f>
        <v>20180122-0000037</v>
      </c>
      <c r="BQ140" t="s">
        <v>373</v>
      </c>
      <c r="BU140">
        <v>455</v>
      </c>
      <c r="BV140" t="s">
        <v>1540</v>
      </c>
      <c r="BW140" t="s">
        <v>1536</v>
      </c>
      <c r="BX140" t="s">
        <v>146</v>
      </c>
      <c r="BY140">
        <v>0</v>
      </c>
      <c r="BZ140">
        <v>8806164146309</v>
      </c>
      <c r="CA140" t="s">
        <v>1541</v>
      </c>
      <c r="CF140" t="s">
        <v>1536</v>
      </c>
      <c r="CG140" t="s">
        <v>444</v>
      </c>
      <c r="CH140" t="s">
        <v>377</v>
      </c>
      <c r="CI140" t="s">
        <v>1535</v>
      </c>
      <c r="CJ140">
        <v>8800</v>
      </c>
      <c r="CK140">
        <v>8800</v>
      </c>
      <c r="CL140" t="s">
        <v>1542</v>
      </c>
      <c r="CN140">
        <v>1</v>
      </c>
      <c r="CO140">
        <v>24780</v>
      </c>
      <c r="CP140">
        <v>24780</v>
      </c>
      <c r="CQ140" t="s">
        <v>379</v>
      </c>
      <c r="CS140">
        <v>0</v>
      </c>
    </row>
    <row r="141" spans="1:97" x14ac:dyDescent="0.4">
      <c r="A141" s="10">
        <v>43123</v>
      </c>
      <c r="B141" t="s">
        <v>146</v>
      </c>
      <c r="C141" t="s">
        <v>1543</v>
      </c>
      <c r="D141" t="s">
        <v>359</v>
      </c>
      <c r="E141" t="s">
        <v>1523</v>
      </c>
      <c r="F141" t="str">
        <f>"20180122-0000037"</f>
        <v>20180122-0000037</v>
      </c>
      <c r="G141">
        <v>1033940</v>
      </c>
      <c r="H141">
        <v>1</v>
      </c>
      <c r="I141" t="s">
        <v>1544</v>
      </c>
      <c r="L141">
        <v>0</v>
      </c>
      <c r="M141">
        <v>1</v>
      </c>
      <c r="O141" t="s">
        <v>361</v>
      </c>
      <c r="P141" t="s">
        <v>1123</v>
      </c>
      <c r="S141" t="s">
        <v>1545</v>
      </c>
      <c r="T141" t="s">
        <v>364</v>
      </c>
      <c r="X141" t="s">
        <v>1544</v>
      </c>
      <c r="Y141" t="s">
        <v>1125</v>
      </c>
      <c r="AA141">
        <v>24780</v>
      </c>
      <c r="AB141">
        <v>17.920000000000002</v>
      </c>
      <c r="AC141" t="s">
        <v>1546</v>
      </c>
      <c r="AD141">
        <v>19.54</v>
      </c>
      <c r="AE141">
        <v>20.07</v>
      </c>
      <c r="AF141" t="s">
        <v>1009</v>
      </c>
      <c r="AG141">
        <v>6500</v>
      </c>
      <c r="AL141" t="s">
        <v>1544</v>
      </c>
      <c r="AQ141">
        <v>8800</v>
      </c>
      <c r="AR141" t="s">
        <v>368</v>
      </c>
      <c r="AS141">
        <v>613639038163</v>
      </c>
      <c r="AT141" t="str">
        <f>"강*현①"</f>
        <v>강*현①</v>
      </c>
      <c r="AU141" t="str">
        <f>" 1***1"</f>
        <v xml:space="preserve"> 1***1</v>
      </c>
      <c r="AV141" t="str">
        <f>"***-****-0441"</f>
        <v>***-****-0441</v>
      </c>
      <c r="AW141" t="str">
        <f>" 경* 파*시 송*로 1* (***) 팜*****트 1**동 4**호"</f>
        <v xml:space="preserve"> 경* 파*시 송*로 1* (***) 팜*****트 1**동 4**호</v>
      </c>
      <c r="AY141" t="str">
        <f>"***-****-0444"</f>
        <v>***-****-0444</v>
      </c>
      <c r="AZ141">
        <v>14774</v>
      </c>
      <c r="BA141">
        <v>1033941</v>
      </c>
      <c r="BB141">
        <v>16000</v>
      </c>
      <c r="BC141" t="s">
        <v>1529</v>
      </c>
      <c r="BD141" t="s">
        <v>1129</v>
      </c>
      <c r="BE141" t="str">
        <f>"강*현"</f>
        <v>강*현</v>
      </c>
      <c r="BF141" t="str">
        <f>"***-****-0441"</f>
        <v>***-****-0441</v>
      </c>
      <c r="BG141" t="str">
        <f>"***-****-0444"</f>
        <v>***-****-0444</v>
      </c>
      <c r="BH141" t="s">
        <v>453</v>
      </c>
      <c r="BI141" t="s">
        <v>454</v>
      </c>
      <c r="BJ141" t="s">
        <v>1547</v>
      </c>
      <c r="BK141" t="s">
        <v>456</v>
      </c>
      <c r="BL141">
        <v>17083</v>
      </c>
      <c r="BM141" t="str">
        <f>"17083"</f>
        <v>17083</v>
      </c>
      <c r="BN141" t="str">
        <f>"20180122-0000037"</f>
        <v>20180122-0000037</v>
      </c>
      <c r="BQ141" t="s">
        <v>373</v>
      </c>
      <c r="BU141">
        <v>379</v>
      </c>
      <c r="BV141" t="s">
        <v>1548</v>
      </c>
      <c r="BW141" t="s">
        <v>1544</v>
      </c>
      <c r="BX141" t="s">
        <v>146</v>
      </c>
      <c r="BY141">
        <v>0</v>
      </c>
      <c r="BZ141">
        <v>8806164130018</v>
      </c>
      <c r="CA141" t="s">
        <v>1549</v>
      </c>
      <c r="CF141" t="s">
        <v>1544</v>
      </c>
      <c r="CG141" t="s">
        <v>534</v>
      </c>
      <c r="CH141" t="s">
        <v>377</v>
      </c>
      <c r="CI141" t="s">
        <v>1543</v>
      </c>
      <c r="CJ141">
        <v>8800</v>
      </c>
      <c r="CK141">
        <v>8800</v>
      </c>
      <c r="CL141" t="s">
        <v>1550</v>
      </c>
      <c r="CN141">
        <v>1</v>
      </c>
      <c r="CO141">
        <v>24780</v>
      </c>
      <c r="CP141">
        <v>24780</v>
      </c>
      <c r="CQ141" t="s">
        <v>379</v>
      </c>
      <c r="CS141">
        <v>0</v>
      </c>
    </row>
    <row r="142" spans="1:97" x14ac:dyDescent="0.4">
      <c r="A142" s="10">
        <v>43123</v>
      </c>
      <c r="B142" t="s">
        <v>176</v>
      </c>
      <c r="C142" t="s">
        <v>1551</v>
      </c>
      <c r="D142" t="s">
        <v>359</v>
      </c>
      <c r="E142" t="s">
        <v>1552</v>
      </c>
      <c r="F142" t="str">
        <f t="shared" ref="F142:F166" si="57">"20180122-0000044"</f>
        <v>20180122-0000044</v>
      </c>
      <c r="G142">
        <v>1033910</v>
      </c>
      <c r="H142">
        <v>5</v>
      </c>
      <c r="I142" t="s">
        <v>1553</v>
      </c>
      <c r="L142">
        <v>0</v>
      </c>
      <c r="M142">
        <v>1</v>
      </c>
      <c r="O142" t="s">
        <v>361</v>
      </c>
      <c r="P142" t="s">
        <v>1169</v>
      </c>
      <c r="S142" t="s">
        <v>1554</v>
      </c>
      <c r="T142" t="s">
        <v>364</v>
      </c>
      <c r="X142" t="s">
        <v>1553</v>
      </c>
      <c r="AA142">
        <v>8460</v>
      </c>
      <c r="AB142">
        <v>6</v>
      </c>
      <c r="AC142" t="s">
        <v>1555</v>
      </c>
      <c r="AD142">
        <v>6.54</v>
      </c>
      <c r="AE142">
        <v>6.72</v>
      </c>
      <c r="AF142" t="s">
        <v>1098</v>
      </c>
      <c r="AG142">
        <v>1880</v>
      </c>
      <c r="AK142">
        <v>23</v>
      </c>
      <c r="AL142" t="s">
        <v>1553</v>
      </c>
      <c r="AQ142">
        <v>3600</v>
      </c>
      <c r="AR142" t="s">
        <v>368</v>
      </c>
      <c r="AS142">
        <v>613639038174</v>
      </c>
      <c r="AT142" t="str">
        <f t="shared" ref="AT142:AT166" si="58">"이*수①"</f>
        <v>이*수①</v>
      </c>
      <c r="AU142" t="str">
        <f t="shared" ref="AU142:AU166" si="59">" 2***2"</f>
        <v xml:space="preserve"> 2***2</v>
      </c>
      <c r="AV142" t="str">
        <f t="shared" ref="AV142:AV166" si="60">"***-****-9592"</f>
        <v>***-****-9592</v>
      </c>
      <c r="AW142" t="str">
        <f t="shared" ref="AW142:AW166" si="61">" 인* 서* 원**로 8*2 (***) 삼***자 5**호 햇*찬 글*벌"</f>
        <v xml:space="preserve"> 인* 서* 원**로 8*2 (***) 삼***자 5**호 햇*찬 글*벌</v>
      </c>
      <c r="AY142" t="str">
        <f t="shared" ref="AY142:AY166" si="62">"***-****-9597"</f>
        <v>***-****-9597</v>
      </c>
      <c r="AZ142">
        <v>23904</v>
      </c>
      <c r="BA142">
        <v>1033910</v>
      </c>
      <c r="BB142">
        <v>30000</v>
      </c>
      <c r="BC142" t="s">
        <v>1556</v>
      </c>
      <c r="BD142" t="s">
        <v>1129</v>
      </c>
      <c r="BE142" t="str">
        <f t="shared" ref="BE142:BE166" si="63">"이*수"</f>
        <v>이*수</v>
      </c>
      <c r="BF142" t="str">
        <f t="shared" ref="BF142:BF166" si="64">"***-****-9592"</f>
        <v>***-****-9592</v>
      </c>
      <c r="BG142" t="str">
        <f t="shared" ref="BG142:BG166" si="65">"***-****-9597"</f>
        <v>***-****-9597</v>
      </c>
      <c r="BH142" t="s">
        <v>453</v>
      </c>
      <c r="BI142" t="s">
        <v>454</v>
      </c>
      <c r="BJ142" t="s">
        <v>1557</v>
      </c>
      <c r="BK142" t="s">
        <v>456</v>
      </c>
      <c r="BL142">
        <v>20431</v>
      </c>
      <c r="BM142" t="str">
        <f>"20431"</f>
        <v>20431</v>
      </c>
      <c r="BN142" t="str">
        <f t="shared" ref="BN142:BN166" si="66">"20180122-0000044"</f>
        <v>20180122-0000044</v>
      </c>
      <c r="BQ142" t="s">
        <v>373</v>
      </c>
      <c r="BV142" t="s">
        <v>1558</v>
      </c>
      <c r="BW142" t="s">
        <v>1553</v>
      </c>
      <c r="BX142" t="s">
        <v>176</v>
      </c>
      <c r="BY142">
        <v>0</v>
      </c>
      <c r="BZ142">
        <v>8809526215521</v>
      </c>
      <c r="CA142" t="s">
        <v>1559</v>
      </c>
      <c r="CF142" t="s">
        <v>1553</v>
      </c>
      <c r="CG142" t="s">
        <v>1560</v>
      </c>
      <c r="CH142" t="s">
        <v>377</v>
      </c>
      <c r="CI142" t="s">
        <v>1551</v>
      </c>
      <c r="CJ142">
        <v>3600</v>
      </c>
      <c r="CK142">
        <v>18000</v>
      </c>
      <c r="CL142" t="s">
        <v>1561</v>
      </c>
      <c r="CN142">
        <v>5</v>
      </c>
      <c r="CO142">
        <v>8460</v>
      </c>
      <c r="CP142">
        <v>42300</v>
      </c>
      <c r="CQ142" t="s">
        <v>379</v>
      </c>
      <c r="CS142">
        <v>0</v>
      </c>
    </row>
    <row r="143" spans="1:97" x14ac:dyDescent="0.4">
      <c r="A143" s="10">
        <v>43123</v>
      </c>
      <c r="B143" t="s">
        <v>123</v>
      </c>
      <c r="C143" t="s">
        <v>1562</v>
      </c>
      <c r="D143" t="s">
        <v>359</v>
      </c>
      <c r="E143" t="s">
        <v>1552</v>
      </c>
      <c r="F143" t="str">
        <f t="shared" si="57"/>
        <v>20180122-0000044</v>
      </c>
      <c r="G143">
        <v>1033910</v>
      </c>
      <c r="H143">
        <v>1</v>
      </c>
      <c r="I143" t="s">
        <v>1563</v>
      </c>
      <c r="L143">
        <v>0</v>
      </c>
      <c r="M143">
        <v>1</v>
      </c>
      <c r="O143" t="s">
        <v>361</v>
      </c>
      <c r="P143" t="s">
        <v>1169</v>
      </c>
      <c r="S143" t="s">
        <v>1564</v>
      </c>
      <c r="T143" t="s">
        <v>364</v>
      </c>
      <c r="X143" t="s">
        <v>1563</v>
      </c>
      <c r="AA143">
        <v>27365</v>
      </c>
      <c r="AB143">
        <v>21.78</v>
      </c>
      <c r="AC143" t="s">
        <v>1565</v>
      </c>
      <c r="AD143">
        <v>23.74</v>
      </c>
      <c r="AE143">
        <v>24.39</v>
      </c>
      <c r="AF143" t="s">
        <v>1566</v>
      </c>
      <c r="AG143">
        <v>3770</v>
      </c>
      <c r="AH143">
        <v>116</v>
      </c>
      <c r="AI143">
        <v>3770</v>
      </c>
      <c r="AK143">
        <v>55</v>
      </c>
      <c r="AL143" t="s">
        <v>1563</v>
      </c>
      <c r="AQ143">
        <v>14688</v>
      </c>
      <c r="AR143" t="s">
        <v>368</v>
      </c>
      <c r="AS143">
        <v>613639038174</v>
      </c>
      <c r="AT143" t="str">
        <f t="shared" si="58"/>
        <v>이*수①</v>
      </c>
      <c r="AU143" t="str">
        <f t="shared" si="59"/>
        <v xml:space="preserve"> 2***2</v>
      </c>
      <c r="AV143" t="str">
        <f t="shared" si="60"/>
        <v>***-****-9592</v>
      </c>
      <c r="AW143" t="str">
        <f t="shared" si="61"/>
        <v xml:space="preserve"> 인* 서* 원**로 8*2 (***) 삼***자 5**호 햇*찬 글*벌</v>
      </c>
      <c r="AY143" t="str">
        <f t="shared" si="62"/>
        <v>***-****-9597</v>
      </c>
      <c r="AZ143">
        <v>10857</v>
      </c>
      <c r="BA143">
        <v>1033920</v>
      </c>
      <c r="BB143">
        <v>28800</v>
      </c>
      <c r="BC143" t="s">
        <v>1556</v>
      </c>
      <c r="BD143" t="s">
        <v>1129</v>
      </c>
      <c r="BE143" t="str">
        <f t="shared" si="63"/>
        <v>이*수</v>
      </c>
      <c r="BF143" t="str">
        <f t="shared" si="64"/>
        <v>***-****-9592</v>
      </c>
      <c r="BG143" t="str">
        <f t="shared" si="65"/>
        <v>***-****-9597</v>
      </c>
      <c r="BH143" t="s">
        <v>453</v>
      </c>
      <c r="BI143" t="s">
        <v>454</v>
      </c>
      <c r="BJ143" t="s">
        <v>1567</v>
      </c>
      <c r="BK143" t="s">
        <v>456</v>
      </c>
      <c r="BL143">
        <v>14564</v>
      </c>
      <c r="BM143" t="str">
        <f>"14564"</f>
        <v>14564</v>
      </c>
      <c r="BN143" t="str">
        <f t="shared" si="66"/>
        <v>20180122-0000044</v>
      </c>
      <c r="BQ143" t="s">
        <v>373</v>
      </c>
      <c r="BU143">
        <v>193</v>
      </c>
      <c r="BV143" t="s">
        <v>1568</v>
      </c>
      <c r="BW143" t="s">
        <v>1563</v>
      </c>
      <c r="BX143" t="s">
        <v>123</v>
      </c>
      <c r="BY143">
        <v>0</v>
      </c>
      <c r="BZ143">
        <v>8809323734683</v>
      </c>
      <c r="CA143" t="s">
        <v>1569</v>
      </c>
      <c r="CF143" t="s">
        <v>1563</v>
      </c>
      <c r="CG143" t="s">
        <v>591</v>
      </c>
      <c r="CH143" t="s">
        <v>377</v>
      </c>
      <c r="CI143" t="s">
        <v>1562</v>
      </c>
      <c r="CJ143">
        <v>14688</v>
      </c>
      <c r="CK143">
        <v>14688</v>
      </c>
      <c r="CL143" t="s">
        <v>1570</v>
      </c>
      <c r="CN143">
        <v>1</v>
      </c>
      <c r="CO143">
        <v>27365</v>
      </c>
      <c r="CP143">
        <v>27365</v>
      </c>
      <c r="CQ143" t="s">
        <v>379</v>
      </c>
      <c r="CS143">
        <v>1</v>
      </c>
    </row>
    <row r="144" spans="1:97" x14ac:dyDescent="0.4">
      <c r="A144" s="10">
        <v>43123</v>
      </c>
      <c r="B144" t="s">
        <v>215</v>
      </c>
      <c r="C144" t="s">
        <v>1571</v>
      </c>
      <c r="D144" t="s">
        <v>359</v>
      </c>
      <c r="E144" t="s">
        <v>1552</v>
      </c>
      <c r="F144" t="str">
        <f t="shared" si="57"/>
        <v>20180122-0000044</v>
      </c>
      <c r="G144">
        <v>1033910</v>
      </c>
      <c r="H144">
        <v>1</v>
      </c>
      <c r="I144" t="s">
        <v>1572</v>
      </c>
      <c r="L144">
        <v>0</v>
      </c>
      <c r="M144">
        <v>1</v>
      </c>
      <c r="O144" t="s">
        <v>361</v>
      </c>
      <c r="P144" t="s">
        <v>1169</v>
      </c>
      <c r="S144" t="s">
        <v>1573</v>
      </c>
      <c r="T144" t="s">
        <v>364</v>
      </c>
      <c r="X144" t="s">
        <v>1572</v>
      </c>
      <c r="AA144">
        <v>10512</v>
      </c>
      <c r="AB144">
        <v>5.54</v>
      </c>
      <c r="AC144" t="s">
        <v>1574</v>
      </c>
      <c r="AD144">
        <v>6.04</v>
      </c>
      <c r="AE144">
        <v>6.21</v>
      </c>
      <c r="AF144" t="s">
        <v>402</v>
      </c>
      <c r="AG144">
        <v>1880</v>
      </c>
      <c r="AH144">
        <v>31</v>
      </c>
      <c r="AI144">
        <v>1880</v>
      </c>
      <c r="AK144">
        <v>15</v>
      </c>
      <c r="AL144" t="s">
        <v>1572</v>
      </c>
      <c r="AN144" t="s">
        <v>1575</v>
      </c>
      <c r="AQ144">
        <v>2480</v>
      </c>
      <c r="AR144" t="s">
        <v>368</v>
      </c>
      <c r="AS144">
        <v>613639038174</v>
      </c>
      <c r="AT144" t="str">
        <f t="shared" si="58"/>
        <v>이*수①</v>
      </c>
      <c r="AU144" t="str">
        <f t="shared" si="59"/>
        <v xml:space="preserve"> 2***2</v>
      </c>
      <c r="AV144" t="str">
        <f t="shared" si="60"/>
        <v>***-****-9592</v>
      </c>
      <c r="AW144" t="str">
        <f t="shared" si="61"/>
        <v xml:space="preserve"> 인* 서* 원**로 8*2 (***) 삼***자 5**호 햇*찬 글*벌</v>
      </c>
      <c r="AY144" t="str">
        <f t="shared" si="62"/>
        <v>***-****-9597</v>
      </c>
      <c r="AZ144">
        <v>26862</v>
      </c>
      <c r="BA144">
        <v>1033921</v>
      </c>
      <c r="BB144">
        <v>4000</v>
      </c>
      <c r="BC144" t="s">
        <v>1556</v>
      </c>
      <c r="BD144" t="s">
        <v>1129</v>
      </c>
      <c r="BE144" t="str">
        <f t="shared" si="63"/>
        <v>이*수</v>
      </c>
      <c r="BF144" t="str">
        <f t="shared" si="64"/>
        <v>***-****-9592</v>
      </c>
      <c r="BG144" t="str">
        <f t="shared" si="65"/>
        <v>***-****-9597</v>
      </c>
      <c r="BH144" t="s">
        <v>453</v>
      </c>
      <c r="BI144" t="s">
        <v>454</v>
      </c>
      <c r="BJ144" t="s">
        <v>1576</v>
      </c>
      <c r="BK144" t="s">
        <v>456</v>
      </c>
      <c r="BL144">
        <v>13212</v>
      </c>
      <c r="BM144" t="str">
        <f>"13212"</f>
        <v>13212</v>
      </c>
      <c r="BN144" t="str">
        <f t="shared" si="66"/>
        <v>20180122-0000044</v>
      </c>
      <c r="BQ144" t="s">
        <v>373</v>
      </c>
      <c r="BV144" t="s">
        <v>1577</v>
      </c>
      <c r="BW144" t="s">
        <v>1572</v>
      </c>
      <c r="BX144" t="s">
        <v>215</v>
      </c>
      <c r="BY144">
        <v>0</v>
      </c>
      <c r="BZ144">
        <v>8806338708753</v>
      </c>
      <c r="CA144" t="s">
        <v>1578</v>
      </c>
      <c r="CF144" t="s">
        <v>1572</v>
      </c>
      <c r="CG144" t="s">
        <v>458</v>
      </c>
      <c r="CH144" t="s">
        <v>377</v>
      </c>
      <c r="CI144" t="s">
        <v>1571</v>
      </c>
      <c r="CJ144">
        <v>2480</v>
      </c>
      <c r="CK144">
        <v>2480</v>
      </c>
      <c r="CL144" t="s">
        <v>1579</v>
      </c>
      <c r="CN144">
        <v>1</v>
      </c>
      <c r="CO144">
        <v>10512</v>
      </c>
      <c r="CP144">
        <v>10512</v>
      </c>
      <c r="CQ144" t="s">
        <v>379</v>
      </c>
      <c r="CS144">
        <v>28</v>
      </c>
    </row>
    <row r="145" spans="1:97" x14ac:dyDescent="0.4">
      <c r="A145" s="10">
        <v>43123</v>
      </c>
      <c r="B145" t="s">
        <v>215</v>
      </c>
      <c r="C145" t="s">
        <v>1580</v>
      </c>
      <c r="D145" t="s">
        <v>359</v>
      </c>
      <c r="E145" t="s">
        <v>1552</v>
      </c>
      <c r="F145" t="str">
        <f t="shared" si="57"/>
        <v>20180122-0000044</v>
      </c>
      <c r="G145">
        <v>1033910</v>
      </c>
      <c r="H145">
        <v>1</v>
      </c>
      <c r="I145" t="s">
        <v>1581</v>
      </c>
      <c r="L145">
        <v>0</v>
      </c>
      <c r="M145">
        <v>1</v>
      </c>
      <c r="O145" t="s">
        <v>361</v>
      </c>
      <c r="P145" t="s">
        <v>1169</v>
      </c>
      <c r="S145" t="s">
        <v>1582</v>
      </c>
      <c r="T145" t="s">
        <v>364</v>
      </c>
      <c r="X145" t="s">
        <v>1581</v>
      </c>
      <c r="AA145">
        <v>15358</v>
      </c>
      <c r="AB145">
        <v>13.12</v>
      </c>
      <c r="AC145" t="s">
        <v>1583</v>
      </c>
      <c r="AD145">
        <v>14.3</v>
      </c>
      <c r="AE145">
        <v>14.69</v>
      </c>
      <c r="AF145" t="s">
        <v>1584</v>
      </c>
      <c r="AG145">
        <v>3770</v>
      </c>
      <c r="AK145">
        <v>77</v>
      </c>
      <c r="AL145" t="s">
        <v>1581</v>
      </c>
      <c r="AQ145">
        <v>7440</v>
      </c>
      <c r="AR145" t="s">
        <v>368</v>
      </c>
      <c r="AS145">
        <v>613639038174</v>
      </c>
      <c r="AT145" t="str">
        <f t="shared" si="58"/>
        <v>이*수①</v>
      </c>
      <c r="AU145" t="str">
        <f t="shared" si="59"/>
        <v xml:space="preserve"> 2***2</v>
      </c>
      <c r="AV145" t="str">
        <f t="shared" si="60"/>
        <v>***-****-9592</v>
      </c>
      <c r="AW145" t="str">
        <f t="shared" si="61"/>
        <v xml:space="preserve"> 인* 서* 원**로 8*2 (***) 삼***자 5**호 햇*찬 글*벌</v>
      </c>
      <c r="AY145" t="str">
        <f t="shared" si="62"/>
        <v>***-****-9597</v>
      </c>
      <c r="AZ145">
        <v>17994</v>
      </c>
      <c r="BA145">
        <v>1033928</v>
      </c>
      <c r="BB145">
        <v>12000</v>
      </c>
      <c r="BC145" t="s">
        <v>1556</v>
      </c>
      <c r="BD145" t="s">
        <v>1129</v>
      </c>
      <c r="BE145" t="str">
        <f t="shared" si="63"/>
        <v>이*수</v>
      </c>
      <c r="BF145" t="str">
        <f t="shared" si="64"/>
        <v>***-****-9592</v>
      </c>
      <c r="BG145" t="str">
        <f t="shared" si="65"/>
        <v>***-****-9597</v>
      </c>
      <c r="BH145" t="s">
        <v>453</v>
      </c>
      <c r="BI145" t="s">
        <v>454</v>
      </c>
      <c r="BJ145" t="s">
        <v>1585</v>
      </c>
      <c r="BK145" t="s">
        <v>456</v>
      </c>
      <c r="BL145">
        <v>17977</v>
      </c>
      <c r="BM145" t="str">
        <f>"17977"</f>
        <v>17977</v>
      </c>
      <c r="BN145" t="str">
        <f t="shared" si="66"/>
        <v>20180122-0000044</v>
      </c>
      <c r="BQ145" t="s">
        <v>373</v>
      </c>
      <c r="BV145" t="s">
        <v>1586</v>
      </c>
      <c r="BW145" t="s">
        <v>1581</v>
      </c>
      <c r="BX145" t="s">
        <v>215</v>
      </c>
      <c r="BY145">
        <v>0</v>
      </c>
      <c r="BZ145">
        <v>8806199429781</v>
      </c>
      <c r="CA145" t="s">
        <v>1587</v>
      </c>
      <c r="CF145" t="s">
        <v>1581</v>
      </c>
      <c r="CG145" t="s">
        <v>489</v>
      </c>
      <c r="CH145" t="s">
        <v>377</v>
      </c>
      <c r="CI145" t="s">
        <v>1580</v>
      </c>
      <c r="CJ145">
        <v>7440</v>
      </c>
      <c r="CK145">
        <v>7440</v>
      </c>
      <c r="CL145" t="s">
        <v>1588</v>
      </c>
      <c r="CN145">
        <v>1</v>
      </c>
      <c r="CO145">
        <v>15358</v>
      </c>
      <c r="CP145">
        <v>15358</v>
      </c>
      <c r="CQ145" t="s">
        <v>379</v>
      </c>
      <c r="CS145">
        <v>0</v>
      </c>
    </row>
    <row r="146" spans="1:97" x14ac:dyDescent="0.4">
      <c r="A146" s="10">
        <v>43123</v>
      </c>
      <c r="B146" t="s">
        <v>215</v>
      </c>
      <c r="C146" t="s">
        <v>1589</v>
      </c>
      <c r="D146" t="s">
        <v>359</v>
      </c>
      <c r="E146" t="s">
        <v>1552</v>
      </c>
      <c r="F146" t="str">
        <f t="shared" si="57"/>
        <v>20180122-0000044</v>
      </c>
      <c r="G146">
        <v>1033910</v>
      </c>
      <c r="H146">
        <v>1</v>
      </c>
      <c r="I146" t="s">
        <v>1590</v>
      </c>
      <c r="L146">
        <v>0</v>
      </c>
      <c r="M146">
        <v>1</v>
      </c>
      <c r="O146" t="s">
        <v>361</v>
      </c>
      <c r="P146" t="s">
        <v>1169</v>
      </c>
      <c r="S146" t="s">
        <v>1591</v>
      </c>
      <c r="T146" t="s">
        <v>364</v>
      </c>
      <c r="X146" t="s">
        <v>1590</v>
      </c>
      <c r="AA146">
        <v>12128</v>
      </c>
      <c r="AB146">
        <v>10.09</v>
      </c>
      <c r="AC146" t="s">
        <v>1592</v>
      </c>
      <c r="AD146">
        <v>11</v>
      </c>
      <c r="AE146">
        <v>11.3</v>
      </c>
      <c r="AF146" t="s">
        <v>1593</v>
      </c>
      <c r="AG146">
        <v>1880</v>
      </c>
      <c r="AH146">
        <v>48</v>
      </c>
      <c r="AI146">
        <v>1880</v>
      </c>
      <c r="AK146">
        <v>31</v>
      </c>
      <c r="AL146" t="s">
        <v>1590</v>
      </c>
      <c r="AN146" t="s">
        <v>1594</v>
      </c>
      <c r="AQ146">
        <v>5890</v>
      </c>
      <c r="AR146" t="s">
        <v>368</v>
      </c>
      <c r="AS146">
        <v>613639038174</v>
      </c>
      <c r="AT146" t="str">
        <f t="shared" si="58"/>
        <v>이*수①</v>
      </c>
      <c r="AU146" t="str">
        <f t="shared" si="59"/>
        <v xml:space="preserve"> 2***2</v>
      </c>
      <c r="AV146" t="str">
        <f t="shared" si="60"/>
        <v>***-****-9592</v>
      </c>
      <c r="AW146" t="str">
        <f t="shared" si="61"/>
        <v xml:space="preserve"> 인* 서* 원**로 8*2 (***) 삼***자 5**호 햇*찬 글*벌</v>
      </c>
      <c r="AY146" t="str">
        <f t="shared" si="62"/>
        <v>***-****-9597</v>
      </c>
      <c r="AZ146">
        <v>27151</v>
      </c>
      <c r="BA146">
        <v>1033935</v>
      </c>
      <c r="BB146">
        <v>9500</v>
      </c>
      <c r="BC146" t="s">
        <v>1556</v>
      </c>
      <c r="BD146" t="s">
        <v>1129</v>
      </c>
      <c r="BE146" t="str">
        <f t="shared" si="63"/>
        <v>이*수</v>
      </c>
      <c r="BF146" t="str">
        <f t="shared" si="64"/>
        <v>***-****-9592</v>
      </c>
      <c r="BG146" t="str">
        <f t="shared" si="65"/>
        <v>***-****-9597</v>
      </c>
      <c r="BH146" t="s">
        <v>453</v>
      </c>
      <c r="BI146" t="s">
        <v>454</v>
      </c>
      <c r="BJ146" t="s">
        <v>1595</v>
      </c>
      <c r="BK146" t="s">
        <v>456</v>
      </c>
      <c r="BL146">
        <v>17466</v>
      </c>
      <c r="BM146" t="str">
        <f>"17466"</f>
        <v>17466</v>
      </c>
      <c r="BN146" t="str">
        <f t="shared" si="66"/>
        <v>20180122-0000044</v>
      </c>
      <c r="BQ146" t="s">
        <v>373</v>
      </c>
      <c r="BV146" t="s">
        <v>1596</v>
      </c>
      <c r="BW146" t="s">
        <v>1590</v>
      </c>
      <c r="BX146" t="s">
        <v>215</v>
      </c>
      <c r="BY146">
        <v>0</v>
      </c>
      <c r="BZ146">
        <v>8806199419164</v>
      </c>
      <c r="CA146" t="s">
        <v>1597</v>
      </c>
      <c r="CF146" t="s">
        <v>1590</v>
      </c>
      <c r="CG146" t="s">
        <v>1037</v>
      </c>
      <c r="CH146" t="s">
        <v>377</v>
      </c>
      <c r="CI146" t="s">
        <v>1589</v>
      </c>
      <c r="CJ146">
        <v>5890</v>
      </c>
      <c r="CK146">
        <v>5890</v>
      </c>
      <c r="CL146" t="s">
        <v>1598</v>
      </c>
      <c r="CN146">
        <v>1</v>
      </c>
      <c r="CO146">
        <v>12128</v>
      </c>
      <c r="CP146">
        <v>12128</v>
      </c>
      <c r="CQ146" t="s">
        <v>379</v>
      </c>
      <c r="CS146">
        <v>0</v>
      </c>
    </row>
    <row r="147" spans="1:97" x14ac:dyDescent="0.4">
      <c r="A147" s="10">
        <v>43123</v>
      </c>
      <c r="B147" t="s">
        <v>215</v>
      </c>
      <c r="C147" t="s">
        <v>1599</v>
      </c>
      <c r="D147" t="s">
        <v>359</v>
      </c>
      <c r="E147" t="s">
        <v>1552</v>
      </c>
      <c r="F147" t="str">
        <f t="shared" si="57"/>
        <v>20180122-0000044</v>
      </c>
      <c r="G147">
        <v>1033910</v>
      </c>
      <c r="H147">
        <v>2</v>
      </c>
      <c r="I147" t="s">
        <v>1600</v>
      </c>
      <c r="L147">
        <v>0</v>
      </c>
      <c r="M147">
        <v>1</v>
      </c>
      <c r="O147" t="s">
        <v>361</v>
      </c>
      <c r="P147" t="s">
        <v>1169</v>
      </c>
      <c r="S147" t="s">
        <v>1601</v>
      </c>
      <c r="T147" t="s">
        <v>364</v>
      </c>
      <c r="X147" t="s">
        <v>1600</v>
      </c>
      <c r="AA147">
        <v>12128</v>
      </c>
      <c r="AB147">
        <v>10.09</v>
      </c>
      <c r="AC147" t="s">
        <v>1602</v>
      </c>
      <c r="AD147">
        <v>11</v>
      </c>
      <c r="AE147">
        <v>11.3</v>
      </c>
      <c r="AF147" t="s">
        <v>1593</v>
      </c>
      <c r="AG147">
        <v>1880</v>
      </c>
      <c r="AK147">
        <v>31</v>
      </c>
      <c r="AL147" t="s">
        <v>1600</v>
      </c>
      <c r="AN147" t="s">
        <v>1603</v>
      </c>
      <c r="AQ147">
        <v>5890</v>
      </c>
      <c r="AR147" t="s">
        <v>368</v>
      </c>
      <c r="AS147">
        <v>613639038174</v>
      </c>
      <c r="AT147" t="str">
        <f t="shared" si="58"/>
        <v>이*수①</v>
      </c>
      <c r="AU147" t="str">
        <f t="shared" si="59"/>
        <v xml:space="preserve"> 2***2</v>
      </c>
      <c r="AV147" t="str">
        <f t="shared" si="60"/>
        <v>***-****-9592</v>
      </c>
      <c r="AW147" t="str">
        <f t="shared" si="61"/>
        <v xml:space="preserve"> 인* 서* 원**로 8*2 (***) 삼***자 5**호 햇*찬 글*벌</v>
      </c>
      <c r="AY147" t="str">
        <f t="shared" si="62"/>
        <v>***-****-9597</v>
      </c>
      <c r="AZ147">
        <v>28221</v>
      </c>
      <c r="BA147">
        <v>1033934</v>
      </c>
      <c r="BB147">
        <v>19000</v>
      </c>
      <c r="BC147" t="s">
        <v>1556</v>
      </c>
      <c r="BD147" t="s">
        <v>1129</v>
      </c>
      <c r="BE147" t="str">
        <f t="shared" si="63"/>
        <v>이*수</v>
      </c>
      <c r="BF147" t="str">
        <f t="shared" si="64"/>
        <v>***-****-9592</v>
      </c>
      <c r="BG147" t="str">
        <f t="shared" si="65"/>
        <v>***-****-9597</v>
      </c>
      <c r="BH147" t="s">
        <v>453</v>
      </c>
      <c r="BI147" t="s">
        <v>454</v>
      </c>
      <c r="BJ147" t="s">
        <v>1604</v>
      </c>
      <c r="BK147" t="s">
        <v>456</v>
      </c>
      <c r="BL147">
        <v>17466</v>
      </c>
      <c r="BM147" t="str">
        <f>"17466"</f>
        <v>17466</v>
      </c>
      <c r="BN147" t="str">
        <f t="shared" si="66"/>
        <v>20180122-0000044</v>
      </c>
      <c r="BQ147" t="s">
        <v>373</v>
      </c>
      <c r="BV147" t="s">
        <v>1605</v>
      </c>
      <c r="BW147" t="s">
        <v>1600</v>
      </c>
      <c r="BX147" t="s">
        <v>215</v>
      </c>
      <c r="BY147">
        <v>0</v>
      </c>
      <c r="BZ147">
        <v>8806199419102</v>
      </c>
      <c r="CA147" t="s">
        <v>1606</v>
      </c>
      <c r="CF147" t="s">
        <v>1600</v>
      </c>
      <c r="CG147" t="s">
        <v>1037</v>
      </c>
      <c r="CH147" t="s">
        <v>377</v>
      </c>
      <c r="CI147" t="s">
        <v>1599</v>
      </c>
      <c r="CJ147">
        <v>5890</v>
      </c>
      <c r="CK147">
        <v>11780</v>
      </c>
      <c r="CL147" t="s">
        <v>1607</v>
      </c>
      <c r="CN147">
        <v>2</v>
      </c>
      <c r="CO147">
        <v>12128</v>
      </c>
      <c r="CP147">
        <v>24256</v>
      </c>
      <c r="CQ147" t="s">
        <v>379</v>
      </c>
      <c r="CS147">
        <v>0</v>
      </c>
    </row>
    <row r="148" spans="1:97" x14ac:dyDescent="0.4">
      <c r="A148" s="10">
        <v>43123</v>
      </c>
      <c r="B148" t="s">
        <v>215</v>
      </c>
      <c r="C148" t="s">
        <v>1608</v>
      </c>
      <c r="D148" t="s">
        <v>359</v>
      </c>
      <c r="E148" t="s">
        <v>1552</v>
      </c>
      <c r="F148" t="str">
        <f t="shared" si="57"/>
        <v>20180122-0000044</v>
      </c>
      <c r="G148">
        <v>1033910</v>
      </c>
      <c r="H148">
        <v>1</v>
      </c>
      <c r="I148" t="s">
        <v>1609</v>
      </c>
      <c r="L148">
        <v>0</v>
      </c>
      <c r="M148">
        <v>1</v>
      </c>
      <c r="O148" t="s">
        <v>361</v>
      </c>
      <c r="P148" t="s">
        <v>1169</v>
      </c>
      <c r="S148" t="s">
        <v>1610</v>
      </c>
      <c r="T148" t="s">
        <v>364</v>
      </c>
      <c r="X148" t="s">
        <v>1609</v>
      </c>
      <c r="AA148">
        <v>12128</v>
      </c>
      <c r="AB148">
        <v>10.09</v>
      </c>
      <c r="AC148" t="s">
        <v>1611</v>
      </c>
      <c r="AD148">
        <v>11</v>
      </c>
      <c r="AE148">
        <v>11.3</v>
      </c>
      <c r="AF148" t="s">
        <v>1593</v>
      </c>
      <c r="AG148">
        <v>1880</v>
      </c>
      <c r="AK148">
        <v>31</v>
      </c>
      <c r="AL148" t="s">
        <v>1609</v>
      </c>
      <c r="AN148" t="s">
        <v>1612</v>
      </c>
      <c r="AQ148">
        <v>5890</v>
      </c>
      <c r="AR148" t="s">
        <v>368</v>
      </c>
      <c r="AS148">
        <v>613639038174</v>
      </c>
      <c r="AT148" t="str">
        <f t="shared" si="58"/>
        <v>이*수①</v>
      </c>
      <c r="AU148" t="str">
        <f t="shared" si="59"/>
        <v xml:space="preserve"> 2***2</v>
      </c>
      <c r="AV148" t="str">
        <f t="shared" si="60"/>
        <v>***-****-9592</v>
      </c>
      <c r="AW148" t="str">
        <f t="shared" si="61"/>
        <v xml:space="preserve"> 인* 서* 원**로 8*2 (***) 삼***자 5**호 햇*찬 글*벌</v>
      </c>
      <c r="AY148" t="str">
        <f t="shared" si="62"/>
        <v>***-****-9597</v>
      </c>
      <c r="AZ148">
        <v>28041</v>
      </c>
      <c r="BA148">
        <v>1033933</v>
      </c>
      <c r="BB148">
        <v>9500</v>
      </c>
      <c r="BC148" t="s">
        <v>1556</v>
      </c>
      <c r="BD148" t="s">
        <v>1129</v>
      </c>
      <c r="BE148" t="str">
        <f t="shared" si="63"/>
        <v>이*수</v>
      </c>
      <c r="BF148" t="str">
        <f t="shared" si="64"/>
        <v>***-****-9592</v>
      </c>
      <c r="BG148" t="str">
        <f t="shared" si="65"/>
        <v>***-****-9597</v>
      </c>
      <c r="BH148" t="s">
        <v>453</v>
      </c>
      <c r="BI148" t="s">
        <v>454</v>
      </c>
      <c r="BJ148" t="s">
        <v>1613</v>
      </c>
      <c r="BK148" t="s">
        <v>456</v>
      </c>
      <c r="BL148">
        <v>17466</v>
      </c>
      <c r="BM148" t="str">
        <f>"17466"</f>
        <v>17466</v>
      </c>
      <c r="BN148" t="str">
        <f t="shared" si="66"/>
        <v>20180122-0000044</v>
      </c>
      <c r="BQ148" t="s">
        <v>373</v>
      </c>
      <c r="BV148" t="s">
        <v>1614</v>
      </c>
      <c r="BW148" t="s">
        <v>1609</v>
      </c>
      <c r="BX148" t="s">
        <v>215</v>
      </c>
      <c r="BY148">
        <v>0</v>
      </c>
      <c r="BZ148">
        <v>8806199419096</v>
      </c>
      <c r="CA148" t="s">
        <v>1615</v>
      </c>
      <c r="CF148" t="s">
        <v>1609</v>
      </c>
      <c r="CG148" t="s">
        <v>1037</v>
      </c>
      <c r="CH148" t="s">
        <v>377</v>
      </c>
      <c r="CI148" t="s">
        <v>1608</v>
      </c>
      <c r="CJ148">
        <v>5890</v>
      </c>
      <c r="CK148">
        <v>5890</v>
      </c>
      <c r="CL148" t="s">
        <v>1616</v>
      </c>
      <c r="CN148">
        <v>1</v>
      </c>
      <c r="CO148">
        <v>12128</v>
      </c>
      <c r="CP148">
        <v>12128</v>
      </c>
      <c r="CQ148" t="s">
        <v>379</v>
      </c>
      <c r="CS148">
        <v>1</v>
      </c>
    </row>
    <row r="149" spans="1:97" x14ac:dyDescent="0.4">
      <c r="A149" s="10">
        <v>43123</v>
      </c>
      <c r="B149" t="s">
        <v>215</v>
      </c>
      <c r="C149" t="s">
        <v>1617</v>
      </c>
      <c r="D149" t="s">
        <v>359</v>
      </c>
      <c r="E149" t="s">
        <v>1552</v>
      </c>
      <c r="F149" t="str">
        <f t="shared" si="57"/>
        <v>20180122-0000044</v>
      </c>
      <c r="G149">
        <v>1033910</v>
      </c>
      <c r="H149">
        <v>1</v>
      </c>
      <c r="I149" t="s">
        <v>1618</v>
      </c>
      <c r="L149">
        <v>0</v>
      </c>
      <c r="M149">
        <v>1</v>
      </c>
      <c r="O149" t="s">
        <v>361</v>
      </c>
      <c r="P149" t="s">
        <v>1169</v>
      </c>
      <c r="S149" t="s">
        <v>1619</v>
      </c>
      <c r="T149" t="s">
        <v>364</v>
      </c>
      <c r="X149" t="s">
        <v>1618</v>
      </c>
      <c r="AA149">
        <v>9728</v>
      </c>
      <c r="AB149">
        <v>7.2</v>
      </c>
      <c r="AC149" t="s">
        <v>1620</v>
      </c>
      <c r="AD149">
        <v>7.85</v>
      </c>
      <c r="AE149">
        <v>8.06</v>
      </c>
      <c r="AF149" t="s">
        <v>1621</v>
      </c>
      <c r="AG149">
        <v>1880</v>
      </c>
      <c r="AH149">
        <v>83</v>
      </c>
      <c r="AI149">
        <v>1880</v>
      </c>
      <c r="AK149">
        <v>18</v>
      </c>
      <c r="AL149" t="s">
        <v>1618</v>
      </c>
      <c r="AN149" t="s">
        <v>1622</v>
      </c>
      <c r="AQ149">
        <v>3720</v>
      </c>
      <c r="AR149" t="s">
        <v>368</v>
      </c>
      <c r="AS149">
        <v>613639038174</v>
      </c>
      <c r="AT149" t="str">
        <f t="shared" si="58"/>
        <v>이*수①</v>
      </c>
      <c r="AU149" t="str">
        <f t="shared" si="59"/>
        <v xml:space="preserve"> 2***2</v>
      </c>
      <c r="AV149" t="str">
        <f t="shared" si="60"/>
        <v>***-****-9592</v>
      </c>
      <c r="AW149" t="str">
        <f t="shared" si="61"/>
        <v xml:space="preserve"> 인* 서* 원**로 8*2 (***) 삼***자 5**호 햇*찬 글*벌</v>
      </c>
      <c r="AY149" t="str">
        <f t="shared" si="62"/>
        <v>***-****-9597</v>
      </c>
      <c r="AZ149">
        <v>27249</v>
      </c>
      <c r="BA149">
        <v>1033925</v>
      </c>
      <c r="BB149">
        <v>6000</v>
      </c>
      <c r="BC149" t="s">
        <v>1556</v>
      </c>
      <c r="BD149" t="s">
        <v>1129</v>
      </c>
      <c r="BE149" t="str">
        <f t="shared" si="63"/>
        <v>이*수</v>
      </c>
      <c r="BF149" t="str">
        <f t="shared" si="64"/>
        <v>***-****-9592</v>
      </c>
      <c r="BG149" t="str">
        <f t="shared" si="65"/>
        <v>***-****-9597</v>
      </c>
      <c r="BH149" t="s">
        <v>453</v>
      </c>
      <c r="BI149" t="s">
        <v>454</v>
      </c>
      <c r="BJ149" t="s">
        <v>1623</v>
      </c>
      <c r="BK149" t="s">
        <v>456</v>
      </c>
      <c r="BL149">
        <v>13216</v>
      </c>
      <c r="BM149" t="str">
        <f>"13216"</f>
        <v>13216</v>
      </c>
      <c r="BN149" t="str">
        <f t="shared" si="66"/>
        <v>20180122-0000044</v>
      </c>
      <c r="BQ149" t="s">
        <v>373</v>
      </c>
      <c r="BV149" t="s">
        <v>1618</v>
      </c>
      <c r="BW149" t="s">
        <v>1618</v>
      </c>
      <c r="BX149" t="s">
        <v>215</v>
      </c>
      <c r="BZ149">
        <v>8806382605459</v>
      </c>
      <c r="CA149" t="s">
        <v>1624</v>
      </c>
      <c r="CF149" t="s">
        <v>1618</v>
      </c>
      <c r="CG149" t="s">
        <v>458</v>
      </c>
      <c r="CH149" t="s">
        <v>377</v>
      </c>
      <c r="CI149" t="s">
        <v>1617</v>
      </c>
      <c r="CJ149">
        <v>3720</v>
      </c>
      <c r="CK149">
        <v>3720</v>
      </c>
      <c r="CL149" t="s">
        <v>1625</v>
      </c>
      <c r="CN149">
        <v>1</v>
      </c>
      <c r="CO149">
        <v>9728</v>
      </c>
      <c r="CP149">
        <v>9728</v>
      </c>
      <c r="CQ149" t="s">
        <v>379</v>
      </c>
      <c r="CS149">
        <v>7</v>
      </c>
    </row>
    <row r="150" spans="1:97" x14ac:dyDescent="0.4">
      <c r="A150" s="10">
        <v>43123</v>
      </c>
      <c r="B150" t="s">
        <v>215</v>
      </c>
      <c r="C150" t="s">
        <v>1626</v>
      </c>
      <c r="D150" t="s">
        <v>359</v>
      </c>
      <c r="E150" t="s">
        <v>1552</v>
      </c>
      <c r="F150" t="str">
        <f t="shared" si="57"/>
        <v>20180122-0000044</v>
      </c>
      <c r="G150">
        <v>1033910</v>
      </c>
      <c r="H150">
        <v>1</v>
      </c>
      <c r="I150" t="s">
        <v>1627</v>
      </c>
      <c r="L150">
        <v>0</v>
      </c>
      <c r="M150">
        <v>1</v>
      </c>
      <c r="O150" t="s">
        <v>361</v>
      </c>
      <c r="P150" t="s">
        <v>1169</v>
      </c>
      <c r="S150" t="s">
        <v>1628</v>
      </c>
      <c r="T150" t="s">
        <v>364</v>
      </c>
      <c r="X150" t="s">
        <v>1627</v>
      </c>
      <c r="AA150">
        <v>12608</v>
      </c>
      <c r="AB150">
        <v>10.5</v>
      </c>
      <c r="AC150" t="s">
        <v>1629</v>
      </c>
      <c r="AD150">
        <v>11.45</v>
      </c>
      <c r="AE150">
        <v>11.77</v>
      </c>
      <c r="AF150" t="s">
        <v>805</v>
      </c>
      <c r="AG150">
        <v>1880</v>
      </c>
      <c r="AH150">
        <v>110</v>
      </c>
      <c r="AI150">
        <v>3770</v>
      </c>
      <c r="AK150">
        <v>37</v>
      </c>
      <c r="AL150" t="s">
        <v>1627</v>
      </c>
      <c r="AN150" t="s">
        <v>1630</v>
      </c>
      <c r="AQ150">
        <v>6200</v>
      </c>
      <c r="AR150" t="s">
        <v>368</v>
      </c>
      <c r="AS150">
        <v>613639038174</v>
      </c>
      <c r="AT150" t="str">
        <f t="shared" si="58"/>
        <v>이*수①</v>
      </c>
      <c r="AU150" t="str">
        <f t="shared" si="59"/>
        <v xml:space="preserve"> 2***2</v>
      </c>
      <c r="AV150" t="str">
        <f t="shared" si="60"/>
        <v>***-****-9592</v>
      </c>
      <c r="AW150" t="str">
        <f t="shared" si="61"/>
        <v xml:space="preserve"> 인* 서* 원**로 8*2 (***) 삼***자 5**호 햇*찬 글*벌</v>
      </c>
      <c r="AY150" t="str">
        <f t="shared" si="62"/>
        <v>***-****-9597</v>
      </c>
      <c r="AZ150">
        <v>28762</v>
      </c>
      <c r="BA150">
        <v>1033937</v>
      </c>
      <c r="BB150">
        <v>10000</v>
      </c>
      <c r="BC150" t="s">
        <v>1556</v>
      </c>
      <c r="BD150" t="s">
        <v>1129</v>
      </c>
      <c r="BE150" t="str">
        <f t="shared" si="63"/>
        <v>이*수</v>
      </c>
      <c r="BF150" t="str">
        <f t="shared" si="64"/>
        <v>***-****-9592</v>
      </c>
      <c r="BG150" t="str">
        <f t="shared" si="65"/>
        <v>***-****-9597</v>
      </c>
      <c r="BH150" t="s">
        <v>453</v>
      </c>
      <c r="BI150" t="s">
        <v>454</v>
      </c>
      <c r="BJ150" t="s">
        <v>1631</v>
      </c>
      <c r="BK150" t="s">
        <v>456</v>
      </c>
      <c r="BL150">
        <v>18063</v>
      </c>
      <c r="BM150" t="str">
        <f>"18063"</f>
        <v>18063</v>
      </c>
      <c r="BN150" t="str">
        <f t="shared" si="66"/>
        <v>20180122-0000044</v>
      </c>
      <c r="BQ150" t="s">
        <v>373</v>
      </c>
      <c r="BV150" t="s">
        <v>1632</v>
      </c>
      <c r="BW150" t="s">
        <v>1627</v>
      </c>
      <c r="BX150" t="s">
        <v>215</v>
      </c>
      <c r="BY150">
        <v>0</v>
      </c>
      <c r="BZ150">
        <v>8806199443114</v>
      </c>
      <c r="CA150" t="s">
        <v>1633</v>
      </c>
      <c r="CF150" t="s">
        <v>1627</v>
      </c>
      <c r="CG150" t="s">
        <v>376</v>
      </c>
      <c r="CH150" t="s">
        <v>377</v>
      </c>
      <c r="CI150" t="s">
        <v>1626</v>
      </c>
      <c r="CJ150">
        <v>6200</v>
      </c>
      <c r="CK150">
        <v>6200</v>
      </c>
      <c r="CL150" t="s">
        <v>1346</v>
      </c>
      <c r="CN150">
        <v>1</v>
      </c>
      <c r="CO150">
        <v>12608</v>
      </c>
      <c r="CP150">
        <v>12608</v>
      </c>
      <c r="CQ150" t="s">
        <v>379</v>
      </c>
      <c r="CS150">
        <v>6</v>
      </c>
    </row>
    <row r="151" spans="1:97" x14ac:dyDescent="0.4">
      <c r="A151" s="10">
        <v>43123</v>
      </c>
      <c r="B151" t="s">
        <v>210</v>
      </c>
      <c r="C151" t="s">
        <v>1634</v>
      </c>
      <c r="D151" t="s">
        <v>359</v>
      </c>
      <c r="E151" t="s">
        <v>1552</v>
      </c>
      <c r="F151" t="str">
        <f t="shared" si="57"/>
        <v>20180122-0000044</v>
      </c>
      <c r="G151">
        <v>1033910</v>
      </c>
      <c r="H151">
        <v>5</v>
      </c>
      <c r="I151" t="s">
        <v>1635</v>
      </c>
      <c r="L151">
        <v>0</v>
      </c>
      <c r="M151">
        <v>1</v>
      </c>
      <c r="O151" t="s">
        <v>361</v>
      </c>
      <c r="P151" t="s">
        <v>1169</v>
      </c>
      <c r="S151" t="s">
        <v>1636</v>
      </c>
      <c r="T151" t="s">
        <v>364</v>
      </c>
      <c r="X151" t="s">
        <v>1635</v>
      </c>
      <c r="AA151">
        <v>4680</v>
      </c>
      <c r="AB151">
        <v>3.1</v>
      </c>
      <c r="AC151" t="s">
        <v>1637</v>
      </c>
      <c r="AD151">
        <v>3.38</v>
      </c>
      <c r="AE151">
        <v>3.48</v>
      </c>
      <c r="AF151" t="s">
        <v>1638</v>
      </c>
      <c r="AG151">
        <v>1880</v>
      </c>
      <c r="AK151">
        <v>28</v>
      </c>
      <c r="AL151" t="s">
        <v>1635</v>
      </c>
      <c r="AQ151">
        <v>650</v>
      </c>
      <c r="AR151" t="s">
        <v>368</v>
      </c>
      <c r="AS151">
        <v>613639038174</v>
      </c>
      <c r="AT151" t="str">
        <f t="shared" si="58"/>
        <v>이*수①</v>
      </c>
      <c r="AU151" t="str">
        <f t="shared" si="59"/>
        <v xml:space="preserve"> 2***2</v>
      </c>
      <c r="AV151" t="str">
        <f t="shared" si="60"/>
        <v>***-****-9592</v>
      </c>
      <c r="AW151" t="str">
        <f t="shared" si="61"/>
        <v xml:space="preserve"> 인* 서* 원**로 8*2 (***) 삼***자 5**호 햇*찬 글*벌</v>
      </c>
      <c r="AY151" t="str">
        <f t="shared" si="62"/>
        <v>***-****-9597</v>
      </c>
      <c r="AZ151">
        <v>11735</v>
      </c>
      <c r="BA151">
        <v>1033917</v>
      </c>
      <c r="BB151">
        <v>5000</v>
      </c>
      <c r="BC151" t="s">
        <v>1556</v>
      </c>
      <c r="BD151" t="s">
        <v>1129</v>
      </c>
      <c r="BE151" t="str">
        <f t="shared" si="63"/>
        <v>이*수</v>
      </c>
      <c r="BF151" t="str">
        <f t="shared" si="64"/>
        <v>***-****-9592</v>
      </c>
      <c r="BG151" t="str">
        <f t="shared" si="65"/>
        <v>***-****-9597</v>
      </c>
      <c r="BH151" t="s">
        <v>453</v>
      </c>
      <c r="BI151" t="s">
        <v>454</v>
      </c>
      <c r="BJ151" t="s">
        <v>1639</v>
      </c>
      <c r="BK151" t="s">
        <v>456</v>
      </c>
      <c r="BL151">
        <v>15362</v>
      </c>
      <c r="BM151" t="str">
        <f>"15362"</f>
        <v>15362</v>
      </c>
      <c r="BN151" t="str">
        <f t="shared" si="66"/>
        <v>20180122-0000044</v>
      </c>
      <c r="BQ151" t="s">
        <v>373</v>
      </c>
      <c r="BV151" t="s">
        <v>1640</v>
      </c>
      <c r="BW151" t="s">
        <v>1635</v>
      </c>
      <c r="BX151" t="s">
        <v>210</v>
      </c>
      <c r="BY151">
        <v>0</v>
      </c>
      <c r="BZ151">
        <v>8801042785250</v>
      </c>
      <c r="CA151" t="s">
        <v>1641</v>
      </c>
      <c r="CF151" t="s">
        <v>1635</v>
      </c>
      <c r="CG151" t="s">
        <v>433</v>
      </c>
      <c r="CH151" t="s">
        <v>377</v>
      </c>
      <c r="CI151" t="s">
        <v>1634</v>
      </c>
      <c r="CJ151">
        <v>650</v>
      </c>
      <c r="CK151">
        <v>3250</v>
      </c>
      <c r="CL151" t="s">
        <v>1642</v>
      </c>
      <c r="CN151">
        <v>5</v>
      </c>
      <c r="CO151">
        <v>4680</v>
      </c>
      <c r="CP151">
        <v>23400</v>
      </c>
      <c r="CQ151" t="s">
        <v>379</v>
      </c>
      <c r="CS151">
        <v>0</v>
      </c>
    </row>
    <row r="152" spans="1:97" x14ac:dyDescent="0.4">
      <c r="A152" s="10">
        <v>43123</v>
      </c>
      <c r="B152" t="s">
        <v>210</v>
      </c>
      <c r="C152" t="s">
        <v>1643</v>
      </c>
      <c r="D152" t="s">
        <v>359</v>
      </c>
      <c r="E152" t="s">
        <v>1552</v>
      </c>
      <c r="F152" t="str">
        <f t="shared" si="57"/>
        <v>20180122-0000044</v>
      </c>
      <c r="G152">
        <v>1033910</v>
      </c>
      <c r="H152">
        <v>1</v>
      </c>
      <c r="I152" t="s">
        <v>1644</v>
      </c>
      <c r="L152">
        <v>0</v>
      </c>
      <c r="M152">
        <v>1</v>
      </c>
      <c r="O152" t="s">
        <v>361</v>
      </c>
      <c r="P152" t="s">
        <v>1169</v>
      </c>
      <c r="S152" t="s">
        <v>1645</v>
      </c>
      <c r="T152" t="s">
        <v>364</v>
      </c>
      <c r="X152" t="s">
        <v>1646</v>
      </c>
      <c r="AA152">
        <v>10288</v>
      </c>
      <c r="AB152">
        <v>8.3000000000000007</v>
      </c>
      <c r="AC152" t="s">
        <v>1647</v>
      </c>
      <c r="AD152">
        <v>9.0500000000000007</v>
      </c>
      <c r="AE152">
        <v>9.3000000000000007</v>
      </c>
      <c r="AF152" t="s">
        <v>1648</v>
      </c>
      <c r="AG152">
        <v>1880</v>
      </c>
      <c r="AK152">
        <v>36</v>
      </c>
      <c r="AL152" t="s">
        <v>1644</v>
      </c>
      <c r="AN152" t="s">
        <v>1649</v>
      </c>
      <c r="AQ152">
        <v>4550</v>
      </c>
      <c r="AR152" t="s">
        <v>368</v>
      </c>
      <c r="AS152">
        <v>613639038174</v>
      </c>
      <c r="AT152" t="str">
        <f t="shared" si="58"/>
        <v>이*수①</v>
      </c>
      <c r="AU152" t="str">
        <f t="shared" si="59"/>
        <v xml:space="preserve"> 2***2</v>
      </c>
      <c r="AV152" t="str">
        <f t="shared" si="60"/>
        <v>***-****-9592</v>
      </c>
      <c r="AW152" t="str">
        <f t="shared" si="61"/>
        <v xml:space="preserve"> 인* 서* 원**로 8*2 (***) 삼***자 5**호 햇*찬 글*벌</v>
      </c>
      <c r="AY152" t="str">
        <f t="shared" si="62"/>
        <v>***-****-9597</v>
      </c>
      <c r="AZ152">
        <v>28301</v>
      </c>
      <c r="BA152">
        <v>1033918</v>
      </c>
      <c r="BB152">
        <v>7000</v>
      </c>
      <c r="BC152" t="s">
        <v>1556</v>
      </c>
      <c r="BD152" t="s">
        <v>1129</v>
      </c>
      <c r="BE152" t="str">
        <f t="shared" si="63"/>
        <v>이*수</v>
      </c>
      <c r="BF152" t="str">
        <f t="shared" si="64"/>
        <v>***-****-9592</v>
      </c>
      <c r="BG152" t="str">
        <f t="shared" si="65"/>
        <v>***-****-9597</v>
      </c>
      <c r="BH152" t="s">
        <v>453</v>
      </c>
      <c r="BI152" t="s">
        <v>454</v>
      </c>
      <c r="BJ152" t="s">
        <v>1650</v>
      </c>
      <c r="BK152" t="s">
        <v>456</v>
      </c>
      <c r="BL152">
        <v>20594</v>
      </c>
      <c r="BM152" t="str">
        <f>"20594"</f>
        <v>20594</v>
      </c>
      <c r="BN152" t="str">
        <f t="shared" si="66"/>
        <v>20180122-0000044</v>
      </c>
      <c r="BQ152" t="s">
        <v>373</v>
      </c>
      <c r="BV152" t="s">
        <v>1651</v>
      </c>
      <c r="BW152" t="s">
        <v>1644</v>
      </c>
      <c r="BX152" t="s">
        <v>210</v>
      </c>
      <c r="BY152">
        <v>0</v>
      </c>
      <c r="BZ152">
        <v>8809539429571</v>
      </c>
      <c r="CA152" t="s">
        <v>1652</v>
      </c>
      <c r="CF152" t="s">
        <v>1646</v>
      </c>
      <c r="CG152" t="s">
        <v>1653</v>
      </c>
      <c r="CH152" t="s">
        <v>377</v>
      </c>
      <c r="CI152" t="s">
        <v>1643</v>
      </c>
      <c r="CJ152">
        <v>4550</v>
      </c>
      <c r="CK152">
        <v>4550</v>
      </c>
      <c r="CL152" t="s">
        <v>1654</v>
      </c>
      <c r="CN152">
        <v>1</v>
      </c>
      <c r="CO152">
        <v>10288</v>
      </c>
      <c r="CP152">
        <v>10288</v>
      </c>
      <c r="CQ152" t="s">
        <v>379</v>
      </c>
      <c r="CS152">
        <v>0</v>
      </c>
    </row>
    <row r="153" spans="1:97" x14ac:dyDescent="0.4">
      <c r="A153" s="10">
        <v>43123</v>
      </c>
      <c r="B153" t="s">
        <v>210</v>
      </c>
      <c r="C153" t="s">
        <v>1655</v>
      </c>
      <c r="D153" t="s">
        <v>359</v>
      </c>
      <c r="E153" t="s">
        <v>1552</v>
      </c>
      <c r="F153" t="str">
        <f t="shared" si="57"/>
        <v>20180122-0000044</v>
      </c>
      <c r="G153">
        <v>1033910</v>
      </c>
      <c r="H153">
        <v>1</v>
      </c>
      <c r="I153" t="s">
        <v>1656</v>
      </c>
      <c r="L153">
        <v>0</v>
      </c>
      <c r="M153">
        <v>1</v>
      </c>
      <c r="O153" t="s">
        <v>361</v>
      </c>
      <c r="P153" t="s">
        <v>1169</v>
      </c>
      <c r="S153" t="s">
        <v>1657</v>
      </c>
      <c r="T153" t="s">
        <v>364</v>
      </c>
      <c r="X153" t="s">
        <v>1656</v>
      </c>
      <c r="AA153">
        <v>11328</v>
      </c>
      <c r="AB153">
        <v>8.7200000000000006</v>
      </c>
      <c r="AC153" t="s">
        <v>1658</v>
      </c>
      <c r="AD153">
        <v>9.51</v>
      </c>
      <c r="AE153">
        <v>9.77</v>
      </c>
      <c r="AF153" t="s">
        <v>1659</v>
      </c>
      <c r="AG153">
        <v>1880</v>
      </c>
      <c r="AK153">
        <v>38</v>
      </c>
      <c r="AL153" t="s">
        <v>1656</v>
      </c>
      <c r="AN153" t="s">
        <v>1660</v>
      </c>
      <c r="AQ153">
        <v>5200</v>
      </c>
      <c r="AR153" t="s">
        <v>368</v>
      </c>
      <c r="AS153">
        <v>613639038174</v>
      </c>
      <c r="AT153" t="str">
        <f t="shared" si="58"/>
        <v>이*수①</v>
      </c>
      <c r="AU153" t="str">
        <f t="shared" si="59"/>
        <v xml:space="preserve"> 2***2</v>
      </c>
      <c r="AV153" t="str">
        <f t="shared" si="60"/>
        <v>***-****-9592</v>
      </c>
      <c r="AW153" t="str">
        <f t="shared" si="61"/>
        <v xml:space="preserve"> 인* 서* 원**로 8*2 (***) 삼***자 5**호 햇*찬 글*벌</v>
      </c>
      <c r="AY153" t="str">
        <f t="shared" si="62"/>
        <v>***-****-9597</v>
      </c>
      <c r="AZ153">
        <v>29344</v>
      </c>
      <c r="BA153">
        <v>1033919</v>
      </c>
      <c r="BB153">
        <v>8000</v>
      </c>
      <c r="BC153" t="s">
        <v>1556</v>
      </c>
      <c r="BD153" t="s">
        <v>1129</v>
      </c>
      <c r="BE153" t="str">
        <f t="shared" si="63"/>
        <v>이*수</v>
      </c>
      <c r="BF153" t="str">
        <f t="shared" si="64"/>
        <v>***-****-9592</v>
      </c>
      <c r="BG153" t="str">
        <f t="shared" si="65"/>
        <v>***-****-9597</v>
      </c>
      <c r="BH153" t="s">
        <v>453</v>
      </c>
      <c r="BI153" t="s">
        <v>454</v>
      </c>
      <c r="BJ153" t="s">
        <v>1661</v>
      </c>
      <c r="BK153" t="s">
        <v>456</v>
      </c>
      <c r="BL153">
        <v>20435</v>
      </c>
      <c r="BM153" t="str">
        <f>"20435"</f>
        <v>20435</v>
      </c>
      <c r="BN153" t="str">
        <f t="shared" si="66"/>
        <v>20180122-0000044</v>
      </c>
      <c r="BQ153" t="s">
        <v>373</v>
      </c>
      <c r="BU153">
        <v>65</v>
      </c>
      <c r="BV153" t="s">
        <v>1662</v>
      </c>
      <c r="BW153" t="s">
        <v>1656</v>
      </c>
      <c r="BX153" t="s">
        <v>210</v>
      </c>
      <c r="BY153">
        <v>0</v>
      </c>
      <c r="BZ153">
        <v>8809516536452</v>
      </c>
      <c r="CA153" t="s">
        <v>1663</v>
      </c>
      <c r="CF153" t="s">
        <v>1656</v>
      </c>
      <c r="CG153" t="s">
        <v>1533</v>
      </c>
      <c r="CH153" t="s">
        <v>377</v>
      </c>
      <c r="CI153" t="s">
        <v>1655</v>
      </c>
      <c r="CJ153">
        <v>5200</v>
      </c>
      <c r="CK153">
        <v>5200</v>
      </c>
      <c r="CL153" t="s">
        <v>721</v>
      </c>
      <c r="CN153">
        <v>1</v>
      </c>
      <c r="CO153">
        <v>11328</v>
      </c>
      <c r="CP153">
        <v>11328</v>
      </c>
      <c r="CQ153" t="s">
        <v>820</v>
      </c>
      <c r="CR153" t="s">
        <v>1293</v>
      </c>
      <c r="CS153">
        <v>0</v>
      </c>
    </row>
    <row r="154" spans="1:97" x14ac:dyDescent="0.4">
      <c r="A154" s="10">
        <v>43123</v>
      </c>
      <c r="B154" t="s">
        <v>187</v>
      </c>
      <c r="C154" t="s">
        <v>1664</v>
      </c>
      <c r="D154" t="s">
        <v>359</v>
      </c>
      <c r="E154" t="s">
        <v>1552</v>
      </c>
      <c r="F154" t="str">
        <f t="shared" si="57"/>
        <v>20180122-0000044</v>
      </c>
      <c r="G154">
        <v>1033910</v>
      </c>
      <c r="H154">
        <v>2</v>
      </c>
      <c r="I154" t="s">
        <v>1665</v>
      </c>
      <c r="L154">
        <v>0</v>
      </c>
      <c r="M154">
        <v>1</v>
      </c>
      <c r="O154" t="s">
        <v>361</v>
      </c>
      <c r="P154" t="s">
        <v>1169</v>
      </c>
      <c r="S154" t="s">
        <v>1666</v>
      </c>
      <c r="T154" t="s">
        <v>364</v>
      </c>
      <c r="X154" t="s">
        <v>1665</v>
      </c>
      <c r="AA154">
        <v>29211</v>
      </c>
      <c r="AB154">
        <v>36.28</v>
      </c>
      <c r="AC154" t="s">
        <v>1667</v>
      </c>
      <c r="AD154">
        <v>39.549999999999997</v>
      </c>
      <c r="AE154">
        <v>40.64</v>
      </c>
      <c r="AF154" t="s">
        <v>1668</v>
      </c>
      <c r="AG154">
        <v>3770</v>
      </c>
      <c r="AK154">
        <v>144</v>
      </c>
      <c r="AL154" t="s">
        <v>1665</v>
      </c>
      <c r="AN154" t="s">
        <v>1669</v>
      </c>
      <c r="AQ154">
        <v>27200</v>
      </c>
      <c r="AR154" t="s">
        <v>368</v>
      </c>
      <c r="AS154">
        <v>613639038174</v>
      </c>
      <c r="AT154" t="str">
        <f t="shared" si="58"/>
        <v>이*수①</v>
      </c>
      <c r="AU154" t="str">
        <f t="shared" si="59"/>
        <v xml:space="preserve"> 2***2</v>
      </c>
      <c r="AV154" t="str">
        <f t="shared" si="60"/>
        <v>***-****-9592</v>
      </c>
      <c r="AW154" t="str">
        <f t="shared" si="61"/>
        <v xml:space="preserve"> 인* 서* 원**로 8*2 (***) 삼***자 5**호 햇*찬 글*벌</v>
      </c>
      <c r="AY154" t="str">
        <f t="shared" si="62"/>
        <v>***-****-9597</v>
      </c>
      <c r="AZ154">
        <v>29346</v>
      </c>
      <c r="BA154">
        <v>1033916</v>
      </c>
      <c r="BB154">
        <v>68000</v>
      </c>
      <c r="BC154" t="s">
        <v>1556</v>
      </c>
      <c r="BD154" t="s">
        <v>1129</v>
      </c>
      <c r="BE154" t="str">
        <f t="shared" si="63"/>
        <v>이*수</v>
      </c>
      <c r="BF154" t="str">
        <f t="shared" si="64"/>
        <v>***-****-9592</v>
      </c>
      <c r="BG154" t="str">
        <f t="shared" si="65"/>
        <v>***-****-9597</v>
      </c>
      <c r="BH154" t="s">
        <v>453</v>
      </c>
      <c r="BI154" t="s">
        <v>454</v>
      </c>
      <c r="BJ154" t="s">
        <v>1670</v>
      </c>
      <c r="BK154" t="s">
        <v>456</v>
      </c>
      <c r="BL154">
        <v>18175</v>
      </c>
      <c r="BM154" t="str">
        <f>"18175"</f>
        <v>18175</v>
      </c>
      <c r="BN154" t="str">
        <f t="shared" si="66"/>
        <v>20180122-0000044</v>
      </c>
      <c r="BQ154" t="s">
        <v>373</v>
      </c>
      <c r="BV154" t="s">
        <v>1665</v>
      </c>
      <c r="BW154" t="s">
        <v>1665</v>
      </c>
      <c r="BX154" t="s">
        <v>187</v>
      </c>
      <c r="BY154">
        <v>0</v>
      </c>
      <c r="BZ154">
        <v>8801051945577</v>
      </c>
      <c r="CA154" t="s">
        <v>1671</v>
      </c>
      <c r="CF154" t="s">
        <v>1665</v>
      </c>
      <c r="CG154" t="s">
        <v>517</v>
      </c>
      <c r="CH154" t="s">
        <v>377</v>
      </c>
      <c r="CI154" t="s">
        <v>1664</v>
      </c>
      <c r="CJ154">
        <v>27200</v>
      </c>
      <c r="CK154">
        <v>54400</v>
      </c>
      <c r="CL154" t="s">
        <v>771</v>
      </c>
      <c r="CN154">
        <v>2</v>
      </c>
      <c r="CO154">
        <v>29211</v>
      </c>
      <c r="CP154">
        <v>58422</v>
      </c>
      <c r="CQ154" t="s">
        <v>379</v>
      </c>
      <c r="CS154">
        <v>0</v>
      </c>
    </row>
    <row r="155" spans="1:97" x14ac:dyDescent="0.4">
      <c r="A155" s="10">
        <v>43123</v>
      </c>
      <c r="B155" t="s">
        <v>187</v>
      </c>
      <c r="C155" t="s">
        <v>1672</v>
      </c>
      <c r="D155" t="s">
        <v>359</v>
      </c>
      <c r="E155" t="s">
        <v>1552</v>
      </c>
      <c r="F155" t="str">
        <f t="shared" si="57"/>
        <v>20180122-0000044</v>
      </c>
      <c r="G155">
        <v>1033910</v>
      </c>
      <c r="H155">
        <v>1</v>
      </c>
      <c r="I155" t="s">
        <v>1673</v>
      </c>
      <c r="L155">
        <v>0</v>
      </c>
      <c r="M155">
        <v>1</v>
      </c>
      <c r="O155" t="s">
        <v>361</v>
      </c>
      <c r="P155" t="s">
        <v>1169</v>
      </c>
      <c r="S155" t="s">
        <v>1674</v>
      </c>
      <c r="T155" t="s">
        <v>364</v>
      </c>
      <c r="X155" t="s">
        <v>1673</v>
      </c>
      <c r="AA155">
        <v>51324</v>
      </c>
      <c r="AB155">
        <v>44.4</v>
      </c>
      <c r="AC155" t="s">
        <v>1675</v>
      </c>
      <c r="AD155">
        <v>48.4</v>
      </c>
      <c r="AE155">
        <v>49.73</v>
      </c>
      <c r="AF155" t="s">
        <v>1676</v>
      </c>
      <c r="AG155">
        <v>1880</v>
      </c>
      <c r="AL155" t="s">
        <v>1673</v>
      </c>
      <c r="AQ155">
        <v>37600</v>
      </c>
      <c r="AR155" t="s">
        <v>368</v>
      </c>
      <c r="AS155">
        <v>613639038174</v>
      </c>
      <c r="AT155" t="str">
        <f t="shared" si="58"/>
        <v>이*수①</v>
      </c>
      <c r="AU155" t="str">
        <f t="shared" si="59"/>
        <v xml:space="preserve"> 2***2</v>
      </c>
      <c r="AV155" t="str">
        <f t="shared" si="60"/>
        <v>***-****-9592</v>
      </c>
      <c r="AW155" t="str">
        <f t="shared" si="61"/>
        <v xml:space="preserve"> 인* 서* 원**로 8*2 (***) 삼***자 5**호 햇*찬 글*벌</v>
      </c>
      <c r="AY155" t="str">
        <f t="shared" si="62"/>
        <v>***-****-9597</v>
      </c>
      <c r="AZ155">
        <v>22469</v>
      </c>
      <c r="BA155">
        <v>1033915</v>
      </c>
      <c r="BB155">
        <v>47000</v>
      </c>
      <c r="BC155" t="s">
        <v>1556</v>
      </c>
      <c r="BD155" t="s">
        <v>1129</v>
      </c>
      <c r="BE155" t="str">
        <f t="shared" si="63"/>
        <v>이*수</v>
      </c>
      <c r="BF155" t="str">
        <f t="shared" si="64"/>
        <v>***-****-9592</v>
      </c>
      <c r="BG155" t="str">
        <f t="shared" si="65"/>
        <v>***-****-9597</v>
      </c>
      <c r="BH155" t="s">
        <v>453</v>
      </c>
      <c r="BI155" t="s">
        <v>454</v>
      </c>
      <c r="BJ155" t="s">
        <v>1677</v>
      </c>
      <c r="BK155" t="s">
        <v>456</v>
      </c>
      <c r="BL155">
        <v>19857</v>
      </c>
      <c r="BM155" t="str">
        <f>"19857"</f>
        <v>19857</v>
      </c>
      <c r="BN155" t="str">
        <f t="shared" si="66"/>
        <v>20180122-0000044</v>
      </c>
      <c r="BQ155" t="s">
        <v>373</v>
      </c>
      <c r="BU155">
        <v>65</v>
      </c>
      <c r="BV155" t="s">
        <v>1678</v>
      </c>
      <c r="BW155" t="s">
        <v>1673</v>
      </c>
      <c r="BX155" t="s">
        <v>187</v>
      </c>
      <c r="BY155">
        <v>0</v>
      </c>
      <c r="BZ155">
        <v>8801051709018</v>
      </c>
      <c r="CA155" t="s">
        <v>1679</v>
      </c>
      <c r="CF155" t="s">
        <v>1673</v>
      </c>
      <c r="CG155" t="s">
        <v>534</v>
      </c>
      <c r="CH155" t="s">
        <v>377</v>
      </c>
      <c r="CI155" t="s">
        <v>1672</v>
      </c>
      <c r="CJ155">
        <v>37600</v>
      </c>
      <c r="CK155">
        <v>37600</v>
      </c>
      <c r="CL155" t="s">
        <v>1680</v>
      </c>
      <c r="CN155">
        <v>1</v>
      </c>
      <c r="CO155">
        <v>51324</v>
      </c>
      <c r="CP155">
        <v>51324</v>
      </c>
      <c r="CQ155" t="s">
        <v>379</v>
      </c>
      <c r="CS155">
        <v>0</v>
      </c>
    </row>
    <row r="156" spans="1:97" x14ac:dyDescent="0.4">
      <c r="A156" s="10">
        <v>43123</v>
      </c>
      <c r="B156" t="s">
        <v>129</v>
      </c>
      <c r="C156" t="s">
        <v>1681</v>
      </c>
      <c r="D156" t="s">
        <v>359</v>
      </c>
      <c r="E156" t="s">
        <v>1552</v>
      </c>
      <c r="F156" t="str">
        <f t="shared" si="57"/>
        <v>20180122-0000044</v>
      </c>
      <c r="G156">
        <v>1033910</v>
      </c>
      <c r="H156">
        <v>1</v>
      </c>
      <c r="I156" t="s">
        <v>1682</v>
      </c>
      <c r="L156">
        <v>0</v>
      </c>
      <c r="M156">
        <v>1</v>
      </c>
      <c r="O156" t="s">
        <v>361</v>
      </c>
      <c r="P156" t="s">
        <v>1169</v>
      </c>
      <c r="S156" t="s">
        <v>1683</v>
      </c>
      <c r="T156" t="s">
        <v>364</v>
      </c>
      <c r="X156" t="s">
        <v>1684</v>
      </c>
      <c r="AA156">
        <v>26432</v>
      </c>
      <c r="AB156">
        <v>13.636363640000001</v>
      </c>
      <c r="AC156" t="s">
        <v>1685</v>
      </c>
      <c r="AD156">
        <v>22.87</v>
      </c>
      <c r="AE156">
        <v>23.5</v>
      </c>
      <c r="AF156" t="s">
        <v>1686</v>
      </c>
      <c r="AG156">
        <v>8380</v>
      </c>
      <c r="AK156">
        <v>337</v>
      </c>
      <c r="AL156" t="s">
        <v>1682</v>
      </c>
      <c r="AQ156">
        <v>10500</v>
      </c>
      <c r="AR156" t="s">
        <v>368</v>
      </c>
      <c r="AS156">
        <v>613639038174</v>
      </c>
      <c r="AT156" t="str">
        <f t="shared" si="58"/>
        <v>이*수①</v>
      </c>
      <c r="AU156" t="str">
        <f t="shared" si="59"/>
        <v xml:space="preserve"> 2***2</v>
      </c>
      <c r="AV156" t="str">
        <f t="shared" si="60"/>
        <v>***-****-9592</v>
      </c>
      <c r="AW156" t="str">
        <f t="shared" si="61"/>
        <v xml:space="preserve"> 인* 서* 원**로 8*2 (***) 삼***자 5**호 햇*찬 글*벌</v>
      </c>
      <c r="AY156" t="str">
        <f t="shared" si="62"/>
        <v>***-****-9597</v>
      </c>
      <c r="AZ156">
        <v>26252</v>
      </c>
      <c r="BA156">
        <v>1033914</v>
      </c>
      <c r="BB156">
        <v>15000</v>
      </c>
      <c r="BC156" t="s">
        <v>1556</v>
      </c>
      <c r="BD156" t="s">
        <v>1129</v>
      </c>
      <c r="BE156" t="str">
        <f t="shared" si="63"/>
        <v>이*수</v>
      </c>
      <c r="BF156" t="str">
        <f t="shared" si="64"/>
        <v>***-****-9592</v>
      </c>
      <c r="BG156" t="str">
        <f t="shared" si="65"/>
        <v>***-****-9597</v>
      </c>
      <c r="BH156" t="s">
        <v>453</v>
      </c>
      <c r="BI156" t="s">
        <v>454</v>
      </c>
      <c r="BJ156" t="s">
        <v>1687</v>
      </c>
      <c r="BK156" t="s">
        <v>456</v>
      </c>
      <c r="BL156">
        <v>20913</v>
      </c>
      <c r="BM156" t="str">
        <f>"20913"</f>
        <v>20913</v>
      </c>
      <c r="BN156" t="str">
        <f t="shared" si="66"/>
        <v>20180122-0000044</v>
      </c>
      <c r="BQ156" t="s">
        <v>373</v>
      </c>
      <c r="BU156">
        <v>442</v>
      </c>
      <c r="BV156" t="s">
        <v>1688</v>
      </c>
      <c r="BW156" t="s">
        <v>1682</v>
      </c>
      <c r="BX156" t="s">
        <v>129</v>
      </c>
      <c r="BY156">
        <v>0</v>
      </c>
      <c r="BZ156">
        <v>8809560220079</v>
      </c>
      <c r="CA156" t="s">
        <v>1689</v>
      </c>
      <c r="CF156" t="s">
        <v>1684</v>
      </c>
      <c r="CG156" t="s">
        <v>444</v>
      </c>
      <c r="CH156" t="s">
        <v>377</v>
      </c>
      <c r="CI156" t="s">
        <v>1681</v>
      </c>
      <c r="CJ156">
        <v>10500</v>
      </c>
      <c r="CK156">
        <v>10500</v>
      </c>
      <c r="CL156" t="s">
        <v>1690</v>
      </c>
      <c r="CN156">
        <v>1</v>
      </c>
      <c r="CO156">
        <v>26432</v>
      </c>
      <c r="CP156">
        <v>26432</v>
      </c>
      <c r="CQ156" t="s">
        <v>379</v>
      </c>
      <c r="CS156">
        <v>0</v>
      </c>
    </row>
    <row r="157" spans="1:97" x14ac:dyDescent="0.4">
      <c r="A157" s="10">
        <v>43123</v>
      </c>
      <c r="B157" t="s">
        <v>129</v>
      </c>
      <c r="C157" t="s">
        <v>1691</v>
      </c>
      <c r="D157" t="s">
        <v>359</v>
      </c>
      <c r="E157" t="s">
        <v>1552</v>
      </c>
      <c r="F157" t="str">
        <f t="shared" si="57"/>
        <v>20180122-0000044</v>
      </c>
      <c r="G157">
        <v>1033910</v>
      </c>
      <c r="H157">
        <v>2</v>
      </c>
      <c r="I157" t="s">
        <v>1692</v>
      </c>
      <c r="L157">
        <v>0</v>
      </c>
      <c r="M157">
        <v>1</v>
      </c>
      <c r="O157" t="s">
        <v>361</v>
      </c>
      <c r="P157" t="s">
        <v>1169</v>
      </c>
      <c r="S157" t="s">
        <v>1693</v>
      </c>
      <c r="T157" t="s">
        <v>364</v>
      </c>
      <c r="X157" t="s">
        <v>1694</v>
      </c>
      <c r="AA157">
        <v>28431</v>
      </c>
      <c r="AB157">
        <v>22.727272729999999</v>
      </c>
      <c r="AC157" t="s">
        <v>1695</v>
      </c>
      <c r="AD157">
        <v>28.15</v>
      </c>
      <c r="AE157">
        <v>28.93</v>
      </c>
      <c r="AF157" t="s">
        <v>486</v>
      </c>
      <c r="AG157">
        <v>4370</v>
      </c>
      <c r="AK157">
        <v>174</v>
      </c>
      <c r="AL157" t="s">
        <v>1692</v>
      </c>
      <c r="AQ157">
        <v>17500</v>
      </c>
      <c r="AR157" t="s">
        <v>368</v>
      </c>
      <c r="AS157">
        <v>613639038174</v>
      </c>
      <c r="AT157" t="str">
        <f t="shared" si="58"/>
        <v>이*수①</v>
      </c>
      <c r="AU157" t="str">
        <f t="shared" si="59"/>
        <v xml:space="preserve"> 2***2</v>
      </c>
      <c r="AV157" t="str">
        <f t="shared" si="60"/>
        <v>***-****-9592</v>
      </c>
      <c r="AW157" t="str">
        <f t="shared" si="61"/>
        <v xml:space="preserve"> 인* 서* 원**로 8*2 (***) 삼***자 5**호 햇*찬 글*벌</v>
      </c>
      <c r="AY157" t="str">
        <f t="shared" si="62"/>
        <v>***-****-9597</v>
      </c>
      <c r="AZ157">
        <v>26251</v>
      </c>
      <c r="BA157">
        <v>1033924</v>
      </c>
      <c r="BB157">
        <v>50000</v>
      </c>
      <c r="BC157" t="s">
        <v>1556</v>
      </c>
      <c r="BD157" t="s">
        <v>1129</v>
      </c>
      <c r="BE157" t="str">
        <f t="shared" si="63"/>
        <v>이*수</v>
      </c>
      <c r="BF157" t="str">
        <f t="shared" si="64"/>
        <v>***-****-9592</v>
      </c>
      <c r="BG157" t="str">
        <f t="shared" si="65"/>
        <v>***-****-9597</v>
      </c>
      <c r="BH157" t="s">
        <v>453</v>
      </c>
      <c r="BI157" t="s">
        <v>454</v>
      </c>
      <c r="BJ157" t="s">
        <v>1696</v>
      </c>
      <c r="BK157" t="s">
        <v>456</v>
      </c>
      <c r="BL157">
        <v>20912</v>
      </c>
      <c r="BM157" t="str">
        <f>"20912"</f>
        <v>20912</v>
      </c>
      <c r="BN157" t="str">
        <f t="shared" si="66"/>
        <v>20180122-0000044</v>
      </c>
      <c r="BQ157" t="s">
        <v>373</v>
      </c>
      <c r="BU157">
        <v>220</v>
      </c>
      <c r="BV157" t="s">
        <v>1697</v>
      </c>
      <c r="BW157" t="s">
        <v>1692</v>
      </c>
      <c r="BX157" t="s">
        <v>129</v>
      </c>
      <c r="BY157">
        <v>0</v>
      </c>
      <c r="BZ157">
        <v>8809560220093</v>
      </c>
      <c r="CA157" t="s">
        <v>1698</v>
      </c>
      <c r="CF157" t="s">
        <v>1694</v>
      </c>
      <c r="CG157" t="s">
        <v>534</v>
      </c>
      <c r="CH157" t="s">
        <v>377</v>
      </c>
      <c r="CI157" t="s">
        <v>1691</v>
      </c>
      <c r="CJ157">
        <v>17500</v>
      </c>
      <c r="CK157">
        <v>35000</v>
      </c>
      <c r="CL157" t="s">
        <v>1699</v>
      </c>
      <c r="CN157">
        <v>2</v>
      </c>
      <c r="CO157">
        <v>28431</v>
      </c>
      <c r="CP157">
        <v>56862</v>
      </c>
      <c r="CQ157" t="s">
        <v>379</v>
      </c>
      <c r="CS157">
        <v>0</v>
      </c>
    </row>
    <row r="158" spans="1:97" x14ac:dyDescent="0.4">
      <c r="A158" s="10">
        <v>43123</v>
      </c>
      <c r="B158" t="s">
        <v>200</v>
      </c>
      <c r="C158" t="s">
        <v>1700</v>
      </c>
      <c r="D158" t="s">
        <v>359</v>
      </c>
      <c r="E158" t="s">
        <v>1552</v>
      </c>
      <c r="F158" t="str">
        <f t="shared" si="57"/>
        <v>20180122-0000044</v>
      </c>
      <c r="G158">
        <v>1033910</v>
      </c>
      <c r="H158">
        <v>1</v>
      </c>
      <c r="I158" t="s">
        <v>1701</v>
      </c>
      <c r="L158">
        <v>0</v>
      </c>
      <c r="M158">
        <v>1</v>
      </c>
      <c r="O158" t="s">
        <v>361</v>
      </c>
      <c r="P158" t="s">
        <v>1169</v>
      </c>
      <c r="S158" t="s">
        <v>1702</v>
      </c>
      <c r="T158" t="s">
        <v>364</v>
      </c>
      <c r="X158" t="s">
        <v>1701</v>
      </c>
      <c r="AA158">
        <v>52637</v>
      </c>
      <c r="AB158">
        <v>40.200000000000003</v>
      </c>
      <c r="AC158" t="s">
        <v>1703</v>
      </c>
      <c r="AD158">
        <v>43.82</v>
      </c>
      <c r="AE158">
        <v>45.02</v>
      </c>
      <c r="AF158" t="s">
        <v>486</v>
      </c>
      <c r="AG158">
        <v>6500</v>
      </c>
      <c r="AK158">
        <v>224</v>
      </c>
      <c r="AL158" t="s">
        <v>1701</v>
      </c>
      <c r="AQ158">
        <v>29700</v>
      </c>
      <c r="AR158" t="s">
        <v>368</v>
      </c>
      <c r="AS158">
        <v>613639038174</v>
      </c>
      <c r="AT158" t="str">
        <f t="shared" si="58"/>
        <v>이*수①</v>
      </c>
      <c r="AU158" t="str">
        <f t="shared" si="59"/>
        <v xml:space="preserve"> 2***2</v>
      </c>
      <c r="AV158" t="str">
        <f t="shared" si="60"/>
        <v>***-****-9592</v>
      </c>
      <c r="AW158" t="str">
        <f t="shared" si="61"/>
        <v xml:space="preserve"> 인* 서* 원**로 8*2 (***) 삼***자 5**호 햇*찬 글*벌</v>
      </c>
      <c r="AY158" t="str">
        <f t="shared" si="62"/>
        <v>***-****-9597</v>
      </c>
      <c r="AZ158">
        <v>15191</v>
      </c>
      <c r="BA158">
        <v>1033926</v>
      </c>
      <c r="BB158">
        <v>54000</v>
      </c>
      <c r="BC158" t="s">
        <v>1556</v>
      </c>
      <c r="BD158" t="s">
        <v>1129</v>
      </c>
      <c r="BE158" t="str">
        <f t="shared" si="63"/>
        <v>이*수</v>
      </c>
      <c r="BF158" t="str">
        <f t="shared" si="64"/>
        <v>***-****-9592</v>
      </c>
      <c r="BG158" t="str">
        <f t="shared" si="65"/>
        <v>***-****-9597</v>
      </c>
      <c r="BH158" t="s">
        <v>453</v>
      </c>
      <c r="BI158" t="s">
        <v>454</v>
      </c>
      <c r="BJ158" t="s">
        <v>1704</v>
      </c>
      <c r="BK158" t="s">
        <v>456</v>
      </c>
      <c r="BL158">
        <v>17757</v>
      </c>
      <c r="BM158" t="str">
        <f>"17757"</f>
        <v>17757</v>
      </c>
      <c r="BN158" t="str">
        <f t="shared" si="66"/>
        <v>20180122-0000044</v>
      </c>
      <c r="BQ158" t="s">
        <v>373</v>
      </c>
      <c r="BV158" t="s">
        <v>1705</v>
      </c>
      <c r="BW158" t="s">
        <v>1701</v>
      </c>
      <c r="BX158" t="s">
        <v>200</v>
      </c>
      <c r="BY158">
        <v>0</v>
      </c>
      <c r="BZ158">
        <v>8806150682637</v>
      </c>
      <c r="CA158" t="s">
        <v>1706</v>
      </c>
      <c r="CF158" t="s">
        <v>1701</v>
      </c>
      <c r="CG158" t="s">
        <v>534</v>
      </c>
      <c r="CH158" t="s">
        <v>377</v>
      </c>
      <c r="CI158" t="s">
        <v>1700</v>
      </c>
      <c r="CJ158">
        <v>29700</v>
      </c>
      <c r="CK158">
        <v>29700</v>
      </c>
      <c r="CL158" t="s">
        <v>1707</v>
      </c>
      <c r="CN158">
        <v>1</v>
      </c>
      <c r="CO158">
        <v>52637</v>
      </c>
      <c r="CP158">
        <v>52637</v>
      </c>
      <c r="CQ158" t="s">
        <v>623</v>
      </c>
      <c r="CR158" t="s">
        <v>1708</v>
      </c>
      <c r="CS158">
        <v>0</v>
      </c>
    </row>
    <row r="159" spans="1:97" x14ac:dyDescent="0.4">
      <c r="A159" s="10">
        <v>43123</v>
      </c>
      <c r="B159" t="s">
        <v>200</v>
      </c>
      <c r="C159" t="s">
        <v>1709</v>
      </c>
      <c r="D159" t="s">
        <v>359</v>
      </c>
      <c r="E159" t="s">
        <v>1552</v>
      </c>
      <c r="F159" t="str">
        <f t="shared" si="57"/>
        <v>20180122-0000044</v>
      </c>
      <c r="G159">
        <v>1033910</v>
      </c>
      <c r="H159">
        <v>2</v>
      </c>
      <c r="I159" t="s">
        <v>1710</v>
      </c>
      <c r="L159">
        <v>0</v>
      </c>
      <c r="M159">
        <v>1</v>
      </c>
      <c r="O159" t="s">
        <v>361</v>
      </c>
      <c r="P159" t="s">
        <v>1169</v>
      </c>
      <c r="S159" t="s">
        <v>1711</v>
      </c>
      <c r="T159" t="s">
        <v>364</v>
      </c>
      <c r="X159" t="s">
        <v>1710</v>
      </c>
      <c r="AA159">
        <v>17464</v>
      </c>
      <c r="AB159">
        <v>13.55</v>
      </c>
      <c r="AC159" t="s">
        <v>1712</v>
      </c>
      <c r="AD159">
        <v>14.77</v>
      </c>
      <c r="AE159">
        <v>15.17</v>
      </c>
      <c r="AF159" t="s">
        <v>486</v>
      </c>
      <c r="AG159">
        <v>3770</v>
      </c>
      <c r="AK159">
        <v>155</v>
      </c>
      <c r="AL159" t="s">
        <v>1710</v>
      </c>
      <c r="AQ159">
        <v>7040</v>
      </c>
      <c r="AR159" t="s">
        <v>368</v>
      </c>
      <c r="AS159">
        <v>613639038174</v>
      </c>
      <c r="AT159" t="str">
        <f t="shared" si="58"/>
        <v>이*수①</v>
      </c>
      <c r="AU159" t="str">
        <f t="shared" si="59"/>
        <v xml:space="preserve"> 2***2</v>
      </c>
      <c r="AV159" t="str">
        <f t="shared" si="60"/>
        <v>***-****-9592</v>
      </c>
      <c r="AW159" t="str">
        <f t="shared" si="61"/>
        <v xml:space="preserve"> 인* 서* 원**로 8*2 (***) 삼***자 5**호 햇*찬 글*벌</v>
      </c>
      <c r="AY159" t="str">
        <f t="shared" si="62"/>
        <v>***-****-9597</v>
      </c>
      <c r="AZ159">
        <v>14716</v>
      </c>
      <c r="BA159">
        <v>1033927</v>
      </c>
      <c r="BB159">
        <v>25600</v>
      </c>
      <c r="BC159" t="s">
        <v>1556</v>
      </c>
      <c r="BD159" t="s">
        <v>1129</v>
      </c>
      <c r="BE159" t="str">
        <f t="shared" si="63"/>
        <v>이*수</v>
      </c>
      <c r="BF159" t="str">
        <f t="shared" si="64"/>
        <v>***-****-9592</v>
      </c>
      <c r="BG159" t="str">
        <f t="shared" si="65"/>
        <v>***-****-9597</v>
      </c>
      <c r="BH159" t="s">
        <v>453</v>
      </c>
      <c r="BI159" t="s">
        <v>454</v>
      </c>
      <c r="BJ159" t="s">
        <v>1713</v>
      </c>
      <c r="BK159" t="s">
        <v>456</v>
      </c>
      <c r="BL159">
        <v>17401</v>
      </c>
      <c r="BM159" t="str">
        <f>"17401"</f>
        <v>17401</v>
      </c>
      <c r="BN159" t="str">
        <f t="shared" si="66"/>
        <v>20180122-0000044</v>
      </c>
      <c r="BQ159" t="s">
        <v>373</v>
      </c>
      <c r="BV159" t="s">
        <v>1714</v>
      </c>
      <c r="BW159" t="s">
        <v>1710</v>
      </c>
      <c r="BX159" t="s">
        <v>200</v>
      </c>
      <c r="BY159">
        <v>0</v>
      </c>
      <c r="BZ159">
        <v>8806185746625</v>
      </c>
      <c r="CA159" t="s">
        <v>1715</v>
      </c>
      <c r="CF159" t="s">
        <v>1710</v>
      </c>
      <c r="CG159" t="s">
        <v>534</v>
      </c>
      <c r="CH159" t="s">
        <v>377</v>
      </c>
      <c r="CI159" t="s">
        <v>1709</v>
      </c>
      <c r="CJ159">
        <v>7040</v>
      </c>
      <c r="CK159">
        <v>14080</v>
      </c>
      <c r="CL159" t="s">
        <v>653</v>
      </c>
      <c r="CN159">
        <v>2</v>
      </c>
      <c r="CO159">
        <v>17464</v>
      </c>
      <c r="CP159">
        <v>34928</v>
      </c>
      <c r="CQ159" t="s">
        <v>379</v>
      </c>
      <c r="CS159">
        <v>0</v>
      </c>
    </row>
    <row r="160" spans="1:97" x14ac:dyDescent="0.4">
      <c r="A160" s="10">
        <v>43123</v>
      </c>
      <c r="B160" t="s">
        <v>200</v>
      </c>
      <c r="C160" t="s">
        <v>1716</v>
      </c>
      <c r="D160" t="s">
        <v>359</v>
      </c>
      <c r="E160" t="s">
        <v>1552</v>
      </c>
      <c r="F160" t="str">
        <f t="shared" si="57"/>
        <v>20180122-0000044</v>
      </c>
      <c r="G160">
        <v>1033910</v>
      </c>
      <c r="H160">
        <v>1</v>
      </c>
      <c r="I160" t="s">
        <v>1717</v>
      </c>
      <c r="L160">
        <v>0</v>
      </c>
      <c r="M160">
        <v>1</v>
      </c>
      <c r="O160" t="s">
        <v>361</v>
      </c>
      <c r="P160" t="s">
        <v>1169</v>
      </c>
      <c r="S160" t="s">
        <v>1718</v>
      </c>
      <c r="T160" t="s">
        <v>364</v>
      </c>
      <c r="X160" t="s">
        <v>1717</v>
      </c>
      <c r="AA160">
        <v>17284</v>
      </c>
      <c r="AB160">
        <v>12.59</v>
      </c>
      <c r="AC160" t="s">
        <v>1719</v>
      </c>
      <c r="AD160">
        <v>13.72</v>
      </c>
      <c r="AE160">
        <v>14.1</v>
      </c>
      <c r="AF160" t="s">
        <v>1720</v>
      </c>
      <c r="AG160">
        <v>3770</v>
      </c>
      <c r="AK160">
        <v>129</v>
      </c>
      <c r="AL160" t="s">
        <v>1717</v>
      </c>
      <c r="AQ160">
        <v>7040</v>
      </c>
      <c r="AR160" t="s">
        <v>368</v>
      </c>
      <c r="AS160">
        <v>613639038174</v>
      </c>
      <c r="AT160" t="str">
        <f t="shared" si="58"/>
        <v>이*수①</v>
      </c>
      <c r="AU160" t="str">
        <f t="shared" si="59"/>
        <v xml:space="preserve"> 2***2</v>
      </c>
      <c r="AV160" t="str">
        <f t="shared" si="60"/>
        <v>***-****-9592</v>
      </c>
      <c r="AW160" t="str">
        <f t="shared" si="61"/>
        <v xml:space="preserve"> 인* 서* 원**로 8*2 (***) 삼***자 5**호 햇*찬 글*벌</v>
      </c>
      <c r="AY160" t="str">
        <f t="shared" si="62"/>
        <v>***-****-9597</v>
      </c>
      <c r="AZ160">
        <v>20029</v>
      </c>
      <c r="BA160">
        <v>1033929</v>
      </c>
      <c r="BB160">
        <v>12800</v>
      </c>
      <c r="BC160" t="s">
        <v>1556</v>
      </c>
      <c r="BD160" t="s">
        <v>1129</v>
      </c>
      <c r="BE160" t="str">
        <f t="shared" si="63"/>
        <v>이*수</v>
      </c>
      <c r="BF160" t="str">
        <f t="shared" si="64"/>
        <v>***-****-9592</v>
      </c>
      <c r="BG160" t="str">
        <f t="shared" si="65"/>
        <v>***-****-9597</v>
      </c>
      <c r="BH160" t="s">
        <v>453</v>
      </c>
      <c r="BI160" t="s">
        <v>454</v>
      </c>
      <c r="BJ160" t="s">
        <v>1721</v>
      </c>
      <c r="BK160" t="s">
        <v>456</v>
      </c>
      <c r="BL160">
        <v>19089</v>
      </c>
      <c r="BM160" t="str">
        <f>"19089"</f>
        <v>19089</v>
      </c>
      <c r="BN160" t="str">
        <f t="shared" si="66"/>
        <v>20180122-0000044</v>
      </c>
      <c r="BQ160" t="s">
        <v>373</v>
      </c>
      <c r="BV160" t="s">
        <v>1722</v>
      </c>
      <c r="BW160" t="s">
        <v>1717</v>
      </c>
      <c r="BX160" t="s">
        <v>200</v>
      </c>
      <c r="BY160">
        <v>0</v>
      </c>
      <c r="BZ160">
        <v>8809530057476</v>
      </c>
      <c r="CA160" t="s">
        <v>1723</v>
      </c>
      <c r="CF160" t="s">
        <v>1717</v>
      </c>
      <c r="CG160" t="s">
        <v>444</v>
      </c>
      <c r="CH160" t="s">
        <v>377</v>
      </c>
      <c r="CI160" t="s">
        <v>1716</v>
      </c>
      <c r="CJ160">
        <v>7040</v>
      </c>
      <c r="CK160">
        <v>7040</v>
      </c>
      <c r="CL160" t="s">
        <v>1724</v>
      </c>
      <c r="CN160">
        <v>1</v>
      </c>
      <c r="CO160">
        <v>17284</v>
      </c>
      <c r="CP160">
        <v>17284</v>
      </c>
      <c r="CQ160" t="s">
        <v>379</v>
      </c>
      <c r="CS160">
        <v>0</v>
      </c>
    </row>
    <row r="161" spans="1:97" x14ac:dyDescent="0.4">
      <c r="A161" s="10">
        <v>43123</v>
      </c>
      <c r="B161" t="s">
        <v>213</v>
      </c>
      <c r="C161" t="s">
        <v>1725</v>
      </c>
      <c r="D161" t="s">
        <v>359</v>
      </c>
      <c r="E161" t="s">
        <v>1552</v>
      </c>
      <c r="F161" t="str">
        <f t="shared" si="57"/>
        <v>20180122-0000044</v>
      </c>
      <c r="G161">
        <v>1033910</v>
      </c>
      <c r="H161">
        <v>1</v>
      </c>
      <c r="I161" t="s">
        <v>1726</v>
      </c>
      <c r="L161">
        <v>0</v>
      </c>
      <c r="M161">
        <v>1</v>
      </c>
      <c r="O161" t="s">
        <v>361</v>
      </c>
      <c r="P161" t="s">
        <v>1169</v>
      </c>
      <c r="S161" t="s">
        <v>1727</v>
      </c>
      <c r="T161" t="s">
        <v>364</v>
      </c>
      <c r="X161" t="s">
        <v>1726</v>
      </c>
      <c r="AA161">
        <v>18018</v>
      </c>
      <c r="AB161">
        <v>14.47</v>
      </c>
      <c r="AC161" t="s">
        <v>1728</v>
      </c>
      <c r="AD161">
        <v>15.77</v>
      </c>
      <c r="AE161">
        <v>16.2</v>
      </c>
      <c r="AF161" t="s">
        <v>1140</v>
      </c>
      <c r="AG161">
        <v>3770</v>
      </c>
      <c r="AH161">
        <v>94</v>
      </c>
      <c r="AI161">
        <v>1880</v>
      </c>
      <c r="AK161">
        <v>66</v>
      </c>
      <c r="AL161" t="s">
        <v>1726</v>
      </c>
      <c r="AN161" t="s">
        <v>1729</v>
      </c>
      <c r="AQ161">
        <v>8450</v>
      </c>
      <c r="AR161" t="s">
        <v>368</v>
      </c>
      <c r="AS161">
        <v>613639038174</v>
      </c>
      <c r="AT161" t="str">
        <f t="shared" si="58"/>
        <v>이*수①</v>
      </c>
      <c r="AU161" t="str">
        <f t="shared" si="59"/>
        <v xml:space="preserve"> 2***2</v>
      </c>
      <c r="AV161" t="str">
        <f t="shared" si="60"/>
        <v>***-****-9592</v>
      </c>
      <c r="AW161" t="str">
        <f t="shared" si="61"/>
        <v xml:space="preserve"> 인* 서* 원**로 8*2 (***) 삼***자 5**호 햇*찬 글*벌</v>
      </c>
      <c r="AY161" t="str">
        <f t="shared" si="62"/>
        <v>***-****-9597</v>
      </c>
      <c r="AZ161">
        <v>29345</v>
      </c>
      <c r="BA161">
        <v>1033922</v>
      </c>
      <c r="BB161">
        <v>13000</v>
      </c>
      <c r="BC161" t="s">
        <v>1556</v>
      </c>
      <c r="BD161" t="s">
        <v>1129</v>
      </c>
      <c r="BE161" t="str">
        <f t="shared" si="63"/>
        <v>이*수</v>
      </c>
      <c r="BF161" t="str">
        <f t="shared" si="64"/>
        <v>***-****-9592</v>
      </c>
      <c r="BG161" t="str">
        <f t="shared" si="65"/>
        <v>***-****-9597</v>
      </c>
      <c r="BH161" t="s">
        <v>453</v>
      </c>
      <c r="BI161" t="s">
        <v>454</v>
      </c>
      <c r="BJ161" t="s">
        <v>1730</v>
      </c>
      <c r="BK161" t="s">
        <v>456</v>
      </c>
      <c r="BL161">
        <v>18372</v>
      </c>
      <c r="BM161" t="str">
        <f>"18372"</f>
        <v>18372</v>
      </c>
      <c r="BN161" t="str">
        <f t="shared" si="66"/>
        <v>20180122-0000044</v>
      </c>
      <c r="BQ161" t="s">
        <v>373</v>
      </c>
      <c r="BV161" t="s">
        <v>1731</v>
      </c>
      <c r="BW161" t="s">
        <v>1726</v>
      </c>
      <c r="BX161" t="s">
        <v>213</v>
      </c>
      <c r="BY161">
        <v>0</v>
      </c>
      <c r="BZ161">
        <v>8806390550314</v>
      </c>
      <c r="CA161" t="s">
        <v>1732</v>
      </c>
      <c r="CF161" t="s">
        <v>1726</v>
      </c>
      <c r="CG161" t="s">
        <v>1214</v>
      </c>
      <c r="CH161" t="s">
        <v>377</v>
      </c>
      <c r="CI161" t="s">
        <v>1725</v>
      </c>
      <c r="CJ161">
        <v>8450</v>
      </c>
      <c r="CK161">
        <v>8450</v>
      </c>
      <c r="CL161" t="s">
        <v>1733</v>
      </c>
      <c r="CN161">
        <v>1</v>
      </c>
      <c r="CO161">
        <v>18018</v>
      </c>
      <c r="CP161">
        <v>18018</v>
      </c>
      <c r="CQ161" t="s">
        <v>379</v>
      </c>
      <c r="CS161">
        <v>0</v>
      </c>
    </row>
    <row r="162" spans="1:97" x14ac:dyDescent="0.4">
      <c r="A162" s="10">
        <v>43123</v>
      </c>
      <c r="B162" t="s">
        <v>205</v>
      </c>
      <c r="C162" t="s">
        <v>1734</v>
      </c>
      <c r="D162" t="s">
        <v>359</v>
      </c>
      <c r="E162" t="s">
        <v>1552</v>
      </c>
      <c r="F162" t="str">
        <f t="shared" si="57"/>
        <v>20180122-0000044</v>
      </c>
      <c r="G162">
        <v>1033910</v>
      </c>
      <c r="H162">
        <v>1</v>
      </c>
      <c r="I162" t="s">
        <v>1735</v>
      </c>
      <c r="L162">
        <v>0</v>
      </c>
      <c r="M162">
        <v>1</v>
      </c>
      <c r="O162" t="s">
        <v>361</v>
      </c>
      <c r="P162" t="s">
        <v>1169</v>
      </c>
      <c r="S162" t="s">
        <v>1736</v>
      </c>
      <c r="T162" t="s">
        <v>364</v>
      </c>
      <c r="X162" t="s">
        <v>1735</v>
      </c>
      <c r="AA162">
        <v>31941</v>
      </c>
      <c r="AB162">
        <v>28.15</v>
      </c>
      <c r="AC162" t="s">
        <v>1737</v>
      </c>
      <c r="AD162">
        <v>30.69</v>
      </c>
      <c r="AE162">
        <v>31.53</v>
      </c>
      <c r="AF162" t="s">
        <v>1720</v>
      </c>
      <c r="AG162">
        <v>3770</v>
      </c>
      <c r="AK162">
        <v>187</v>
      </c>
      <c r="AL162" t="s">
        <v>1735</v>
      </c>
      <c r="AQ162">
        <v>20800</v>
      </c>
      <c r="AR162" t="s">
        <v>368</v>
      </c>
      <c r="AS162">
        <v>613639038174</v>
      </c>
      <c r="AT162" t="str">
        <f t="shared" si="58"/>
        <v>이*수①</v>
      </c>
      <c r="AU162" t="str">
        <f t="shared" si="59"/>
        <v xml:space="preserve"> 2***2</v>
      </c>
      <c r="AV162" t="str">
        <f t="shared" si="60"/>
        <v>***-****-9592</v>
      </c>
      <c r="AW162" t="str">
        <f t="shared" si="61"/>
        <v xml:space="preserve"> 인* 서* 원**로 8*2 (***) 삼***자 5**호 햇*찬 글*벌</v>
      </c>
      <c r="AY162" t="str">
        <f t="shared" si="62"/>
        <v>***-****-9597</v>
      </c>
      <c r="AZ162">
        <v>22839</v>
      </c>
      <c r="BA162">
        <v>1033911</v>
      </c>
      <c r="BB162">
        <v>32000</v>
      </c>
      <c r="BC162" t="s">
        <v>1556</v>
      </c>
      <c r="BD162" t="s">
        <v>1129</v>
      </c>
      <c r="BE162" t="str">
        <f t="shared" si="63"/>
        <v>이*수</v>
      </c>
      <c r="BF162" t="str">
        <f t="shared" si="64"/>
        <v>***-****-9592</v>
      </c>
      <c r="BG162" t="str">
        <f t="shared" si="65"/>
        <v>***-****-9597</v>
      </c>
      <c r="BH162" t="s">
        <v>453</v>
      </c>
      <c r="BI162" t="s">
        <v>454</v>
      </c>
      <c r="BJ162" t="s">
        <v>1738</v>
      </c>
      <c r="BK162" t="s">
        <v>456</v>
      </c>
      <c r="BL162">
        <v>20204</v>
      </c>
      <c r="BM162" t="str">
        <f>"20204"</f>
        <v>20204</v>
      </c>
      <c r="BN162" t="str">
        <f t="shared" si="66"/>
        <v>20180122-0000044</v>
      </c>
      <c r="BQ162" t="s">
        <v>373</v>
      </c>
      <c r="BU162">
        <v>240</v>
      </c>
      <c r="BV162" t="s">
        <v>1739</v>
      </c>
      <c r="BW162" t="s">
        <v>1735</v>
      </c>
      <c r="BX162" t="s">
        <v>205</v>
      </c>
      <c r="BY162">
        <v>0</v>
      </c>
      <c r="BZ162">
        <v>8806390598910</v>
      </c>
      <c r="CA162" t="s">
        <v>1740</v>
      </c>
      <c r="CF162" t="s">
        <v>1735</v>
      </c>
      <c r="CG162" t="s">
        <v>534</v>
      </c>
      <c r="CH162" t="s">
        <v>377</v>
      </c>
      <c r="CI162" t="s">
        <v>1734</v>
      </c>
      <c r="CJ162">
        <v>20800</v>
      </c>
      <c r="CK162">
        <v>20800</v>
      </c>
      <c r="CL162" t="s">
        <v>1741</v>
      </c>
      <c r="CN162">
        <v>1</v>
      </c>
      <c r="CO162">
        <v>31941</v>
      </c>
      <c r="CP162">
        <v>31941</v>
      </c>
      <c r="CQ162" t="s">
        <v>379</v>
      </c>
      <c r="CS162">
        <v>0</v>
      </c>
    </row>
    <row r="163" spans="1:97" x14ac:dyDescent="0.4">
      <c r="A163" s="10">
        <v>43123</v>
      </c>
      <c r="B163" t="s">
        <v>205</v>
      </c>
      <c r="C163" t="s">
        <v>1742</v>
      </c>
      <c r="D163" t="s">
        <v>359</v>
      </c>
      <c r="E163" t="s">
        <v>1552</v>
      </c>
      <c r="F163" t="str">
        <f t="shared" si="57"/>
        <v>20180122-0000044</v>
      </c>
      <c r="G163">
        <v>1033910</v>
      </c>
      <c r="H163">
        <v>1</v>
      </c>
      <c r="I163" t="s">
        <v>1743</v>
      </c>
      <c r="L163">
        <v>0</v>
      </c>
      <c r="M163">
        <v>1</v>
      </c>
      <c r="O163" t="s">
        <v>361</v>
      </c>
      <c r="P163" t="s">
        <v>1169</v>
      </c>
      <c r="S163" t="s">
        <v>1744</v>
      </c>
      <c r="T163" t="s">
        <v>364</v>
      </c>
      <c r="X163" t="s">
        <v>1743</v>
      </c>
      <c r="AA163">
        <v>24808</v>
      </c>
      <c r="AB163">
        <v>19.940000000000001</v>
      </c>
      <c r="AC163" t="s">
        <v>1745</v>
      </c>
      <c r="AD163">
        <v>21.74</v>
      </c>
      <c r="AE163">
        <v>22.34</v>
      </c>
      <c r="AF163" t="s">
        <v>1659</v>
      </c>
      <c r="AG163">
        <v>1880</v>
      </c>
      <c r="AH163">
        <v>100</v>
      </c>
      <c r="AI163">
        <v>1880</v>
      </c>
      <c r="AK163">
        <v>32</v>
      </c>
      <c r="AL163" t="s">
        <v>1743</v>
      </c>
      <c r="AN163" t="s">
        <v>1746</v>
      </c>
      <c r="AQ163">
        <v>14300</v>
      </c>
      <c r="AR163" t="s">
        <v>368</v>
      </c>
      <c r="AS163">
        <v>613639038174</v>
      </c>
      <c r="AT163" t="str">
        <f t="shared" si="58"/>
        <v>이*수①</v>
      </c>
      <c r="AU163" t="str">
        <f t="shared" si="59"/>
        <v xml:space="preserve"> 2***2</v>
      </c>
      <c r="AV163" t="str">
        <f t="shared" si="60"/>
        <v>***-****-9592</v>
      </c>
      <c r="AW163" t="str">
        <f t="shared" si="61"/>
        <v xml:space="preserve"> 인* 서* 원**로 8*2 (***) 삼***자 5**호 햇*찬 글*벌</v>
      </c>
      <c r="AY163" t="str">
        <f t="shared" si="62"/>
        <v>***-****-9597</v>
      </c>
      <c r="AZ163">
        <v>29351</v>
      </c>
      <c r="BA163">
        <v>1033912</v>
      </c>
      <c r="BB163">
        <v>22000</v>
      </c>
      <c r="BC163" t="s">
        <v>1556</v>
      </c>
      <c r="BD163" t="s">
        <v>1129</v>
      </c>
      <c r="BE163" t="str">
        <f t="shared" si="63"/>
        <v>이*수</v>
      </c>
      <c r="BF163" t="str">
        <f t="shared" si="64"/>
        <v>***-****-9592</v>
      </c>
      <c r="BG163" t="str">
        <f t="shared" si="65"/>
        <v>***-****-9597</v>
      </c>
      <c r="BH163" t="s">
        <v>453</v>
      </c>
      <c r="BI163" t="s">
        <v>454</v>
      </c>
      <c r="BJ163" t="s">
        <v>1747</v>
      </c>
      <c r="BK163" t="s">
        <v>456</v>
      </c>
      <c r="BL163">
        <v>13872</v>
      </c>
      <c r="BM163" t="str">
        <f>"13872"</f>
        <v>13872</v>
      </c>
      <c r="BN163" t="str">
        <f t="shared" si="66"/>
        <v>20180122-0000044</v>
      </c>
      <c r="BQ163" t="s">
        <v>373</v>
      </c>
      <c r="BV163" t="s">
        <v>1743</v>
      </c>
      <c r="BW163" t="s">
        <v>1743</v>
      </c>
      <c r="BX163" t="s">
        <v>205</v>
      </c>
      <c r="BY163">
        <v>0</v>
      </c>
      <c r="BZ163">
        <v>8801042735323</v>
      </c>
      <c r="CA163" t="s">
        <v>1748</v>
      </c>
      <c r="CF163" t="s">
        <v>1743</v>
      </c>
      <c r="CG163" t="s">
        <v>566</v>
      </c>
      <c r="CH163" t="s">
        <v>377</v>
      </c>
      <c r="CI163" t="s">
        <v>1742</v>
      </c>
      <c r="CJ163">
        <v>14300</v>
      </c>
      <c r="CK163">
        <v>14300</v>
      </c>
      <c r="CL163" t="s">
        <v>1749</v>
      </c>
      <c r="CN163">
        <v>1</v>
      </c>
      <c r="CO163">
        <v>24808</v>
      </c>
      <c r="CP163">
        <v>24808</v>
      </c>
      <c r="CQ163" t="s">
        <v>379</v>
      </c>
      <c r="CS163">
        <v>0</v>
      </c>
    </row>
    <row r="164" spans="1:97" x14ac:dyDescent="0.4">
      <c r="A164" s="10">
        <v>43123</v>
      </c>
      <c r="B164" t="s">
        <v>146</v>
      </c>
      <c r="C164" t="s">
        <v>1750</v>
      </c>
      <c r="D164" t="s">
        <v>359</v>
      </c>
      <c r="E164" t="s">
        <v>1552</v>
      </c>
      <c r="F164" t="str">
        <f t="shared" si="57"/>
        <v>20180122-0000044</v>
      </c>
      <c r="G164">
        <v>1033910</v>
      </c>
      <c r="H164">
        <v>2</v>
      </c>
      <c r="I164" t="s">
        <v>1751</v>
      </c>
      <c r="L164">
        <v>0</v>
      </c>
      <c r="M164">
        <v>1</v>
      </c>
      <c r="O164" t="s">
        <v>361</v>
      </c>
      <c r="P164" t="s">
        <v>1169</v>
      </c>
      <c r="S164" t="s">
        <v>1752</v>
      </c>
      <c r="T164" t="s">
        <v>364</v>
      </c>
      <c r="X164" t="s">
        <v>1751</v>
      </c>
      <c r="AA164">
        <v>8608</v>
      </c>
      <c r="AB164">
        <v>5.9</v>
      </c>
      <c r="AC164" t="s">
        <v>1753</v>
      </c>
      <c r="AD164">
        <v>6.44</v>
      </c>
      <c r="AE164">
        <v>6.61</v>
      </c>
      <c r="AF164" t="s">
        <v>1754</v>
      </c>
      <c r="AG164">
        <v>1880</v>
      </c>
      <c r="AH164">
        <v>34</v>
      </c>
      <c r="AI164">
        <v>1880</v>
      </c>
      <c r="AK164">
        <v>14</v>
      </c>
      <c r="AL164" t="s">
        <v>1751</v>
      </c>
      <c r="AN164" t="s">
        <v>1755</v>
      </c>
      <c r="AQ164">
        <v>2750</v>
      </c>
      <c r="AR164" t="s">
        <v>368</v>
      </c>
      <c r="AS164">
        <v>613639038174</v>
      </c>
      <c r="AT164" t="str">
        <f t="shared" si="58"/>
        <v>이*수①</v>
      </c>
      <c r="AU164" t="str">
        <f t="shared" si="59"/>
        <v xml:space="preserve"> 2***2</v>
      </c>
      <c r="AV164" t="str">
        <f t="shared" si="60"/>
        <v>***-****-9592</v>
      </c>
      <c r="AW164" t="str">
        <f t="shared" si="61"/>
        <v xml:space="preserve"> 인* 서* 원**로 8*2 (***) 삼***자 5**호 햇*찬 글*벌</v>
      </c>
      <c r="AY164" t="str">
        <f t="shared" si="62"/>
        <v>***-****-9597</v>
      </c>
      <c r="AZ164">
        <v>28533</v>
      </c>
      <c r="BA164">
        <v>1033936</v>
      </c>
      <c r="BB164">
        <v>10000</v>
      </c>
      <c r="BC164" t="s">
        <v>1556</v>
      </c>
      <c r="BD164" t="s">
        <v>1129</v>
      </c>
      <c r="BE164" t="str">
        <f t="shared" si="63"/>
        <v>이*수</v>
      </c>
      <c r="BF164" t="str">
        <f t="shared" si="64"/>
        <v>***-****-9592</v>
      </c>
      <c r="BG164" t="str">
        <f t="shared" si="65"/>
        <v>***-****-9597</v>
      </c>
      <c r="BH164" t="s">
        <v>453</v>
      </c>
      <c r="BI164" t="s">
        <v>454</v>
      </c>
      <c r="BJ164" t="s">
        <v>1756</v>
      </c>
      <c r="BK164" t="s">
        <v>456</v>
      </c>
      <c r="BL164">
        <v>15546</v>
      </c>
      <c r="BM164" t="str">
        <f>"15546"</f>
        <v>15546</v>
      </c>
      <c r="BN164" t="str">
        <f t="shared" si="66"/>
        <v>20180122-0000044</v>
      </c>
      <c r="BQ164" t="s">
        <v>373</v>
      </c>
      <c r="BV164" t="s">
        <v>1751</v>
      </c>
      <c r="BW164" t="s">
        <v>1751</v>
      </c>
      <c r="BX164" t="s">
        <v>146</v>
      </c>
      <c r="BY164">
        <v>0</v>
      </c>
      <c r="BZ164">
        <v>8806164107980</v>
      </c>
      <c r="CA164" t="s">
        <v>1757</v>
      </c>
      <c r="CF164" t="s">
        <v>1751</v>
      </c>
      <c r="CG164" t="s">
        <v>406</v>
      </c>
      <c r="CH164" t="s">
        <v>377</v>
      </c>
      <c r="CI164" t="s">
        <v>1750</v>
      </c>
      <c r="CJ164">
        <v>2750</v>
      </c>
      <c r="CK164">
        <v>5500</v>
      </c>
      <c r="CL164" t="s">
        <v>1758</v>
      </c>
      <c r="CN164">
        <v>2</v>
      </c>
      <c r="CO164">
        <v>8608</v>
      </c>
      <c r="CP164">
        <v>17216</v>
      </c>
      <c r="CQ164" t="s">
        <v>379</v>
      </c>
      <c r="CS164">
        <v>66</v>
      </c>
    </row>
    <row r="165" spans="1:97" x14ac:dyDescent="0.4">
      <c r="A165" s="10">
        <v>43123</v>
      </c>
      <c r="B165" t="s">
        <v>146</v>
      </c>
      <c r="C165" t="s">
        <v>1759</v>
      </c>
      <c r="D165" t="s">
        <v>359</v>
      </c>
      <c r="E165" t="s">
        <v>1552</v>
      </c>
      <c r="F165" t="str">
        <f t="shared" si="57"/>
        <v>20180122-0000044</v>
      </c>
      <c r="G165">
        <v>1033910</v>
      </c>
      <c r="H165">
        <v>1</v>
      </c>
      <c r="I165" t="s">
        <v>1760</v>
      </c>
      <c r="L165">
        <v>0</v>
      </c>
      <c r="M165">
        <v>1</v>
      </c>
      <c r="O165" t="s">
        <v>361</v>
      </c>
      <c r="P165" t="s">
        <v>1169</v>
      </c>
      <c r="S165" t="s">
        <v>1761</v>
      </c>
      <c r="T165" t="s">
        <v>364</v>
      </c>
      <c r="X165" t="s">
        <v>1760</v>
      </c>
      <c r="AA165">
        <v>26650</v>
      </c>
      <c r="AB165">
        <v>19.809999999999999</v>
      </c>
      <c r="AC165" t="s">
        <v>1762</v>
      </c>
      <c r="AD165">
        <v>21.59</v>
      </c>
      <c r="AE165">
        <v>22.19</v>
      </c>
      <c r="AF165" t="s">
        <v>441</v>
      </c>
      <c r="AG165">
        <v>6500</v>
      </c>
      <c r="AK165">
        <v>304</v>
      </c>
      <c r="AL165" t="s">
        <v>1760</v>
      </c>
      <c r="AQ165">
        <v>11000</v>
      </c>
      <c r="AR165" t="s">
        <v>368</v>
      </c>
      <c r="AS165">
        <v>613639038174</v>
      </c>
      <c r="AT165" t="str">
        <f t="shared" si="58"/>
        <v>이*수①</v>
      </c>
      <c r="AU165" t="str">
        <f t="shared" si="59"/>
        <v xml:space="preserve"> 2***2</v>
      </c>
      <c r="AV165" t="str">
        <f t="shared" si="60"/>
        <v>***-****-9592</v>
      </c>
      <c r="AW165" t="str">
        <f t="shared" si="61"/>
        <v xml:space="preserve"> 인* 서* 원**로 8*2 (***) 삼***자 5**호 햇*찬 글*벌</v>
      </c>
      <c r="AY165" t="str">
        <f t="shared" si="62"/>
        <v>***-****-9597</v>
      </c>
      <c r="AZ165">
        <v>20920</v>
      </c>
      <c r="BA165">
        <v>1033931</v>
      </c>
      <c r="BB165">
        <v>20000</v>
      </c>
      <c r="BC165" t="s">
        <v>1556</v>
      </c>
      <c r="BD165" t="s">
        <v>1129</v>
      </c>
      <c r="BE165" t="str">
        <f t="shared" si="63"/>
        <v>이*수</v>
      </c>
      <c r="BF165" t="str">
        <f t="shared" si="64"/>
        <v>***-****-9592</v>
      </c>
      <c r="BG165" t="str">
        <f t="shared" si="65"/>
        <v>***-****-9597</v>
      </c>
      <c r="BH165" t="s">
        <v>453</v>
      </c>
      <c r="BI165" t="s">
        <v>454</v>
      </c>
      <c r="BJ165" t="s">
        <v>1763</v>
      </c>
      <c r="BK165" t="s">
        <v>456</v>
      </c>
      <c r="BL165">
        <v>18027</v>
      </c>
      <c r="BM165" t="str">
        <f>"18027"</f>
        <v>18027</v>
      </c>
      <c r="BN165" t="str">
        <f t="shared" si="66"/>
        <v>20180122-0000044</v>
      </c>
      <c r="BQ165" t="s">
        <v>373</v>
      </c>
      <c r="BU165">
        <v>392</v>
      </c>
      <c r="BV165" t="s">
        <v>1764</v>
      </c>
      <c r="BW165" t="s">
        <v>1760</v>
      </c>
      <c r="BX165" t="s">
        <v>146</v>
      </c>
      <c r="BY165">
        <v>0</v>
      </c>
      <c r="BZ165">
        <v>8806164136294</v>
      </c>
      <c r="CA165" t="s">
        <v>1765</v>
      </c>
      <c r="CF165" t="s">
        <v>1760</v>
      </c>
      <c r="CG165" t="s">
        <v>444</v>
      </c>
      <c r="CH165" t="s">
        <v>377</v>
      </c>
      <c r="CI165" t="s">
        <v>1759</v>
      </c>
      <c r="CJ165">
        <v>11000</v>
      </c>
      <c r="CK165">
        <v>11000</v>
      </c>
      <c r="CL165" t="s">
        <v>1766</v>
      </c>
      <c r="CN165">
        <v>1</v>
      </c>
      <c r="CO165">
        <v>26650</v>
      </c>
      <c r="CP165">
        <v>26650</v>
      </c>
      <c r="CQ165" t="s">
        <v>379</v>
      </c>
      <c r="CS165">
        <v>0</v>
      </c>
    </row>
    <row r="166" spans="1:97" x14ac:dyDescent="0.4">
      <c r="A166" s="10">
        <v>43123</v>
      </c>
      <c r="B166" t="s">
        <v>146</v>
      </c>
      <c r="C166" t="s">
        <v>1767</v>
      </c>
      <c r="D166" t="s">
        <v>359</v>
      </c>
      <c r="E166" t="s">
        <v>1552</v>
      </c>
      <c r="F166" t="str">
        <f t="shared" si="57"/>
        <v>20180122-0000044</v>
      </c>
      <c r="G166">
        <v>1033910</v>
      </c>
      <c r="H166">
        <v>1</v>
      </c>
      <c r="I166" t="s">
        <v>1768</v>
      </c>
      <c r="L166">
        <v>0</v>
      </c>
      <c r="M166">
        <v>1</v>
      </c>
      <c r="O166" t="s">
        <v>361</v>
      </c>
      <c r="P166" t="s">
        <v>1169</v>
      </c>
      <c r="S166" t="s">
        <v>1769</v>
      </c>
      <c r="T166" t="s">
        <v>364</v>
      </c>
      <c r="X166" t="s">
        <v>1768</v>
      </c>
      <c r="AA166">
        <v>26650</v>
      </c>
      <c r="AB166">
        <v>18.739999999999998</v>
      </c>
      <c r="AC166" t="s">
        <v>1770</v>
      </c>
      <c r="AD166">
        <v>20.43</v>
      </c>
      <c r="AE166">
        <v>20.99</v>
      </c>
      <c r="AF166" t="s">
        <v>540</v>
      </c>
      <c r="AG166">
        <v>6500</v>
      </c>
      <c r="AK166">
        <v>253</v>
      </c>
      <c r="AL166" t="s">
        <v>1768</v>
      </c>
      <c r="AQ166">
        <v>11000</v>
      </c>
      <c r="AR166" t="s">
        <v>368</v>
      </c>
      <c r="AS166">
        <v>613639038174</v>
      </c>
      <c r="AT166" t="str">
        <f t="shared" si="58"/>
        <v>이*수①</v>
      </c>
      <c r="AU166" t="str">
        <f t="shared" si="59"/>
        <v xml:space="preserve"> 2***2</v>
      </c>
      <c r="AV166" t="str">
        <f t="shared" si="60"/>
        <v>***-****-9592</v>
      </c>
      <c r="AW166" t="str">
        <f t="shared" si="61"/>
        <v xml:space="preserve"> 인* 서* 원**로 8*2 (***) 삼***자 5**호 햇*찬 글*벌</v>
      </c>
      <c r="AY166" t="str">
        <f t="shared" si="62"/>
        <v>***-****-9597</v>
      </c>
      <c r="AZ166">
        <v>18852</v>
      </c>
      <c r="BA166">
        <v>1033930</v>
      </c>
      <c r="BB166">
        <v>20000</v>
      </c>
      <c r="BC166" t="s">
        <v>1556</v>
      </c>
      <c r="BD166" t="s">
        <v>1129</v>
      </c>
      <c r="BE166" t="str">
        <f t="shared" si="63"/>
        <v>이*수</v>
      </c>
      <c r="BF166" t="str">
        <f t="shared" si="64"/>
        <v>***-****-9592</v>
      </c>
      <c r="BG166" t="str">
        <f t="shared" si="65"/>
        <v>***-****-9597</v>
      </c>
      <c r="BH166" t="s">
        <v>453</v>
      </c>
      <c r="BI166" t="s">
        <v>454</v>
      </c>
      <c r="BJ166" t="s">
        <v>1771</v>
      </c>
      <c r="BK166" t="s">
        <v>456</v>
      </c>
      <c r="BL166">
        <v>18028</v>
      </c>
      <c r="BM166" t="str">
        <f>"18028"</f>
        <v>18028</v>
      </c>
      <c r="BN166" t="str">
        <f t="shared" si="66"/>
        <v>20180122-0000044</v>
      </c>
      <c r="BQ166" t="s">
        <v>373</v>
      </c>
      <c r="BV166" t="s">
        <v>1772</v>
      </c>
      <c r="BW166" t="s">
        <v>1768</v>
      </c>
      <c r="BX166" t="s">
        <v>146</v>
      </c>
      <c r="BY166">
        <v>0</v>
      </c>
      <c r="BZ166">
        <v>8806164136300</v>
      </c>
      <c r="CA166" t="s">
        <v>1773</v>
      </c>
      <c r="CF166" t="s">
        <v>1768</v>
      </c>
      <c r="CG166" t="s">
        <v>534</v>
      </c>
      <c r="CH166" t="s">
        <v>377</v>
      </c>
      <c r="CI166" t="s">
        <v>1767</v>
      </c>
      <c r="CJ166">
        <v>11000</v>
      </c>
      <c r="CK166">
        <v>11000</v>
      </c>
      <c r="CL166" t="s">
        <v>1774</v>
      </c>
      <c r="CN166">
        <v>1</v>
      </c>
      <c r="CO166">
        <v>26650</v>
      </c>
      <c r="CP166">
        <v>26650</v>
      </c>
      <c r="CQ166" t="s">
        <v>379</v>
      </c>
      <c r="CS166">
        <v>0</v>
      </c>
    </row>
    <row r="167" spans="1:97" x14ac:dyDescent="0.4">
      <c r="A167" s="10">
        <v>43123</v>
      </c>
      <c r="B167" t="s">
        <v>123</v>
      </c>
      <c r="C167" t="s">
        <v>1775</v>
      </c>
      <c r="D167" t="s">
        <v>359</v>
      </c>
      <c r="E167" t="s">
        <v>1776</v>
      </c>
      <c r="F167" t="str">
        <f t="shared" ref="F167:F174" si="67">"20180122-0000053"</f>
        <v>20180122-0000053</v>
      </c>
      <c r="G167">
        <v>1033901</v>
      </c>
      <c r="H167">
        <v>2</v>
      </c>
      <c r="I167" t="s">
        <v>1777</v>
      </c>
      <c r="L167">
        <v>0</v>
      </c>
      <c r="M167">
        <v>1</v>
      </c>
      <c r="O167" t="s">
        <v>361</v>
      </c>
      <c r="P167" t="s">
        <v>1778</v>
      </c>
      <c r="S167" t="s">
        <v>1779</v>
      </c>
      <c r="T167" t="s">
        <v>364</v>
      </c>
      <c r="X167" t="s">
        <v>1777</v>
      </c>
      <c r="AA167">
        <v>17710</v>
      </c>
      <c r="AB167">
        <v>13.26</v>
      </c>
      <c r="AC167" t="s">
        <v>1780</v>
      </c>
      <c r="AD167">
        <v>14.46</v>
      </c>
      <c r="AE167">
        <v>14.86</v>
      </c>
      <c r="AF167" t="s">
        <v>726</v>
      </c>
      <c r="AG167">
        <v>3770</v>
      </c>
      <c r="AK167">
        <v>79</v>
      </c>
      <c r="AL167" t="s">
        <v>1777</v>
      </c>
      <c r="AN167" t="s">
        <v>1781</v>
      </c>
      <c r="AQ167">
        <v>7548</v>
      </c>
      <c r="AR167" t="s">
        <v>368</v>
      </c>
      <c r="AS167">
        <v>613660397436</v>
      </c>
      <c r="AT167" t="str">
        <f t="shared" ref="AT167:AT174" si="68">"김*렬"</f>
        <v>김*렬</v>
      </c>
      <c r="AU167" t="str">
        <f t="shared" ref="AU167:AU174" si="69">" 0***8"</f>
        <v xml:space="preserve"> 0***8</v>
      </c>
      <c r="AV167" t="str">
        <f t="shared" ref="AV167:AV174" si="70">"***-****-6932"</f>
        <v>***-****-6932</v>
      </c>
      <c r="AW167" t="str">
        <f t="shared" ref="AW167:AW174" si="71">" 서* 관*구 성**길 1* (***) 1* 커***스"</f>
        <v xml:space="preserve"> 서* 관*구 성**길 1* (***) 1* 커***스</v>
      </c>
      <c r="AY167" t="str">
        <f t="shared" ref="AY167:AY174" si="72">"***-****-6932"</f>
        <v>***-****-6932</v>
      </c>
      <c r="AZ167">
        <v>29350</v>
      </c>
      <c r="BA167">
        <v>1033906</v>
      </c>
      <c r="BB167">
        <v>29600</v>
      </c>
      <c r="BC167" t="s">
        <v>1782</v>
      </c>
      <c r="BD167" t="s">
        <v>1129</v>
      </c>
      <c r="BE167" t="str">
        <f t="shared" ref="BE167:BE174" si="73">"김*렬"</f>
        <v>김*렬</v>
      </c>
      <c r="BF167" t="str">
        <f t="shared" ref="BF167:BG174" si="74">"***-****-6932"</f>
        <v>***-****-6932</v>
      </c>
      <c r="BG167" t="str">
        <f t="shared" si="74"/>
        <v>***-****-6932</v>
      </c>
      <c r="BH167" t="s">
        <v>453</v>
      </c>
      <c r="BI167" t="s">
        <v>454</v>
      </c>
      <c r="BJ167" t="s">
        <v>1783</v>
      </c>
      <c r="BK167" t="s">
        <v>456</v>
      </c>
      <c r="BL167">
        <v>13956</v>
      </c>
      <c r="BM167" t="str">
        <f>"13956"</f>
        <v>13956</v>
      </c>
      <c r="BN167" t="str">
        <f t="shared" ref="BN167:BN174" si="75">"20180122-0000053"</f>
        <v>20180122-0000053</v>
      </c>
      <c r="BQ167" t="s">
        <v>373</v>
      </c>
      <c r="BV167" t="s">
        <v>1777</v>
      </c>
      <c r="BW167" t="s">
        <v>1777</v>
      </c>
      <c r="BX167" t="s">
        <v>123</v>
      </c>
      <c r="BY167">
        <v>0</v>
      </c>
      <c r="BZ167">
        <v>8809323730913</v>
      </c>
      <c r="CA167" t="s">
        <v>1784</v>
      </c>
      <c r="CF167" t="s">
        <v>1777</v>
      </c>
      <c r="CG167" t="s">
        <v>730</v>
      </c>
      <c r="CH167" t="s">
        <v>377</v>
      </c>
      <c r="CI167" t="s">
        <v>1775</v>
      </c>
      <c r="CJ167">
        <v>7548</v>
      </c>
      <c r="CK167">
        <v>15096</v>
      </c>
      <c r="CL167" t="s">
        <v>1785</v>
      </c>
      <c r="CN167">
        <v>2</v>
      </c>
      <c r="CO167">
        <v>17710</v>
      </c>
      <c r="CP167">
        <v>35420</v>
      </c>
      <c r="CQ167" t="s">
        <v>379</v>
      </c>
      <c r="CS167">
        <v>0</v>
      </c>
    </row>
    <row r="168" spans="1:97" x14ac:dyDescent="0.4">
      <c r="A168" s="10">
        <v>43123</v>
      </c>
      <c r="B168" t="s">
        <v>123</v>
      </c>
      <c r="C168" t="s">
        <v>1786</v>
      </c>
      <c r="D168" t="s">
        <v>359</v>
      </c>
      <c r="E168" t="s">
        <v>1776</v>
      </c>
      <c r="F168" t="str">
        <f t="shared" si="67"/>
        <v>20180122-0000053</v>
      </c>
      <c r="G168">
        <v>1033901</v>
      </c>
      <c r="H168">
        <v>2</v>
      </c>
      <c r="I168" t="s">
        <v>1787</v>
      </c>
      <c r="L168">
        <v>0</v>
      </c>
      <c r="M168">
        <v>1</v>
      </c>
      <c r="O168" t="s">
        <v>361</v>
      </c>
      <c r="P168" t="s">
        <v>1778</v>
      </c>
      <c r="S168" t="s">
        <v>1788</v>
      </c>
      <c r="T168" t="s">
        <v>364</v>
      </c>
      <c r="X168" t="s">
        <v>1787</v>
      </c>
      <c r="AA168">
        <v>12272</v>
      </c>
      <c r="AB168">
        <v>7.62</v>
      </c>
      <c r="AC168" t="s">
        <v>1789</v>
      </c>
      <c r="AD168">
        <v>8.31</v>
      </c>
      <c r="AE168">
        <v>8.5299999999999994</v>
      </c>
      <c r="AF168" t="s">
        <v>1140</v>
      </c>
      <c r="AG168">
        <v>3770</v>
      </c>
      <c r="AH168">
        <v>119</v>
      </c>
      <c r="AI168">
        <v>3770</v>
      </c>
      <c r="AK168">
        <v>46</v>
      </c>
      <c r="AL168" t="s">
        <v>1787</v>
      </c>
      <c r="AN168" t="s">
        <v>1790</v>
      </c>
      <c r="AQ168">
        <v>3315</v>
      </c>
      <c r="AR168" t="s">
        <v>368</v>
      </c>
      <c r="AS168">
        <v>613660397436</v>
      </c>
      <c r="AT168" t="str">
        <f t="shared" si="68"/>
        <v>김*렬</v>
      </c>
      <c r="AU168" t="str">
        <f t="shared" si="69"/>
        <v xml:space="preserve"> 0***8</v>
      </c>
      <c r="AV168" t="str">
        <f t="shared" si="70"/>
        <v>***-****-6932</v>
      </c>
      <c r="AW168" t="str">
        <f t="shared" si="71"/>
        <v xml:space="preserve"> 서* 관*구 성**길 1* (***) 1* 커***스</v>
      </c>
      <c r="AY168" t="str">
        <f t="shared" si="72"/>
        <v>***-****-6932</v>
      </c>
      <c r="AZ168">
        <v>27015</v>
      </c>
      <c r="BA168">
        <v>1033909</v>
      </c>
      <c r="BB168">
        <v>13000</v>
      </c>
      <c r="BC168" t="s">
        <v>1782</v>
      </c>
      <c r="BD168" t="s">
        <v>1129</v>
      </c>
      <c r="BE168" t="str">
        <f t="shared" si="73"/>
        <v>김*렬</v>
      </c>
      <c r="BF168" t="str">
        <f t="shared" si="74"/>
        <v>***-****-6932</v>
      </c>
      <c r="BG168" t="str">
        <f t="shared" si="74"/>
        <v>***-****-6932</v>
      </c>
      <c r="BH168" t="s">
        <v>453</v>
      </c>
      <c r="BI168" t="s">
        <v>454</v>
      </c>
      <c r="BJ168" t="s">
        <v>1791</v>
      </c>
      <c r="BK168" t="s">
        <v>456</v>
      </c>
      <c r="BL168">
        <v>13815</v>
      </c>
      <c r="BM168" t="str">
        <f>"13815"</f>
        <v>13815</v>
      </c>
      <c r="BN168" t="str">
        <f t="shared" si="75"/>
        <v>20180122-0000053</v>
      </c>
      <c r="BQ168" t="s">
        <v>373</v>
      </c>
      <c r="BV168" t="s">
        <v>1787</v>
      </c>
      <c r="BW168" t="s">
        <v>1787</v>
      </c>
      <c r="BX168" t="s">
        <v>123</v>
      </c>
      <c r="BY168">
        <v>0</v>
      </c>
      <c r="BZ168">
        <v>8809454021102</v>
      </c>
      <c r="CA168" t="s">
        <v>1792</v>
      </c>
      <c r="CF168" t="s">
        <v>1787</v>
      </c>
      <c r="CG168" t="s">
        <v>730</v>
      </c>
      <c r="CH168" t="s">
        <v>377</v>
      </c>
      <c r="CI168" t="s">
        <v>1786</v>
      </c>
      <c r="CJ168">
        <v>3315</v>
      </c>
      <c r="CK168">
        <v>6630</v>
      </c>
      <c r="CL168" t="s">
        <v>1199</v>
      </c>
      <c r="CN168">
        <v>2</v>
      </c>
      <c r="CO168">
        <v>12272</v>
      </c>
      <c r="CP168">
        <v>24544</v>
      </c>
      <c r="CQ168" t="s">
        <v>379</v>
      </c>
      <c r="CS168">
        <v>0</v>
      </c>
    </row>
    <row r="169" spans="1:97" x14ac:dyDescent="0.4">
      <c r="A169" s="10">
        <v>43123</v>
      </c>
      <c r="B169" t="s">
        <v>123</v>
      </c>
      <c r="C169" t="s">
        <v>1793</v>
      </c>
      <c r="D169" t="s">
        <v>359</v>
      </c>
      <c r="E169" t="s">
        <v>1776</v>
      </c>
      <c r="F169" t="str">
        <f t="shared" si="67"/>
        <v>20180122-0000053</v>
      </c>
      <c r="G169">
        <v>1033901</v>
      </c>
      <c r="H169">
        <v>1</v>
      </c>
      <c r="I169" t="s">
        <v>1794</v>
      </c>
      <c r="L169">
        <v>0</v>
      </c>
      <c r="M169">
        <v>1</v>
      </c>
      <c r="O169" t="s">
        <v>361</v>
      </c>
      <c r="P169" t="s">
        <v>1778</v>
      </c>
      <c r="S169" t="s">
        <v>1795</v>
      </c>
      <c r="T169" t="s">
        <v>364</v>
      </c>
      <c r="X169" t="s">
        <v>1794</v>
      </c>
      <c r="AA169">
        <v>19558</v>
      </c>
      <c r="AB169">
        <v>14.76</v>
      </c>
      <c r="AC169" t="s">
        <v>1796</v>
      </c>
      <c r="AD169">
        <v>16.09</v>
      </c>
      <c r="AE169">
        <v>16.53</v>
      </c>
      <c r="AF169" t="s">
        <v>777</v>
      </c>
      <c r="AG169">
        <v>3770</v>
      </c>
      <c r="AK169">
        <v>59</v>
      </c>
      <c r="AL169" t="s">
        <v>1794</v>
      </c>
      <c r="AQ169">
        <v>8670</v>
      </c>
      <c r="AR169" t="s">
        <v>368</v>
      </c>
      <c r="AS169">
        <v>613660397436</v>
      </c>
      <c r="AT169" t="str">
        <f t="shared" si="68"/>
        <v>김*렬</v>
      </c>
      <c r="AU169" t="str">
        <f t="shared" si="69"/>
        <v xml:space="preserve"> 0***8</v>
      </c>
      <c r="AV169" t="str">
        <f t="shared" si="70"/>
        <v>***-****-6932</v>
      </c>
      <c r="AW169" t="str">
        <f t="shared" si="71"/>
        <v xml:space="preserve"> 서* 관*구 성**길 1* (***) 1* 커***스</v>
      </c>
      <c r="AY169" t="str">
        <f t="shared" si="72"/>
        <v>***-****-6932</v>
      </c>
      <c r="AZ169">
        <v>9627</v>
      </c>
      <c r="BA169">
        <v>1033907</v>
      </c>
      <c r="BB169">
        <v>17000</v>
      </c>
      <c r="BC169" t="s">
        <v>1782</v>
      </c>
      <c r="BD169" t="s">
        <v>1129</v>
      </c>
      <c r="BE169" t="str">
        <f t="shared" si="73"/>
        <v>김*렬</v>
      </c>
      <c r="BF169" t="str">
        <f t="shared" si="74"/>
        <v>***-****-6932</v>
      </c>
      <c r="BG169" t="str">
        <f t="shared" si="74"/>
        <v>***-****-6932</v>
      </c>
      <c r="BH169" t="s">
        <v>453</v>
      </c>
      <c r="BI169" t="s">
        <v>454</v>
      </c>
      <c r="BJ169" t="s">
        <v>1797</v>
      </c>
      <c r="BK169" t="s">
        <v>456</v>
      </c>
      <c r="BL169">
        <v>12107</v>
      </c>
      <c r="BM169" t="str">
        <f>"12107"</f>
        <v>12107</v>
      </c>
      <c r="BN169" t="str">
        <f t="shared" si="75"/>
        <v>20180122-0000053</v>
      </c>
      <c r="BQ169" t="s">
        <v>373</v>
      </c>
      <c r="BV169" t="s">
        <v>1798</v>
      </c>
      <c r="BW169" t="s">
        <v>1794</v>
      </c>
      <c r="BX169" t="s">
        <v>123</v>
      </c>
      <c r="BY169">
        <v>0</v>
      </c>
      <c r="BZ169">
        <v>8809323738995</v>
      </c>
      <c r="CA169" t="s">
        <v>1799</v>
      </c>
      <c r="CF169" t="s">
        <v>1794</v>
      </c>
      <c r="CG169" t="s">
        <v>591</v>
      </c>
      <c r="CH169" t="s">
        <v>377</v>
      </c>
      <c r="CI169" t="s">
        <v>1793</v>
      </c>
      <c r="CJ169">
        <v>8670</v>
      </c>
      <c r="CK169">
        <v>8670</v>
      </c>
      <c r="CL169" t="s">
        <v>1800</v>
      </c>
      <c r="CN169">
        <v>1</v>
      </c>
      <c r="CO169">
        <v>19558</v>
      </c>
      <c r="CP169">
        <v>19558</v>
      </c>
      <c r="CQ169" t="s">
        <v>379</v>
      </c>
      <c r="CS169">
        <v>0</v>
      </c>
    </row>
    <row r="170" spans="1:97" x14ac:dyDescent="0.4">
      <c r="A170" s="10">
        <v>43123</v>
      </c>
      <c r="B170" t="s">
        <v>117</v>
      </c>
      <c r="C170" t="s">
        <v>1801</v>
      </c>
      <c r="D170" t="s">
        <v>359</v>
      </c>
      <c r="E170" t="s">
        <v>1776</v>
      </c>
      <c r="F170" t="str">
        <f t="shared" si="67"/>
        <v>20180122-0000053</v>
      </c>
      <c r="G170">
        <v>1033901</v>
      </c>
      <c r="H170">
        <v>1</v>
      </c>
      <c r="I170" t="s">
        <v>1802</v>
      </c>
      <c r="L170">
        <v>0</v>
      </c>
      <c r="M170">
        <v>1</v>
      </c>
      <c r="O170" t="s">
        <v>361</v>
      </c>
      <c r="P170" t="s">
        <v>1778</v>
      </c>
      <c r="S170" t="s">
        <v>1803</v>
      </c>
      <c r="T170" t="s">
        <v>364</v>
      </c>
      <c r="X170" t="s">
        <v>1802</v>
      </c>
      <c r="AA170">
        <v>20860</v>
      </c>
      <c r="AB170">
        <v>14.24</v>
      </c>
      <c r="AC170" t="s">
        <v>1804</v>
      </c>
      <c r="AD170">
        <v>15.52</v>
      </c>
      <c r="AE170">
        <v>15.95</v>
      </c>
      <c r="AF170" t="s">
        <v>1009</v>
      </c>
      <c r="AG170">
        <v>6500</v>
      </c>
      <c r="AK170">
        <v>195</v>
      </c>
      <c r="AL170" t="s">
        <v>1802</v>
      </c>
      <c r="AQ170">
        <v>7560</v>
      </c>
      <c r="AR170" t="s">
        <v>368</v>
      </c>
      <c r="AS170">
        <v>613660397436</v>
      </c>
      <c r="AT170" t="str">
        <f t="shared" si="68"/>
        <v>김*렬</v>
      </c>
      <c r="AU170" t="str">
        <f t="shared" si="69"/>
        <v xml:space="preserve"> 0***8</v>
      </c>
      <c r="AV170" t="str">
        <f t="shared" si="70"/>
        <v>***-****-6932</v>
      </c>
      <c r="AW170" t="str">
        <f t="shared" si="71"/>
        <v xml:space="preserve"> 서* 관*구 성**길 1* (***) 1* 커***스</v>
      </c>
      <c r="AY170" t="str">
        <f t="shared" si="72"/>
        <v>***-****-6932</v>
      </c>
      <c r="AZ170">
        <v>8315</v>
      </c>
      <c r="BA170">
        <v>1033901</v>
      </c>
      <c r="BB170">
        <v>12000</v>
      </c>
      <c r="BC170" t="s">
        <v>1782</v>
      </c>
      <c r="BD170" t="s">
        <v>1129</v>
      </c>
      <c r="BE170" t="str">
        <f t="shared" si="73"/>
        <v>김*렬</v>
      </c>
      <c r="BF170" t="str">
        <f t="shared" si="74"/>
        <v>***-****-6932</v>
      </c>
      <c r="BG170" t="str">
        <f t="shared" si="74"/>
        <v>***-****-6932</v>
      </c>
      <c r="BH170" t="s">
        <v>453</v>
      </c>
      <c r="BI170" t="s">
        <v>454</v>
      </c>
      <c r="BJ170" t="s">
        <v>1805</v>
      </c>
      <c r="BK170" t="s">
        <v>456</v>
      </c>
      <c r="BL170">
        <v>11883</v>
      </c>
      <c r="BM170" t="str">
        <f>"11883"</f>
        <v>11883</v>
      </c>
      <c r="BN170" t="str">
        <f t="shared" si="75"/>
        <v>20180122-0000053</v>
      </c>
      <c r="BQ170" t="s">
        <v>373</v>
      </c>
      <c r="BU170">
        <v>0</v>
      </c>
      <c r="BV170" t="s">
        <v>1806</v>
      </c>
      <c r="BW170" t="s">
        <v>1802</v>
      </c>
      <c r="BX170" t="s">
        <v>117</v>
      </c>
      <c r="BY170">
        <v>0</v>
      </c>
      <c r="BZ170">
        <v>8809516817629</v>
      </c>
      <c r="CA170" t="s">
        <v>1807</v>
      </c>
      <c r="CF170" t="s">
        <v>1802</v>
      </c>
      <c r="CG170" t="s">
        <v>877</v>
      </c>
      <c r="CH170" t="s">
        <v>377</v>
      </c>
      <c r="CI170" t="s">
        <v>1801</v>
      </c>
      <c r="CJ170">
        <v>7560</v>
      </c>
      <c r="CK170">
        <v>7560</v>
      </c>
      <c r="CL170" t="s">
        <v>1808</v>
      </c>
      <c r="CN170">
        <v>1</v>
      </c>
      <c r="CO170">
        <v>20860</v>
      </c>
      <c r="CP170">
        <v>20860</v>
      </c>
      <c r="CQ170" t="s">
        <v>379</v>
      </c>
      <c r="CS170">
        <v>0</v>
      </c>
    </row>
    <row r="171" spans="1:97" x14ac:dyDescent="0.4">
      <c r="A171" s="10">
        <v>43123</v>
      </c>
      <c r="B171" t="s">
        <v>117</v>
      </c>
      <c r="C171" t="s">
        <v>1809</v>
      </c>
      <c r="D171" t="s">
        <v>359</v>
      </c>
      <c r="E171" t="s">
        <v>1776</v>
      </c>
      <c r="F171" t="str">
        <f t="shared" si="67"/>
        <v>20180122-0000053</v>
      </c>
      <c r="G171">
        <v>1033901</v>
      </c>
      <c r="H171">
        <v>1</v>
      </c>
      <c r="I171" t="s">
        <v>1810</v>
      </c>
      <c r="L171">
        <v>0</v>
      </c>
      <c r="M171">
        <v>1</v>
      </c>
      <c r="O171" t="s">
        <v>361</v>
      </c>
      <c r="P171" t="s">
        <v>1778</v>
      </c>
      <c r="S171" t="s">
        <v>1811</v>
      </c>
      <c r="T171" t="s">
        <v>364</v>
      </c>
      <c r="X171" t="s">
        <v>1810</v>
      </c>
      <c r="AA171">
        <v>17038</v>
      </c>
      <c r="AB171">
        <v>12.32</v>
      </c>
      <c r="AC171" t="s">
        <v>1812</v>
      </c>
      <c r="AD171">
        <v>13.43</v>
      </c>
      <c r="AE171">
        <v>13.8</v>
      </c>
      <c r="AF171" t="s">
        <v>805</v>
      </c>
      <c r="AG171">
        <v>1880</v>
      </c>
      <c r="AK171">
        <v>30</v>
      </c>
      <c r="AL171" t="s">
        <v>1810</v>
      </c>
      <c r="AN171" t="s">
        <v>1813</v>
      </c>
      <c r="AQ171">
        <v>7560</v>
      </c>
      <c r="AR171" t="s">
        <v>368</v>
      </c>
      <c r="AS171">
        <v>613660397436</v>
      </c>
      <c r="AT171" t="str">
        <f t="shared" si="68"/>
        <v>김*렬</v>
      </c>
      <c r="AU171" t="str">
        <f t="shared" si="69"/>
        <v xml:space="preserve"> 0***8</v>
      </c>
      <c r="AV171" t="str">
        <f t="shared" si="70"/>
        <v>***-****-6932</v>
      </c>
      <c r="AW171" t="str">
        <f t="shared" si="71"/>
        <v xml:space="preserve"> 서* 관*구 성**길 1* (***) 1* 커***스</v>
      </c>
      <c r="AY171" t="str">
        <f t="shared" si="72"/>
        <v>***-****-6932</v>
      </c>
      <c r="AZ171">
        <v>29347</v>
      </c>
      <c r="BA171">
        <v>1033908</v>
      </c>
      <c r="BB171">
        <v>12000</v>
      </c>
      <c r="BC171" t="s">
        <v>1782</v>
      </c>
      <c r="BD171" t="s">
        <v>1129</v>
      </c>
      <c r="BE171" t="str">
        <f t="shared" si="73"/>
        <v>김*렬</v>
      </c>
      <c r="BF171" t="str">
        <f t="shared" si="74"/>
        <v>***-****-6932</v>
      </c>
      <c r="BG171" t="str">
        <f t="shared" si="74"/>
        <v>***-****-6932</v>
      </c>
      <c r="BH171" t="s">
        <v>453</v>
      </c>
      <c r="BI171" t="s">
        <v>454</v>
      </c>
      <c r="BJ171" t="s">
        <v>1814</v>
      </c>
      <c r="BK171" t="s">
        <v>456</v>
      </c>
      <c r="BL171">
        <v>17952</v>
      </c>
      <c r="BM171" t="str">
        <f>"17952"</f>
        <v>17952</v>
      </c>
      <c r="BN171" t="str">
        <f t="shared" si="75"/>
        <v>20180122-0000053</v>
      </c>
      <c r="BQ171" t="s">
        <v>373</v>
      </c>
      <c r="BU171">
        <v>0</v>
      </c>
      <c r="BV171" t="s">
        <v>1815</v>
      </c>
      <c r="BW171" t="s">
        <v>1810</v>
      </c>
      <c r="BX171" t="s">
        <v>117</v>
      </c>
      <c r="BY171">
        <v>0</v>
      </c>
      <c r="BZ171">
        <v>8806173599080</v>
      </c>
      <c r="CA171" t="s">
        <v>1816</v>
      </c>
      <c r="CF171" t="s">
        <v>1810</v>
      </c>
      <c r="CG171" t="s">
        <v>376</v>
      </c>
      <c r="CH171" t="s">
        <v>377</v>
      </c>
      <c r="CI171" t="s">
        <v>1809</v>
      </c>
      <c r="CJ171">
        <v>7560</v>
      </c>
      <c r="CK171">
        <v>7560</v>
      </c>
      <c r="CL171" t="s">
        <v>1817</v>
      </c>
      <c r="CN171">
        <v>1</v>
      </c>
      <c r="CO171">
        <v>17038</v>
      </c>
      <c r="CP171">
        <v>17038</v>
      </c>
      <c r="CQ171" t="s">
        <v>379</v>
      </c>
      <c r="CS171">
        <v>0</v>
      </c>
    </row>
    <row r="172" spans="1:97" x14ac:dyDescent="0.4">
      <c r="A172" s="10">
        <v>43123</v>
      </c>
      <c r="B172" t="s">
        <v>210</v>
      </c>
      <c r="C172" t="s">
        <v>1818</v>
      </c>
      <c r="D172" t="s">
        <v>359</v>
      </c>
      <c r="E172" t="s">
        <v>1776</v>
      </c>
      <c r="F172" t="str">
        <f t="shared" si="67"/>
        <v>20180122-0000053</v>
      </c>
      <c r="G172">
        <v>1033901</v>
      </c>
      <c r="H172">
        <v>2</v>
      </c>
      <c r="I172" t="s">
        <v>1819</v>
      </c>
      <c r="L172">
        <v>0</v>
      </c>
      <c r="M172">
        <v>1</v>
      </c>
      <c r="O172" t="s">
        <v>361</v>
      </c>
      <c r="P172" t="s">
        <v>1778</v>
      </c>
      <c r="S172" t="s">
        <v>1820</v>
      </c>
      <c r="T172" t="s">
        <v>364</v>
      </c>
      <c r="X172" t="s">
        <v>1819</v>
      </c>
      <c r="AA172">
        <v>9248</v>
      </c>
      <c r="AB172">
        <v>16.39</v>
      </c>
      <c r="AC172" t="s">
        <v>1821</v>
      </c>
      <c r="AD172">
        <v>17.87</v>
      </c>
      <c r="AE172">
        <v>18.36</v>
      </c>
      <c r="AF172" t="s">
        <v>1822</v>
      </c>
      <c r="AG172">
        <v>6500</v>
      </c>
      <c r="AK172">
        <v>291</v>
      </c>
      <c r="AL172" t="s">
        <v>1819</v>
      </c>
      <c r="AQ172">
        <v>8450</v>
      </c>
      <c r="AR172" t="s">
        <v>368</v>
      </c>
      <c r="AS172">
        <v>613660397436</v>
      </c>
      <c r="AT172" t="str">
        <f t="shared" si="68"/>
        <v>김*렬</v>
      </c>
      <c r="AU172" t="str">
        <f t="shared" si="69"/>
        <v xml:space="preserve"> 0***8</v>
      </c>
      <c r="AV172" t="str">
        <f t="shared" si="70"/>
        <v>***-****-6932</v>
      </c>
      <c r="AW172" t="str">
        <f t="shared" si="71"/>
        <v xml:space="preserve"> 서* 관*구 성**길 1* (***) 1* 커***스</v>
      </c>
      <c r="AY172" t="str">
        <f t="shared" si="72"/>
        <v>***-****-6932</v>
      </c>
      <c r="AZ172">
        <v>15876</v>
      </c>
      <c r="BA172">
        <v>1033904</v>
      </c>
      <c r="BB172">
        <v>26000</v>
      </c>
      <c r="BC172" t="s">
        <v>1782</v>
      </c>
      <c r="BD172" t="s">
        <v>1129</v>
      </c>
      <c r="BE172" t="str">
        <f t="shared" si="73"/>
        <v>김*렬</v>
      </c>
      <c r="BF172" t="str">
        <f t="shared" si="74"/>
        <v>***-****-6932</v>
      </c>
      <c r="BG172" t="str">
        <f t="shared" si="74"/>
        <v>***-****-6932</v>
      </c>
      <c r="BH172" t="s">
        <v>453</v>
      </c>
      <c r="BI172" t="s">
        <v>454</v>
      </c>
      <c r="BJ172" t="s">
        <v>1823</v>
      </c>
      <c r="BK172" t="s">
        <v>456</v>
      </c>
      <c r="BL172">
        <v>17728</v>
      </c>
      <c r="BM172" t="str">
        <f>"17728"</f>
        <v>17728</v>
      </c>
      <c r="BN172" t="str">
        <f t="shared" si="75"/>
        <v>20180122-0000053</v>
      </c>
      <c r="BQ172" t="s">
        <v>373</v>
      </c>
      <c r="BV172" t="s">
        <v>1824</v>
      </c>
      <c r="BW172" t="s">
        <v>1819</v>
      </c>
      <c r="BX172" t="s">
        <v>210</v>
      </c>
      <c r="BY172">
        <v>0</v>
      </c>
      <c r="BZ172">
        <v>8806403217036</v>
      </c>
      <c r="CA172" t="s">
        <v>1825</v>
      </c>
      <c r="CF172" t="s">
        <v>1819</v>
      </c>
      <c r="CG172" t="s">
        <v>534</v>
      </c>
      <c r="CH172" t="s">
        <v>377</v>
      </c>
      <c r="CI172" t="s">
        <v>1818</v>
      </c>
      <c r="CJ172">
        <v>8450</v>
      </c>
      <c r="CK172">
        <v>16900</v>
      </c>
      <c r="CL172" t="s">
        <v>1826</v>
      </c>
      <c r="CN172">
        <v>2</v>
      </c>
      <c r="CO172">
        <v>9248</v>
      </c>
      <c r="CP172">
        <v>18496</v>
      </c>
      <c r="CQ172" t="s">
        <v>379</v>
      </c>
      <c r="CS172">
        <v>0</v>
      </c>
    </row>
    <row r="173" spans="1:97" x14ac:dyDescent="0.4">
      <c r="A173" s="10">
        <v>43123</v>
      </c>
      <c r="B173" t="s">
        <v>200</v>
      </c>
      <c r="C173" t="s">
        <v>1827</v>
      </c>
      <c r="D173" t="s">
        <v>359</v>
      </c>
      <c r="E173" t="s">
        <v>1776</v>
      </c>
      <c r="F173" t="str">
        <f t="shared" si="67"/>
        <v>20180122-0000053</v>
      </c>
      <c r="G173">
        <v>1033901</v>
      </c>
      <c r="H173">
        <v>1</v>
      </c>
      <c r="I173" t="s">
        <v>1828</v>
      </c>
      <c r="L173">
        <v>0</v>
      </c>
      <c r="M173">
        <v>1</v>
      </c>
      <c r="O173" t="s">
        <v>361</v>
      </c>
      <c r="P173" t="s">
        <v>1778</v>
      </c>
      <c r="S173" t="s">
        <v>1829</v>
      </c>
      <c r="T173" t="s">
        <v>364</v>
      </c>
      <c r="X173" t="s">
        <v>1828</v>
      </c>
      <c r="AA173">
        <v>21286</v>
      </c>
      <c r="AB173">
        <v>15.58</v>
      </c>
      <c r="AC173" t="s">
        <v>1830</v>
      </c>
      <c r="AD173">
        <v>16.98</v>
      </c>
      <c r="AE173">
        <v>17.45</v>
      </c>
      <c r="AF173" t="s">
        <v>540</v>
      </c>
      <c r="AG173">
        <v>6500</v>
      </c>
      <c r="AK173">
        <v>373</v>
      </c>
      <c r="AL173" t="s">
        <v>1828</v>
      </c>
      <c r="AQ173">
        <v>7040</v>
      </c>
      <c r="AR173" t="s">
        <v>368</v>
      </c>
      <c r="AS173">
        <v>613660397436</v>
      </c>
      <c r="AT173" t="str">
        <f t="shared" si="68"/>
        <v>김*렬</v>
      </c>
      <c r="AU173" t="str">
        <f t="shared" si="69"/>
        <v xml:space="preserve"> 0***8</v>
      </c>
      <c r="AV173" t="str">
        <f t="shared" si="70"/>
        <v>***-****-6932</v>
      </c>
      <c r="AW173" t="str">
        <f t="shared" si="71"/>
        <v xml:space="preserve"> 서* 관*구 성**길 1* (***) 1* 커***스</v>
      </c>
      <c r="AY173" t="str">
        <f t="shared" si="72"/>
        <v>***-****-6932</v>
      </c>
      <c r="AZ173">
        <v>15762</v>
      </c>
      <c r="BA173">
        <v>1033903</v>
      </c>
      <c r="BB173">
        <v>12800</v>
      </c>
      <c r="BC173" t="s">
        <v>1782</v>
      </c>
      <c r="BD173" t="s">
        <v>1129</v>
      </c>
      <c r="BE173" t="str">
        <f t="shared" si="73"/>
        <v>김*렬</v>
      </c>
      <c r="BF173" t="str">
        <f t="shared" si="74"/>
        <v>***-****-6932</v>
      </c>
      <c r="BG173" t="str">
        <f t="shared" si="74"/>
        <v>***-****-6932</v>
      </c>
      <c r="BH173" t="s">
        <v>453</v>
      </c>
      <c r="BI173" t="s">
        <v>454</v>
      </c>
      <c r="BJ173" t="s">
        <v>1831</v>
      </c>
      <c r="BK173" t="s">
        <v>456</v>
      </c>
      <c r="BL173">
        <v>17348</v>
      </c>
      <c r="BM173" t="str">
        <f>"17348"</f>
        <v>17348</v>
      </c>
      <c r="BN173" t="str">
        <f t="shared" si="75"/>
        <v>20180122-0000053</v>
      </c>
      <c r="BQ173" t="s">
        <v>373</v>
      </c>
      <c r="BV173" t="s">
        <v>1832</v>
      </c>
      <c r="BW173" t="s">
        <v>1828</v>
      </c>
      <c r="BX173" t="s">
        <v>200</v>
      </c>
      <c r="BY173">
        <v>0</v>
      </c>
      <c r="BZ173">
        <v>8806185796859</v>
      </c>
      <c r="CA173" t="s">
        <v>1833</v>
      </c>
      <c r="CF173" t="s">
        <v>1828</v>
      </c>
      <c r="CG173" t="s">
        <v>534</v>
      </c>
      <c r="CH173" t="s">
        <v>377</v>
      </c>
      <c r="CI173" t="s">
        <v>1827</v>
      </c>
      <c r="CJ173">
        <v>7040</v>
      </c>
      <c r="CK173">
        <v>7040</v>
      </c>
      <c r="CL173" t="s">
        <v>1834</v>
      </c>
      <c r="CN173">
        <v>1</v>
      </c>
      <c r="CO173">
        <v>21286</v>
      </c>
      <c r="CP173">
        <v>21286</v>
      </c>
      <c r="CQ173" t="s">
        <v>379</v>
      </c>
      <c r="CS173">
        <v>0</v>
      </c>
    </row>
    <row r="174" spans="1:97" x14ac:dyDescent="0.4">
      <c r="A174" s="10">
        <v>43123</v>
      </c>
      <c r="B174" t="s">
        <v>198</v>
      </c>
      <c r="C174" t="s">
        <v>1835</v>
      </c>
      <c r="D174" t="s">
        <v>359</v>
      </c>
      <c r="E174" t="s">
        <v>1776</v>
      </c>
      <c r="F174" t="str">
        <f t="shared" si="67"/>
        <v>20180122-0000053</v>
      </c>
      <c r="G174">
        <v>1033901</v>
      </c>
      <c r="H174">
        <v>1</v>
      </c>
      <c r="I174" t="s">
        <v>1836</v>
      </c>
      <c r="L174">
        <v>0</v>
      </c>
      <c r="M174">
        <v>1</v>
      </c>
      <c r="O174" t="s">
        <v>361</v>
      </c>
      <c r="P174" t="s">
        <v>1778</v>
      </c>
      <c r="S174" t="s">
        <v>1837</v>
      </c>
      <c r="T174" t="s">
        <v>364</v>
      </c>
      <c r="X174" t="s">
        <v>1836</v>
      </c>
      <c r="AA174">
        <v>18340</v>
      </c>
      <c r="AB174">
        <v>11.35</v>
      </c>
      <c r="AC174" t="s">
        <v>1838</v>
      </c>
      <c r="AD174">
        <v>12.37</v>
      </c>
      <c r="AE174">
        <v>12.71</v>
      </c>
      <c r="AF174" t="s">
        <v>1009</v>
      </c>
      <c r="AG174">
        <v>6500</v>
      </c>
      <c r="AK174">
        <v>187</v>
      </c>
      <c r="AL174" t="s">
        <v>1836</v>
      </c>
      <c r="AN174" t="s">
        <v>1839</v>
      </c>
      <c r="AQ174">
        <v>5390</v>
      </c>
      <c r="AR174" t="s">
        <v>368</v>
      </c>
      <c r="AS174">
        <v>613660397436</v>
      </c>
      <c r="AT174" t="str">
        <f t="shared" si="68"/>
        <v>김*렬</v>
      </c>
      <c r="AU174" t="str">
        <f t="shared" si="69"/>
        <v xml:space="preserve"> 0***8</v>
      </c>
      <c r="AV174" t="str">
        <f t="shared" si="70"/>
        <v>***-****-6932</v>
      </c>
      <c r="AW174" t="str">
        <f t="shared" si="71"/>
        <v xml:space="preserve"> 서* 관*구 성**길 1* (***) 1* 커***스</v>
      </c>
      <c r="AY174" t="str">
        <f t="shared" si="72"/>
        <v>***-****-6932</v>
      </c>
      <c r="AZ174">
        <v>29349</v>
      </c>
      <c r="BA174">
        <v>1033902</v>
      </c>
      <c r="BB174">
        <v>11000</v>
      </c>
      <c r="BC174" t="s">
        <v>1782</v>
      </c>
      <c r="BD174" t="s">
        <v>1129</v>
      </c>
      <c r="BE174" t="str">
        <f t="shared" si="73"/>
        <v>김*렬</v>
      </c>
      <c r="BF174" t="str">
        <f t="shared" si="74"/>
        <v>***-****-6932</v>
      </c>
      <c r="BG174" t="str">
        <f t="shared" si="74"/>
        <v>***-****-6932</v>
      </c>
      <c r="BH174" t="s">
        <v>453</v>
      </c>
      <c r="BI174" t="s">
        <v>454</v>
      </c>
      <c r="BJ174" t="s">
        <v>1840</v>
      </c>
      <c r="BK174" t="s">
        <v>456</v>
      </c>
      <c r="BL174">
        <v>13961</v>
      </c>
      <c r="BM174" t="str">
        <f>"13961"</f>
        <v>13961</v>
      </c>
      <c r="BN174" t="str">
        <f t="shared" si="75"/>
        <v>20180122-0000053</v>
      </c>
      <c r="BQ174" t="s">
        <v>373</v>
      </c>
      <c r="BV174" t="s">
        <v>1836</v>
      </c>
      <c r="BW174" t="s">
        <v>1836</v>
      </c>
      <c r="BX174" t="s">
        <v>198</v>
      </c>
      <c r="BY174">
        <v>0</v>
      </c>
      <c r="BZ174">
        <v>8806173425341</v>
      </c>
      <c r="CA174" t="s">
        <v>1841</v>
      </c>
      <c r="CF174" t="s">
        <v>1836</v>
      </c>
      <c r="CH174" t="s">
        <v>377</v>
      </c>
      <c r="CI174" t="s">
        <v>1835</v>
      </c>
      <c r="CJ174">
        <v>5390</v>
      </c>
      <c r="CK174">
        <v>5390</v>
      </c>
      <c r="CL174" t="s">
        <v>1842</v>
      </c>
      <c r="CN174">
        <v>1</v>
      </c>
      <c r="CO174">
        <v>18340</v>
      </c>
      <c r="CP174">
        <v>18340</v>
      </c>
      <c r="CQ174" t="s">
        <v>379</v>
      </c>
      <c r="CS174">
        <v>0</v>
      </c>
    </row>
    <row r="175" spans="1:97" x14ac:dyDescent="0.4">
      <c r="A175" s="10">
        <v>43123</v>
      </c>
      <c r="B175" t="s">
        <v>97</v>
      </c>
      <c r="C175" t="s">
        <v>1843</v>
      </c>
      <c r="D175" t="s">
        <v>359</v>
      </c>
      <c r="E175" t="s">
        <v>1844</v>
      </c>
      <c r="F175" t="str">
        <f>"20180122-0000028"</f>
        <v>20180122-0000028</v>
      </c>
      <c r="G175">
        <v>1033819</v>
      </c>
      <c r="H175">
        <v>1</v>
      </c>
      <c r="I175" t="s">
        <v>1845</v>
      </c>
      <c r="L175">
        <v>0</v>
      </c>
      <c r="M175">
        <v>1</v>
      </c>
      <c r="O175" t="s">
        <v>361</v>
      </c>
      <c r="P175" t="s">
        <v>1846</v>
      </c>
      <c r="S175" t="s">
        <v>1847</v>
      </c>
      <c r="T175" t="s">
        <v>364</v>
      </c>
      <c r="X175" t="s">
        <v>1845</v>
      </c>
      <c r="AA175">
        <v>43121</v>
      </c>
      <c r="AB175">
        <v>38.31</v>
      </c>
      <c r="AC175" t="s">
        <v>1848</v>
      </c>
      <c r="AD175">
        <v>41.76</v>
      </c>
      <c r="AE175">
        <v>42.91</v>
      </c>
      <c r="AF175" t="s">
        <v>805</v>
      </c>
      <c r="AG175">
        <v>3770</v>
      </c>
      <c r="AL175" t="s">
        <v>1845</v>
      </c>
      <c r="AN175" t="s">
        <v>1849</v>
      </c>
      <c r="AQ175">
        <v>29400</v>
      </c>
      <c r="AR175" t="s">
        <v>368</v>
      </c>
      <c r="AS175">
        <v>613639038196</v>
      </c>
      <c r="AT175" t="str">
        <f>"부**텍②"</f>
        <v>부**텍②</v>
      </c>
      <c r="AU175" t="str">
        <f>" 1****3"</f>
        <v xml:space="preserve"> 1****3</v>
      </c>
      <c r="AV175" t="str">
        <f>"***-****-4825"</f>
        <v>***-****-4825</v>
      </c>
      <c r="AW175" t="str">
        <f>" 서* 서*구 서**동 서***자 1***호"</f>
        <v xml:space="preserve"> 서* 서*구 서**동 서***자 1***호</v>
      </c>
      <c r="AY175" t="str">
        <f>"***-****-4199"</f>
        <v>***-****-4199</v>
      </c>
      <c r="AZ175">
        <v>29330</v>
      </c>
      <c r="BA175">
        <v>1033824</v>
      </c>
      <c r="BB175">
        <v>42000</v>
      </c>
      <c r="BC175" t="s">
        <v>1850</v>
      </c>
      <c r="BD175" t="s">
        <v>1205</v>
      </c>
      <c r="BE175" t="str">
        <f>"부**텍"</f>
        <v>부**텍</v>
      </c>
      <c r="BF175" t="str">
        <f>"***-****-4825"</f>
        <v>***-****-4825</v>
      </c>
      <c r="BG175" t="str">
        <f>"***-****-4199"</f>
        <v>***-****-4199</v>
      </c>
      <c r="BH175" t="s">
        <v>453</v>
      </c>
      <c r="BI175" t="s">
        <v>454</v>
      </c>
      <c r="BJ175" t="s">
        <v>1851</v>
      </c>
      <c r="BK175" t="s">
        <v>456</v>
      </c>
      <c r="BL175">
        <v>19435</v>
      </c>
      <c r="BM175" t="str">
        <f>"19435"</f>
        <v>19435</v>
      </c>
      <c r="BN175" t="str">
        <f>"20180122-0000028"</f>
        <v>20180122-0000028</v>
      </c>
      <c r="BQ175" t="s">
        <v>373</v>
      </c>
      <c r="BU175">
        <v>233</v>
      </c>
      <c r="BV175" t="s">
        <v>1852</v>
      </c>
      <c r="BW175" t="s">
        <v>1845</v>
      </c>
      <c r="BX175" t="s">
        <v>97</v>
      </c>
      <c r="BY175">
        <v>0</v>
      </c>
      <c r="BZ175">
        <v>8801042577190</v>
      </c>
      <c r="CA175" t="s">
        <v>1853</v>
      </c>
      <c r="CF175" t="s">
        <v>1845</v>
      </c>
      <c r="CG175" t="s">
        <v>376</v>
      </c>
      <c r="CH175" t="s">
        <v>377</v>
      </c>
      <c r="CI175" t="s">
        <v>1843</v>
      </c>
      <c r="CJ175">
        <v>29400</v>
      </c>
      <c r="CK175">
        <v>29400</v>
      </c>
      <c r="CL175" t="s">
        <v>1854</v>
      </c>
      <c r="CN175">
        <v>1</v>
      </c>
      <c r="CO175">
        <v>43121</v>
      </c>
      <c r="CP175">
        <v>43121</v>
      </c>
      <c r="CQ175" t="s">
        <v>379</v>
      </c>
      <c r="CS175">
        <v>0</v>
      </c>
    </row>
    <row r="176" spans="1:97" x14ac:dyDescent="0.4">
      <c r="A176" s="10">
        <v>43123</v>
      </c>
      <c r="B176" t="s">
        <v>200</v>
      </c>
      <c r="C176" t="s">
        <v>1855</v>
      </c>
      <c r="D176" t="s">
        <v>359</v>
      </c>
      <c r="E176" t="s">
        <v>1844</v>
      </c>
      <c r="F176" t="str">
        <f>"20180122-0000028"</f>
        <v>20180122-0000028</v>
      </c>
      <c r="G176">
        <v>1033819</v>
      </c>
      <c r="H176">
        <v>1</v>
      </c>
      <c r="I176" t="s">
        <v>1856</v>
      </c>
      <c r="L176">
        <v>0</v>
      </c>
      <c r="M176">
        <v>1</v>
      </c>
      <c r="O176" t="s">
        <v>361</v>
      </c>
      <c r="P176" t="s">
        <v>1846</v>
      </c>
      <c r="S176" t="s">
        <v>1857</v>
      </c>
      <c r="T176" t="s">
        <v>364</v>
      </c>
      <c r="X176" t="s">
        <v>1858</v>
      </c>
      <c r="AA176">
        <v>15056</v>
      </c>
      <c r="AB176">
        <v>10</v>
      </c>
      <c r="AC176" t="s">
        <v>1859</v>
      </c>
      <c r="AD176">
        <v>12.28</v>
      </c>
      <c r="AE176">
        <v>12.62</v>
      </c>
      <c r="AF176" t="s">
        <v>1860</v>
      </c>
      <c r="AG176">
        <v>3360</v>
      </c>
      <c r="AL176" t="s">
        <v>1856</v>
      </c>
      <c r="AN176" t="s">
        <v>1861</v>
      </c>
      <c r="AQ176">
        <v>6050</v>
      </c>
      <c r="AR176" t="s">
        <v>368</v>
      </c>
      <c r="AS176">
        <v>613639038196</v>
      </c>
      <c r="AT176" t="str">
        <f>"부**텍②"</f>
        <v>부**텍②</v>
      </c>
      <c r="AU176" t="str">
        <f>" 1****3"</f>
        <v xml:space="preserve"> 1****3</v>
      </c>
      <c r="AV176" t="str">
        <f>"***-****-4825"</f>
        <v>***-****-4825</v>
      </c>
      <c r="AW176" t="str">
        <f>" 서* 서*구 서**동 서***자 1***호"</f>
        <v xml:space="preserve"> 서* 서*구 서**동 서***자 1***호</v>
      </c>
      <c r="AX176" t="str">
        <f>""</f>
        <v/>
      </c>
      <c r="AY176" t="str">
        <f>"***-****-4199"</f>
        <v>***-****-4199</v>
      </c>
      <c r="AZ176">
        <v>29320</v>
      </c>
      <c r="BA176">
        <v>1033819</v>
      </c>
      <c r="BB176">
        <v>11000</v>
      </c>
      <c r="BC176" t="s">
        <v>1850</v>
      </c>
      <c r="BD176" t="s">
        <v>1205</v>
      </c>
      <c r="BE176" t="str">
        <f>"부**텍"</f>
        <v>부**텍</v>
      </c>
      <c r="BF176" t="str">
        <f>"***-****-4825"</f>
        <v>***-****-4825</v>
      </c>
      <c r="BG176" t="str">
        <f>"***-****-4199"</f>
        <v>***-****-4199</v>
      </c>
      <c r="BH176" t="s">
        <v>453</v>
      </c>
      <c r="BI176" t="s">
        <v>454</v>
      </c>
      <c r="BJ176" t="s">
        <v>1862</v>
      </c>
      <c r="BK176" t="s">
        <v>456</v>
      </c>
      <c r="BL176">
        <v>21380</v>
      </c>
      <c r="BM176" t="str">
        <f>"21380"</f>
        <v>21380</v>
      </c>
      <c r="BN176" t="str">
        <f>"20180122-0000028"</f>
        <v>20180122-0000028</v>
      </c>
      <c r="BQ176" t="s">
        <v>373</v>
      </c>
      <c r="BU176">
        <v>70</v>
      </c>
      <c r="BV176" t="s">
        <v>1863</v>
      </c>
      <c r="BW176" t="s">
        <v>1856</v>
      </c>
      <c r="BX176" t="s">
        <v>200</v>
      </c>
      <c r="BY176">
        <v>0</v>
      </c>
      <c r="BZ176">
        <v>8809530076811</v>
      </c>
      <c r="CA176" t="s">
        <v>1864</v>
      </c>
      <c r="CF176" t="s">
        <v>1858</v>
      </c>
      <c r="CG176" t="s">
        <v>389</v>
      </c>
      <c r="CH176" t="s">
        <v>377</v>
      </c>
      <c r="CI176" t="s">
        <v>1855</v>
      </c>
      <c r="CJ176">
        <v>6050</v>
      </c>
      <c r="CK176">
        <v>6050</v>
      </c>
      <c r="CL176" t="s">
        <v>1865</v>
      </c>
      <c r="CN176">
        <v>1</v>
      </c>
      <c r="CO176">
        <v>15056</v>
      </c>
      <c r="CP176">
        <v>15056</v>
      </c>
      <c r="CQ176" t="s">
        <v>379</v>
      </c>
      <c r="CS176">
        <v>0</v>
      </c>
    </row>
    <row r="177" spans="1:97" x14ac:dyDescent="0.4">
      <c r="A177" s="10">
        <v>43123</v>
      </c>
      <c r="B177" t="s">
        <v>226</v>
      </c>
      <c r="C177" t="s">
        <v>1355</v>
      </c>
      <c r="D177" t="s">
        <v>359</v>
      </c>
      <c r="E177" t="s">
        <v>1844</v>
      </c>
      <c r="F177" t="str">
        <f>"20180118-0000048"</f>
        <v>20180118-0000048</v>
      </c>
      <c r="G177">
        <v>1031896</v>
      </c>
      <c r="H177">
        <v>3</v>
      </c>
      <c r="I177" t="s">
        <v>1356</v>
      </c>
      <c r="J177">
        <v>12480</v>
      </c>
      <c r="L177">
        <v>0</v>
      </c>
      <c r="M177">
        <v>1</v>
      </c>
      <c r="O177" t="s">
        <v>361</v>
      </c>
      <c r="P177" t="s">
        <v>1200</v>
      </c>
      <c r="S177" t="s">
        <v>1866</v>
      </c>
      <c r="T177" t="s">
        <v>364</v>
      </c>
      <c r="X177" t="s">
        <v>1356</v>
      </c>
      <c r="AA177">
        <v>14352</v>
      </c>
      <c r="AB177">
        <v>9.7100000000000009</v>
      </c>
      <c r="AC177" t="s">
        <v>1358</v>
      </c>
      <c r="AD177">
        <v>10.58</v>
      </c>
      <c r="AE177">
        <v>10.87</v>
      </c>
      <c r="AF177" t="s">
        <v>1359</v>
      </c>
      <c r="AG177">
        <v>3770</v>
      </c>
      <c r="AK177">
        <v>146</v>
      </c>
      <c r="AL177" t="s">
        <v>1356</v>
      </c>
      <c r="AQ177">
        <v>4160</v>
      </c>
      <c r="AR177" t="s">
        <v>368</v>
      </c>
      <c r="AS177">
        <v>613639038200</v>
      </c>
      <c r="AT177" t="str">
        <f>"피****아④"</f>
        <v>피****아④</v>
      </c>
      <c r="AU177" t="str">
        <f>" 1****0"</f>
        <v xml:space="preserve"> 1****0</v>
      </c>
      <c r="AV177" t="str">
        <f>"***-****-1406"</f>
        <v>***-****-1406</v>
      </c>
      <c r="AW177" t="str">
        <f>" 서* 강*구 방*동 5****5 2* 김****님"</f>
        <v xml:space="preserve"> 서* 강*구 방*동 5****5 2* 김****님</v>
      </c>
      <c r="AX177" t="str">
        <f>""</f>
        <v/>
      </c>
      <c r="AY177" t="str">
        <f>"***-****-0388"</f>
        <v>***-****-0388</v>
      </c>
      <c r="AZ177">
        <v>16181</v>
      </c>
      <c r="BA177">
        <v>1031917</v>
      </c>
      <c r="BB177">
        <v>24000</v>
      </c>
      <c r="BC177" t="s">
        <v>1867</v>
      </c>
      <c r="BD177" t="s">
        <v>1195</v>
      </c>
      <c r="BE177" t="str">
        <f>"피****아"</f>
        <v>피****아</v>
      </c>
      <c r="BF177" t="str">
        <f>"***-****-6097"</f>
        <v>***-****-6097</v>
      </c>
      <c r="BG177" t="str">
        <f>"***-****-7488"</f>
        <v>***-****-7488</v>
      </c>
      <c r="BH177" t="s">
        <v>453</v>
      </c>
      <c r="BI177" t="s">
        <v>454</v>
      </c>
      <c r="BJ177" t="s">
        <v>1868</v>
      </c>
      <c r="BK177" t="s">
        <v>456</v>
      </c>
      <c r="BL177">
        <v>17535</v>
      </c>
      <c r="BM177" t="str">
        <f>"17535"</f>
        <v>17535</v>
      </c>
      <c r="BN177" t="str">
        <f>"20180118-0000048"</f>
        <v>20180118-0000048</v>
      </c>
      <c r="BQ177" t="s">
        <v>373</v>
      </c>
      <c r="BV177" t="s">
        <v>1361</v>
      </c>
      <c r="BW177" t="s">
        <v>1356</v>
      </c>
      <c r="BX177" t="s">
        <v>226</v>
      </c>
      <c r="BY177">
        <v>0</v>
      </c>
      <c r="BZ177">
        <v>8809427864491</v>
      </c>
      <c r="CA177" t="s">
        <v>1362</v>
      </c>
      <c r="CF177" t="s">
        <v>1356</v>
      </c>
      <c r="CG177" t="s">
        <v>1363</v>
      </c>
      <c r="CH177" t="s">
        <v>377</v>
      </c>
      <c r="CI177" t="s">
        <v>1355</v>
      </c>
      <c r="CJ177">
        <v>4160</v>
      </c>
      <c r="CK177">
        <v>12480</v>
      </c>
      <c r="CL177" t="s">
        <v>1364</v>
      </c>
      <c r="CN177">
        <v>3</v>
      </c>
      <c r="CO177">
        <v>14352</v>
      </c>
      <c r="CP177">
        <v>43056</v>
      </c>
      <c r="CQ177" t="s">
        <v>379</v>
      </c>
      <c r="CS177">
        <v>0</v>
      </c>
    </row>
    <row r="178" spans="1:97" x14ac:dyDescent="0.4">
      <c r="A178" s="10">
        <v>43123</v>
      </c>
      <c r="B178" t="s">
        <v>226</v>
      </c>
      <c r="C178" t="s">
        <v>1355</v>
      </c>
      <c r="D178" t="s">
        <v>359</v>
      </c>
      <c r="E178" t="s">
        <v>1844</v>
      </c>
      <c r="F178" t="str">
        <f>"20180118-0000051"</f>
        <v>20180118-0000051</v>
      </c>
      <c r="G178">
        <v>1031896</v>
      </c>
      <c r="H178">
        <v>2</v>
      </c>
      <c r="I178" t="s">
        <v>1356</v>
      </c>
      <c r="J178">
        <v>8320</v>
      </c>
      <c r="L178">
        <v>0</v>
      </c>
      <c r="M178">
        <v>1</v>
      </c>
      <c r="O178" t="s">
        <v>361</v>
      </c>
      <c r="P178" t="s">
        <v>1869</v>
      </c>
      <c r="S178" t="s">
        <v>1870</v>
      </c>
      <c r="T178" t="s">
        <v>364</v>
      </c>
      <c r="X178" t="s">
        <v>1356</v>
      </c>
      <c r="AA178">
        <v>14352</v>
      </c>
      <c r="AB178">
        <v>9.7100000000000009</v>
      </c>
      <c r="AC178" t="s">
        <v>1358</v>
      </c>
      <c r="AD178">
        <v>10.58</v>
      </c>
      <c r="AE178">
        <v>10.87</v>
      </c>
      <c r="AF178" t="s">
        <v>1359</v>
      </c>
      <c r="AG178">
        <v>3770</v>
      </c>
      <c r="AK178">
        <v>146</v>
      </c>
      <c r="AL178" t="s">
        <v>1356</v>
      </c>
      <c r="AQ178">
        <v>4160</v>
      </c>
      <c r="AR178" t="s">
        <v>368</v>
      </c>
      <c r="AS178">
        <v>613639038200</v>
      </c>
      <c r="AT178" t="str">
        <f>"피****아④"</f>
        <v>피****아④</v>
      </c>
      <c r="AU178" t="str">
        <f>" 1****0"</f>
        <v xml:space="preserve"> 1****0</v>
      </c>
      <c r="AV178" t="str">
        <f>"***-****-1406"</f>
        <v>***-****-1406</v>
      </c>
      <c r="AW178" t="str">
        <f>" 서* 강*구 방*동 5****5 2* 김****님"</f>
        <v xml:space="preserve"> 서* 강*구 방*동 5****5 2* 김****님</v>
      </c>
      <c r="AX178" t="str">
        <f>""</f>
        <v/>
      </c>
      <c r="AY178" t="str">
        <f>"***-****-0388"</f>
        <v>***-****-0388</v>
      </c>
      <c r="AZ178">
        <v>16181</v>
      </c>
      <c r="BA178">
        <v>1031896</v>
      </c>
      <c r="BB178">
        <v>16000</v>
      </c>
      <c r="BC178" t="s">
        <v>1867</v>
      </c>
      <c r="BD178" t="s">
        <v>1195</v>
      </c>
      <c r="BE178" t="str">
        <f>"피****아"</f>
        <v>피****아</v>
      </c>
      <c r="BF178" t="str">
        <f>"***-****-6097"</f>
        <v>***-****-6097</v>
      </c>
      <c r="BG178" t="str">
        <f>"***-****-7488"</f>
        <v>***-****-7488</v>
      </c>
      <c r="BH178" t="s">
        <v>453</v>
      </c>
      <c r="BI178" t="s">
        <v>454</v>
      </c>
      <c r="BJ178" t="s">
        <v>1871</v>
      </c>
      <c r="BK178" t="s">
        <v>456</v>
      </c>
      <c r="BL178">
        <v>17535</v>
      </c>
      <c r="BM178" t="str">
        <f>"17535"</f>
        <v>17535</v>
      </c>
      <c r="BN178" t="str">
        <f>"20180118-0000051"</f>
        <v>20180118-0000051</v>
      </c>
      <c r="BQ178" t="s">
        <v>373</v>
      </c>
      <c r="BV178" t="s">
        <v>1361</v>
      </c>
      <c r="BW178" t="s">
        <v>1356</v>
      </c>
      <c r="BX178" t="s">
        <v>226</v>
      </c>
      <c r="BY178">
        <v>0</v>
      </c>
      <c r="BZ178">
        <v>8809427864491</v>
      </c>
      <c r="CA178" t="s">
        <v>1362</v>
      </c>
      <c r="CF178" t="s">
        <v>1356</v>
      </c>
      <c r="CG178" t="s">
        <v>1363</v>
      </c>
      <c r="CH178" t="s">
        <v>377</v>
      </c>
      <c r="CI178" t="s">
        <v>1355</v>
      </c>
      <c r="CJ178">
        <v>4160</v>
      </c>
      <c r="CK178">
        <v>8320</v>
      </c>
      <c r="CL178" t="s">
        <v>1364</v>
      </c>
      <c r="CN178">
        <v>2</v>
      </c>
      <c r="CO178">
        <v>14352</v>
      </c>
      <c r="CP178">
        <v>28704</v>
      </c>
      <c r="CQ178" t="s">
        <v>379</v>
      </c>
      <c r="CS178">
        <v>0</v>
      </c>
    </row>
    <row r="179" spans="1:97" x14ac:dyDescent="0.4">
      <c r="A179" s="10">
        <v>43123</v>
      </c>
      <c r="B179" t="s">
        <v>191</v>
      </c>
      <c r="C179" t="s">
        <v>1872</v>
      </c>
      <c r="D179" t="s">
        <v>359</v>
      </c>
      <c r="E179" t="s">
        <v>1523</v>
      </c>
      <c r="F179" t="str">
        <f>"20180123-0000019"</f>
        <v>20180123-0000019</v>
      </c>
      <c r="H179">
        <v>1</v>
      </c>
      <c r="I179" t="s">
        <v>1873</v>
      </c>
      <c r="L179">
        <v>0</v>
      </c>
      <c r="M179">
        <v>1</v>
      </c>
      <c r="O179" t="s">
        <v>361</v>
      </c>
      <c r="P179" t="s">
        <v>1874</v>
      </c>
      <c r="S179" t="s">
        <v>1875</v>
      </c>
      <c r="T179" t="s">
        <v>364</v>
      </c>
      <c r="X179" t="s">
        <v>1873</v>
      </c>
      <c r="AA179">
        <v>15488</v>
      </c>
      <c r="AB179">
        <v>12.19</v>
      </c>
      <c r="AC179" t="s">
        <v>1876</v>
      </c>
      <c r="AD179">
        <v>13.29</v>
      </c>
      <c r="AE179">
        <v>13.65</v>
      </c>
      <c r="AF179" t="s">
        <v>496</v>
      </c>
      <c r="AG179">
        <v>1880</v>
      </c>
      <c r="AK179">
        <v>38</v>
      </c>
      <c r="AL179" t="s">
        <v>1873</v>
      </c>
      <c r="AN179" t="s">
        <v>1877</v>
      </c>
      <c r="AQ179">
        <v>7800</v>
      </c>
      <c r="AR179" t="s">
        <v>368</v>
      </c>
      <c r="AS179">
        <v>613639038185</v>
      </c>
      <c r="AT179" t="str">
        <f>"조*원"</f>
        <v>조*원</v>
      </c>
      <c r="AU179" t="str">
        <f>" 0***4"</f>
        <v xml:space="preserve"> 0***4</v>
      </c>
      <c r="AV179" t="str">
        <f>"***-****-0110"</f>
        <v>***-****-0110</v>
      </c>
      <c r="AW179" t="str">
        <f>" 서* 강*구 양******길 5* (**) 우***빌 4* 카**4 8*"</f>
        <v xml:space="preserve"> 서* 강*구 양******길 5* (**) 우***빌 4* 카**4 8*</v>
      </c>
      <c r="AY179" t="str">
        <f>"***-****-0110"</f>
        <v>***-****-0110</v>
      </c>
      <c r="AZ179">
        <v>29251</v>
      </c>
      <c r="BA179">
        <v>1033900</v>
      </c>
      <c r="BB179">
        <v>12000</v>
      </c>
      <c r="BC179" t="s">
        <v>1878</v>
      </c>
      <c r="BD179" t="s">
        <v>1129</v>
      </c>
      <c r="BE179" t="str">
        <f>"조*원"</f>
        <v>조*원</v>
      </c>
      <c r="BF179" t="str">
        <f>"***-****-0110"</f>
        <v>***-****-0110</v>
      </c>
      <c r="BG179" t="str">
        <f>"***-****-0110"</f>
        <v>***-****-0110</v>
      </c>
      <c r="BH179" t="s">
        <v>453</v>
      </c>
      <c r="BI179" t="s">
        <v>454</v>
      </c>
      <c r="BJ179" t="s">
        <v>1879</v>
      </c>
      <c r="BK179" t="s">
        <v>456</v>
      </c>
      <c r="BL179">
        <v>19660</v>
      </c>
      <c r="BM179" t="str">
        <f>"19660"</f>
        <v>19660</v>
      </c>
      <c r="BN179" t="str">
        <f>"20180123-0000019"</f>
        <v>20180123-0000019</v>
      </c>
      <c r="BQ179" t="s">
        <v>373</v>
      </c>
      <c r="BU179">
        <v>92</v>
      </c>
      <c r="BV179" t="s">
        <v>1880</v>
      </c>
      <c r="BW179" t="s">
        <v>1873</v>
      </c>
      <c r="BX179" t="s">
        <v>191</v>
      </c>
      <c r="BY179">
        <v>0</v>
      </c>
      <c r="BZ179">
        <v>8806182545306</v>
      </c>
      <c r="CA179" t="s">
        <v>1881</v>
      </c>
      <c r="CF179" t="s">
        <v>1873</v>
      </c>
      <c r="CG179" t="s">
        <v>376</v>
      </c>
      <c r="CH179" t="s">
        <v>377</v>
      </c>
      <c r="CI179" t="s">
        <v>1872</v>
      </c>
      <c r="CJ179">
        <v>7800</v>
      </c>
      <c r="CK179">
        <v>7800</v>
      </c>
      <c r="CL179" t="s">
        <v>1470</v>
      </c>
      <c r="CN179">
        <v>1</v>
      </c>
      <c r="CO179">
        <v>15488</v>
      </c>
      <c r="CP179">
        <v>15488</v>
      </c>
      <c r="CQ179" t="s">
        <v>379</v>
      </c>
      <c r="CS179">
        <v>0</v>
      </c>
    </row>
    <row r="180" spans="1:97" x14ac:dyDescent="0.4">
      <c r="A180" s="10">
        <v>43122</v>
      </c>
      <c r="B180" t="s">
        <v>189</v>
      </c>
      <c r="C180" t="s">
        <v>1882</v>
      </c>
      <c r="D180" t="s">
        <v>359</v>
      </c>
      <c r="E180" t="s">
        <v>1883</v>
      </c>
      <c r="F180" t="str">
        <f t="shared" ref="F180:F204" si="76">"20180120-0000016"</f>
        <v>20180120-0000016</v>
      </c>
      <c r="G180">
        <v>1033843</v>
      </c>
      <c r="H180">
        <v>1</v>
      </c>
      <c r="I180" t="s">
        <v>1884</v>
      </c>
      <c r="L180">
        <v>0</v>
      </c>
      <c r="M180">
        <v>1</v>
      </c>
      <c r="O180" t="s">
        <v>361</v>
      </c>
      <c r="P180" t="s">
        <v>1885</v>
      </c>
      <c r="S180" t="s">
        <v>1886</v>
      </c>
      <c r="T180" t="s">
        <v>364</v>
      </c>
      <c r="X180" t="s">
        <v>1884</v>
      </c>
      <c r="AA180">
        <v>27328</v>
      </c>
      <c r="AB180">
        <v>23.09</v>
      </c>
      <c r="AC180" t="s">
        <v>1887</v>
      </c>
      <c r="AD180">
        <v>25.17</v>
      </c>
      <c r="AE180">
        <v>25.86</v>
      </c>
      <c r="AF180" t="s">
        <v>496</v>
      </c>
      <c r="AG180">
        <v>3770</v>
      </c>
      <c r="AL180" t="s">
        <v>1884</v>
      </c>
      <c r="AQ180">
        <v>15750</v>
      </c>
      <c r="AR180" t="s">
        <v>368</v>
      </c>
      <c r="AS180">
        <v>613617692606</v>
      </c>
      <c r="AT180" t="str">
        <f t="shared" ref="AT180:AT204" si="77">"이*수"</f>
        <v>이*수</v>
      </c>
      <c r="AU180" t="str">
        <f t="shared" ref="AU180:AU204" si="78">" 2***2"</f>
        <v xml:space="preserve"> 2***2</v>
      </c>
      <c r="AV180" t="str">
        <f t="shared" ref="AV180:AV204" si="79">"***-****-9592"</f>
        <v>***-****-9592</v>
      </c>
      <c r="AW180" t="str">
        <f t="shared" ref="AW180:AW204" si="80">" 인* 서* 원**로 8*2 (***) 삼***자 5**호 햇*찬 글*벌"</f>
        <v xml:space="preserve"> 인* 서* 원**로 8*2 (***) 삼***자 5**호 햇*찬 글*벌</v>
      </c>
      <c r="AY180" t="str">
        <f t="shared" ref="AY180:AY204" si="81">"***-****-9597"</f>
        <v>***-****-9597</v>
      </c>
      <c r="AZ180">
        <v>20856</v>
      </c>
      <c r="BA180">
        <v>1033864</v>
      </c>
      <c r="BB180">
        <v>21000</v>
      </c>
      <c r="BC180" t="s">
        <v>1888</v>
      </c>
      <c r="BD180" t="s">
        <v>1205</v>
      </c>
      <c r="BE180" t="str">
        <f t="shared" ref="BE180:BE204" si="82">"이*수"</f>
        <v>이*수</v>
      </c>
      <c r="BF180" t="str">
        <f t="shared" ref="BF180:BF204" si="83">"***-****-9592"</f>
        <v>***-****-9592</v>
      </c>
      <c r="BG180" t="str">
        <f t="shared" ref="BG180:BG204" si="84">"***-****-9597"</f>
        <v>***-****-9597</v>
      </c>
      <c r="BH180" t="s">
        <v>453</v>
      </c>
      <c r="BI180" t="s">
        <v>454</v>
      </c>
      <c r="BJ180" t="s">
        <v>1889</v>
      </c>
      <c r="BK180" t="s">
        <v>456</v>
      </c>
      <c r="BL180">
        <v>18970</v>
      </c>
      <c r="BM180" t="str">
        <f>"18970"</f>
        <v>18970</v>
      </c>
      <c r="BN180" t="str">
        <f t="shared" ref="BN180:BN204" si="85">"20180120-0000016"</f>
        <v>20180120-0000016</v>
      </c>
      <c r="BQ180" t="s">
        <v>373</v>
      </c>
      <c r="BU180">
        <v>168</v>
      </c>
      <c r="BV180" t="s">
        <v>1890</v>
      </c>
      <c r="BW180" t="s">
        <v>1884</v>
      </c>
      <c r="BX180" t="s">
        <v>189</v>
      </c>
      <c r="BY180">
        <v>0</v>
      </c>
      <c r="BZ180">
        <v>8801051966503</v>
      </c>
      <c r="CA180" t="s">
        <v>1891</v>
      </c>
      <c r="CF180" t="s">
        <v>1884</v>
      </c>
      <c r="CG180" t="s">
        <v>1214</v>
      </c>
      <c r="CH180" t="s">
        <v>377</v>
      </c>
      <c r="CI180" t="s">
        <v>1882</v>
      </c>
      <c r="CJ180">
        <v>15750</v>
      </c>
      <c r="CK180">
        <v>15750</v>
      </c>
      <c r="CL180" t="s">
        <v>1892</v>
      </c>
      <c r="CN180">
        <v>1</v>
      </c>
      <c r="CO180">
        <v>27328</v>
      </c>
      <c r="CP180">
        <v>27328</v>
      </c>
      <c r="CQ180" t="s">
        <v>379</v>
      </c>
      <c r="CS180">
        <v>0</v>
      </c>
    </row>
    <row r="181" spans="1:97" x14ac:dyDescent="0.4">
      <c r="A181" s="10">
        <v>43122</v>
      </c>
      <c r="B181" t="s">
        <v>135</v>
      </c>
      <c r="C181" t="s">
        <v>1893</v>
      </c>
      <c r="D181" t="s">
        <v>359</v>
      </c>
      <c r="E181" t="s">
        <v>1883</v>
      </c>
      <c r="F181" t="str">
        <f t="shared" si="76"/>
        <v>20180120-0000016</v>
      </c>
      <c r="G181">
        <v>1033843</v>
      </c>
      <c r="H181">
        <v>5</v>
      </c>
      <c r="I181" t="s">
        <v>1894</v>
      </c>
      <c r="L181">
        <v>0</v>
      </c>
      <c r="M181">
        <v>1</v>
      </c>
      <c r="O181" t="s">
        <v>361</v>
      </c>
      <c r="P181" t="s">
        <v>1885</v>
      </c>
      <c r="S181" t="s">
        <v>1895</v>
      </c>
      <c r="T181" t="s">
        <v>364</v>
      </c>
      <c r="X181" t="s">
        <v>1894</v>
      </c>
      <c r="AA181">
        <v>14882</v>
      </c>
      <c r="AB181">
        <v>10.39</v>
      </c>
      <c r="AC181" t="s">
        <v>1896</v>
      </c>
      <c r="AD181">
        <v>11.32</v>
      </c>
      <c r="AE181">
        <v>11.63</v>
      </c>
      <c r="AF181" t="s">
        <v>1584</v>
      </c>
      <c r="AG181">
        <v>3770</v>
      </c>
      <c r="AH181">
        <v>409</v>
      </c>
      <c r="AI181">
        <v>6500</v>
      </c>
      <c r="AK181">
        <v>126</v>
      </c>
      <c r="AL181" t="s">
        <v>1894</v>
      </c>
      <c r="AQ181">
        <v>5390</v>
      </c>
      <c r="AR181" t="s">
        <v>368</v>
      </c>
      <c r="AS181">
        <v>613617692606</v>
      </c>
      <c r="AT181" t="str">
        <f t="shared" si="77"/>
        <v>이*수</v>
      </c>
      <c r="AU181" t="str">
        <f t="shared" si="78"/>
        <v xml:space="preserve"> 2***2</v>
      </c>
      <c r="AV181" t="str">
        <f t="shared" si="79"/>
        <v>***-****-9592</v>
      </c>
      <c r="AW181" t="str">
        <f t="shared" si="80"/>
        <v xml:space="preserve"> 인* 서* 원**로 8*2 (***) 삼***자 5**호 햇*찬 글*벌</v>
      </c>
      <c r="AY181" t="str">
        <f t="shared" si="81"/>
        <v>***-****-9597</v>
      </c>
      <c r="AZ181">
        <v>6510</v>
      </c>
      <c r="BA181">
        <v>1033863</v>
      </c>
      <c r="BB181">
        <v>49000</v>
      </c>
      <c r="BC181" t="s">
        <v>1888</v>
      </c>
      <c r="BD181" t="s">
        <v>1205</v>
      </c>
      <c r="BE181" t="str">
        <f t="shared" si="82"/>
        <v>이*수</v>
      </c>
      <c r="BF181" t="str">
        <f t="shared" si="83"/>
        <v>***-****-9592</v>
      </c>
      <c r="BG181" t="str">
        <f t="shared" si="84"/>
        <v>***-****-9597</v>
      </c>
      <c r="BH181" t="s">
        <v>453</v>
      </c>
      <c r="BI181" t="s">
        <v>454</v>
      </c>
      <c r="BJ181" t="s">
        <v>1897</v>
      </c>
      <c r="BK181" t="s">
        <v>456</v>
      </c>
      <c r="BL181">
        <v>13059</v>
      </c>
      <c r="BM181" t="str">
        <f>"13059"</f>
        <v>13059</v>
      </c>
      <c r="BN181" t="str">
        <f t="shared" si="85"/>
        <v>20180120-0000016</v>
      </c>
      <c r="BQ181" t="s">
        <v>373</v>
      </c>
      <c r="BV181" t="s">
        <v>1898</v>
      </c>
      <c r="BW181" t="s">
        <v>1894</v>
      </c>
      <c r="BX181" t="s">
        <v>135</v>
      </c>
      <c r="BY181">
        <v>0</v>
      </c>
      <c r="BZ181">
        <v>8806358511654</v>
      </c>
      <c r="CA181" t="s">
        <v>1899</v>
      </c>
      <c r="CF181" t="s">
        <v>1894</v>
      </c>
      <c r="CG181" t="s">
        <v>534</v>
      </c>
      <c r="CH181" t="s">
        <v>377</v>
      </c>
      <c r="CI181" t="s">
        <v>1893</v>
      </c>
      <c r="CJ181">
        <v>5390</v>
      </c>
      <c r="CK181">
        <v>26950</v>
      </c>
      <c r="CL181" s="10">
        <v>36894</v>
      </c>
      <c r="CN181">
        <v>5</v>
      </c>
      <c r="CO181">
        <v>14882</v>
      </c>
      <c r="CP181">
        <v>74410</v>
      </c>
      <c r="CQ181" t="s">
        <v>379</v>
      </c>
      <c r="CS181">
        <v>12</v>
      </c>
    </row>
    <row r="182" spans="1:97" x14ac:dyDescent="0.4">
      <c r="A182" s="10">
        <v>43122</v>
      </c>
      <c r="B182" t="s">
        <v>135</v>
      </c>
      <c r="C182" t="s">
        <v>1900</v>
      </c>
      <c r="D182" t="s">
        <v>359</v>
      </c>
      <c r="E182" t="s">
        <v>1883</v>
      </c>
      <c r="F182" t="str">
        <f t="shared" si="76"/>
        <v>20180120-0000016</v>
      </c>
      <c r="G182">
        <v>1033843</v>
      </c>
      <c r="H182">
        <v>1</v>
      </c>
      <c r="I182" t="s">
        <v>1901</v>
      </c>
      <c r="L182">
        <v>0</v>
      </c>
      <c r="M182">
        <v>1</v>
      </c>
      <c r="O182" t="s">
        <v>361</v>
      </c>
      <c r="P182" t="s">
        <v>1885</v>
      </c>
      <c r="S182" t="s">
        <v>1902</v>
      </c>
      <c r="T182" t="s">
        <v>364</v>
      </c>
      <c r="X182" t="s">
        <v>1901</v>
      </c>
      <c r="AA182">
        <v>12368</v>
      </c>
      <c r="AB182">
        <v>9.65</v>
      </c>
      <c r="AC182" t="s">
        <v>1903</v>
      </c>
      <c r="AD182">
        <v>10.52</v>
      </c>
      <c r="AE182">
        <v>10.81</v>
      </c>
      <c r="AF182" t="s">
        <v>1904</v>
      </c>
      <c r="AG182">
        <v>3770</v>
      </c>
      <c r="AK182">
        <v>91</v>
      </c>
      <c r="AL182" t="s">
        <v>1901</v>
      </c>
      <c r="AQ182">
        <v>4840</v>
      </c>
      <c r="AR182" t="s">
        <v>368</v>
      </c>
      <c r="AS182">
        <v>613617692606</v>
      </c>
      <c r="AT182" t="str">
        <f t="shared" si="77"/>
        <v>이*수</v>
      </c>
      <c r="AU182" t="str">
        <f t="shared" si="78"/>
        <v xml:space="preserve"> 2***2</v>
      </c>
      <c r="AV182" t="str">
        <f t="shared" si="79"/>
        <v>***-****-9592</v>
      </c>
      <c r="AW182" t="str">
        <f t="shared" si="80"/>
        <v xml:space="preserve"> 인* 서* 원**로 8*2 (***) 삼***자 5**호 햇*찬 글*벌</v>
      </c>
      <c r="AY182" t="str">
        <f t="shared" si="81"/>
        <v>***-****-9597</v>
      </c>
      <c r="AZ182">
        <v>15185</v>
      </c>
      <c r="BA182">
        <v>1033849</v>
      </c>
      <c r="BB182">
        <v>8800</v>
      </c>
      <c r="BC182" t="s">
        <v>1888</v>
      </c>
      <c r="BD182" t="s">
        <v>1205</v>
      </c>
      <c r="BE182" t="str">
        <f t="shared" si="82"/>
        <v>이*수</v>
      </c>
      <c r="BF182" t="str">
        <f t="shared" si="83"/>
        <v>***-****-9592</v>
      </c>
      <c r="BG182" t="str">
        <f t="shared" si="84"/>
        <v>***-****-9597</v>
      </c>
      <c r="BH182" t="s">
        <v>453</v>
      </c>
      <c r="BI182" t="s">
        <v>454</v>
      </c>
      <c r="BJ182" t="s">
        <v>1905</v>
      </c>
      <c r="BK182" t="s">
        <v>456</v>
      </c>
      <c r="BL182">
        <v>17554</v>
      </c>
      <c r="BM182" t="str">
        <f>"17554"</f>
        <v>17554</v>
      </c>
      <c r="BN182" t="str">
        <f t="shared" si="85"/>
        <v>20180120-0000016</v>
      </c>
      <c r="BQ182" t="s">
        <v>373</v>
      </c>
      <c r="BV182" t="s">
        <v>1906</v>
      </c>
      <c r="BW182" t="s">
        <v>1901</v>
      </c>
      <c r="BX182" t="s">
        <v>135</v>
      </c>
      <c r="BY182">
        <v>0</v>
      </c>
      <c r="BZ182">
        <v>8806358514051</v>
      </c>
      <c r="CA182" t="s">
        <v>1907</v>
      </c>
      <c r="CF182" t="s">
        <v>1901</v>
      </c>
      <c r="CG182" t="s">
        <v>1908</v>
      </c>
      <c r="CH182" t="s">
        <v>377</v>
      </c>
      <c r="CI182" t="s">
        <v>1900</v>
      </c>
      <c r="CJ182">
        <v>4840</v>
      </c>
      <c r="CK182">
        <v>4840</v>
      </c>
      <c r="CL182" t="s">
        <v>1909</v>
      </c>
      <c r="CN182">
        <v>1</v>
      </c>
      <c r="CO182">
        <v>12368</v>
      </c>
      <c r="CP182">
        <v>12368</v>
      </c>
      <c r="CQ182" t="s">
        <v>379</v>
      </c>
      <c r="CS182">
        <v>185</v>
      </c>
    </row>
    <row r="183" spans="1:97" x14ac:dyDescent="0.4">
      <c r="A183" s="10">
        <v>43122</v>
      </c>
      <c r="B183" t="s">
        <v>135</v>
      </c>
      <c r="C183" t="s">
        <v>1910</v>
      </c>
      <c r="D183" t="s">
        <v>359</v>
      </c>
      <c r="E183" t="s">
        <v>1883</v>
      </c>
      <c r="F183" t="str">
        <f t="shared" si="76"/>
        <v>20180120-0000016</v>
      </c>
      <c r="G183">
        <v>1033843</v>
      </c>
      <c r="H183">
        <v>3</v>
      </c>
      <c r="I183" t="s">
        <v>1911</v>
      </c>
      <c r="L183">
        <v>0</v>
      </c>
      <c r="M183">
        <v>1</v>
      </c>
      <c r="O183" t="s">
        <v>361</v>
      </c>
      <c r="P183" t="s">
        <v>1885</v>
      </c>
      <c r="S183" t="s">
        <v>1912</v>
      </c>
      <c r="T183" t="s">
        <v>364</v>
      </c>
      <c r="X183" t="s">
        <v>1911</v>
      </c>
      <c r="AA183">
        <v>14392</v>
      </c>
      <c r="AB183">
        <v>13.47</v>
      </c>
      <c r="AC183" t="s">
        <v>1913</v>
      </c>
      <c r="AD183">
        <v>14.68</v>
      </c>
      <c r="AE183">
        <v>15.08</v>
      </c>
      <c r="AF183" t="s">
        <v>496</v>
      </c>
      <c r="AG183">
        <v>3770</v>
      </c>
      <c r="AK183">
        <v>50</v>
      </c>
      <c r="AL183" t="s">
        <v>1911</v>
      </c>
      <c r="AN183" t="s">
        <v>1914</v>
      </c>
      <c r="AQ183">
        <v>7700</v>
      </c>
      <c r="AR183" t="s">
        <v>368</v>
      </c>
      <c r="AS183">
        <v>613617692606</v>
      </c>
      <c r="AT183" t="str">
        <f t="shared" si="77"/>
        <v>이*수</v>
      </c>
      <c r="AU183" t="str">
        <f t="shared" si="78"/>
        <v xml:space="preserve"> 2***2</v>
      </c>
      <c r="AV183" t="str">
        <f t="shared" si="79"/>
        <v>***-****-9592</v>
      </c>
      <c r="AW183" t="str">
        <f t="shared" si="80"/>
        <v xml:space="preserve"> 인* 서* 원**로 8*2 (***) 삼***자 5**호 햇*찬 글*벌</v>
      </c>
      <c r="AY183" t="str">
        <f t="shared" si="81"/>
        <v>***-****-9597</v>
      </c>
      <c r="AZ183">
        <v>29334</v>
      </c>
      <c r="BA183">
        <v>1033858</v>
      </c>
      <c r="BB183">
        <v>42000</v>
      </c>
      <c r="BC183" t="s">
        <v>1888</v>
      </c>
      <c r="BD183" t="s">
        <v>1205</v>
      </c>
      <c r="BE183" t="str">
        <f t="shared" si="82"/>
        <v>이*수</v>
      </c>
      <c r="BF183" t="str">
        <f t="shared" si="83"/>
        <v>***-****-9592</v>
      </c>
      <c r="BG183" t="str">
        <f t="shared" si="84"/>
        <v>***-****-9597</v>
      </c>
      <c r="BH183" t="s">
        <v>453</v>
      </c>
      <c r="BI183" t="s">
        <v>454</v>
      </c>
      <c r="BJ183" t="s">
        <v>1915</v>
      </c>
      <c r="BK183" t="s">
        <v>456</v>
      </c>
      <c r="BL183">
        <v>15335</v>
      </c>
      <c r="BM183" t="str">
        <f>"15335"</f>
        <v>15335</v>
      </c>
      <c r="BN183" t="str">
        <f t="shared" si="85"/>
        <v>20180120-0000016</v>
      </c>
      <c r="BQ183" t="s">
        <v>373</v>
      </c>
      <c r="BV183" t="s">
        <v>1911</v>
      </c>
      <c r="BW183" t="s">
        <v>1911</v>
      </c>
      <c r="BX183" t="s">
        <v>135</v>
      </c>
      <c r="BY183">
        <v>0</v>
      </c>
      <c r="BZ183">
        <v>8806358562397</v>
      </c>
      <c r="CA183" t="s">
        <v>1916</v>
      </c>
      <c r="CF183" t="s">
        <v>1911</v>
      </c>
      <c r="CG183" t="s">
        <v>730</v>
      </c>
      <c r="CH183" t="s">
        <v>377</v>
      </c>
      <c r="CI183" t="s">
        <v>1910</v>
      </c>
      <c r="CJ183">
        <v>7700</v>
      </c>
      <c r="CK183">
        <v>23100</v>
      </c>
      <c r="CL183" t="s">
        <v>1917</v>
      </c>
      <c r="CN183">
        <v>3</v>
      </c>
      <c r="CO183">
        <v>14392</v>
      </c>
      <c r="CP183">
        <v>43176</v>
      </c>
      <c r="CQ183" t="s">
        <v>379</v>
      </c>
      <c r="CS183">
        <v>0</v>
      </c>
    </row>
    <row r="184" spans="1:97" x14ac:dyDescent="0.4">
      <c r="A184" s="10">
        <v>43122</v>
      </c>
      <c r="B184" t="s">
        <v>215</v>
      </c>
      <c r="C184" t="s">
        <v>1918</v>
      </c>
      <c r="D184" t="s">
        <v>359</v>
      </c>
      <c r="E184" t="s">
        <v>1883</v>
      </c>
      <c r="F184" t="str">
        <f t="shared" si="76"/>
        <v>20180120-0000016</v>
      </c>
      <c r="G184">
        <v>1033843</v>
      </c>
      <c r="H184">
        <v>1</v>
      </c>
      <c r="I184" t="s">
        <v>1919</v>
      </c>
      <c r="L184">
        <v>0</v>
      </c>
      <c r="M184">
        <v>1</v>
      </c>
      <c r="O184" t="s">
        <v>361</v>
      </c>
      <c r="P184" t="s">
        <v>1885</v>
      </c>
      <c r="S184" t="s">
        <v>1920</v>
      </c>
      <c r="T184" t="s">
        <v>364</v>
      </c>
      <c r="X184" t="s">
        <v>1919</v>
      </c>
      <c r="AA184">
        <v>18340</v>
      </c>
      <c r="AB184">
        <v>16.170000000000002</v>
      </c>
      <c r="AC184" t="s">
        <v>1921</v>
      </c>
      <c r="AD184">
        <v>17.62</v>
      </c>
      <c r="AE184">
        <v>18.11</v>
      </c>
      <c r="AF184" t="s">
        <v>572</v>
      </c>
      <c r="AG184">
        <v>6500</v>
      </c>
      <c r="AK184">
        <v>357</v>
      </c>
      <c r="AL184" t="s">
        <v>1919</v>
      </c>
      <c r="AQ184">
        <v>6820</v>
      </c>
      <c r="AR184" t="s">
        <v>368</v>
      </c>
      <c r="AS184">
        <v>613617692606</v>
      </c>
      <c r="AT184" t="str">
        <f t="shared" si="77"/>
        <v>이*수</v>
      </c>
      <c r="AU184" t="str">
        <f t="shared" si="78"/>
        <v xml:space="preserve"> 2***2</v>
      </c>
      <c r="AV184" t="str">
        <f t="shared" si="79"/>
        <v>***-****-9592</v>
      </c>
      <c r="AW184" t="str">
        <f t="shared" si="80"/>
        <v xml:space="preserve"> 인* 서* 원**로 8*2 (***) 삼***자 5**호 햇*찬 글*벌</v>
      </c>
      <c r="AY184" t="str">
        <f t="shared" si="81"/>
        <v>***-****-9597</v>
      </c>
      <c r="AZ184">
        <v>17117</v>
      </c>
      <c r="BA184">
        <v>1033867</v>
      </c>
      <c r="BB184">
        <v>11000</v>
      </c>
      <c r="BC184" t="s">
        <v>1888</v>
      </c>
      <c r="BD184" t="s">
        <v>1205</v>
      </c>
      <c r="BE184" t="str">
        <f t="shared" si="82"/>
        <v>이*수</v>
      </c>
      <c r="BF184" t="str">
        <f t="shared" si="83"/>
        <v>***-****-9592</v>
      </c>
      <c r="BG184" t="str">
        <f t="shared" si="84"/>
        <v>***-****-9597</v>
      </c>
      <c r="BH184" t="s">
        <v>453</v>
      </c>
      <c r="BI184" t="s">
        <v>454</v>
      </c>
      <c r="BJ184" t="s">
        <v>1922</v>
      </c>
      <c r="BK184" t="s">
        <v>456</v>
      </c>
      <c r="BL184">
        <v>17973</v>
      </c>
      <c r="BM184" t="str">
        <f>"17973"</f>
        <v>17973</v>
      </c>
      <c r="BN184" t="str">
        <f t="shared" si="85"/>
        <v>20180120-0000016</v>
      </c>
      <c r="BQ184" t="s">
        <v>373</v>
      </c>
      <c r="BV184" t="s">
        <v>1923</v>
      </c>
      <c r="BW184" t="s">
        <v>1919</v>
      </c>
      <c r="BX184" t="s">
        <v>215</v>
      </c>
      <c r="BY184">
        <v>0</v>
      </c>
      <c r="BZ184">
        <v>8806199436505</v>
      </c>
      <c r="CA184" t="s">
        <v>1924</v>
      </c>
      <c r="CF184" t="s">
        <v>1919</v>
      </c>
      <c r="CG184" t="s">
        <v>1256</v>
      </c>
      <c r="CH184" t="s">
        <v>377</v>
      </c>
      <c r="CI184" t="s">
        <v>1918</v>
      </c>
      <c r="CJ184">
        <v>6820</v>
      </c>
      <c r="CK184">
        <v>6820</v>
      </c>
      <c r="CL184" t="s">
        <v>1925</v>
      </c>
      <c r="CN184">
        <v>1</v>
      </c>
      <c r="CO184">
        <v>18340</v>
      </c>
      <c r="CP184">
        <v>18340</v>
      </c>
      <c r="CQ184" t="s">
        <v>379</v>
      </c>
      <c r="CS184">
        <v>0</v>
      </c>
    </row>
    <row r="185" spans="1:97" x14ac:dyDescent="0.4">
      <c r="A185" s="10">
        <v>43122</v>
      </c>
      <c r="B185" t="s">
        <v>215</v>
      </c>
      <c r="C185" t="s">
        <v>1926</v>
      </c>
      <c r="D185" t="s">
        <v>359</v>
      </c>
      <c r="E185" t="s">
        <v>1883</v>
      </c>
      <c r="F185" t="str">
        <f t="shared" si="76"/>
        <v>20180120-0000016</v>
      </c>
      <c r="G185">
        <v>1033843</v>
      </c>
      <c r="H185">
        <v>1</v>
      </c>
      <c r="I185" t="s">
        <v>1927</v>
      </c>
      <c r="L185">
        <v>0</v>
      </c>
      <c r="M185">
        <v>1</v>
      </c>
      <c r="O185" t="s">
        <v>361</v>
      </c>
      <c r="P185" t="s">
        <v>1885</v>
      </c>
      <c r="S185" t="s">
        <v>1928</v>
      </c>
      <c r="T185" t="s">
        <v>364</v>
      </c>
      <c r="X185" t="s">
        <v>1927</v>
      </c>
      <c r="AA185">
        <v>10448</v>
      </c>
      <c r="AB185">
        <v>8.44</v>
      </c>
      <c r="AC185" t="s">
        <v>1929</v>
      </c>
      <c r="AD185">
        <v>9.1999999999999993</v>
      </c>
      <c r="AE185">
        <v>9.4499999999999993</v>
      </c>
      <c r="AF185" t="s">
        <v>1930</v>
      </c>
      <c r="AG185">
        <v>1880</v>
      </c>
      <c r="AK185">
        <v>15</v>
      </c>
      <c r="AL185" t="s">
        <v>1927</v>
      </c>
      <c r="AN185" t="s">
        <v>1931</v>
      </c>
      <c r="AQ185">
        <v>4650</v>
      </c>
      <c r="AR185" t="s">
        <v>368</v>
      </c>
      <c r="AS185">
        <v>613617692606</v>
      </c>
      <c r="AT185" t="str">
        <f t="shared" si="77"/>
        <v>이*수</v>
      </c>
      <c r="AU185" t="str">
        <f t="shared" si="78"/>
        <v xml:space="preserve"> 2***2</v>
      </c>
      <c r="AV185" t="str">
        <f t="shared" si="79"/>
        <v>***-****-9592</v>
      </c>
      <c r="AW185" t="str">
        <f t="shared" si="80"/>
        <v xml:space="preserve"> 인* 서* 원**로 8*2 (***) 삼***자 5**호 햇*찬 글*벌</v>
      </c>
      <c r="AY185" t="str">
        <f t="shared" si="81"/>
        <v>***-****-9597</v>
      </c>
      <c r="AZ185">
        <v>29328</v>
      </c>
      <c r="BA185">
        <v>1033853</v>
      </c>
      <c r="BB185">
        <v>7500</v>
      </c>
      <c r="BC185" t="s">
        <v>1888</v>
      </c>
      <c r="BD185" t="s">
        <v>1205</v>
      </c>
      <c r="BE185" t="str">
        <f t="shared" si="82"/>
        <v>이*수</v>
      </c>
      <c r="BF185" t="str">
        <f t="shared" si="83"/>
        <v>***-****-9592</v>
      </c>
      <c r="BG185" t="str">
        <f t="shared" si="84"/>
        <v>***-****-9597</v>
      </c>
      <c r="BH185" t="s">
        <v>453</v>
      </c>
      <c r="BI185" t="s">
        <v>454</v>
      </c>
      <c r="BJ185" t="s">
        <v>1932</v>
      </c>
      <c r="BK185" t="s">
        <v>456</v>
      </c>
      <c r="BL185">
        <v>18565</v>
      </c>
      <c r="BM185" t="str">
        <f>"18565"</f>
        <v>18565</v>
      </c>
      <c r="BN185" t="str">
        <f t="shared" si="85"/>
        <v>20180120-0000016</v>
      </c>
      <c r="BQ185" t="s">
        <v>373</v>
      </c>
      <c r="BU185">
        <v>79</v>
      </c>
      <c r="BV185" t="s">
        <v>1933</v>
      </c>
      <c r="BW185" t="s">
        <v>1927</v>
      </c>
      <c r="BX185" t="s">
        <v>215</v>
      </c>
      <c r="BY185">
        <v>0</v>
      </c>
      <c r="BZ185">
        <v>8806199444593</v>
      </c>
      <c r="CA185" t="s">
        <v>1934</v>
      </c>
      <c r="CF185" t="s">
        <v>1927</v>
      </c>
      <c r="CG185" t="s">
        <v>389</v>
      </c>
      <c r="CH185" t="s">
        <v>377</v>
      </c>
      <c r="CI185" t="s">
        <v>1926</v>
      </c>
      <c r="CJ185">
        <v>4650</v>
      </c>
      <c r="CK185">
        <v>4650</v>
      </c>
      <c r="CL185" t="s">
        <v>1935</v>
      </c>
      <c r="CN185">
        <v>1</v>
      </c>
      <c r="CO185">
        <v>10448</v>
      </c>
      <c r="CP185">
        <v>10448</v>
      </c>
      <c r="CQ185" t="s">
        <v>379</v>
      </c>
      <c r="CS185">
        <v>0</v>
      </c>
    </row>
    <row r="186" spans="1:97" x14ac:dyDescent="0.4">
      <c r="A186" s="10">
        <v>43122</v>
      </c>
      <c r="B186" t="s">
        <v>215</v>
      </c>
      <c r="C186" t="s">
        <v>1936</v>
      </c>
      <c r="D186" t="s">
        <v>359</v>
      </c>
      <c r="E186" t="s">
        <v>1883</v>
      </c>
      <c r="F186" t="str">
        <f t="shared" si="76"/>
        <v>20180120-0000016</v>
      </c>
      <c r="G186">
        <v>1033843</v>
      </c>
      <c r="H186">
        <v>1</v>
      </c>
      <c r="I186" t="s">
        <v>1937</v>
      </c>
      <c r="L186">
        <v>0</v>
      </c>
      <c r="M186">
        <v>1</v>
      </c>
      <c r="O186" t="s">
        <v>361</v>
      </c>
      <c r="P186" t="s">
        <v>1885</v>
      </c>
      <c r="S186" t="s">
        <v>1938</v>
      </c>
      <c r="T186" t="s">
        <v>364</v>
      </c>
      <c r="X186" t="s">
        <v>1937</v>
      </c>
      <c r="AA186">
        <v>14528</v>
      </c>
      <c r="AB186">
        <v>12.16</v>
      </c>
      <c r="AC186" t="s">
        <v>1939</v>
      </c>
      <c r="AD186">
        <v>13.25</v>
      </c>
      <c r="AE186">
        <v>13.62</v>
      </c>
      <c r="AF186" t="s">
        <v>1940</v>
      </c>
      <c r="AG186">
        <v>1880</v>
      </c>
      <c r="AK186">
        <v>25</v>
      </c>
      <c r="AL186" t="s">
        <v>1937</v>
      </c>
      <c r="AN186" t="s">
        <v>1941</v>
      </c>
      <c r="AQ186">
        <v>7440</v>
      </c>
      <c r="AR186" t="s">
        <v>368</v>
      </c>
      <c r="AS186">
        <v>613617692606</v>
      </c>
      <c r="AT186" t="str">
        <f t="shared" si="77"/>
        <v>이*수</v>
      </c>
      <c r="AU186" t="str">
        <f t="shared" si="78"/>
        <v xml:space="preserve"> 2***2</v>
      </c>
      <c r="AV186" t="str">
        <f t="shared" si="79"/>
        <v>***-****-9592</v>
      </c>
      <c r="AW186" t="str">
        <f t="shared" si="80"/>
        <v xml:space="preserve"> 인* 서* 원**로 8*2 (***) 삼***자 5**호 햇*찬 글*벌</v>
      </c>
      <c r="AY186" t="str">
        <f t="shared" si="81"/>
        <v>***-****-9597</v>
      </c>
      <c r="AZ186">
        <v>29332</v>
      </c>
      <c r="BA186">
        <v>1033869</v>
      </c>
      <c r="BB186">
        <v>12000</v>
      </c>
      <c r="BC186" t="s">
        <v>1888</v>
      </c>
      <c r="BD186" t="s">
        <v>1205</v>
      </c>
      <c r="BE186" t="str">
        <f t="shared" si="82"/>
        <v>이*수</v>
      </c>
      <c r="BF186" t="str">
        <f t="shared" si="83"/>
        <v>***-****-9592</v>
      </c>
      <c r="BG186" t="str">
        <f t="shared" si="84"/>
        <v>***-****-9597</v>
      </c>
      <c r="BH186" t="s">
        <v>453</v>
      </c>
      <c r="BI186" t="s">
        <v>454</v>
      </c>
      <c r="BJ186" t="s">
        <v>1942</v>
      </c>
      <c r="BK186" t="s">
        <v>456</v>
      </c>
      <c r="BL186">
        <v>18192</v>
      </c>
      <c r="BM186" t="str">
        <f>"18192"</f>
        <v>18192</v>
      </c>
      <c r="BN186" t="str">
        <f t="shared" si="85"/>
        <v>20180120-0000016</v>
      </c>
      <c r="BQ186" t="s">
        <v>373</v>
      </c>
      <c r="BV186" t="s">
        <v>1943</v>
      </c>
      <c r="BW186" t="s">
        <v>1937</v>
      </c>
      <c r="BX186" t="s">
        <v>215</v>
      </c>
      <c r="BY186">
        <v>0</v>
      </c>
      <c r="BZ186">
        <v>8806199447327</v>
      </c>
      <c r="CA186" t="s">
        <v>1944</v>
      </c>
      <c r="CF186" t="s">
        <v>1937</v>
      </c>
      <c r="CG186" t="s">
        <v>1037</v>
      </c>
      <c r="CH186" t="s">
        <v>377</v>
      </c>
      <c r="CI186" t="s">
        <v>1936</v>
      </c>
      <c r="CJ186">
        <v>7440</v>
      </c>
      <c r="CK186">
        <v>7440</v>
      </c>
      <c r="CL186" t="s">
        <v>1945</v>
      </c>
      <c r="CN186">
        <v>1</v>
      </c>
      <c r="CO186">
        <v>14528</v>
      </c>
      <c r="CP186">
        <v>14528</v>
      </c>
      <c r="CQ186" t="s">
        <v>379</v>
      </c>
      <c r="CS186">
        <v>0</v>
      </c>
    </row>
    <row r="187" spans="1:97" x14ac:dyDescent="0.4">
      <c r="A187" s="10">
        <v>43122</v>
      </c>
      <c r="B187" t="s">
        <v>215</v>
      </c>
      <c r="C187" t="s">
        <v>1946</v>
      </c>
      <c r="D187" t="s">
        <v>359</v>
      </c>
      <c r="E187" t="s">
        <v>1883</v>
      </c>
      <c r="F187" t="str">
        <f t="shared" si="76"/>
        <v>20180120-0000016</v>
      </c>
      <c r="G187">
        <v>1033843</v>
      </c>
      <c r="H187">
        <v>1</v>
      </c>
      <c r="I187" t="s">
        <v>1947</v>
      </c>
      <c r="L187">
        <v>0</v>
      </c>
      <c r="M187">
        <v>1</v>
      </c>
      <c r="O187" t="s">
        <v>361</v>
      </c>
      <c r="P187" t="s">
        <v>1885</v>
      </c>
      <c r="S187" t="s">
        <v>1948</v>
      </c>
      <c r="T187" t="s">
        <v>364</v>
      </c>
      <c r="X187" t="s">
        <v>1947</v>
      </c>
      <c r="AA187">
        <v>20902</v>
      </c>
      <c r="AB187">
        <v>17.02</v>
      </c>
      <c r="AC187" t="s">
        <v>1949</v>
      </c>
      <c r="AD187">
        <v>18.55</v>
      </c>
      <c r="AE187">
        <v>19.059999999999999</v>
      </c>
      <c r="AF187" t="s">
        <v>1950</v>
      </c>
      <c r="AG187">
        <v>3770</v>
      </c>
      <c r="AK187">
        <v>81</v>
      </c>
      <c r="AL187" t="s">
        <v>1947</v>
      </c>
      <c r="AN187" t="s">
        <v>1951</v>
      </c>
      <c r="AQ187">
        <v>11160</v>
      </c>
      <c r="AR187" t="s">
        <v>368</v>
      </c>
      <c r="AS187">
        <v>613617692606</v>
      </c>
      <c r="AT187" t="str">
        <f t="shared" si="77"/>
        <v>이*수</v>
      </c>
      <c r="AU187" t="str">
        <f t="shared" si="78"/>
        <v xml:space="preserve"> 2***2</v>
      </c>
      <c r="AV187" t="str">
        <f t="shared" si="79"/>
        <v>***-****-9592</v>
      </c>
      <c r="AW187" t="str">
        <f t="shared" si="80"/>
        <v xml:space="preserve"> 인* 서* 원**로 8*2 (***) 삼***자 5**호 햇*찬 글*벌</v>
      </c>
      <c r="AY187" t="str">
        <f t="shared" si="81"/>
        <v>***-****-9597</v>
      </c>
      <c r="AZ187">
        <v>28686</v>
      </c>
      <c r="BA187">
        <v>1033860</v>
      </c>
      <c r="BB187">
        <v>18000</v>
      </c>
      <c r="BC187" t="s">
        <v>1888</v>
      </c>
      <c r="BD187" t="s">
        <v>1205</v>
      </c>
      <c r="BE187" t="str">
        <f t="shared" si="82"/>
        <v>이*수</v>
      </c>
      <c r="BF187" t="str">
        <f t="shared" si="83"/>
        <v>***-****-9592</v>
      </c>
      <c r="BG187" t="str">
        <f t="shared" si="84"/>
        <v>***-****-9597</v>
      </c>
      <c r="BH187" t="s">
        <v>453</v>
      </c>
      <c r="BI187" t="s">
        <v>454</v>
      </c>
      <c r="BJ187" t="s">
        <v>1952</v>
      </c>
      <c r="BK187" t="s">
        <v>456</v>
      </c>
      <c r="BL187">
        <v>19690</v>
      </c>
      <c r="BM187" t="str">
        <f>"19690"</f>
        <v>19690</v>
      </c>
      <c r="BN187" t="str">
        <f t="shared" si="85"/>
        <v>20180120-0000016</v>
      </c>
      <c r="BQ187" t="s">
        <v>373</v>
      </c>
      <c r="BV187" t="s">
        <v>1953</v>
      </c>
      <c r="BW187" t="s">
        <v>1947</v>
      </c>
      <c r="BX187" t="s">
        <v>215</v>
      </c>
      <c r="BY187">
        <v>0</v>
      </c>
      <c r="BZ187">
        <v>8806199460333</v>
      </c>
      <c r="CA187" t="s">
        <v>1954</v>
      </c>
      <c r="CF187" t="s">
        <v>1947</v>
      </c>
      <c r="CG187" t="s">
        <v>730</v>
      </c>
      <c r="CH187" t="s">
        <v>377</v>
      </c>
      <c r="CI187" t="s">
        <v>1946</v>
      </c>
      <c r="CJ187">
        <v>11160</v>
      </c>
      <c r="CK187">
        <v>11160</v>
      </c>
      <c r="CL187" t="s">
        <v>1955</v>
      </c>
      <c r="CN187">
        <v>1</v>
      </c>
      <c r="CO187">
        <v>20902</v>
      </c>
      <c r="CP187">
        <v>20902</v>
      </c>
      <c r="CQ187" t="s">
        <v>379</v>
      </c>
      <c r="CS187">
        <v>0</v>
      </c>
    </row>
    <row r="188" spans="1:97" x14ac:dyDescent="0.4">
      <c r="A188" s="10">
        <v>43122</v>
      </c>
      <c r="B188" t="s">
        <v>215</v>
      </c>
      <c r="C188" t="s">
        <v>1571</v>
      </c>
      <c r="D188" t="s">
        <v>359</v>
      </c>
      <c r="E188" t="s">
        <v>1883</v>
      </c>
      <c r="F188" t="str">
        <f t="shared" si="76"/>
        <v>20180120-0000016</v>
      </c>
      <c r="G188">
        <v>1033843</v>
      </c>
      <c r="H188">
        <v>1</v>
      </c>
      <c r="I188" t="s">
        <v>1572</v>
      </c>
      <c r="L188">
        <v>0</v>
      </c>
      <c r="M188">
        <v>1</v>
      </c>
      <c r="O188" t="s">
        <v>361</v>
      </c>
      <c r="P188" t="s">
        <v>1885</v>
      </c>
      <c r="S188" t="s">
        <v>1956</v>
      </c>
      <c r="T188" t="s">
        <v>364</v>
      </c>
      <c r="X188" t="s">
        <v>1572</v>
      </c>
      <c r="AA188">
        <v>10512</v>
      </c>
      <c r="AB188">
        <v>5.54</v>
      </c>
      <c r="AC188" t="s">
        <v>1574</v>
      </c>
      <c r="AD188">
        <v>6.04</v>
      </c>
      <c r="AE188">
        <v>6.21</v>
      </c>
      <c r="AF188" t="s">
        <v>402</v>
      </c>
      <c r="AG188">
        <v>1880</v>
      </c>
      <c r="AH188">
        <v>31</v>
      </c>
      <c r="AI188">
        <v>1880</v>
      </c>
      <c r="AK188">
        <v>15</v>
      </c>
      <c r="AL188" t="s">
        <v>1572</v>
      </c>
      <c r="AN188" t="s">
        <v>1575</v>
      </c>
      <c r="AQ188">
        <v>2480</v>
      </c>
      <c r="AR188" t="s">
        <v>368</v>
      </c>
      <c r="AS188">
        <v>613617692606</v>
      </c>
      <c r="AT188" t="str">
        <f t="shared" si="77"/>
        <v>이*수</v>
      </c>
      <c r="AU188" t="str">
        <f t="shared" si="78"/>
        <v xml:space="preserve"> 2***2</v>
      </c>
      <c r="AV188" t="str">
        <f t="shared" si="79"/>
        <v>***-****-9592</v>
      </c>
      <c r="AW188" t="str">
        <f t="shared" si="80"/>
        <v xml:space="preserve"> 인* 서* 원**로 8*2 (***) 삼***자 5**호 햇*찬 글*벌</v>
      </c>
      <c r="AY188" t="str">
        <f t="shared" si="81"/>
        <v>***-****-9597</v>
      </c>
      <c r="AZ188">
        <v>26862</v>
      </c>
      <c r="BA188">
        <v>1033857</v>
      </c>
      <c r="BB188">
        <v>4000</v>
      </c>
      <c r="BC188" t="s">
        <v>1888</v>
      </c>
      <c r="BD188" t="s">
        <v>1205</v>
      </c>
      <c r="BE188" t="str">
        <f t="shared" si="82"/>
        <v>이*수</v>
      </c>
      <c r="BF188" t="str">
        <f t="shared" si="83"/>
        <v>***-****-9592</v>
      </c>
      <c r="BG188" t="str">
        <f t="shared" si="84"/>
        <v>***-****-9597</v>
      </c>
      <c r="BH188" t="s">
        <v>453</v>
      </c>
      <c r="BI188" t="s">
        <v>454</v>
      </c>
      <c r="BJ188" t="s">
        <v>1957</v>
      </c>
      <c r="BK188" t="s">
        <v>456</v>
      </c>
      <c r="BL188">
        <v>13212</v>
      </c>
      <c r="BM188" t="str">
        <f>"13212"</f>
        <v>13212</v>
      </c>
      <c r="BN188" t="str">
        <f t="shared" si="85"/>
        <v>20180120-0000016</v>
      </c>
      <c r="BQ188" t="s">
        <v>373</v>
      </c>
      <c r="BV188" t="s">
        <v>1577</v>
      </c>
      <c r="BW188" t="s">
        <v>1572</v>
      </c>
      <c r="BX188" t="s">
        <v>215</v>
      </c>
      <c r="BY188">
        <v>0</v>
      </c>
      <c r="BZ188">
        <v>8806338708753</v>
      </c>
      <c r="CA188" t="s">
        <v>1578</v>
      </c>
      <c r="CF188" t="s">
        <v>1572</v>
      </c>
      <c r="CG188" t="s">
        <v>458</v>
      </c>
      <c r="CH188" t="s">
        <v>377</v>
      </c>
      <c r="CI188" t="s">
        <v>1571</v>
      </c>
      <c r="CJ188">
        <v>2480</v>
      </c>
      <c r="CK188">
        <v>2480</v>
      </c>
      <c r="CL188" t="s">
        <v>1579</v>
      </c>
      <c r="CN188">
        <v>1</v>
      </c>
      <c r="CO188">
        <v>10512</v>
      </c>
      <c r="CP188">
        <v>10512</v>
      </c>
      <c r="CQ188" t="s">
        <v>379</v>
      </c>
      <c r="CS188">
        <v>28</v>
      </c>
    </row>
    <row r="189" spans="1:97" x14ac:dyDescent="0.4">
      <c r="A189" s="10">
        <v>43122</v>
      </c>
      <c r="B189" t="s">
        <v>215</v>
      </c>
      <c r="C189" t="s">
        <v>1958</v>
      </c>
      <c r="D189" t="s">
        <v>359</v>
      </c>
      <c r="E189" t="s">
        <v>1883</v>
      </c>
      <c r="F189" t="str">
        <f t="shared" si="76"/>
        <v>20180120-0000016</v>
      </c>
      <c r="G189">
        <v>1033843</v>
      </c>
      <c r="H189">
        <v>1</v>
      </c>
      <c r="I189" t="s">
        <v>1959</v>
      </c>
      <c r="L189">
        <v>0</v>
      </c>
      <c r="M189">
        <v>1</v>
      </c>
      <c r="O189" t="s">
        <v>361</v>
      </c>
      <c r="P189" t="s">
        <v>1885</v>
      </c>
      <c r="S189" t="s">
        <v>1960</v>
      </c>
      <c r="T189" t="s">
        <v>364</v>
      </c>
      <c r="X189" t="s">
        <v>1959</v>
      </c>
      <c r="AA189">
        <v>12608</v>
      </c>
      <c r="AB189">
        <v>11.47</v>
      </c>
      <c r="AC189" t="s">
        <v>1961</v>
      </c>
      <c r="AD189">
        <v>12.5</v>
      </c>
      <c r="AE189">
        <v>12.84</v>
      </c>
      <c r="AF189" t="s">
        <v>1962</v>
      </c>
      <c r="AG189">
        <v>3770</v>
      </c>
      <c r="AH189">
        <v>82</v>
      </c>
      <c r="AI189">
        <v>1880</v>
      </c>
      <c r="AK189">
        <v>59</v>
      </c>
      <c r="AL189" t="s">
        <v>1959</v>
      </c>
      <c r="AQ189">
        <v>6200</v>
      </c>
      <c r="AR189" t="s">
        <v>368</v>
      </c>
      <c r="AS189">
        <v>613617692606</v>
      </c>
      <c r="AT189" t="str">
        <f t="shared" si="77"/>
        <v>이*수</v>
      </c>
      <c r="AU189" t="str">
        <f t="shared" si="78"/>
        <v xml:space="preserve"> 2***2</v>
      </c>
      <c r="AV189" t="str">
        <f t="shared" si="79"/>
        <v>***-****-9592</v>
      </c>
      <c r="AW189" t="str">
        <f t="shared" si="80"/>
        <v xml:space="preserve"> 인* 서* 원**로 8*2 (***) 삼***자 5**호 햇*찬 글*벌</v>
      </c>
      <c r="AY189" t="str">
        <f t="shared" si="81"/>
        <v>***-****-9597</v>
      </c>
      <c r="AZ189">
        <v>15257</v>
      </c>
      <c r="BA189">
        <v>1033859</v>
      </c>
      <c r="BB189">
        <v>10000</v>
      </c>
      <c r="BC189" t="s">
        <v>1888</v>
      </c>
      <c r="BD189" t="s">
        <v>1205</v>
      </c>
      <c r="BE189" t="str">
        <f t="shared" si="82"/>
        <v>이*수</v>
      </c>
      <c r="BF189" t="str">
        <f t="shared" si="83"/>
        <v>***-****-9592</v>
      </c>
      <c r="BG189" t="str">
        <f t="shared" si="84"/>
        <v>***-****-9597</v>
      </c>
      <c r="BH189" t="s">
        <v>453</v>
      </c>
      <c r="BI189" t="s">
        <v>454</v>
      </c>
      <c r="BJ189" t="s">
        <v>1963</v>
      </c>
      <c r="BK189" t="s">
        <v>456</v>
      </c>
      <c r="BL189">
        <v>17612</v>
      </c>
      <c r="BM189" t="str">
        <f>"17612"</f>
        <v>17612</v>
      </c>
      <c r="BN189" t="str">
        <f t="shared" si="85"/>
        <v>20180120-0000016</v>
      </c>
      <c r="BQ189" t="s">
        <v>373</v>
      </c>
      <c r="BV189" t="s">
        <v>1964</v>
      </c>
      <c r="BW189" t="s">
        <v>1959</v>
      </c>
      <c r="BX189" t="s">
        <v>215</v>
      </c>
      <c r="BY189">
        <v>0</v>
      </c>
      <c r="BZ189">
        <v>8806199429422</v>
      </c>
      <c r="CA189" t="s">
        <v>1965</v>
      </c>
      <c r="CF189" t="s">
        <v>1959</v>
      </c>
      <c r="CG189" t="s">
        <v>489</v>
      </c>
      <c r="CH189" t="s">
        <v>377</v>
      </c>
      <c r="CI189" t="s">
        <v>1958</v>
      </c>
      <c r="CJ189">
        <v>6200</v>
      </c>
      <c r="CK189">
        <v>6200</v>
      </c>
      <c r="CL189" t="s">
        <v>1966</v>
      </c>
      <c r="CN189">
        <v>1</v>
      </c>
      <c r="CO189">
        <v>12608</v>
      </c>
      <c r="CP189">
        <v>12608</v>
      </c>
      <c r="CQ189" t="s">
        <v>379</v>
      </c>
      <c r="CS189">
        <v>0</v>
      </c>
    </row>
    <row r="190" spans="1:97" x14ac:dyDescent="0.4">
      <c r="A190" s="10">
        <v>43122</v>
      </c>
      <c r="B190" t="s">
        <v>215</v>
      </c>
      <c r="C190" t="s">
        <v>1967</v>
      </c>
      <c r="D190" t="s">
        <v>359</v>
      </c>
      <c r="E190" t="s">
        <v>1883</v>
      </c>
      <c r="F190" t="str">
        <f t="shared" si="76"/>
        <v>20180120-0000016</v>
      </c>
      <c r="G190">
        <v>1033843</v>
      </c>
      <c r="H190">
        <v>1</v>
      </c>
      <c r="I190" t="s">
        <v>1968</v>
      </c>
      <c r="L190">
        <v>0</v>
      </c>
      <c r="M190">
        <v>1</v>
      </c>
      <c r="O190" t="s">
        <v>361</v>
      </c>
      <c r="P190" t="s">
        <v>1885</v>
      </c>
      <c r="S190" t="s">
        <v>1969</v>
      </c>
      <c r="T190" t="s">
        <v>364</v>
      </c>
      <c r="X190" t="s">
        <v>1968</v>
      </c>
      <c r="AA190">
        <v>8768</v>
      </c>
      <c r="AB190">
        <v>7.2</v>
      </c>
      <c r="AC190" t="s">
        <v>1970</v>
      </c>
      <c r="AD190">
        <v>7.85</v>
      </c>
      <c r="AE190">
        <v>8.06</v>
      </c>
      <c r="AF190" t="s">
        <v>1971</v>
      </c>
      <c r="AG190">
        <v>1880</v>
      </c>
      <c r="AH190">
        <v>28</v>
      </c>
      <c r="AI190">
        <v>1880</v>
      </c>
      <c r="AK190">
        <v>13</v>
      </c>
      <c r="AL190" t="s">
        <v>1968</v>
      </c>
      <c r="AN190" t="s">
        <v>1089</v>
      </c>
      <c r="AQ190">
        <v>3720</v>
      </c>
      <c r="AR190" t="s">
        <v>368</v>
      </c>
      <c r="AS190">
        <v>613617692606</v>
      </c>
      <c r="AT190" t="str">
        <f t="shared" si="77"/>
        <v>이*수</v>
      </c>
      <c r="AU190" t="str">
        <f t="shared" si="78"/>
        <v xml:space="preserve"> 2***2</v>
      </c>
      <c r="AV190" t="str">
        <f t="shared" si="79"/>
        <v>***-****-9592</v>
      </c>
      <c r="AW190" t="str">
        <f t="shared" si="80"/>
        <v xml:space="preserve"> 인* 서* 원**로 8*2 (***) 삼***자 5**호 햇*찬 글*벌</v>
      </c>
      <c r="AY190" t="str">
        <f t="shared" si="81"/>
        <v>***-****-9597</v>
      </c>
      <c r="AZ190">
        <v>26972</v>
      </c>
      <c r="BA190">
        <v>1033855</v>
      </c>
      <c r="BB190">
        <v>6000</v>
      </c>
      <c r="BC190" t="s">
        <v>1888</v>
      </c>
      <c r="BD190" t="s">
        <v>1205</v>
      </c>
      <c r="BE190" t="str">
        <f t="shared" si="82"/>
        <v>이*수</v>
      </c>
      <c r="BF190" t="str">
        <f t="shared" si="83"/>
        <v>***-****-9592</v>
      </c>
      <c r="BG190" t="str">
        <f t="shared" si="84"/>
        <v>***-****-9597</v>
      </c>
      <c r="BH190" t="s">
        <v>453</v>
      </c>
      <c r="BI190" t="s">
        <v>454</v>
      </c>
      <c r="BJ190" t="s">
        <v>1972</v>
      </c>
      <c r="BK190" t="s">
        <v>456</v>
      </c>
      <c r="BL190">
        <v>17330</v>
      </c>
      <c r="BM190" t="str">
        <f>"17330"</f>
        <v>17330</v>
      </c>
      <c r="BN190" t="str">
        <f t="shared" si="85"/>
        <v>20180120-0000016</v>
      </c>
      <c r="BQ190" t="s">
        <v>373</v>
      </c>
      <c r="BV190" t="s">
        <v>1973</v>
      </c>
      <c r="BW190" t="s">
        <v>1968</v>
      </c>
      <c r="BX190" t="s">
        <v>215</v>
      </c>
      <c r="BY190">
        <v>0</v>
      </c>
      <c r="BZ190">
        <v>8806199426308</v>
      </c>
      <c r="CA190" t="s">
        <v>1974</v>
      </c>
      <c r="CF190" t="s">
        <v>1968</v>
      </c>
      <c r="CG190" t="s">
        <v>406</v>
      </c>
      <c r="CH190" t="s">
        <v>377</v>
      </c>
      <c r="CI190" t="s">
        <v>1967</v>
      </c>
      <c r="CJ190">
        <v>3720</v>
      </c>
      <c r="CK190">
        <v>3720</v>
      </c>
      <c r="CL190" t="s">
        <v>1975</v>
      </c>
      <c r="CN190">
        <v>1</v>
      </c>
      <c r="CO190">
        <v>8768</v>
      </c>
      <c r="CP190">
        <v>8768</v>
      </c>
      <c r="CQ190" t="s">
        <v>379</v>
      </c>
      <c r="CS190">
        <v>0</v>
      </c>
    </row>
    <row r="191" spans="1:97" x14ac:dyDescent="0.4">
      <c r="A191" s="10">
        <v>43122</v>
      </c>
      <c r="B191" t="s">
        <v>226</v>
      </c>
      <c r="C191" t="s">
        <v>1976</v>
      </c>
      <c r="D191" t="s">
        <v>359</v>
      </c>
      <c r="E191" t="s">
        <v>1883</v>
      </c>
      <c r="F191" t="str">
        <f t="shared" si="76"/>
        <v>20180120-0000016</v>
      </c>
      <c r="G191">
        <v>1033843</v>
      </c>
      <c r="H191">
        <v>1</v>
      </c>
      <c r="I191" t="s">
        <v>1977</v>
      </c>
      <c r="L191">
        <v>0</v>
      </c>
      <c r="M191">
        <v>1</v>
      </c>
      <c r="O191" t="s">
        <v>361</v>
      </c>
      <c r="P191" t="s">
        <v>1885</v>
      </c>
      <c r="S191" t="s">
        <v>1978</v>
      </c>
      <c r="T191" t="s">
        <v>364</v>
      </c>
      <c r="X191" t="s">
        <v>1977</v>
      </c>
      <c r="AA191">
        <v>20398</v>
      </c>
      <c r="AB191">
        <v>16.079999999999998</v>
      </c>
      <c r="AC191" t="s">
        <v>1979</v>
      </c>
      <c r="AD191">
        <v>17.52</v>
      </c>
      <c r="AE191">
        <v>18.010000000000002</v>
      </c>
      <c r="AF191" t="s">
        <v>486</v>
      </c>
      <c r="AG191">
        <v>3770</v>
      </c>
      <c r="AK191">
        <v>71</v>
      </c>
      <c r="AL191" t="s">
        <v>1977</v>
      </c>
      <c r="AQ191">
        <v>10400</v>
      </c>
      <c r="AR191" t="s">
        <v>368</v>
      </c>
      <c r="AS191">
        <v>613617692606</v>
      </c>
      <c r="AT191" t="str">
        <f t="shared" si="77"/>
        <v>이*수</v>
      </c>
      <c r="AU191" t="str">
        <f t="shared" si="78"/>
        <v xml:space="preserve"> 2***2</v>
      </c>
      <c r="AV191" t="str">
        <f t="shared" si="79"/>
        <v>***-****-9592</v>
      </c>
      <c r="AW191" t="str">
        <f t="shared" si="80"/>
        <v xml:space="preserve"> 인* 서* 원**로 8*2 (***) 삼***자 5**호 햇*찬 글*벌</v>
      </c>
      <c r="AY191" t="str">
        <f t="shared" si="81"/>
        <v>***-****-9597</v>
      </c>
      <c r="AZ191">
        <v>18805</v>
      </c>
      <c r="BA191">
        <v>1033868</v>
      </c>
      <c r="BB191">
        <v>20000</v>
      </c>
      <c r="BC191" t="s">
        <v>1888</v>
      </c>
      <c r="BD191" t="s">
        <v>1205</v>
      </c>
      <c r="BE191" t="str">
        <f t="shared" si="82"/>
        <v>이*수</v>
      </c>
      <c r="BF191" t="str">
        <f t="shared" si="83"/>
        <v>***-****-9592</v>
      </c>
      <c r="BG191" t="str">
        <f t="shared" si="84"/>
        <v>***-****-9597</v>
      </c>
      <c r="BH191" t="s">
        <v>453</v>
      </c>
      <c r="BI191" t="s">
        <v>454</v>
      </c>
      <c r="BJ191" t="s">
        <v>1980</v>
      </c>
      <c r="BK191" t="s">
        <v>456</v>
      </c>
      <c r="BL191">
        <v>18673</v>
      </c>
      <c r="BM191" t="str">
        <f>"18673"</f>
        <v>18673</v>
      </c>
      <c r="BN191" t="str">
        <f t="shared" si="85"/>
        <v>20180120-0000016</v>
      </c>
      <c r="BQ191" t="s">
        <v>373</v>
      </c>
      <c r="BV191" t="s">
        <v>1981</v>
      </c>
      <c r="BW191" t="s">
        <v>1977</v>
      </c>
      <c r="BX191" t="s">
        <v>226</v>
      </c>
      <c r="BY191">
        <v>0</v>
      </c>
      <c r="BZ191">
        <v>8809511270146</v>
      </c>
      <c r="CA191" t="s">
        <v>1982</v>
      </c>
      <c r="CF191" t="s">
        <v>1977</v>
      </c>
      <c r="CG191" t="s">
        <v>591</v>
      </c>
      <c r="CH191" t="s">
        <v>377</v>
      </c>
      <c r="CI191" t="s">
        <v>1976</v>
      </c>
      <c r="CJ191">
        <v>10400</v>
      </c>
      <c r="CK191">
        <v>10400</v>
      </c>
      <c r="CL191" t="s">
        <v>1983</v>
      </c>
      <c r="CN191">
        <v>1</v>
      </c>
      <c r="CO191">
        <v>20398</v>
      </c>
      <c r="CP191">
        <v>20398</v>
      </c>
      <c r="CQ191" t="s">
        <v>379</v>
      </c>
      <c r="CS191">
        <v>0</v>
      </c>
    </row>
    <row r="192" spans="1:97" x14ac:dyDescent="0.4">
      <c r="A192" s="10">
        <v>43122</v>
      </c>
      <c r="B192" t="s">
        <v>226</v>
      </c>
      <c r="C192" t="s">
        <v>1984</v>
      </c>
      <c r="D192" t="s">
        <v>359</v>
      </c>
      <c r="E192" t="s">
        <v>1883</v>
      </c>
      <c r="F192" t="str">
        <f t="shared" si="76"/>
        <v>20180120-0000016</v>
      </c>
      <c r="G192">
        <v>1033843</v>
      </c>
      <c r="H192">
        <v>2</v>
      </c>
      <c r="I192" t="s">
        <v>1985</v>
      </c>
      <c r="L192">
        <v>0</v>
      </c>
      <c r="M192">
        <v>1</v>
      </c>
      <c r="O192" t="s">
        <v>361</v>
      </c>
      <c r="P192" t="s">
        <v>1885</v>
      </c>
      <c r="S192" t="s">
        <v>1986</v>
      </c>
      <c r="T192" t="s">
        <v>364</v>
      </c>
      <c r="X192" t="s">
        <v>1985</v>
      </c>
      <c r="AA192">
        <v>15288</v>
      </c>
      <c r="AB192">
        <v>11.22</v>
      </c>
      <c r="AC192" t="s">
        <v>1987</v>
      </c>
      <c r="AD192">
        <v>12.23</v>
      </c>
      <c r="AE192">
        <v>12.56</v>
      </c>
      <c r="AF192" t="s">
        <v>486</v>
      </c>
      <c r="AG192">
        <v>3770</v>
      </c>
      <c r="AH192">
        <v>86</v>
      </c>
      <c r="AI192">
        <v>1880</v>
      </c>
      <c r="AK192">
        <v>67</v>
      </c>
      <c r="AL192" t="s">
        <v>1985</v>
      </c>
      <c r="AQ192">
        <v>5720</v>
      </c>
      <c r="AR192" t="s">
        <v>368</v>
      </c>
      <c r="AS192">
        <v>613617692606</v>
      </c>
      <c r="AT192" t="str">
        <f t="shared" si="77"/>
        <v>이*수</v>
      </c>
      <c r="AU192" t="str">
        <f t="shared" si="78"/>
        <v xml:space="preserve"> 2***2</v>
      </c>
      <c r="AV192" t="str">
        <f t="shared" si="79"/>
        <v>***-****-9592</v>
      </c>
      <c r="AW192" t="str">
        <f t="shared" si="80"/>
        <v xml:space="preserve"> 인* 서* 원**로 8*2 (***) 삼***자 5**호 햇*찬 글*벌</v>
      </c>
      <c r="AY192" t="str">
        <f t="shared" si="81"/>
        <v>***-****-9597</v>
      </c>
      <c r="AZ192">
        <v>16126</v>
      </c>
      <c r="BA192">
        <v>1033851</v>
      </c>
      <c r="BB192">
        <v>22000</v>
      </c>
      <c r="BC192" t="s">
        <v>1888</v>
      </c>
      <c r="BD192" t="s">
        <v>1205</v>
      </c>
      <c r="BE192" t="str">
        <f t="shared" si="82"/>
        <v>이*수</v>
      </c>
      <c r="BF192" t="str">
        <f t="shared" si="83"/>
        <v>***-****-9592</v>
      </c>
      <c r="BG192" t="str">
        <f t="shared" si="84"/>
        <v>***-****-9597</v>
      </c>
      <c r="BH192" t="s">
        <v>453</v>
      </c>
      <c r="BI192" t="s">
        <v>454</v>
      </c>
      <c r="BJ192" t="s">
        <v>1988</v>
      </c>
      <c r="BK192" t="s">
        <v>456</v>
      </c>
      <c r="BL192">
        <v>17914</v>
      </c>
      <c r="BM192" t="str">
        <f>"17914"</f>
        <v>17914</v>
      </c>
      <c r="BN192" t="str">
        <f t="shared" si="85"/>
        <v>20180120-0000016</v>
      </c>
      <c r="BQ192" t="s">
        <v>373</v>
      </c>
      <c r="BV192" t="s">
        <v>1989</v>
      </c>
      <c r="BW192" t="s">
        <v>1985</v>
      </c>
      <c r="BX192" t="s">
        <v>226</v>
      </c>
      <c r="BY192">
        <v>0</v>
      </c>
      <c r="BZ192">
        <v>8809427865436</v>
      </c>
      <c r="CA192" t="s">
        <v>1990</v>
      </c>
      <c r="CF192" t="s">
        <v>1985</v>
      </c>
      <c r="CG192" t="s">
        <v>489</v>
      </c>
      <c r="CH192" t="s">
        <v>377</v>
      </c>
      <c r="CI192" t="s">
        <v>1984</v>
      </c>
      <c r="CJ192">
        <v>5720</v>
      </c>
      <c r="CK192">
        <v>11440</v>
      </c>
      <c r="CL192" t="s">
        <v>1991</v>
      </c>
      <c r="CN192">
        <v>2</v>
      </c>
      <c r="CO192">
        <v>15288</v>
      </c>
      <c r="CP192">
        <v>30576</v>
      </c>
      <c r="CQ192" t="s">
        <v>379</v>
      </c>
      <c r="CS192">
        <v>0</v>
      </c>
    </row>
    <row r="193" spans="1:97" x14ac:dyDescent="0.4">
      <c r="A193" s="10">
        <v>43122</v>
      </c>
      <c r="B193" t="s">
        <v>129</v>
      </c>
      <c r="C193" t="s">
        <v>1992</v>
      </c>
      <c r="D193" t="s">
        <v>359</v>
      </c>
      <c r="E193" t="s">
        <v>1883</v>
      </c>
      <c r="F193" t="str">
        <f t="shared" si="76"/>
        <v>20180120-0000016</v>
      </c>
      <c r="G193">
        <v>1033843</v>
      </c>
      <c r="H193">
        <v>1</v>
      </c>
      <c r="I193" t="s">
        <v>1993</v>
      </c>
      <c r="L193">
        <v>0</v>
      </c>
      <c r="M193">
        <v>1</v>
      </c>
      <c r="O193" t="s">
        <v>361</v>
      </c>
      <c r="P193" t="s">
        <v>1885</v>
      </c>
      <c r="S193" t="s">
        <v>1994</v>
      </c>
      <c r="T193" t="s">
        <v>364</v>
      </c>
      <c r="X193" t="s">
        <v>1995</v>
      </c>
      <c r="AA193">
        <v>29848</v>
      </c>
      <c r="AB193">
        <v>25.45</v>
      </c>
      <c r="AC193" t="s">
        <v>1996</v>
      </c>
      <c r="AD193">
        <v>29.94</v>
      </c>
      <c r="AE193">
        <v>30.76</v>
      </c>
      <c r="AF193" t="s">
        <v>777</v>
      </c>
      <c r="AG193">
        <v>3360</v>
      </c>
      <c r="AL193" t="s">
        <v>1993</v>
      </c>
      <c r="AN193" t="s">
        <v>1997</v>
      </c>
      <c r="AQ193">
        <v>19600</v>
      </c>
      <c r="AR193" t="s">
        <v>368</v>
      </c>
      <c r="AS193">
        <v>613617692606</v>
      </c>
      <c r="AT193" t="str">
        <f t="shared" si="77"/>
        <v>이*수</v>
      </c>
      <c r="AU193" t="str">
        <f t="shared" si="78"/>
        <v xml:space="preserve"> 2***2</v>
      </c>
      <c r="AV193" t="str">
        <f t="shared" si="79"/>
        <v>***-****-9592</v>
      </c>
      <c r="AW193" t="str">
        <f t="shared" si="80"/>
        <v xml:space="preserve"> 인* 서* 원**로 8*2 (***) 삼***자 5**호 햇*찬 글*벌</v>
      </c>
      <c r="AY193" t="str">
        <f t="shared" si="81"/>
        <v>***-****-9597</v>
      </c>
      <c r="AZ193">
        <v>29322</v>
      </c>
      <c r="BA193">
        <v>1033847</v>
      </c>
      <c r="BB193">
        <v>28000</v>
      </c>
      <c r="BC193" t="s">
        <v>1888</v>
      </c>
      <c r="BD193" t="s">
        <v>1205</v>
      </c>
      <c r="BE193" t="str">
        <f t="shared" si="82"/>
        <v>이*수</v>
      </c>
      <c r="BF193" t="str">
        <f t="shared" si="83"/>
        <v>***-****-9592</v>
      </c>
      <c r="BG193" t="str">
        <f t="shared" si="84"/>
        <v>***-****-9597</v>
      </c>
      <c r="BH193" t="s">
        <v>453</v>
      </c>
      <c r="BI193" t="s">
        <v>454</v>
      </c>
      <c r="BJ193" t="s">
        <v>1998</v>
      </c>
      <c r="BK193" t="s">
        <v>456</v>
      </c>
      <c r="BL193">
        <v>21191</v>
      </c>
      <c r="BM193" t="str">
        <f>"21191"</f>
        <v>21191</v>
      </c>
      <c r="BN193" t="str">
        <f t="shared" si="85"/>
        <v>20180120-0000016</v>
      </c>
      <c r="BQ193" t="s">
        <v>373</v>
      </c>
      <c r="BU193">
        <v>111</v>
      </c>
      <c r="BV193" t="s">
        <v>1999</v>
      </c>
      <c r="BW193" t="s">
        <v>1993</v>
      </c>
      <c r="BX193" t="s">
        <v>129</v>
      </c>
      <c r="BY193">
        <v>0</v>
      </c>
      <c r="BZ193">
        <v>8809560221144</v>
      </c>
      <c r="CA193" t="s">
        <v>2000</v>
      </c>
      <c r="CF193" t="s">
        <v>1995</v>
      </c>
      <c r="CG193" t="s">
        <v>376</v>
      </c>
      <c r="CH193" t="s">
        <v>377</v>
      </c>
      <c r="CI193" t="s">
        <v>1992</v>
      </c>
      <c r="CJ193">
        <v>19600</v>
      </c>
      <c r="CK193">
        <v>19600</v>
      </c>
      <c r="CL193" t="s">
        <v>2001</v>
      </c>
      <c r="CN193">
        <v>1</v>
      </c>
      <c r="CO193">
        <v>29848</v>
      </c>
      <c r="CP193">
        <v>29848</v>
      </c>
      <c r="CQ193" t="s">
        <v>379</v>
      </c>
      <c r="CS193">
        <v>0</v>
      </c>
    </row>
    <row r="194" spans="1:97" x14ac:dyDescent="0.4">
      <c r="A194" s="10">
        <v>43122</v>
      </c>
      <c r="B194" t="s">
        <v>129</v>
      </c>
      <c r="C194" t="s">
        <v>1681</v>
      </c>
      <c r="D194" t="s">
        <v>359</v>
      </c>
      <c r="E194" t="s">
        <v>1883</v>
      </c>
      <c r="F194" t="str">
        <f t="shared" si="76"/>
        <v>20180120-0000016</v>
      </c>
      <c r="G194">
        <v>1033843</v>
      </c>
      <c r="H194">
        <v>2</v>
      </c>
      <c r="I194" t="s">
        <v>1682</v>
      </c>
      <c r="L194">
        <v>0</v>
      </c>
      <c r="M194">
        <v>1</v>
      </c>
      <c r="O194" t="s">
        <v>361</v>
      </c>
      <c r="P194" t="s">
        <v>1885</v>
      </c>
      <c r="S194" t="s">
        <v>2002</v>
      </c>
      <c r="T194" t="s">
        <v>364</v>
      </c>
      <c r="X194" t="s">
        <v>1684</v>
      </c>
      <c r="AA194">
        <v>26432</v>
      </c>
      <c r="AB194">
        <v>13.636363640000001</v>
      </c>
      <c r="AC194" t="s">
        <v>1685</v>
      </c>
      <c r="AD194">
        <v>22.87</v>
      </c>
      <c r="AE194">
        <v>23.5</v>
      </c>
      <c r="AF194" t="s">
        <v>1686</v>
      </c>
      <c r="AG194">
        <v>8380</v>
      </c>
      <c r="AK194">
        <v>337</v>
      </c>
      <c r="AL194" t="s">
        <v>1682</v>
      </c>
      <c r="AQ194">
        <v>10500</v>
      </c>
      <c r="AR194" t="s">
        <v>368</v>
      </c>
      <c r="AS194">
        <v>613617692606</v>
      </c>
      <c r="AT194" t="str">
        <f t="shared" si="77"/>
        <v>이*수</v>
      </c>
      <c r="AU194" t="str">
        <f t="shared" si="78"/>
        <v xml:space="preserve"> 2***2</v>
      </c>
      <c r="AV194" t="str">
        <f t="shared" si="79"/>
        <v>***-****-9592</v>
      </c>
      <c r="AW194" t="str">
        <f t="shared" si="80"/>
        <v xml:space="preserve"> 인* 서* 원**로 8*2 (***) 삼***자 5**호 햇*찬 글*벌</v>
      </c>
      <c r="AY194" t="str">
        <f t="shared" si="81"/>
        <v>***-****-9597</v>
      </c>
      <c r="AZ194">
        <v>26252</v>
      </c>
      <c r="BA194">
        <v>1033865</v>
      </c>
      <c r="BB194">
        <v>30000</v>
      </c>
      <c r="BC194" t="s">
        <v>1888</v>
      </c>
      <c r="BD194" t="s">
        <v>1205</v>
      </c>
      <c r="BE194" t="str">
        <f t="shared" si="82"/>
        <v>이*수</v>
      </c>
      <c r="BF194" t="str">
        <f t="shared" si="83"/>
        <v>***-****-9592</v>
      </c>
      <c r="BG194" t="str">
        <f t="shared" si="84"/>
        <v>***-****-9597</v>
      </c>
      <c r="BH194" t="s">
        <v>453</v>
      </c>
      <c r="BI194" t="s">
        <v>454</v>
      </c>
      <c r="BJ194" t="s">
        <v>2003</v>
      </c>
      <c r="BK194" t="s">
        <v>456</v>
      </c>
      <c r="BL194">
        <v>20913</v>
      </c>
      <c r="BM194" t="str">
        <f>"20913"</f>
        <v>20913</v>
      </c>
      <c r="BN194" t="str">
        <f t="shared" si="85"/>
        <v>20180120-0000016</v>
      </c>
      <c r="BQ194" t="s">
        <v>373</v>
      </c>
      <c r="BU194">
        <v>442</v>
      </c>
      <c r="BV194" t="s">
        <v>1688</v>
      </c>
      <c r="BW194" t="s">
        <v>1682</v>
      </c>
      <c r="BX194" t="s">
        <v>129</v>
      </c>
      <c r="BY194">
        <v>0</v>
      </c>
      <c r="BZ194">
        <v>8809560220079</v>
      </c>
      <c r="CA194" t="s">
        <v>1689</v>
      </c>
      <c r="CF194" t="s">
        <v>1684</v>
      </c>
      <c r="CG194" t="s">
        <v>444</v>
      </c>
      <c r="CH194" t="s">
        <v>377</v>
      </c>
      <c r="CI194" t="s">
        <v>1681</v>
      </c>
      <c r="CJ194">
        <v>10500</v>
      </c>
      <c r="CK194">
        <v>21000</v>
      </c>
      <c r="CL194" t="s">
        <v>1690</v>
      </c>
      <c r="CN194">
        <v>2</v>
      </c>
      <c r="CO194">
        <v>26432</v>
      </c>
      <c r="CP194">
        <v>52864</v>
      </c>
      <c r="CQ194" t="s">
        <v>379</v>
      </c>
      <c r="CS194">
        <v>0</v>
      </c>
    </row>
    <row r="195" spans="1:97" x14ac:dyDescent="0.4">
      <c r="A195" s="10">
        <v>43122</v>
      </c>
      <c r="B195" t="s">
        <v>129</v>
      </c>
      <c r="C195" t="s">
        <v>1691</v>
      </c>
      <c r="D195" t="s">
        <v>359</v>
      </c>
      <c r="E195" t="s">
        <v>1883</v>
      </c>
      <c r="F195" t="str">
        <f t="shared" si="76"/>
        <v>20180120-0000016</v>
      </c>
      <c r="G195">
        <v>1033843</v>
      </c>
      <c r="H195">
        <v>2</v>
      </c>
      <c r="I195" t="s">
        <v>1692</v>
      </c>
      <c r="L195">
        <v>0</v>
      </c>
      <c r="M195">
        <v>1</v>
      </c>
      <c r="O195" t="s">
        <v>361</v>
      </c>
      <c r="P195" t="s">
        <v>1885</v>
      </c>
      <c r="S195" t="s">
        <v>2004</v>
      </c>
      <c r="T195" t="s">
        <v>364</v>
      </c>
      <c r="X195" t="s">
        <v>1694</v>
      </c>
      <c r="AA195">
        <v>28431</v>
      </c>
      <c r="AB195">
        <v>22.727272729999999</v>
      </c>
      <c r="AC195" t="s">
        <v>1695</v>
      </c>
      <c r="AD195">
        <v>28.15</v>
      </c>
      <c r="AE195">
        <v>28.93</v>
      </c>
      <c r="AF195" t="s">
        <v>486</v>
      </c>
      <c r="AG195">
        <v>4370</v>
      </c>
      <c r="AK195">
        <v>174</v>
      </c>
      <c r="AL195" t="s">
        <v>1692</v>
      </c>
      <c r="AQ195">
        <v>17500</v>
      </c>
      <c r="AR195" t="s">
        <v>368</v>
      </c>
      <c r="AS195">
        <v>613617692606</v>
      </c>
      <c r="AT195" t="str">
        <f t="shared" si="77"/>
        <v>이*수</v>
      </c>
      <c r="AU195" t="str">
        <f t="shared" si="78"/>
        <v xml:space="preserve"> 2***2</v>
      </c>
      <c r="AV195" t="str">
        <f t="shared" si="79"/>
        <v>***-****-9592</v>
      </c>
      <c r="AW195" t="str">
        <f t="shared" si="80"/>
        <v xml:space="preserve"> 인* 서* 원**로 8*2 (***) 삼***자 5**호 햇*찬 글*벌</v>
      </c>
      <c r="AY195" t="str">
        <f t="shared" si="81"/>
        <v>***-****-9597</v>
      </c>
      <c r="AZ195">
        <v>26251</v>
      </c>
      <c r="BA195">
        <v>1033866</v>
      </c>
      <c r="BB195">
        <v>50000</v>
      </c>
      <c r="BC195" t="s">
        <v>1888</v>
      </c>
      <c r="BD195" t="s">
        <v>1205</v>
      </c>
      <c r="BE195" t="str">
        <f t="shared" si="82"/>
        <v>이*수</v>
      </c>
      <c r="BF195" t="str">
        <f t="shared" si="83"/>
        <v>***-****-9592</v>
      </c>
      <c r="BG195" t="str">
        <f t="shared" si="84"/>
        <v>***-****-9597</v>
      </c>
      <c r="BH195" t="s">
        <v>453</v>
      </c>
      <c r="BI195" t="s">
        <v>454</v>
      </c>
      <c r="BJ195" t="s">
        <v>2005</v>
      </c>
      <c r="BK195" t="s">
        <v>456</v>
      </c>
      <c r="BL195">
        <v>20912</v>
      </c>
      <c r="BM195" t="str">
        <f>"20912"</f>
        <v>20912</v>
      </c>
      <c r="BN195" t="str">
        <f t="shared" si="85"/>
        <v>20180120-0000016</v>
      </c>
      <c r="BQ195" t="s">
        <v>373</v>
      </c>
      <c r="BU195">
        <v>220</v>
      </c>
      <c r="BV195" t="s">
        <v>1697</v>
      </c>
      <c r="BW195" t="s">
        <v>1692</v>
      </c>
      <c r="BX195" t="s">
        <v>129</v>
      </c>
      <c r="BY195">
        <v>0</v>
      </c>
      <c r="BZ195">
        <v>8809560220093</v>
      </c>
      <c r="CA195" t="s">
        <v>1698</v>
      </c>
      <c r="CF195" t="s">
        <v>1694</v>
      </c>
      <c r="CG195" t="s">
        <v>534</v>
      </c>
      <c r="CH195" t="s">
        <v>377</v>
      </c>
      <c r="CI195" t="s">
        <v>1691</v>
      </c>
      <c r="CJ195">
        <v>17500</v>
      </c>
      <c r="CK195">
        <v>35000</v>
      </c>
      <c r="CL195" t="s">
        <v>1699</v>
      </c>
      <c r="CN195">
        <v>2</v>
      </c>
      <c r="CO195">
        <v>28431</v>
      </c>
      <c r="CP195">
        <v>56862</v>
      </c>
      <c r="CQ195" t="s">
        <v>379</v>
      </c>
      <c r="CS195">
        <v>0</v>
      </c>
    </row>
    <row r="196" spans="1:97" x14ac:dyDescent="0.4">
      <c r="A196" s="10">
        <v>43122</v>
      </c>
      <c r="B196" t="s">
        <v>200</v>
      </c>
      <c r="C196" t="s">
        <v>2006</v>
      </c>
      <c r="D196" t="s">
        <v>359</v>
      </c>
      <c r="E196" t="s">
        <v>1883</v>
      </c>
      <c r="F196" t="str">
        <f t="shared" si="76"/>
        <v>20180120-0000016</v>
      </c>
      <c r="G196">
        <v>1033843</v>
      </c>
      <c r="H196">
        <v>1</v>
      </c>
      <c r="I196" t="s">
        <v>2007</v>
      </c>
      <c r="L196">
        <v>0</v>
      </c>
      <c r="M196">
        <v>1</v>
      </c>
      <c r="O196" t="s">
        <v>361</v>
      </c>
      <c r="P196" t="s">
        <v>1885</v>
      </c>
      <c r="S196" t="s">
        <v>2008</v>
      </c>
      <c r="T196" t="s">
        <v>364</v>
      </c>
      <c r="X196" t="s">
        <v>2007</v>
      </c>
      <c r="AA196">
        <v>26838</v>
      </c>
      <c r="AB196">
        <v>22.66</v>
      </c>
      <c r="AC196" t="s">
        <v>2009</v>
      </c>
      <c r="AD196">
        <v>24.7</v>
      </c>
      <c r="AE196">
        <v>25.38</v>
      </c>
      <c r="AF196" t="s">
        <v>726</v>
      </c>
      <c r="AG196">
        <v>3770</v>
      </c>
      <c r="AK196">
        <v>151</v>
      </c>
      <c r="AL196" t="s">
        <v>2007</v>
      </c>
      <c r="AQ196">
        <v>15400</v>
      </c>
      <c r="AR196" t="s">
        <v>368</v>
      </c>
      <c r="AS196">
        <v>613617692606</v>
      </c>
      <c r="AT196" t="str">
        <f t="shared" si="77"/>
        <v>이*수</v>
      </c>
      <c r="AU196" t="str">
        <f t="shared" si="78"/>
        <v xml:space="preserve"> 2***2</v>
      </c>
      <c r="AV196" t="str">
        <f t="shared" si="79"/>
        <v>***-****-9592</v>
      </c>
      <c r="AW196" t="str">
        <f t="shared" si="80"/>
        <v xml:space="preserve"> 인* 서* 원**로 8*2 (***) 삼***자 5**호 햇*찬 글*벌</v>
      </c>
      <c r="AY196" t="str">
        <f t="shared" si="81"/>
        <v>***-****-9597</v>
      </c>
      <c r="AZ196">
        <v>23062</v>
      </c>
      <c r="BA196">
        <v>1033848</v>
      </c>
      <c r="BB196">
        <v>28000</v>
      </c>
      <c r="BC196" t="s">
        <v>1888</v>
      </c>
      <c r="BD196" t="s">
        <v>1205</v>
      </c>
      <c r="BE196" t="str">
        <f t="shared" si="82"/>
        <v>이*수</v>
      </c>
      <c r="BF196" t="str">
        <f t="shared" si="83"/>
        <v>***-****-9592</v>
      </c>
      <c r="BG196" t="str">
        <f t="shared" si="84"/>
        <v>***-****-9597</v>
      </c>
      <c r="BH196" t="s">
        <v>453</v>
      </c>
      <c r="BI196" t="s">
        <v>454</v>
      </c>
      <c r="BJ196" t="s">
        <v>2010</v>
      </c>
      <c r="BK196" t="s">
        <v>456</v>
      </c>
      <c r="BL196">
        <v>20070</v>
      </c>
      <c r="BM196" t="str">
        <f>"20070"</f>
        <v>20070</v>
      </c>
      <c r="BN196" t="str">
        <f t="shared" si="85"/>
        <v>20180120-0000016</v>
      </c>
      <c r="BQ196" t="s">
        <v>373</v>
      </c>
      <c r="BU196">
        <v>213</v>
      </c>
      <c r="BV196" t="s">
        <v>2011</v>
      </c>
      <c r="BW196" t="s">
        <v>2007</v>
      </c>
      <c r="BX196" t="s">
        <v>200</v>
      </c>
      <c r="BY196">
        <v>0</v>
      </c>
      <c r="BZ196">
        <v>8809530030677</v>
      </c>
      <c r="CA196" t="s">
        <v>2012</v>
      </c>
      <c r="CF196" t="s">
        <v>2007</v>
      </c>
      <c r="CG196" t="s">
        <v>534</v>
      </c>
      <c r="CH196" t="s">
        <v>377</v>
      </c>
      <c r="CI196" t="s">
        <v>2006</v>
      </c>
      <c r="CJ196">
        <v>15400</v>
      </c>
      <c r="CK196">
        <v>15400</v>
      </c>
      <c r="CL196" t="s">
        <v>1185</v>
      </c>
      <c r="CN196">
        <v>1</v>
      </c>
      <c r="CO196">
        <v>26838</v>
      </c>
      <c r="CP196">
        <v>26838</v>
      </c>
      <c r="CQ196" t="s">
        <v>379</v>
      </c>
      <c r="CS196">
        <v>0</v>
      </c>
    </row>
    <row r="197" spans="1:97" x14ac:dyDescent="0.4">
      <c r="A197" s="10">
        <v>43122</v>
      </c>
      <c r="B197" t="s">
        <v>200</v>
      </c>
      <c r="C197" t="s">
        <v>2013</v>
      </c>
      <c r="D197" t="s">
        <v>359</v>
      </c>
      <c r="E197" t="s">
        <v>1883</v>
      </c>
      <c r="F197" t="str">
        <f t="shared" si="76"/>
        <v>20180120-0000016</v>
      </c>
      <c r="G197">
        <v>1033843</v>
      </c>
      <c r="H197">
        <v>1</v>
      </c>
      <c r="I197" t="s">
        <v>2014</v>
      </c>
      <c r="L197">
        <v>0</v>
      </c>
      <c r="M197">
        <v>1</v>
      </c>
      <c r="O197" t="s">
        <v>361</v>
      </c>
      <c r="P197" t="s">
        <v>1885</v>
      </c>
      <c r="S197" t="s">
        <v>2015</v>
      </c>
      <c r="T197" t="s">
        <v>364</v>
      </c>
      <c r="X197" t="s">
        <v>2016</v>
      </c>
      <c r="AA197">
        <v>9608</v>
      </c>
      <c r="AB197">
        <v>7.74</v>
      </c>
      <c r="AC197" t="s">
        <v>2017</v>
      </c>
      <c r="AD197">
        <v>8.43</v>
      </c>
      <c r="AE197">
        <v>8.67</v>
      </c>
      <c r="AF197" t="s">
        <v>1930</v>
      </c>
      <c r="AG197">
        <v>1880</v>
      </c>
      <c r="AK197">
        <v>16</v>
      </c>
      <c r="AL197" t="s">
        <v>2014</v>
      </c>
      <c r="AN197" t="s">
        <v>2018</v>
      </c>
      <c r="AQ197">
        <v>4125</v>
      </c>
      <c r="AR197" t="s">
        <v>368</v>
      </c>
      <c r="AS197">
        <v>613617692606</v>
      </c>
      <c r="AT197" t="str">
        <f t="shared" si="77"/>
        <v>이*수</v>
      </c>
      <c r="AU197" t="str">
        <f t="shared" si="78"/>
        <v xml:space="preserve"> 2***2</v>
      </c>
      <c r="AV197" t="str">
        <f t="shared" si="79"/>
        <v>***-****-9592</v>
      </c>
      <c r="AW197" t="str">
        <f t="shared" si="80"/>
        <v xml:space="preserve"> 인* 서* 원**로 8*2 (***) 삼***자 5**호 햇*찬 글*벌</v>
      </c>
      <c r="AY197" t="str">
        <f t="shared" si="81"/>
        <v>***-****-9597</v>
      </c>
      <c r="AZ197">
        <v>29323</v>
      </c>
      <c r="BA197">
        <v>1033850</v>
      </c>
      <c r="BB197">
        <v>7500</v>
      </c>
      <c r="BC197" t="s">
        <v>1888</v>
      </c>
      <c r="BD197" t="s">
        <v>1205</v>
      </c>
      <c r="BE197" t="str">
        <f t="shared" si="82"/>
        <v>이*수</v>
      </c>
      <c r="BF197" t="str">
        <f t="shared" si="83"/>
        <v>***-****-9592</v>
      </c>
      <c r="BG197" t="str">
        <f t="shared" si="84"/>
        <v>***-****-9597</v>
      </c>
      <c r="BH197" t="s">
        <v>453</v>
      </c>
      <c r="BI197" t="s">
        <v>454</v>
      </c>
      <c r="BJ197" t="s">
        <v>2019</v>
      </c>
      <c r="BK197" t="s">
        <v>456</v>
      </c>
      <c r="BL197">
        <v>20705</v>
      </c>
      <c r="BM197" t="str">
        <f>"20705"</f>
        <v>20705</v>
      </c>
      <c r="BN197" t="str">
        <f t="shared" si="85"/>
        <v>20180120-0000016</v>
      </c>
      <c r="BQ197" t="s">
        <v>373</v>
      </c>
      <c r="BU197">
        <v>72</v>
      </c>
      <c r="BV197" t="s">
        <v>2020</v>
      </c>
      <c r="BW197" t="s">
        <v>2014</v>
      </c>
      <c r="BX197" t="s">
        <v>200</v>
      </c>
      <c r="BY197">
        <v>0</v>
      </c>
      <c r="BZ197">
        <v>8809530054628</v>
      </c>
      <c r="CA197" t="s">
        <v>2021</v>
      </c>
      <c r="CF197" t="s">
        <v>2016</v>
      </c>
      <c r="CG197" t="s">
        <v>389</v>
      </c>
      <c r="CH197" t="s">
        <v>377</v>
      </c>
      <c r="CI197" t="s">
        <v>2013</v>
      </c>
      <c r="CJ197">
        <v>4125</v>
      </c>
      <c r="CK197">
        <v>4125</v>
      </c>
      <c r="CL197" t="s">
        <v>2022</v>
      </c>
      <c r="CN197">
        <v>1</v>
      </c>
      <c r="CO197">
        <v>9608</v>
      </c>
      <c r="CP197">
        <v>9608</v>
      </c>
      <c r="CQ197" t="s">
        <v>379</v>
      </c>
      <c r="CS197">
        <v>0</v>
      </c>
    </row>
    <row r="198" spans="1:97" x14ac:dyDescent="0.4">
      <c r="A198" s="10">
        <v>43122</v>
      </c>
      <c r="B198" t="s">
        <v>200</v>
      </c>
      <c r="C198" t="s">
        <v>2023</v>
      </c>
      <c r="D198" t="s">
        <v>359</v>
      </c>
      <c r="E198" t="s">
        <v>1883</v>
      </c>
      <c r="F198" t="str">
        <f t="shared" si="76"/>
        <v>20180120-0000016</v>
      </c>
      <c r="G198">
        <v>1033843</v>
      </c>
      <c r="H198">
        <v>1</v>
      </c>
      <c r="I198" t="s">
        <v>2024</v>
      </c>
      <c r="L198">
        <v>0</v>
      </c>
      <c r="M198">
        <v>1</v>
      </c>
      <c r="O198" t="s">
        <v>361</v>
      </c>
      <c r="P198" t="s">
        <v>1885</v>
      </c>
      <c r="S198" t="s">
        <v>2025</v>
      </c>
      <c r="T198" t="s">
        <v>364</v>
      </c>
      <c r="X198" t="s">
        <v>2024</v>
      </c>
      <c r="AA198">
        <v>10752</v>
      </c>
      <c r="AB198">
        <v>8.24</v>
      </c>
      <c r="AC198" t="s">
        <v>2026</v>
      </c>
      <c r="AD198">
        <v>8.99</v>
      </c>
      <c r="AE198">
        <v>9.23</v>
      </c>
      <c r="AF198" t="s">
        <v>1621</v>
      </c>
      <c r="AG198">
        <v>1880</v>
      </c>
      <c r="AK198">
        <v>26</v>
      </c>
      <c r="AL198" t="s">
        <v>2024</v>
      </c>
      <c r="AN198" t="s">
        <v>2027</v>
      </c>
      <c r="AQ198">
        <v>4840</v>
      </c>
      <c r="AR198" t="s">
        <v>368</v>
      </c>
      <c r="AS198">
        <v>613617692606</v>
      </c>
      <c r="AT198" t="str">
        <f t="shared" si="77"/>
        <v>이*수</v>
      </c>
      <c r="AU198" t="str">
        <f t="shared" si="78"/>
        <v xml:space="preserve"> 2***2</v>
      </c>
      <c r="AV198" t="str">
        <f t="shared" si="79"/>
        <v>***-****-9592</v>
      </c>
      <c r="AW198" t="str">
        <f t="shared" si="80"/>
        <v xml:space="preserve"> 인* 서* 원**로 8*2 (***) 삼***자 5**호 햇*찬 글*벌</v>
      </c>
      <c r="AY198" t="str">
        <f t="shared" si="81"/>
        <v>***-****-9597</v>
      </c>
      <c r="AZ198">
        <v>28685</v>
      </c>
      <c r="BA198">
        <v>1033854</v>
      </c>
      <c r="BB198">
        <v>8800</v>
      </c>
      <c r="BC198" t="s">
        <v>1888</v>
      </c>
      <c r="BD198" t="s">
        <v>1205</v>
      </c>
      <c r="BE198" t="str">
        <f t="shared" si="82"/>
        <v>이*수</v>
      </c>
      <c r="BF198" t="str">
        <f t="shared" si="83"/>
        <v>***-****-9592</v>
      </c>
      <c r="BG198" t="str">
        <f t="shared" si="84"/>
        <v>***-****-9597</v>
      </c>
      <c r="BH198" t="s">
        <v>453</v>
      </c>
      <c r="BI198" t="s">
        <v>454</v>
      </c>
      <c r="BJ198" t="s">
        <v>2028</v>
      </c>
      <c r="BK198" t="s">
        <v>456</v>
      </c>
      <c r="BL198">
        <v>20188</v>
      </c>
      <c r="BM198" t="str">
        <f>"20188"</f>
        <v>20188</v>
      </c>
      <c r="BN198" t="str">
        <f t="shared" si="85"/>
        <v>20180120-0000016</v>
      </c>
      <c r="BQ198" t="s">
        <v>373</v>
      </c>
      <c r="BU198">
        <v>76</v>
      </c>
      <c r="BV198" t="s">
        <v>2029</v>
      </c>
      <c r="BW198" t="s">
        <v>2024</v>
      </c>
      <c r="BX198" t="s">
        <v>200</v>
      </c>
      <c r="BY198">
        <v>0</v>
      </c>
      <c r="BZ198">
        <v>8809530039342</v>
      </c>
      <c r="CA198" t="s">
        <v>2030</v>
      </c>
      <c r="CF198" t="s">
        <v>2024</v>
      </c>
      <c r="CG198" t="s">
        <v>406</v>
      </c>
      <c r="CH198" t="s">
        <v>377</v>
      </c>
      <c r="CI198" t="s">
        <v>2023</v>
      </c>
      <c r="CJ198">
        <v>4840</v>
      </c>
      <c r="CK198">
        <v>4840</v>
      </c>
      <c r="CL198" t="s">
        <v>2031</v>
      </c>
      <c r="CN198">
        <v>1</v>
      </c>
      <c r="CO198">
        <v>10752</v>
      </c>
      <c r="CP198">
        <v>10752</v>
      </c>
      <c r="CQ198" t="s">
        <v>379</v>
      </c>
      <c r="CS198">
        <v>0</v>
      </c>
    </row>
    <row r="199" spans="1:97" x14ac:dyDescent="0.4">
      <c r="A199" s="10">
        <v>43122</v>
      </c>
      <c r="B199" t="s">
        <v>200</v>
      </c>
      <c r="C199" t="s">
        <v>2032</v>
      </c>
      <c r="D199" t="s">
        <v>359</v>
      </c>
      <c r="E199" t="s">
        <v>1883</v>
      </c>
      <c r="F199" t="str">
        <f t="shared" si="76"/>
        <v>20180120-0000016</v>
      </c>
      <c r="G199">
        <v>1033843</v>
      </c>
      <c r="H199">
        <v>1</v>
      </c>
      <c r="I199" t="s">
        <v>2033</v>
      </c>
      <c r="L199">
        <v>0</v>
      </c>
      <c r="M199">
        <v>1</v>
      </c>
      <c r="O199" t="s">
        <v>361</v>
      </c>
      <c r="P199" t="s">
        <v>1885</v>
      </c>
      <c r="S199" t="s">
        <v>2034</v>
      </c>
      <c r="T199" t="s">
        <v>364</v>
      </c>
      <c r="X199" t="s">
        <v>2033</v>
      </c>
      <c r="AA199">
        <v>8448</v>
      </c>
      <c r="AB199">
        <v>5.9</v>
      </c>
      <c r="AC199" t="s">
        <v>2035</v>
      </c>
      <c r="AD199">
        <v>6.44</v>
      </c>
      <c r="AE199">
        <v>6.61</v>
      </c>
      <c r="AF199" t="s">
        <v>2036</v>
      </c>
      <c r="AG199">
        <v>1880</v>
      </c>
      <c r="AK199">
        <v>7</v>
      </c>
      <c r="AL199" t="s">
        <v>2033</v>
      </c>
      <c r="AN199" t="s">
        <v>1342</v>
      </c>
      <c r="AQ199">
        <v>2750</v>
      </c>
      <c r="AR199" t="s">
        <v>368</v>
      </c>
      <c r="AS199">
        <v>613617692606</v>
      </c>
      <c r="AT199" t="str">
        <f t="shared" si="77"/>
        <v>이*수</v>
      </c>
      <c r="AU199" t="str">
        <f t="shared" si="78"/>
        <v xml:space="preserve"> 2***2</v>
      </c>
      <c r="AV199" t="str">
        <f t="shared" si="79"/>
        <v>***-****-9592</v>
      </c>
      <c r="AW199" t="str">
        <f t="shared" si="80"/>
        <v xml:space="preserve"> 인* 서* 원**로 8*2 (***) 삼***자 5**호 햇*찬 글*벌</v>
      </c>
      <c r="AY199" t="str">
        <f t="shared" si="81"/>
        <v>***-****-9597</v>
      </c>
      <c r="AZ199">
        <v>29331</v>
      </c>
      <c r="BA199">
        <v>1033844</v>
      </c>
      <c r="BB199">
        <v>5000</v>
      </c>
      <c r="BC199" t="s">
        <v>1888</v>
      </c>
      <c r="BD199" t="s">
        <v>1205</v>
      </c>
      <c r="BE199" t="str">
        <f t="shared" si="82"/>
        <v>이*수</v>
      </c>
      <c r="BF199" t="str">
        <f t="shared" si="83"/>
        <v>***-****-9592</v>
      </c>
      <c r="BG199" t="str">
        <f t="shared" si="84"/>
        <v>***-****-9597</v>
      </c>
      <c r="BH199" t="s">
        <v>453</v>
      </c>
      <c r="BI199" t="s">
        <v>454</v>
      </c>
      <c r="BJ199" t="s">
        <v>2037</v>
      </c>
      <c r="BK199" t="s">
        <v>456</v>
      </c>
      <c r="BL199">
        <v>18309</v>
      </c>
      <c r="BM199" t="str">
        <f>"18309"</f>
        <v>18309</v>
      </c>
      <c r="BN199" t="str">
        <f t="shared" si="85"/>
        <v>20180120-0000016</v>
      </c>
      <c r="BQ199" t="s">
        <v>373</v>
      </c>
      <c r="BV199" t="s">
        <v>2038</v>
      </c>
      <c r="BW199" t="s">
        <v>2033</v>
      </c>
      <c r="BX199" t="s">
        <v>200</v>
      </c>
      <c r="BY199">
        <v>0</v>
      </c>
      <c r="BZ199">
        <v>8806185772594</v>
      </c>
      <c r="CA199" t="s">
        <v>2039</v>
      </c>
      <c r="CF199" t="s">
        <v>2033</v>
      </c>
      <c r="CG199" t="s">
        <v>1003</v>
      </c>
      <c r="CH199" t="s">
        <v>377</v>
      </c>
      <c r="CI199" t="s">
        <v>2032</v>
      </c>
      <c r="CJ199">
        <v>2750</v>
      </c>
      <c r="CK199">
        <v>2750</v>
      </c>
      <c r="CL199" t="s">
        <v>2040</v>
      </c>
      <c r="CN199">
        <v>1</v>
      </c>
      <c r="CO199">
        <v>8448</v>
      </c>
      <c r="CP199">
        <v>8448</v>
      </c>
      <c r="CQ199" t="s">
        <v>379</v>
      </c>
      <c r="CS199">
        <v>0</v>
      </c>
    </row>
    <row r="200" spans="1:97" x14ac:dyDescent="0.4">
      <c r="A200" s="10">
        <v>43122</v>
      </c>
      <c r="B200" t="s">
        <v>200</v>
      </c>
      <c r="C200" t="s">
        <v>2041</v>
      </c>
      <c r="D200" t="s">
        <v>359</v>
      </c>
      <c r="E200" t="s">
        <v>1883</v>
      </c>
      <c r="F200" t="str">
        <f t="shared" si="76"/>
        <v>20180120-0000016</v>
      </c>
      <c r="G200">
        <v>1033843</v>
      </c>
      <c r="H200">
        <v>1</v>
      </c>
      <c r="I200" t="s">
        <v>2042</v>
      </c>
      <c r="L200">
        <v>0</v>
      </c>
      <c r="M200">
        <v>1</v>
      </c>
      <c r="O200" t="s">
        <v>361</v>
      </c>
      <c r="P200" t="s">
        <v>1885</v>
      </c>
      <c r="S200" t="s">
        <v>2043</v>
      </c>
      <c r="T200" t="s">
        <v>364</v>
      </c>
      <c r="X200" t="s">
        <v>2042</v>
      </c>
      <c r="AA200">
        <v>30051</v>
      </c>
      <c r="AB200">
        <v>23.08</v>
      </c>
      <c r="AC200" t="s">
        <v>2044</v>
      </c>
      <c r="AD200">
        <v>25.16</v>
      </c>
      <c r="AE200">
        <v>25.85</v>
      </c>
      <c r="AF200" t="s">
        <v>1720</v>
      </c>
      <c r="AG200">
        <v>6500</v>
      </c>
      <c r="AH200">
        <v>346</v>
      </c>
      <c r="AI200">
        <v>6500</v>
      </c>
      <c r="AK200">
        <v>270</v>
      </c>
      <c r="AL200" t="s">
        <v>2042</v>
      </c>
      <c r="AQ200">
        <v>13640</v>
      </c>
      <c r="AR200" t="s">
        <v>368</v>
      </c>
      <c r="AS200">
        <v>613617692606</v>
      </c>
      <c r="AT200" t="str">
        <f t="shared" si="77"/>
        <v>이*수</v>
      </c>
      <c r="AU200" t="str">
        <f t="shared" si="78"/>
        <v xml:space="preserve"> 2***2</v>
      </c>
      <c r="AV200" t="str">
        <f t="shared" si="79"/>
        <v>***-****-9592</v>
      </c>
      <c r="AW200" t="str">
        <f t="shared" si="80"/>
        <v xml:space="preserve"> 인* 서* 원**로 8*2 (***) 삼***자 5**호 햇*찬 글*벌</v>
      </c>
      <c r="AY200" t="str">
        <f t="shared" si="81"/>
        <v>***-****-9597</v>
      </c>
      <c r="AZ200">
        <v>20030</v>
      </c>
      <c r="BA200">
        <v>1033843</v>
      </c>
      <c r="BB200">
        <v>24800</v>
      </c>
      <c r="BC200" t="s">
        <v>1888</v>
      </c>
      <c r="BD200" t="s">
        <v>1205</v>
      </c>
      <c r="BE200" t="str">
        <f t="shared" si="82"/>
        <v>이*수</v>
      </c>
      <c r="BF200" t="str">
        <f t="shared" si="83"/>
        <v>***-****-9592</v>
      </c>
      <c r="BG200" t="str">
        <f t="shared" si="84"/>
        <v>***-****-9597</v>
      </c>
      <c r="BH200" t="s">
        <v>453</v>
      </c>
      <c r="BI200" t="s">
        <v>454</v>
      </c>
      <c r="BJ200" t="s">
        <v>2045</v>
      </c>
      <c r="BK200" t="s">
        <v>456</v>
      </c>
      <c r="BL200">
        <v>18629</v>
      </c>
      <c r="BM200" t="str">
        <f>"18629"</f>
        <v>18629</v>
      </c>
      <c r="BN200" t="str">
        <f t="shared" si="85"/>
        <v>20180120-0000016</v>
      </c>
      <c r="BQ200" t="s">
        <v>373</v>
      </c>
      <c r="BV200" t="s">
        <v>2046</v>
      </c>
      <c r="BW200" t="s">
        <v>2042</v>
      </c>
      <c r="BX200" t="s">
        <v>200</v>
      </c>
      <c r="BY200">
        <v>0</v>
      </c>
      <c r="BZ200">
        <v>8806185787086</v>
      </c>
      <c r="CA200" t="s">
        <v>2047</v>
      </c>
      <c r="CF200" t="s">
        <v>2042</v>
      </c>
      <c r="CG200" t="s">
        <v>534</v>
      </c>
      <c r="CH200" t="s">
        <v>377</v>
      </c>
      <c r="CI200" t="s">
        <v>2041</v>
      </c>
      <c r="CJ200">
        <v>13640</v>
      </c>
      <c r="CK200">
        <v>13640</v>
      </c>
      <c r="CL200" t="s">
        <v>2048</v>
      </c>
      <c r="CN200">
        <v>1</v>
      </c>
      <c r="CO200">
        <v>30051</v>
      </c>
      <c r="CP200">
        <v>30051</v>
      </c>
      <c r="CQ200" t="s">
        <v>379</v>
      </c>
      <c r="CS200">
        <v>0</v>
      </c>
    </row>
    <row r="201" spans="1:97" x14ac:dyDescent="0.4">
      <c r="A201" s="10">
        <v>43122</v>
      </c>
      <c r="B201" t="s">
        <v>200</v>
      </c>
      <c r="C201" t="s">
        <v>2049</v>
      </c>
      <c r="D201" t="s">
        <v>359</v>
      </c>
      <c r="E201" t="s">
        <v>1883</v>
      </c>
      <c r="F201" t="str">
        <f t="shared" si="76"/>
        <v>20180120-0000016</v>
      </c>
      <c r="G201">
        <v>1033843</v>
      </c>
      <c r="H201">
        <v>1</v>
      </c>
      <c r="I201" t="s">
        <v>2050</v>
      </c>
      <c r="L201">
        <v>0</v>
      </c>
      <c r="M201">
        <v>1</v>
      </c>
      <c r="O201" t="s">
        <v>361</v>
      </c>
      <c r="P201" t="s">
        <v>1885</v>
      </c>
      <c r="S201" t="s">
        <v>2051</v>
      </c>
      <c r="T201" t="s">
        <v>364</v>
      </c>
      <c r="X201" t="s">
        <v>2050</v>
      </c>
      <c r="AA201">
        <v>8672</v>
      </c>
      <c r="AB201">
        <v>4.4400000000000004</v>
      </c>
      <c r="AC201" t="s">
        <v>2052</v>
      </c>
      <c r="AD201">
        <v>4.84</v>
      </c>
      <c r="AE201">
        <v>4.97</v>
      </c>
      <c r="AF201" t="s">
        <v>2053</v>
      </c>
      <c r="AG201">
        <v>3770</v>
      </c>
      <c r="AK201">
        <v>29</v>
      </c>
      <c r="AL201" t="s">
        <v>2050</v>
      </c>
      <c r="AN201" t="s">
        <v>2054</v>
      </c>
      <c r="AQ201">
        <v>1650</v>
      </c>
      <c r="AR201" t="s">
        <v>368</v>
      </c>
      <c r="AS201">
        <v>613617692606</v>
      </c>
      <c r="AT201" t="str">
        <f t="shared" si="77"/>
        <v>이*수</v>
      </c>
      <c r="AU201" t="str">
        <f t="shared" si="78"/>
        <v xml:space="preserve"> 2***2</v>
      </c>
      <c r="AV201" t="str">
        <f t="shared" si="79"/>
        <v>***-****-9592</v>
      </c>
      <c r="AW201" t="str">
        <f t="shared" si="80"/>
        <v xml:space="preserve"> 인* 서* 원**로 8*2 (***) 삼***자 5**호 햇*찬 글*벌</v>
      </c>
      <c r="AY201" t="str">
        <f t="shared" si="81"/>
        <v>***-****-9597</v>
      </c>
      <c r="AZ201">
        <v>28082</v>
      </c>
      <c r="BA201">
        <v>1033856</v>
      </c>
      <c r="BB201">
        <v>3000</v>
      </c>
      <c r="BC201" t="s">
        <v>1888</v>
      </c>
      <c r="BD201" t="s">
        <v>1205</v>
      </c>
      <c r="BE201" t="str">
        <f t="shared" si="82"/>
        <v>이*수</v>
      </c>
      <c r="BF201" t="str">
        <f t="shared" si="83"/>
        <v>***-****-9592</v>
      </c>
      <c r="BG201" t="str">
        <f t="shared" si="84"/>
        <v>***-****-9597</v>
      </c>
      <c r="BH201" t="s">
        <v>453</v>
      </c>
      <c r="BI201" t="s">
        <v>454</v>
      </c>
      <c r="BJ201" t="s">
        <v>2055</v>
      </c>
      <c r="BK201" t="s">
        <v>456</v>
      </c>
      <c r="BL201">
        <v>20318</v>
      </c>
      <c r="BM201" t="str">
        <f>"20318"</f>
        <v>20318</v>
      </c>
      <c r="BN201" t="str">
        <f t="shared" si="85"/>
        <v>20180120-0000016</v>
      </c>
      <c r="BQ201" t="s">
        <v>373</v>
      </c>
      <c r="BU201">
        <v>71</v>
      </c>
      <c r="BV201" t="s">
        <v>2056</v>
      </c>
      <c r="BW201" t="s">
        <v>2050</v>
      </c>
      <c r="BX201" t="s">
        <v>200</v>
      </c>
      <c r="BY201">
        <v>0</v>
      </c>
      <c r="BZ201">
        <v>8809530030561</v>
      </c>
      <c r="CA201" t="s">
        <v>2057</v>
      </c>
      <c r="CF201" t="s">
        <v>2050</v>
      </c>
      <c r="CG201" t="s">
        <v>2058</v>
      </c>
      <c r="CH201" t="s">
        <v>377</v>
      </c>
      <c r="CI201" t="s">
        <v>2049</v>
      </c>
      <c r="CJ201">
        <v>1650</v>
      </c>
      <c r="CK201">
        <v>1650</v>
      </c>
      <c r="CL201" t="s">
        <v>2059</v>
      </c>
      <c r="CN201">
        <v>1</v>
      </c>
      <c r="CO201">
        <v>8672</v>
      </c>
      <c r="CP201">
        <v>8672</v>
      </c>
      <c r="CQ201" t="s">
        <v>379</v>
      </c>
      <c r="CS201">
        <v>0</v>
      </c>
    </row>
    <row r="202" spans="1:97" x14ac:dyDescent="0.4">
      <c r="A202" s="10">
        <v>43122</v>
      </c>
      <c r="B202" t="s">
        <v>200</v>
      </c>
      <c r="C202" t="s">
        <v>2060</v>
      </c>
      <c r="D202" t="s">
        <v>359</v>
      </c>
      <c r="E202" t="s">
        <v>1883</v>
      </c>
      <c r="F202" t="str">
        <f t="shared" si="76"/>
        <v>20180120-0000016</v>
      </c>
      <c r="G202">
        <v>1033843</v>
      </c>
      <c r="H202">
        <v>1</v>
      </c>
      <c r="I202" t="s">
        <v>2061</v>
      </c>
      <c r="L202">
        <v>0</v>
      </c>
      <c r="M202">
        <v>1</v>
      </c>
      <c r="O202" t="s">
        <v>361</v>
      </c>
      <c r="P202" t="s">
        <v>1885</v>
      </c>
      <c r="S202" t="s">
        <v>2062</v>
      </c>
      <c r="T202" t="s">
        <v>364</v>
      </c>
      <c r="X202" t="s">
        <v>2061</v>
      </c>
      <c r="AA202">
        <v>17472</v>
      </c>
      <c r="AB202">
        <v>11.77</v>
      </c>
      <c r="AC202" t="s">
        <v>2063</v>
      </c>
      <c r="AD202">
        <v>12.83</v>
      </c>
      <c r="AE202">
        <v>13.18</v>
      </c>
      <c r="AF202" t="s">
        <v>805</v>
      </c>
      <c r="AG202">
        <v>1880</v>
      </c>
      <c r="AK202">
        <v>40</v>
      </c>
      <c r="AL202" t="s">
        <v>2061</v>
      </c>
      <c r="AN202">
        <v>23</v>
      </c>
      <c r="AQ202">
        <v>7150</v>
      </c>
      <c r="AR202" t="s">
        <v>368</v>
      </c>
      <c r="AS202">
        <v>613617692606</v>
      </c>
      <c r="AT202" t="str">
        <f t="shared" si="77"/>
        <v>이*수</v>
      </c>
      <c r="AU202" t="str">
        <f t="shared" si="78"/>
        <v xml:space="preserve"> 2***2</v>
      </c>
      <c r="AV202" t="str">
        <f t="shared" si="79"/>
        <v>***-****-9592</v>
      </c>
      <c r="AW202" t="str">
        <f t="shared" si="80"/>
        <v xml:space="preserve"> 인* 서* 원**로 8*2 (***) 삼***자 5**호 햇*찬 글*벌</v>
      </c>
      <c r="AY202" t="str">
        <f t="shared" si="81"/>
        <v>***-****-9597</v>
      </c>
      <c r="AZ202">
        <v>29327</v>
      </c>
      <c r="BA202">
        <v>1033862</v>
      </c>
      <c r="BB202">
        <v>13000</v>
      </c>
      <c r="BC202" t="s">
        <v>1888</v>
      </c>
      <c r="BD202" t="s">
        <v>1205</v>
      </c>
      <c r="BE202" t="str">
        <f t="shared" si="82"/>
        <v>이*수</v>
      </c>
      <c r="BF202" t="str">
        <f t="shared" si="83"/>
        <v>***-****-9592</v>
      </c>
      <c r="BG202" t="str">
        <f t="shared" si="84"/>
        <v>***-****-9597</v>
      </c>
      <c r="BH202" t="s">
        <v>453</v>
      </c>
      <c r="BI202" t="s">
        <v>454</v>
      </c>
      <c r="BJ202" t="s">
        <v>2064</v>
      </c>
      <c r="BK202" t="s">
        <v>456</v>
      </c>
      <c r="BL202">
        <v>19081</v>
      </c>
      <c r="BM202" t="str">
        <f>"19081"</f>
        <v>19081</v>
      </c>
      <c r="BN202" t="str">
        <f t="shared" si="85"/>
        <v>20180120-0000016</v>
      </c>
      <c r="BQ202" t="s">
        <v>373</v>
      </c>
      <c r="BV202" t="s">
        <v>2065</v>
      </c>
      <c r="BW202" t="s">
        <v>2061</v>
      </c>
      <c r="BX202" t="s">
        <v>200</v>
      </c>
      <c r="BY202">
        <v>0</v>
      </c>
      <c r="BZ202">
        <v>8806185791687</v>
      </c>
      <c r="CA202" t="s">
        <v>2066</v>
      </c>
      <c r="CF202" t="s">
        <v>2061</v>
      </c>
      <c r="CG202" t="s">
        <v>376</v>
      </c>
      <c r="CH202" t="s">
        <v>377</v>
      </c>
      <c r="CI202" t="s">
        <v>2060</v>
      </c>
      <c r="CJ202">
        <v>7150</v>
      </c>
      <c r="CK202">
        <v>7150</v>
      </c>
      <c r="CL202" t="s">
        <v>1834</v>
      </c>
      <c r="CN202">
        <v>1</v>
      </c>
      <c r="CO202">
        <v>17472</v>
      </c>
      <c r="CP202">
        <v>17472</v>
      </c>
      <c r="CQ202" t="s">
        <v>379</v>
      </c>
      <c r="CS202">
        <v>0</v>
      </c>
    </row>
    <row r="203" spans="1:97" x14ac:dyDescent="0.4">
      <c r="A203" s="10">
        <v>43122</v>
      </c>
      <c r="B203" t="s">
        <v>191</v>
      </c>
      <c r="C203" t="s">
        <v>2067</v>
      </c>
      <c r="D203" t="s">
        <v>359</v>
      </c>
      <c r="E203" t="s">
        <v>1883</v>
      </c>
      <c r="F203" t="str">
        <f t="shared" si="76"/>
        <v>20180120-0000016</v>
      </c>
      <c r="G203">
        <v>1033843</v>
      </c>
      <c r="H203">
        <v>1</v>
      </c>
      <c r="I203" t="s">
        <v>2068</v>
      </c>
      <c r="L203">
        <v>0</v>
      </c>
      <c r="M203">
        <v>1</v>
      </c>
      <c r="O203" t="s">
        <v>361</v>
      </c>
      <c r="P203" t="s">
        <v>1885</v>
      </c>
      <c r="S203" t="s">
        <v>2069</v>
      </c>
      <c r="T203" t="s">
        <v>364</v>
      </c>
      <c r="X203" t="s">
        <v>2068</v>
      </c>
      <c r="AA203">
        <v>14371</v>
      </c>
      <c r="AB203">
        <v>14.47</v>
      </c>
      <c r="AC203" t="s">
        <v>2070</v>
      </c>
      <c r="AD203">
        <v>15.77</v>
      </c>
      <c r="AE203">
        <v>16.2</v>
      </c>
      <c r="AF203" t="s">
        <v>2071</v>
      </c>
      <c r="AG203">
        <v>3770</v>
      </c>
      <c r="AK203">
        <v>52</v>
      </c>
      <c r="AL203" t="s">
        <v>2068</v>
      </c>
      <c r="AN203" t="s">
        <v>2072</v>
      </c>
      <c r="AQ203">
        <v>8450</v>
      </c>
      <c r="AR203" t="s">
        <v>368</v>
      </c>
      <c r="AS203">
        <v>613617692606</v>
      </c>
      <c r="AT203" t="str">
        <f t="shared" si="77"/>
        <v>이*수</v>
      </c>
      <c r="AU203" t="str">
        <f t="shared" si="78"/>
        <v xml:space="preserve"> 2***2</v>
      </c>
      <c r="AV203" t="str">
        <f t="shared" si="79"/>
        <v>***-****-9592</v>
      </c>
      <c r="AW203" t="str">
        <f t="shared" si="80"/>
        <v xml:space="preserve"> 인* 서* 원**로 8*2 (***) 삼***자 5**호 햇*찬 글*벌</v>
      </c>
      <c r="AY203" t="str">
        <f t="shared" si="81"/>
        <v>***-****-9597</v>
      </c>
      <c r="AZ203">
        <v>29333</v>
      </c>
      <c r="BA203">
        <v>1033861</v>
      </c>
      <c r="BB203">
        <v>13000</v>
      </c>
      <c r="BC203" t="s">
        <v>1888</v>
      </c>
      <c r="BD203" t="s">
        <v>1205</v>
      </c>
      <c r="BE203" t="str">
        <f t="shared" si="82"/>
        <v>이*수</v>
      </c>
      <c r="BF203" t="str">
        <f t="shared" si="83"/>
        <v>***-****-9592</v>
      </c>
      <c r="BG203" t="str">
        <f t="shared" si="84"/>
        <v>***-****-9597</v>
      </c>
      <c r="BH203" t="s">
        <v>453</v>
      </c>
      <c r="BI203" t="s">
        <v>454</v>
      </c>
      <c r="BJ203" t="s">
        <v>2073</v>
      </c>
      <c r="BK203" t="s">
        <v>456</v>
      </c>
      <c r="BL203">
        <v>17224</v>
      </c>
      <c r="BM203" t="str">
        <f>"17224"</f>
        <v>17224</v>
      </c>
      <c r="BN203" t="str">
        <f t="shared" si="85"/>
        <v>20180120-0000016</v>
      </c>
      <c r="BQ203" t="s">
        <v>373</v>
      </c>
      <c r="BV203" t="s">
        <v>2074</v>
      </c>
      <c r="BW203" t="s">
        <v>2068</v>
      </c>
      <c r="BX203" t="s">
        <v>191</v>
      </c>
      <c r="BY203">
        <v>0</v>
      </c>
      <c r="BZ203">
        <v>8806182526930</v>
      </c>
      <c r="CA203" t="s">
        <v>2075</v>
      </c>
      <c r="CF203" t="s">
        <v>2068</v>
      </c>
      <c r="CG203" t="s">
        <v>2076</v>
      </c>
      <c r="CH203" t="s">
        <v>377</v>
      </c>
      <c r="CI203" t="s">
        <v>2067</v>
      </c>
      <c r="CJ203">
        <v>8450</v>
      </c>
      <c r="CK203">
        <v>8450</v>
      </c>
      <c r="CL203" t="s">
        <v>2077</v>
      </c>
      <c r="CN203">
        <v>1</v>
      </c>
      <c r="CO203">
        <v>14371</v>
      </c>
      <c r="CP203">
        <v>14371</v>
      </c>
      <c r="CQ203" t="s">
        <v>379</v>
      </c>
      <c r="CS203">
        <v>0</v>
      </c>
    </row>
    <row r="204" spans="1:97" x14ac:dyDescent="0.4">
      <c r="A204" s="10">
        <v>43122</v>
      </c>
      <c r="B204" t="s">
        <v>146</v>
      </c>
      <c r="C204" t="s">
        <v>1750</v>
      </c>
      <c r="D204" t="s">
        <v>359</v>
      </c>
      <c r="E204" t="s">
        <v>1883</v>
      </c>
      <c r="F204" t="str">
        <f t="shared" si="76"/>
        <v>20180120-0000016</v>
      </c>
      <c r="G204">
        <v>1033843</v>
      </c>
      <c r="H204">
        <v>1</v>
      </c>
      <c r="I204" t="s">
        <v>1751</v>
      </c>
      <c r="L204">
        <v>0</v>
      </c>
      <c r="M204">
        <v>1</v>
      </c>
      <c r="O204" t="s">
        <v>361</v>
      </c>
      <c r="P204" t="s">
        <v>1885</v>
      </c>
      <c r="S204" t="s">
        <v>2078</v>
      </c>
      <c r="T204" t="s">
        <v>364</v>
      </c>
      <c r="X204" t="s">
        <v>1751</v>
      </c>
      <c r="AA204">
        <v>8608</v>
      </c>
      <c r="AB204">
        <v>5.9</v>
      </c>
      <c r="AC204" t="s">
        <v>1753</v>
      </c>
      <c r="AD204">
        <v>6.44</v>
      </c>
      <c r="AE204">
        <v>6.61</v>
      </c>
      <c r="AF204" t="s">
        <v>1754</v>
      </c>
      <c r="AG204">
        <v>1880</v>
      </c>
      <c r="AH204">
        <v>34</v>
      </c>
      <c r="AI204">
        <v>1880</v>
      </c>
      <c r="AK204">
        <v>14</v>
      </c>
      <c r="AL204" t="s">
        <v>1751</v>
      </c>
      <c r="AN204" t="s">
        <v>1755</v>
      </c>
      <c r="AQ204">
        <v>2750</v>
      </c>
      <c r="AR204" t="s">
        <v>368</v>
      </c>
      <c r="AS204">
        <v>613617692606</v>
      </c>
      <c r="AT204" t="str">
        <f t="shared" si="77"/>
        <v>이*수</v>
      </c>
      <c r="AU204" t="str">
        <f t="shared" si="78"/>
        <v xml:space="preserve"> 2***2</v>
      </c>
      <c r="AV204" t="str">
        <f t="shared" si="79"/>
        <v>***-****-9592</v>
      </c>
      <c r="AW204" t="str">
        <f t="shared" si="80"/>
        <v xml:space="preserve"> 인* 서* 원**로 8*2 (***) 삼***자 5**호 햇*찬 글*벌</v>
      </c>
      <c r="AY204" t="str">
        <f t="shared" si="81"/>
        <v>***-****-9597</v>
      </c>
      <c r="AZ204">
        <v>28533</v>
      </c>
      <c r="BA204">
        <v>1033870</v>
      </c>
      <c r="BB204">
        <v>5000</v>
      </c>
      <c r="BC204" t="s">
        <v>1888</v>
      </c>
      <c r="BD204" t="s">
        <v>1205</v>
      </c>
      <c r="BE204" t="str">
        <f t="shared" si="82"/>
        <v>이*수</v>
      </c>
      <c r="BF204" t="str">
        <f t="shared" si="83"/>
        <v>***-****-9592</v>
      </c>
      <c r="BG204" t="str">
        <f t="shared" si="84"/>
        <v>***-****-9597</v>
      </c>
      <c r="BH204" t="s">
        <v>453</v>
      </c>
      <c r="BI204" t="s">
        <v>454</v>
      </c>
      <c r="BJ204" t="s">
        <v>2079</v>
      </c>
      <c r="BK204" t="s">
        <v>456</v>
      </c>
      <c r="BL204">
        <v>15546</v>
      </c>
      <c r="BM204" t="str">
        <f>"15546"</f>
        <v>15546</v>
      </c>
      <c r="BN204" t="str">
        <f t="shared" si="85"/>
        <v>20180120-0000016</v>
      </c>
      <c r="BQ204" t="s">
        <v>373</v>
      </c>
      <c r="BV204" t="s">
        <v>1751</v>
      </c>
      <c r="BW204" t="s">
        <v>1751</v>
      </c>
      <c r="BX204" t="s">
        <v>146</v>
      </c>
      <c r="BY204">
        <v>0</v>
      </c>
      <c r="BZ204">
        <v>8806164107980</v>
      </c>
      <c r="CA204" t="s">
        <v>1757</v>
      </c>
      <c r="CF204" t="s">
        <v>1751</v>
      </c>
      <c r="CG204" t="s">
        <v>406</v>
      </c>
      <c r="CH204" t="s">
        <v>377</v>
      </c>
      <c r="CI204" t="s">
        <v>1750</v>
      </c>
      <c r="CJ204">
        <v>2750</v>
      </c>
      <c r="CK204">
        <v>2750</v>
      </c>
      <c r="CL204" t="s">
        <v>1758</v>
      </c>
      <c r="CN204">
        <v>1</v>
      </c>
      <c r="CO204">
        <v>8608</v>
      </c>
      <c r="CP204">
        <v>8608</v>
      </c>
      <c r="CQ204" t="s">
        <v>379</v>
      </c>
      <c r="CS204">
        <v>66</v>
      </c>
    </row>
    <row r="205" spans="1:97" x14ac:dyDescent="0.4">
      <c r="A205" s="10">
        <v>43122</v>
      </c>
      <c r="B205" t="s">
        <v>123</v>
      </c>
      <c r="C205" t="s">
        <v>2080</v>
      </c>
      <c r="D205" t="s">
        <v>359</v>
      </c>
      <c r="E205" t="s">
        <v>2081</v>
      </c>
      <c r="F205" t="str">
        <f t="shared" ref="F205:F217" si="86">"20180122-0000019"</f>
        <v>20180122-0000019</v>
      </c>
      <c r="G205">
        <v>1033829</v>
      </c>
      <c r="H205">
        <v>1</v>
      </c>
      <c r="I205" t="s">
        <v>2082</v>
      </c>
      <c r="L205">
        <v>0</v>
      </c>
      <c r="M205">
        <v>1</v>
      </c>
      <c r="O205" t="s">
        <v>361</v>
      </c>
      <c r="P205" t="s">
        <v>2083</v>
      </c>
      <c r="S205" t="s">
        <v>2084</v>
      </c>
      <c r="T205" t="s">
        <v>364</v>
      </c>
      <c r="X205" t="s">
        <v>2082</v>
      </c>
      <c r="Y205" t="s">
        <v>2085</v>
      </c>
      <c r="AA205">
        <v>8433</v>
      </c>
      <c r="AB205">
        <v>5.53</v>
      </c>
      <c r="AC205" t="s">
        <v>2086</v>
      </c>
      <c r="AD205">
        <v>6.03</v>
      </c>
      <c r="AE205">
        <v>6.19</v>
      </c>
      <c r="AF205" t="s">
        <v>1098</v>
      </c>
      <c r="AG205">
        <v>1880</v>
      </c>
      <c r="AL205" t="s">
        <v>2082</v>
      </c>
      <c r="AQ205">
        <v>2805</v>
      </c>
      <c r="AR205" t="s">
        <v>368</v>
      </c>
      <c r="AS205">
        <v>613617692584</v>
      </c>
      <c r="AT205" t="str">
        <f t="shared" ref="AT205:AT217" si="87">"조*원"</f>
        <v>조*원</v>
      </c>
      <c r="AU205" t="str">
        <f t="shared" ref="AU205:AU217" si="88">" 0***4"</f>
        <v xml:space="preserve"> 0***4</v>
      </c>
      <c r="AV205" t="str">
        <f t="shared" ref="AV205:AV217" si="89">"***-****-0110"</f>
        <v>***-****-0110</v>
      </c>
      <c r="AW205" t="str">
        <f t="shared" ref="AW205:AW217" si="90">" 서* 강*구 양******길 5* (**) 우***빌 4* 카**4 8*"</f>
        <v xml:space="preserve"> 서* 강*구 양******길 5* (**) 우***빌 4* 카**4 8*</v>
      </c>
      <c r="AY205" t="str">
        <f t="shared" ref="AY205:AY217" si="91">"***-****-0110"</f>
        <v>***-****-0110</v>
      </c>
      <c r="AZ205">
        <v>21183</v>
      </c>
      <c r="BA205">
        <v>1033838</v>
      </c>
      <c r="BB205">
        <v>5500</v>
      </c>
      <c r="BC205" t="s">
        <v>2087</v>
      </c>
      <c r="BD205" t="s">
        <v>1205</v>
      </c>
      <c r="BE205" t="str">
        <f t="shared" ref="BE205:BE217" si="92">"조*원"</f>
        <v>조*원</v>
      </c>
      <c r="BF205" t="str">
        <f t="shared" ref="BF205:BG217" si="93">"***-****-0110"</f>
        <v>***-****-0110</v>
      </c>
      <c r="BG205" t="str">
        <f t="shared" si="93"/>
        <v>***-****-0110</v>
      </c>
      <c r="BH205" t="s">
        <v>453</v>
      </c>
      <c r="BI205" t="s">
        <v>454</v>
      </c>
      <c r="BJ205" t="s">
        <v>2088</v>
      </c>
      <c r="BK205" t="s">
        <v>456</v>
      </c>
      <c r="BL205">
        <v>18446</v>
      </c>
      <c r="BM205" t="str">
        <f>"18446"</f>
        <v>18446</v>
      </c>
      <c r="BN205" t="str">
        <f t="shared" ref="BN205:BN217" si="94">"20180122-0000019"</f>
        <v>20180122-0000019</v>
      </c>
      <c r="BQ205" t="s">
        <v>373</v>
      </c>
      <c r="BU205">
        <v>53</v>
      </c>
      <c r="BV205" t="s">
        <v>2089</v>
      </c>
      <c r="BW205" t="s">
        <v>2082</v>
      </c>
      <c r="BX205" t="s">
        <v>123</v>
      </c>
      <c r="BY205">
        <v>0</v>
      </c>
      <c r="BZ205">
        <v>8809454022833</v>
      </c>
      <c r="CA205" t="s">
        <v>2090</v>
      </c>
      <c r="CF205" t="s">
        <v>2082</v>
      </c>
      <c r="CG205" t="s">
        <v>433</v>
      </c>
      <c r="CH205" t="s">
        <v>377</v>
      </c>
      <c r="CI205" t="s">
        <v>2080</v>
      </c>
      <c r="CJ205">
        <v>2805</v>
      </c>
      <c r="CK205">
        <v>2805</v>
      </c>
      <c r="CL205" t="s">
        <v>2091</v>
      </c>
      <c r="CN205">
        <v>1</v>
      </c>
      <c r="CO205">
        <v>8433</v>
      </c>
      <c r="CP205">
        <v>8433</v>
      </c>
      <c r="CQ205" t="s">
        <v>379</v>
      </c>
      <c r="CS205">
        <v>0</v>
      </c>
    </row>
    <row r="206" spans="1:97" x14ac:dyDescent="0.4">
      <c r="A206" s="10">
        <v>43122</v>
      </c>
      <c r="B206" t="s">
        <v>215</v>
      </c>
      <c r="C206" t="s">
        <v>2092</v>
      </c>
      <c r="D206" t="s">
        <v>359</v>
      </c>
      <c r="E206" t="s">
        <v>2081</v>
      </c>
      <c r="F206" t="str">
        <f t="shared" si="86"/>
        <v>20180122-0000019</v>
      </c>
      <c r="G206">
        <v>1033829</v>
      </c>
      <c r="H206">
        <v>52</v>
      </c>
      <c r="I206" t="s">
        <v>2093</v>
      </c>
      <c r="L206">
        <v>0</v>
      </c>
      <c r="M206">
        <v>1</v>
      </c>
      <c r="O206" t="s">
        <v>361</v>
      </c>
      <c r="P206" t="s">
        <v>2083</v>
      </c>
      <c r="S206" t="s">
        <v>2094</v>
      </c>
      <c r="T206" t="s">
        <v>364</v>
      </c>
      <c r="X206" t="s">
        <v>2093</v>
      </c>
      <c r="Y206" t="s">
        <v>2085</v>
      </c>
      <c r="AA206">
        <v>8046</v>
      </c>
      <c r="AB206">
        <v>3.06</v>
      </c>
      <c r="AC206" t="s">
        <v>2095</v>
      </c>
      <c r="AD206">
        <v>3.34</v>
      </c>
      <c r="AE206">
        <v>3.43</v>
      </c>
      <c r="AF206" t="s">
        <v>2096</v>
      </c>
      <c r="AG206">
        <v>1880</v>
      </c>
      <c r="AH206">
        <v>107</v>
      </c>
      <c r="AI206">
        <v>3770</v>
      </c>
      <c r="AK206">
        <v>10</v>
      </c>
      <c r="AL206" t="s">
        <v>2093</v>
      </c>
      <c r="AQ206">
        <v>620</v>
      </c>
      <c r="AR206" t="s">
        <v>368</v>
      </c>
      <c r="AS206">
        <v>613617692584</v>
      </c>
      <c r="AT206" t="str">
        <f t="shared" si="87"/>
        <v>조*원</v>
      </c>
      <c r="AU206" t="str">
        <f t="shared" si="88"/>
        <v xml:space="preserve"> 0***4</v>
      </c>
      <c r="AV206" t="str">
        <f t="shared" si="89"/>
        <v>***-****-0110</v>
      </c>
      <c r="AW206" t="str">
        <f t="shared" si="90"/>
        <v xml:space="preserve"> 서* 강*구 양******길 5* (**) 우***빌 4* 카**4 8*</v>
      </c>
      <c r="AY206" t="str">
        <f t="shared" si="91"/>
        <v>***-****-0110</v>
      </c>
      <c r="AZ206">
        <v>4930</v>
      </c>
      <c r="BA206">
        <v>1033842</v>
      </c>
      <c r="BB206">
        <v>52000</v>
      </c>
      <c r="BC206" t="s">
        <v>2087</v>
      </c>
      <c r="BD206" t="s">
        <v>1205</v>
      </c>
      <c r="BE206" t="str">
        <f t="shared" si="92"/>
        <v>조*원</v>
      </c>
      <c r="BF206" t="str">
        <f t="shared" si="93"/>
        <v>***-****-0110</v>
      </c>
      <c r="BG206" t="str">
        <f t="shared" si="93"/>
        <v>***-****-0110</v>
      </c>
      <c r="BH206" t="s">
        <v>453</v>
      </c>
      <c r="BI206" t="s">
        <v>454</v>
      </c>
      <c r="BJ206" t="s">
        <v>2097</v>
      </c>
      <c r="BK206" t="s">
        <v>456</v>
      </c>
      <c r="BL206">
        <v>11559</v>
      </c>
      <c r="BM206" t="str">
        <f>"11559"</f>
        <v>11559</v>
      </c>
      <c r="BN206" t="str">
        <f t="shared" si="94"/>
        <v>20180122-0000019</v>
      </c>
      <c r="BQ206" t="s">
        <v>373</v>
      </c>
      <c r="BV206" t="s">
        <v>2098</v>
      </c>
      <c r="BW206" t="s">
        <v>2093</v>
      </c>
      <c r="BX206" t="s">
        <v>215</v>
      </c>
      <c r="BY206">
        <v>0</v>
      </c>
      <c r="BZ206">
        <v>8806382609556</v>
      </c>
      <c r="CA206" t="s">
        <v>2099</v>
      </c>
      <c r="CF206" t="s">
        <v>2093</v>
      </c>
      <c r="CG206" t="s">
        <v>433</v>
      </c>
      <c r="CH206" t="s">
        <v>377</v>
      </c>
      <c r="CI206" t="s">
        <v>2092</v>
      </c>
      <c r="CJ206">
        <v>620</v>
      </c>
      <c r="CK206">
        <v>32240</v>
      </c>
      <c r="CL206" t="s">
        <v>593</v>
      </c>
      <c r="CN206">
        <v>52</v>
      </c>
      <c r="CO206">
        <v>8046</v>
      </c>
      <c r="CP206">
        <v>418392</v>
      </c>
      <c r="CQ206" t="s">
        <v>379</v>
      </c>
      <c r="CS206">
        <v>51</v>
      </c>
    </row>
    <row r="207" spans="1:97" x14ac:dyDescent="0.4">
      <c r="A207" s="10">
        <v>43122</v>
      </c>
      <c r="B207" t="s">
        <v>215</v>
      </c>
      <c r="C207" t="s">
        <v>2100</v>
      </c>
      <c r="D207" t="s">
        <v>359</v>
      </c>
      <c r="E207" t="s">
        <v>2081</v>
      </c>
      <c r="F207" t="str">
        <f t="shared" si="86"/>
        <v>20180122-0000019</v>
      </c>
      <c r="G207">
        <v>1033829</v>
      </c>
      <c r="H207">
        <v>8</v>
      </c>
      <c r="I207" t="s">
        <v>2101</v>
      </c>
      <c r="L207">
        <v>0</v>
      </c>
      <c r="M207">
        <v>1</v>
      </c>
      <c r="O207" t="s">
        <v>361</v>
      </c>
      <c r="P207" t="s">
        <v>2083</v>
      </c>
      <c r="S207" t="s">
        <v>2102</v>
      </c>
      <c r="T207" t="s">
        <v>364</v>
      </c>
      <c r="X207" t="s">
        <v>2101</v>
      </c>
      <c r="Y207" t="s">
        <v>2085</v>
      </c>
      <c r="AA207">
        <v>10512</v>
      </c>
      <c r="AB207">
        <v>5.54</v>
      </c>
      <c r="AC207" t="s">
        <v>2103</v>
      </c>
      <c r="AD207">
        <v>6.04</v>
      </c>
      <c r="AE207">
        <v>6.21</v>
      </c>
      <c r="AF207" t="s">
        <v>2104</v>
      </c>
      <c r="AG207">
        <v>1880</v>
      </c>
      <c r="AK207">
        <v>25</v>
      </c>
      <c r="AL207" t="s">
        <v>2101</v>
      </c>
      <c r="AN207" t="s">
        <v>2105</v>
      </c>
      <c r="AQ207">
        <v>2480</v>
      </c>
      <c r="AR207" t="s">
        <v>368</v>
      </c>
      <c r="AS207">
        <v>613617692584</v>
      </c>
      <c r="AT207" t="str">
        <f t="shared" si="87"/>
        <v>조*원</v>
      </c>
      <c r="AU207" t="str">
        <f t="shared" si="88"/>
        <v xml:space="preserve"> 0***4</v>
      </c>
      <c r="AV207" t="str">
        <f t="shared" si="89"/>
        <v>***-****-0110</v>
      </c>
      <c r="AW207" t="str">
        <f t="shared" si="90"/>
        <v xml:space="preserve"> 서* 강*구 양******길 5* (**) 우***빌 4* 카**4 8*</v>
      </c>
      <c r="AY207" t="str">
        <f t="shared" si="91"/>
        <v>***-****-0110</v>
      </c>
      <c r="AZ207">
        <v>29338</v>
      </c>
      <c r="BA207">
        <v>1033836</v>
      </c>
      <c r="BB207">
        <v>32000</v>
      </c>
      <c r="BC207" t="s">
        <v>2087</v>
      </c>
      <c r="BD207" t="s">
        <v>1205</v>
      </c>
      <c r="BE207" t="str">
        <f t="shared" si="92"/>
        <v>조*원</v>
      </c>
      <c r="BF207" t="str">
        <f t="shared" si="93"/>
        <v>***-****-0110</v>
      </c>
      <c r="BG207" t="str">
        <f t="shared" si="93"/>
        <v>***-****-0110</v>
      </c>
      <c r="BH207" t="s">
        <v>453</v>
      </c>
      <c r="BI207" t="s">
        <v>454</v>
      </c>
      <c r="BJ207" t="s">
        <v>2106</v>
      </c>
      <c r="BK207" t="s">
        <v>456</v>
      </c>
      <c r="BL207">
        <v>13443</v>
      </c>
      <c r="BM207" t="str">
        <f>"13443"</f>
        <v>13443</v>
      </c>
      <c r="BN207" t="str">
        <f t="shared" si="94"/>
        <v>20180122-0000019</v>
      </c>
      <c r="BQ207" t="s">
        <v>373</v>
      </c>
      <c r="BV207" t="s">
        <v>2101</v>
      </c>
      <c r="BW207" t="s">
        <v>2101</v>
      </c>
      <c r="BX207" t="s">
        <v>215</v>
      </c>
      <c r="BZ207">
        <v>8806165931614</v>
      </c>
      <c r="CA207" t="s">
        <v>2107</v>
      </c>
      <c r="CF207" t="s">
        <v>2101</v>
      </c>
      <c r="CG207" t="s">
        <v>831</v>
      </c>
      <c r="CH207" t="s">
        <v>377</v>
      </c>
      <c r="CI207" t="s">
        <v>2100</v>
      </c>
      <c r="CJ207">
        <v>2480</v>
      </c>
      <c r="CK207">
        <v>19840</v>
      </c>
      <c r="CL207" t="s">
        <v>2108</v>
      </c>
      <c r="CN207">
        <v>8</v>
      </c>
      <c r="CO207">
        <v>10512</v>
      </c>
      <c r="CP207">
        <v>84096</v>
      </c>
      <c r="CQ207" t="s">
        <v>379</v>
      </c>
      <c r="CS207">
        <v>11</v>
      </c>
    </row>
    <row r="208" spans="1:97" x14ac:dyDescent="0.4">
      <c r="A208" s="10">
        <v>43122</v>
      </c>
      <c r="B208" t="s">
        <v>226</v>
      </c>
      <c r="C208" t="s">
        <v>2109</v>
      </c>
      <c r="D208" t="s">
        <v>359</v>
      </c>
      <c r="E208" t="s">
        <v>2081</v>
      </c>
      <c r="F208" t="str">
        <f t="shared" si="86"/>
        <v>20180122-0000019</v>
      </c>
      <c r="G208">
        <v>1033829</v>
      </c>
      <c r="H208">
        <v>1</v>
      </c>
      <c r="I208" t="s">
        <v>2110</v>
      </c>
      <c r="L208">
        <v>0</v>
      </c>
      <c r="M208">
        <v>1</v>
      </c>
      <c r="O208" t="s">
        <v>361</v>
      </c>
      <c r="P208" t="s">
        <v>2083</v>
      </c>
      <c r="S208" t="s">
        <v>2111</v>
      </c>
      <c r="T208" t="s">
        <v>364</v>
      </c>
      <c r="X208" t="s">
        <v>2110</v>
      </c>
      <c r="Y208" t="s">
        <v>2085</v>
      </c>
      <c r="AA208">
        <v>6309</v>
      </c>
      <c r="AB208">
        <v>4.93</v>
      </c>
      <c r="AC208" t="s">
        <v>2112</v>
      </c>
      <c r="AD208">
        <v>5.38</v>
      </c>
      <c r="AE208">
        <v>5.53</v>
      </c>
      <c r="AF208" t="s">
        <v>2113</v>
      </c>
      <c r="AG208">
        <v>3770</v>
      </c>
      <c r="AK208">
        <v>46</v>
      </c>
      <c r="AL208" t="s">
        <v>2110</v>
      </c>
      <c r="AQ208">
        <v>1300</v>
      </c>
      <c r="AR208" t="s">
        <v>368</v>
      </c>
      <c r="AS208">
        <v>613617692584</v>
      </c>
      <c r="AT208" t="str">
        <f t="shared" si="87"/>
        <v>조*원</v>
      </c>
      <c r="AU208" t="str">
        <f t="shared" si="88"/>
        <v xml:space="preserve"> 0***4</v>
      </c>
      <c r="AV208" t="str">
        <f t="shared" si="89"/>
        <v>***-****-0110</v>
      </c>
      <c r="AW208" t="str">
        <f t="shared" si="90"/>
        <v xml:space="preserve"> 서* 강*구 양******길 5* (**) 우***빌 4* 카**4 8*</v>
      </c>
      <c r="AY208" t="str">
        <f t="shared" si="91"/>
        <v>***-****-0110</v>
      </c>
      <c r="AZ208">
        <v>11365</v>
      </c>
      <c r="BA208">
        <v>1033840</v>
      </c>
      <c r="BB208">
        <v>2500</v>
      </c>
      <c r="BC208" t="s">
        <v>2087</v>
      </c>
      <c r="BD208" t="s">
        <v>1205</v>
      </c>
      <c r="BE208" t="str">
        <f t="shared" si="92"/>
        <v>조*원</v>
      </c>
      <c r="BF208" t="str">
        <f t="shared" si="93"/>
        <v>***-****-0110</v>
      </c>
      <c r="BG208" t="str">
        <f t="shared" si="93"/>
        <v>***-****-0110</v>
      </c>
      <c r="BH208" t="s">
        <v>453</v>
      </c>
      <c r="BI208" t="s">
        <v>454</v>
      </c>
      <c r="BJ208" t="s">
        <v>2114</v>
      </c>
      <c r="BK208" t="s">
        <v>456</v>
      </c>
      <c r="BL208">
        <v>15213</v>
      </c>
      <c r="BM208" t="str">
        <f>"15213"</f>
        <v>15213</v>
      </c>
      <c r="BN208" t="str">
        <f t="shared" si="94"/>
        <v>20180122-0000019</v>
      </c>
      <c r="BQ208" t="s">
        <v>373</v>
      </c>
      <c r="BV208" t="s">
        <v>2115</v>
      </c>
      <c r="BW208" t="s">
        <v>2110</v>
      </c>
      <c r="BX208" t="s">
        <v>226</v>
      </c>
      <c r="BY208">
        <v>0</v>
      </c>
      <c r="BZ208">
        <v>8809427862725</v>
      </c>
      <c r="CA208" t="s">
        <v>2116</v>
      </c>
      <c r="CF208" t="s">
        <v>2110</v>
      </c>
      <c r="CG208" t="s">
        <v>433</v>
      </c>
      <c r="CH208" t="s">
        <v>377</v>
      </c>
      <c r="CI208" t="s">
        <v>2109</v>
      </c>
      <c r="CJ208">
        <v>1300</v>
      </c>
      <c r="CK208">
        <v>1300</v>
      </c>
      <c r="CL208" t="s">
        <v>2117</v>
      </c>
      <c r="CN208">
        <v>1</v>
      </c>
      <c r="CO208">
        <v>6309</v>
      </c>
      <c r="CP208">
        <v>6309</v>
      </c>
      <c r="CQ208" t="s">
        <v>379</v>
      </c>
      <c r="CS208">
        <v>0</v>
      </c>
    </row>
    <row r="209" spans="1:97" x14ac:dyDescent="0.4">
      <c r="A209" s="10">
        <v>43122</v>
      </c>
      <c r="B209" t="s">
        <v>191</v>
      </c>
      <c r="C209" t="s">
        <v>2118</v>
      </c>
      <c r="D209" t="s">
        <v>359</v>
      </c>
      <c r="E209" t="s">
        <v>2081</v>
      </c>
      <c r="F209" t="str">
        <f t="shared" si="86"/>
        <v>20180122-0000019</v>
      </c>
      <c r="G209">
        <v>1033829</v>
      </c>
      <c r="H209">
        <v>2</v>
      </c>
      <c r="I209" t="s">
        <v>2119</v>
      </c>
      <c r="L209">
        <v>0</v>
      </c>
      <c r="M209">
        <v>1</v>
      </c>
      <c r="O209" t="s">
        <v>361</v>
      </c>
      <c r="P209" t="s">
        <v>2083</v>
      </c>
      <c r="S209" t="s">
        <v>2120</v>
      </c>
      <c r="T209" t="s">
        <v>364</v>
      </c>
      <c r="X209" t="s">
        <v>2119</v>
      </c>
      <c r="Y209" t="s">
        <v>2085</v>
      </c>
      <c r="AA209">
        <v>6309</v>
      </c>
      <c r="AB209">
        <v>4.3899999999999997</v>
      </c>
      <c r="AC209" t="s">
        <v>2121</v>
      </c>
      <c r="AD209">
        <v>4.79</v>
      </c>
      <c r="AE209">
        <v>4.92</v>
      </c>
      <c r="AF209" t="s">
        <v>2122</v>
      </c>
      <c r="AG209">
        <v>1880</v>
      </c>
      <c r="AK209">
        <v>34</v>
      </c>
      <c r="AL209" t="s">
        <v>2119</v>
      </c>
      <c r="AN209" t="s">
        <v>2123</v>
      </c>
      <c r="AQ209">
        <v>1950</v>
      </c>
      <c r="AR209" t="s">
        <v>368</v>
      </c>
      <c r="AS209">
        <v>613617692584</v>
      </c>
      <c r="AT209" t="str">
        <f t="shared" si="87"/>
        <v>조*원</v>
      </c>
      <c r="AU209" t="str">
        <f t="shared" si="88"/>
        <v xml:space="preserve"> 0***4</v>
      </c>
      <c r="AV209" t="str">
        <f t="shared" si="89"/>
        <v>***-****-0110</v>
      </c>
      <c r="AW209" t="str">
        <f t="shared" si="90"/>
        <v xml:space="preserve"> 서* 강*구 양******길 5* (**) 우***빌 4* 카**4 8*</v>
      </c>
      <c r="AY209" t="str">
        <f t="shared" si="91"/>
        <v>***-****-0110</v>
      </c>
      <c r="AZ209">
        <v>29249</v>
      </c>
      <c r="BA209">
        <v>1033829</v>
      </c>
      <c r="BB209">
        <v>6000</v>
      </c>
      <c r="BC209" t="s">
        <v>2087</v>
      </c>
      <c r="BD209" t="s">
        <v>1205</v>
      </c>
      <c r="BE209" t="str">
        <f t="shared" si="92"/>
        <v>조*원</v>
      </c>
      <c r="BF209" t="str">
        <f t="shared" si="93"/>
        <v>***-****-0110</v>
      </c>
      <c r="BG209" t="str">
        <f t="shared" si="93"/>
        <v>***-****-0110</v>
      </c>
      <c r="BH209" t="s">
        <v>453</v>
      </c>
      <c r="BI209" t="s">
        <v>454</v>
      </c>
      <c r="BJ209" t="s">
        <v>2124</v>
      </c>
      <c r="BK209" t="s">
        <v>456</v>
      </c>
      <c r="BL209">
        <v>20326</v>
      </c>
      <c r="BM209" t="str">
        <f>"20326"</f>
        <v>20326</v>
      </c>
      <c r="BN209" t="str">
        <f t="shared" si="94"/>
        <v>20180122-0000019</v>
      </c>
      <c r="BQ209" t="s">
        <v>373</v>
      </c>
      <c r="BV209" t="s">
        <v>2125</v>
      </c>
      <c r="BW209" t="s">
        <v>2119</v>
      </c>
      <c r="BX209" t="s">
        <v>191</v>
      </c>
      <c r="BY209">
        <v>0</v>
      </c>
      <c r="BZ209">
        <v>8806182548741</v>
      </c>
      <c r="CA209" t="s">
        <v>2126</v>
      </c>
      <c r="CF209" t="s">
        <v>2119</v>
      </c>
      <c r="CG209" t="s">
        <v>433</v>
      </c>
      <c r="CH209" t="s">
        <v>377</v>
      </c>
      <c r="CI209" t="s">
        <v>2118</v>
      </c>
      <c r="CJ209">
        <v>1950</v>
      </c>
      <c r="CK209">
        <v>3900</v>
      </c>
      <c r="CL209" t="s">
        <v>2127</v>
      </c>
      <c r="CN209">
        <v>2</v>
      </c>
      <c r="CO209">
        <v>6309</v>
      </c>
      <c r="CP209">
        <v>12618</v>
      </c>
      <c r="CQ209" t="s">
        <v>379</v>
      </c>
      <c r="CS209">
        <v>0</v>
      </c>
    </row>
    <row r="210" spans="1:97" x14ac:dyDescent="0.4">
      <c r="A210" s="10">
        <v>43122</v>
      </c>
      <c r="B210" t="s">
        <v>191</v>
      </c>
      <c r="C210" t="s">
        <v>2128</v>
      </c>
      <c r="D210" t="s">
        <v>359</v>
      </c>
      <c r="E210" t="s">
        <v>2081</v>
      </c>
      <c r="F210" t="str">
        <f t="shared" si="86"/>
        <v>20180122-0000019</v>
      </c>
      <c r="G210">
        <v>1033829</v>
      </c>
      <c r="H210">
        <v>2</v>
      </c>
      <c r="I210" t="s">
        <v>2129</v>
      </c>
      <c r="L210">
        <v>0</v>
      </c>
      <c r="M210">
        <v>1</v>
      </c>
      <c r="O210" t="s">
        <v>361</v>
      </c>
      <c r="P210" t="s">
        <v>2083</v>
      </c>
      <c r="S210" t="s">
        <v>2130</v>
      </c>
      <c r="T210" t="s">
        <v>364</v>
      </c>
      <c r="X210" t="s">
        <v>2129</v>
      </c>
      <c r="Y210" t="s">
        <v>2085</v>
      </c>
      <c r="AA210">
        <v>6309</v>
      </c>
      <c r="AB210">
        <v>4.3899999999999997</v>
      </c>
      <c r="AC210" t="s">
        <v>2131</v>
      </c>
      <c r="AD210">
        <v>4.79</v>
      </c>
      <c r="AE210">
        <v>4.92</v>
      </c>
      <c r="AF210" t="s">
        <v>2122</v>
      </c>
      <c r="AG210">
        <v>1880</v>
      </c>
      <c r="AK210">
        <v>34</v>
      </c>
      <c r="AL210" t="s">
        <v>2129</v>
      </c>
      <c r="AN210" t="s">
        <v>2132</v>
      </c>
      <c r="AQ210">
        <v>1950</v>
      </c>
      <c r="AR210" t="s">
        <v>368</v>
      </c>
      <c r="AS210">
        <v>613617692584</v>
      </c>
      <c r="AT210" t="str">
        <f t="shared" si="87"/>
        <v>조*원</v>
      </c>
      <c r="AU210" t="str">
        <f t="shared" si="88"/>
        <v xml:space="preserve"> 0***4</v>
      </c>
      <c r="AV210" t="str">
        <f t="shared" si="89"/>
        <v>***-****-0110</v>
      </c>
      <c r="AW210" t="str">
        <f t="shared" si="90"/>
        <v xml:space="preserve"> 서* 강*구 양******길 5* (**) 우***빌 4* 카**4 8*</v>
      </c>
      <c r="AY210" t="str">
        <f t="shared" si="91"/>
        <v>***-****-0110</v>
      </c>
      <c r="AZ210">
        <v>29250</v>
      </c>
      <c r="BA210">
        <v>1033830</v>
      </c>
      <c r="BB210">
        <v>6000</v>
      </c>
      <c r="BC210" t="s">
        <v>2087</v>
      </c>
      <c r="BD210" t="s">
        <v>1205</v>
      </c>
      <c r="BE210" t="str">
        <f t="shared" si="92"/>
        <v>조*원</v>
      </c>
      <c r="BF210" t="str">
        <f t="shared" si="93"/>
        <v>***-****-0110</v>
      </c>
      <c r="BG210" t="str">
        <f t="shared" si="93"/>
        <v>***-****-0110</v>
      </c>
      <c r="BH210" t="s">
        <v>453</v>
      </c>
      <c r="BI210" t="s">
        <v>454</v>
      </c>
      <c r="BJ210" t="s">
        <v>2133</v>
      </c>
      <c r="BK210" t="s">
        <v>456</v>
      </c>
      <c r="BL210">
        <v>20326</v>
      </c>
      <c r="BM210" t="str">
        <f>"20326"</f>
        <v>20326</v>
      </c>
      <c r="BN210" t="str">
        <f t="shared" si="94"/>
        <v>20180122-0000019</v>
      </c>
      <c r="BQ210" t="s">
        <v>373</v>
      </c>
      <c r="BV210" t="s">
        <v>2134</v>
      </c>
      <c r="BW210" t="s">
        <v>2129</v>
      </c>
      <c r="BX210" t="s">
        <v>191</v>
      </c>
      <c r="BY210">
        <v>0</v>
      </c>
      <c r="BZ210">
        <v>8806182548734</v>
      </c>
      <c r="CA210" t="s">
        <v>2135</v>
      </c>
      <c r="CF210" t="s">
        <v>2129</v>
      </c>
      <c r="CG210" t="s">
        <v>433</v>
      </c>
      <c r="CH210" t="s">
        <v>377</v>
      </c>
      <c r="CI210" t="s">
        <v>2128</v>
      </c>
      <c r="CJ210">
        <v>1950</v>
      </c>
      <c r="CK210">
        <v>3900</v>
      </c>
      <c r="CL210" t="s">
        <v>2136</v>
      </c>
      <c r="CN210">
        <v>2</v>
      </c>
      <c r="CO210">
        <v>6309</v>
      </c>
      <c r="CP210">
        <v>12618</v>
      </c>
      <c r="CQ210" t="s">
        <v>379</v>
      </c>
      <c r="CS210">
        <v>0</v>
      </c>
    </row>
    <row r="211" spans="1:97" x14ac:dyDescent="0.4">
      <c r="A211" s="10">
        <v>43122</v>
      </c>
      <c r="B211" t="s">
        <v>146</v>
      </c>
      <c r="C211" t="s">
        <v>358</v>
      </c>
      <c r="D211" t="s">
        <v>359</v>
      </c>
      <c r="E211" t="s">
        <v>2081</v>
      </c>
      <c r="F211" t="str">
        <f t="shared" si="86"/>
        <v>20180122-0000019</v>
      </c>
      <c r="G211">
        <v>1033829</v>
      </c>
      <c r="H211">
        <v>1</v>
      </c>
      <c r="I211" t="s">
        <v>360</v>
      </c>
      <c r="L211">
        <v>0</v>
      </c>
      <c r="M211">
        <v>1</v>
      </c>
      <c r="O211" t="s">
        <v>361</v>
      </c>
      <c r="P211" t="s">
        <v>2083</v>
      </c>
      <c r="S211" t="s">
        <v>2137</v>
      </c>
      <c r="T211" t="s">
        <v>364</v>
      </c>
      <c r="X211" t="s">
        <v>360</v>
      </c>
      <c r="Y211" t="s">
        <v>2085</v>
      </c>
      <c r="AA211">
        <v>15778</v>
      </c>
      <c r="AB211">
        <v>15.16</v>
      </c>
      <c r="AC211" t="s">
        <v>365</v>
      </c>
      <c r="AD211">
        <v>16.53</v>
      </c>
      <c r="AE211">
        <v>16.98</v>
      </c>
      <c r="AF211" t="s">
        <v>366</v>
      </c>
      <c r="AG211">
        <v>3770</v>
      </c>
      <c r="AK211">
        <v>146</v>
      </c>
      <c r="AL211" t="s">
        <v>360</v>
      </c>
      <c r="AN211" t="s">
        <v>367</v>
      </c>
      <c r="AQ211">
        <v>8250</v>
      </c>
      <c r="AR211" t="s">
        <v>368</v>
      </c>
      <c r="AS211">
        <v>613617692584</v>
      </c>
      <c r="AT211" t="str">
        <f t="shared" si="87"/>
        <v>조*원</v>
      </c>
      <c r="AU211" t="str">
        <f t="shared" si="88"/>
        <v xml:space="preserve"> 0***4</v>
      </c>
      <c r="AV211" t="str">
        <f t="shared" si="89"/>
        <v>***-****-0110</v>
      </c>
      <c r="AW211" t="str">
        <f t="shared" si="90"/>
        <v xml:space="preserve"> 서* 강*구 양******길 5* (**) 우***빌 4* 카**4 8*</v>
      </c>
      <c r="AY211" t="str">
        <f t="shared" si="91"/>
        <v>***-****-0110</v>
      </c>
      <c r="AZ211">
        <v>29329</v>
      </c>
      <c r="BA211">
        <v>1033837</v>
      </c>
      <c r="BB211">
        <v>15000</v>
      </c>
      <c r="BC211" t="s">
        <v>2087</v>
      </c>
      <c r="BD211" t="s">
        <v>1205</v>
      </c>
      <c r="BE211" t="str">
        <f t="shared" si="92"/>
        <v>조*원</v>
      </c>
      <c r="BF211" t="str">
        <f t="shared" si="93"/>
        <v>***-****-0110</v>
      </c>
      <c r="BG211" t="str">
        <f t="shared" si="93"/>
        <v>***-****-0110</v>
      </c>
      <c r="BH211" t="s">
        <v>453</v>
      </c>
      <c r="BI211" t="s">
        <v>454</v>
      </c>
      <c r="BJ211" t="s">
        <v>2138</v>
      </c>
      <c r="BK211" t="s">
        <v>456</v>
      </c>
      <c r="BL211">
        <v>18888</v>
      </c>
      <c r="BM211" t="str">
        <f>"18888"</f>
        <v>18888</v>
      </c>
      <c r="BN211" t="str">
        <f t="shared" si="94"/>
        <v>20180122-0000019</v>
      </c>
      <c r="BQ211" t="s">
        <v>373</v>
      </c>
      <c r="BV211" t="s">
        <v>374</v>
      </c>
      <c r="BW211" t="s">
        <v>360</v>
      </c>
      <c r="BX211" t="s">
        <v>146</v>
      </c>
      <c r="BY211">
        <v>0</v>
      </c>
      <c r="BZ211">
        <v>8806164140741</v>
      </c>
      <c r="CA211" t="s">
        <v>375</v>
      </c>
      <c r="CF211" t="s">
        <v>360</v>
      </c>
      <c r="CG211" t="s">
        <v>376</v>
      </c>
      <c r="CH211" t="s">
        <v>377</v>
      </c>
      <c r="CI211" t="s">
        <v>358</v>
      </c>
      <c r="CJ211">
        <v>8250</v>
      </c>
      <c r="CK211">
        <v>8250</v>
      </c>
      <c r="CL211" t="s">
        <v>378</v>
      </c>
      <c r="CN211">
        <v>1</v>
      </c>
      <c r="CO211">
        <v>15778</v>
      </c>
      <c r="CP211">
        <v>15778</v>
      </c>
      <c r="CQ211" t="s">
        <v>379</v>
      </c>
      <c r="CS211">
        <v>0</v>
      </c>
    </row>
    <row r="212" spans="1:97" x14ac:dyDescent="0.4">
      <c r="A212" s="10">
        <v>43122</v>
      </c>
      <c r="B212" t="s">
        <v>146</v>
      </c>
      <c r="C212" t="s">
        <v>2139</v>
      </c>
      <c r="D212" t="s">
        <v>359</v>
      </c>
      <c r="E212" t="s">
        <v>2081</v>
      </c>
      <c r="F212" t="str">
        <f t="shared" si="86"/>
        <v>20180122-0000019</v>
      </c>
      <c r="G212">
        <v>1033829</v>
      </c>
      <c r="H212">
        <v>2</v>
      </c>
      <c r="I212" t="s">
        <v>2140</v>
      </c>
      <c r="L212">
        <v>0</v>
      </c>
      <c r="M212">
        <v>1</v>
      </c>
      <c r="O212" t="s">
        <v>361</v>
      </c>
      <c r="P212" t="s">
        <v>2083</v>
      </c>
      <c r="S212" t="s">
        <v>2141</v>
      </c>
      <c r="T212" t="s">
        <v>364</v>
      </c>
      <c r="X212" t="s">
        <v>2140</v>
      </c>
      <c r="Y212" t="s">
        <v>2085</v>
      </c>
      <c r="AA212">
        <v>4644</v>
      </c>
      <c r="AB212">
        <v>2.97</v>
      </c>
      <c r="AC212" t="s">
        <v>2142</v>
      </c>
      <c r="AD212">
        <v>3.24</v>
      </c>
      <c r="AE212">
        <v>3.33</v>
      </c>
      <c r="AF212" t="s">
        <v>2143</v>
      </c>
      <c r="AG212">
        <v>1880</v>
      </c>
      <c r="AK212">
        <v>28</v>
      </c>
      <c r="AL212" t="s">
        <v>2140</v>
      </c>
      <c r="AN212" t="s">
        <v>2144</v>
      </c>
      <c r="AQ212">
        <v>550</v>
      </c>
      <c r="AR212" t="s">
        <v>368</v>
      </c>
      <c r="AS212">
        <v>613617692584</v>
      </c>
      <c r="AT212" t="str">
        <f t="shared" si="87"/>
        <v>조*원</v>
      </c>
      <c r="AU212" t="str">
        <f t="shared" si="88"/>
        <v xml:space="preserve"> 0***4</v>
      </c>
      <c r="AV212" t="str">
        <f t="shared" si="89"/>
        <v>***-****-0110</v>
      </c>
      <c r="AW212" t="str">
        <f t="shared" si="90"/>
        <v xml:space="preserve"> 서* 강*구 양******길 5* (**) 우***빌 4* 카**4 8*</v>
      </c>
      <c r="AY212" t="str">
        <f t="shared" si="91"/>
        <v>***-****-0110</v>
      </c>
      <c r="AZ212">
        <v>27147</v>
      </c>
      <c r="BA212">
        <v>1033832</v>
      </c>
      <c r="BB212">
        <v>2000</v>
      </c>
      <c r="BC212" t="s">
        <v>2087</v>
      </c>
      <c r="BD212" t="s">
        <v>1205</v>
      </c>
      <c r="BE212" t="str">
        <f t="shared" si="92"/>
        <v>조*원</v>
      </c>
      <c r="BF212" t="str">
        <f t="shared" si="93"/>
        <v>***-****-0110</v>
      </c>
      <c r="BG212" t="str">
        <f t="shared" si="93"/>
        <v>***-****-0110</v>
      </c>
      <c r="BH212" t="s">
        <v>453</v>
      </c>
      <c r="BI212" t="s">
        <v>454</v>
      </c>
      <c r="BJ212" t="s">
        <v>2145</v>
      </c>
      <c r="BK212" t="s">
        <v>456</v>
      </c>
      <c r="BL212">
        <v>16709</v>
      </c>
      <c r="BM212" t="str">
        <f>"16709"</f>
        <v>16709</v>
      </c>
      <c r="BN212" t="str">
        <f t="shared" si="94"/>
        <v>20180122-0000019</v>
      </c>
      <c r="BQ212" t="s">
        <v>373</v>
      </c>
      <c r="BV212" t="s">
        <v>2140</v>
      </c>
      <c r="BW212" t="s">
        <v>2140</v>
      </c>
      <c r="BX212" t="s">
        <v>146</v>
      </c>
      <c r="BY212">
        <v>0</v>
      </c>
      <c r="BZ212">
        <v>8806164115565</v>
      </c>
      <c r="CA212" t="s">
        <v>2146</v>
      </c>
      <c r="CF212" t="s">
        <v>2140</v>
      </c>
      <c r="CG212" t="s">
        <v>433</v>
      </c>
      <c r="CH212" t="s">
        <v>377</v>
      </c>
      <c r="CI212" t="s">
        <v>2139</v>
      </c>
      <c r="CJ212">
        <v>550</v>
      </c>
      <c r="CK212">
        <v>1100</v>
      </c>
      <c r="CL212" t="s">
        <v>2147</v>
      </c>
      <c r="CN212">
        <v>2</v>
      </c>
      <c r="CO212">
        <v>4644</v>
      </c>
      <c r="CP212">
        <v>9288</v>
      </c>
      <c r="CQ212" t="s">
        <v>379</v>
      </c>
      <c r="CS212">
        <v>0</v>
      </c>
    </row>
    <row r="213" spans="1:97" x14ac:dyDescent="0.4">
      <c r="A213" s="10">
        <v>43122</v>
      </c>
      <c r="B213" t="s">
        <v>146</v>
      </c>
      <c r="C213" t="s">
        <v>2148</v>
      </c>
      <c r="D213" t="s">
        <v>359</v>
      </c>
      <c r="E213" t="s">
        <v>2081</v>
      </c>
      <c r="F213" t="str">
        <f t="shared" si="86"/>
        <v>20180122-0000019</v>
      </c>
      <c r="G213">
        <v>1033829</v>
      </c>
      <c r="H213">
        <v>6</v>
      </c>
      <c r="I213" t="s">
        <v>2149</v>
      </c>
      <c r="L213">
        <v>0</v>
      </c>
      <c r="M213">
        <v>1</v>
      </c>
      <c r="O213" t="s">
        <v>361</v>
      </c>
      <c r="P213" t="s">
        <v>2083</v>
      </c>
      <c r="S213" t="s">
        <v>2150</v>
      </c>
      <c r="T213" t="s">
        <v>364</v>
      </c>
      <c r="X213" t="s">
        <v>2149</v>
      </c>
      <c r="Y213" t="s">
        <v>2085</v>
      </c>
      <c r="AA213">
        <v>4644</v>
      </c>
      <c r="AB213">
        <v>2.97</v>
      </c>
      <c r="AC213" t="s">
        <v>2151</v>
      </c>
      <c r="AD213">
        <v>3.24</v>
      </c>
      <c r="AE213">
        <v>3.33</v>
      </c>
      <c r="AF213" t="s">
        <v>2143</v>
      </c>
      <c r="AG213">
        <v>1880</v>
      </c>
      <c r="AK213">
        <v>28</v>
      </c>
      <c r="AL213" t="s">
        <v>2149</v>
      </c>
      <c r="AN213" t="s">
        <v>2152</v>
      </c>
      <c r="AQ213">
        <v>550</v>
      </c>
      <c r="AR213" t="s">
        <v>368</v>
      </c>
      <c r="AS213">
        <v>613617692584</v>
      </c>
      <c r="AT213" t="str">
        <f t="shared" si="87"/>
        <v>조*원</v>
      </c>
      <c r="AU213" t="str">
        <f t="shared" si="88"/>
        <v xml:space="preserve"> 0***4</v>
      </c>
      <c r="AV213" t="str">
        <f t="shared" si="89"/>
        <v>***-****-0110</v>
      </c>
      <c r="AW213" t="str">
        <f t="shared" si="90"/>
        <v xml:space="preserve"> 서* 강*구 양******길 5* (**) 우***빌 4* 카**4 8*</v>
      </c>
      <c r="AY213" t="str">
        <f t="shared" si="91"/>
        <v>***-****-0110</v>
      </c>
      <c r="AZ213">
        <v>27245</v>
      </c>
      <c r="BA213">
        <v>1033835</v>
      </c>
      <c r="BB213">
        <v>6000</v>
      </c>
      <c r="BC213" t="s">
        <v>2087</v>
      </c>
      <c r="BD213" t="s">
        <v>1205</v>
      </c>
      <c r="BE213" t="str">
        <f t="shared" si="92"/>
        <v>조*원</v>
      </c>
      <c r="BF213" t="str">
        <f t="shared" si="93"/>
        <v>***-****-0110</v>
      </c>
      <c r="BG213" t="str">
        <f t="shared" si="93"/>
        <v>***-****-0110</v>
      </c>
      <c r="BH213" t="s">
        <v>453</v>
      </c>
      <c r="BI213" t="s">
        <v>454</v>
      </c>
      <c r="BJ213" t="s">
        <v>2153</v>
      </c>
      <c r="BK213" t="s">
        <v>456</v>
      </c>
      <c r="BL213">
        <v>16709</v>
      </c>
      <c r="BM213" t="str">
        <f>"16709"</f>
        <v>16709</v>
      </c>
      <c r="BN213" t="str">
        <f t="shared" si="94"/>
        <v>20180122-0000019</v>
      </c>
      <c r="BQ213" t="s">
        <v>373</v>
      </c>
      <c r="BV213" t="s">
        <v>2149</v>
      </c>
      <c r="BW213" t="s">
        <v>2149</v>
      </c>
      <c r="BX213" t="s">
        <v>146</v>
      </c>
      <c r="BY213">
        <v>0</v>
      </c>
      <c r="BZ213">
        <v>8806164115541</v>
      </c>
      <c r="CA213" t="s">
        <v>2154</v>
      </c>
      <c r="CF213" t="s">
        <v>2149</v>
      </c>
      <c r="CG213" t="s">
        <v>433</v>
      </c>
      <c r="CH213" t="s">
        <v>377</v>
      </c>
      <c r="CI213" t="s">
        <v>2148</v>
      </c>
      <c r="CJ213">
        <v>550</v>
      </c>
      <c r="CK213">
        <v>3300</v>
      </c>
      <c r="CL213" t="s">
        <v>2155</v>
      </c>
      <c r="CN213">
        <v>6</v>
      </c>
      <c r="CO213">
        <v>4644</v>
      </c>
      <c r="CP213">
        <v>27864</v>
      </c>
      <c r="CQ213" t="s">
        <v>379</v>
      </c>
      <c r="CS213">
        <v>0</v>
      </c>
    </row>
    <row r="214" spans="1:97" x14ac:dyDescent="0.4">
      <c r="A214" s="10">
        <v>43122</v>
      </c>
      <c r="B214" t="s">
        <v>146</v>
      </c>
      <c r="C214" t="s">
        <v>2156</v>
      </c>
      <c r="D214" t="s">
        <v>359</v>
      </c>
      <c r="E214" t="s">
        <v>2081</v>
      </c>
      <c r="F214" t="str">
        <f t="shared" si="86"/>
        <v>20180122-0000019</v>
      </c>
      <c r="G214">
        <v>1033829</v>
      </c>
      <c r="H214">
        <v>1</v>
      </c>
      <c r="I214" t="s">
        <v>2157</v>
      </c>
      <c r="L214">
        <v>0</v>
      </c>
      <c r="M214">
        <v>1</v>
      </c>
      <c r="O214" t="s">
        <v>361</v>
      </c>
      <c r="P214" t="s">
        <v>2083</v>
      </c>
      <c r="S214" t="s">
        <v>2158</v>
      </c>
      <c r="T214" t="s">
        <v>364</v>
      </c>
      <c r="X214" t="s">
        <v>2157</v>
      </c>
      <c r="Y214" t="s">
        <v>2085</v>
      </c>
      <c r="AA214">
        <v>4644</v>
      </c>
      <c r="AB214">
        <v>2.97</v>
      </c>
      <c r="AC214" t="s">
        <v>2159</v>
      </c>
      <c r="AD214">
        <v>3.24</v>
      </c>
      <c r="AE214">
        <v>3.33</v>
      </c>
      <c r="AF214" t="s">
        <v>2143</v>
      </c>
      <c r="AG214">
        <v>1880</v>
      </c>
      <c r="AK214">
        <v>28</v>
      </c>
      <c r="AL214" t="s">
        <v>2157</v>
      </c>
      <c r="AN214" t="s">
        <v>2160</v>
      </c>
      <c r="AQ214">
        <v>550</v>
      </c>
      <c r="AR214" t="s">
        <v>368</v>
      </c>
      <c r="AS214">
        <v>613617692584</v>
      </c>
      <c r="AT214" t="str">
        <f t="shared" si="87"/>
        <v>조*원</v>
      </c>
      <c r="AU214" t="str">
        <f t="shared" si="88"/>
        <v xml:space="preserve"> 0***4</v>
      </c>
      <c r="AV214" t="str">
        <f t="shared" si="89"/>
        <v>***-****-0110</v>
      </c>
      <c r="AW214" t="str">
        <f t="shared" si="90"/>
        <v xml:space="preserve"> 서* 강*구 양******길 5* (**) 우***빌 4* 카**4 8*</v>
      </c>
      <c r="AY214" t="str">
        <f t="shared" si="91"/>
        <v>***-****-0110</v>
      </c>
      <c r="AZ214">
        <v>29335</v>
      </c>
      <c r="BA214">
        <v>1033833</v>
      </c>
      <c r="BB214">
        <v>1000</v>
      </c>
      <c r="BC214" t="s">
        <v>2087</v>
      </c>
      <c r="BD214" t="s">
        <v>1205</v>
      </c>
      <c r="BE214" t="str">
        <f t="shared" si="92"/>
        <v>조*원</v>
      </c>
      <c r="BF214" t="str">
        <f t="shared" si="93"/>
        <v>***-****-0110</v>
      </c>
      <c r="BG214" t="str">
        <f t="shared" si="93"/>
        <v>***-****-0110</v>
      </c>
      <c r="BH214" t="s">
        <v>453</v>
      </c>
      <c r="BI214" t="s">
        <v>454</v>
      </c>
      <c r="BJ214" t="s">
        <v>2161</v>
      </c>
      <c r="BK214" t="s">
        <v>456</v>
      </c>
      <c r="BL214">
        <v>16709</v>
      </c>
      <c r="BM214" t="str">
        <f>"16709"</f>
        <v>16709</v>
      </c>
      <c r="BN214" t="str">
        <f t="shared" si="94"/>
        <v>20180122-0000019</v>
      </c>
      <c r="BQ214" t="s">
        <v>373</v>
      </c>
      <c r="BV214" t="s">
        <v>2157</v>
      </c>
      <c r="BW214" t="s">
        <v>2157</v>
      </c>
      <c r="BX214" t="s">
        <v>146</v>
      </c>
      <c r="BY214">
        <v>0</v>
      </c>
      <c r="BZ214">
        <v>8806164115589</v>
      </c>
      <c r="CA214" t="s">
        <v>2162</v>
      </c>
      <c r="CF214" t="s">
        <v>2157</v>
      </c>
      <c r="CG214" t="s">
        <v>433</v>
      </c>
      <c r="CH214" t="s">
        <v>377</v>
      </c>
      <c r="CI214" t="s">
        <v>2156</v>
      </c>
      <c r="CJ214">
        <v>550</v>
      </c>
      <c r="CK214">
        <v>550</v>
      </c>
      <c r="CL214" t="s">
        <v>2163</v>
      </c>
      <c r="CN214">
        <v>1</v>
      </c>
      <c r="CO214">
        <v>4644</v>
      </c>
      <c r="CP214">
        <v>4644</v>
      </c>
      <c r="CQ214" t="s">
        <v>379</v>
      </c>
      <c r="CS214">
        <v>6</v>
      </c>
    </row>
    <row r="215" spans="1:97" x14ac:dyDescent="0.4">
      <c r="A215" s="10">
        <v>43122</v>
      </c>
      <c r="B215" t="s">
        <v>146</v>
      </c>
      <c r="C215" t="s">
        <v>2164</v>
      </c>
      <c r="D215" t="s">
        <v>359</v>
      </c>
      <c r="E215" t="s">
        <v>2081</v>
      </c>
      <c r="F215" t="str">
        <f t="shared" si="86"/>
        <v>20180122-0000019</v>
      </c>
      <c r="G215">
        <v>1033829</v>
      </c>
      <c r="H215">
        <v>2</v>
      </c>
      <c r="I215" t="s">
        <v>2165</v>
      </c>
      <c r="L215">
        <v>0</v>
      </c>
      <c r="M215">
        <v>1</v>
      </c>
      <c r="O215" t="s">
        <v>361</v>
      </c>
      <c r="P215" t="s">
        <v>2083</v>
      </c>
      <c r="S215" t="s">
        <v>2166</v>
      </c>
      <c r="T215" t="s">
        <v>364</v>
      </c>
      <c r="X215" t="s">
        <v>2165</v>
      </c>
      <c r="Y215" t="s">
        <v>2085</v>
      </c>
      <c r="AA215">
        <v>4644</v>
      </c>
      <c r="AB215">
        <v>2.97</v>
      </c>
      <c r="AC215" t="s">
        <v>2167</v>
      </c>
      <c r="AD215">
        <v>3.24</v>
      </c>
      <c r="AE215">
        <v>3.33</v>
      </c>
      <c r="AF215" t="s">
        <v>2143</v>
      </c>
      <c r="AG215">
        <v>1880</v>
      </c>
      <c r="AK215">
        <v>28</v>
      </c>
      <c r="AL215" t="s">
        <v>2165</v>
      </c>
      <c r="AN215" t="s">
        <v>2168</v>
      </c>
      <c r="AQ215">
        <v>550</v>
      </c>
      <c r="AR215" t="s">
        <v>368</v>
      </c>
      <c r="AS215">
        <v>613617692584</v>
      </c>
      <c r="AT215" t="str">
        <f t="shared" si="87"/>
        <v>조*원</v>
      </c>
      <c r="AU215" t="str">
        <f t="shared" si="88"/>
        <v xml:space="preserve"> 0***4</v>
      </c>
      <c r="AV215" t="str">
        <f t="shared" si="89"/>
        <v>***-****-0110</v>
      </c>
      <c r="AW215" t="str">
        <f t="shared" si="90"/>
        <v xml:space="preserve"> 서* 강*구 양******길 5* (**) 우***빌 4* 카**4 8*</v>
      </c>
      <c r="AY215" t="str">
        <f t="shared" si="91"/>
        <v>***-****-0110</v>
      </c>
      <c r="AZ215">
        <v>27146</v>
      </c>
      <c r="BA215">
        <v>1033834</v>
      </c>
      <c r="BB215">
        <v>2000</v>
      </c>
      <c r="BC215" t="s">
        <v>2087</v>
      </c>
      <c r="BD215" t="s">
        <v>1205</v>
      </c>
      <c r="BE215" t="str">
        <f t="shared" si="92"/>
        <v>조*원</v>
      </c>
      <c r="BF215" t="str">
        <f t="shared" si="93"/>
        <v>***-****-0110</v>
      </c>
      <c r="BG215" t="str">
        <f t="shared" si="93"/>
        <v>***-****-0110</v>
      </c>
      <c r="BH215" t="s">
        <v>453</v>
      </c>
      <c r="BI215" t="s">
        <v>454</v>
      </c>
      <c r="BJ215" t="s">
        <v>2169</v>
      </c>
      <c r="BK215" t="s">
        <v>456</v>
      </c>
      <c r="BL215">
        <v>16709</v>
      </c>
      <c r="BM215" t="str">
        <f>"16709"</f>
        <v>16709</v>
      </c>
      <c r="BN215" t="str">
        <f t="shared" si="94"/>
        <v>20180122-0000019</v>
      </c>
      <c r="BQ215" t="s">
        <v>373</v>
      </c>
      <c r="BV215" t="s">
        <v>2165</v>
      </c>
      <c r="BW215" t="s">
        <v>2165</v>
      </c>
      <c r="BX215" t="s">
        <v>146</v>
      </c>
      <c r="BY215">
        <v>0</v>
      </c>
      <c r="BZ215">
        <v>8806164115534</v>
      </c>
      <c r="CA215" t="s">
        <v>2170</v>
      </c>
      <c r="CF215" t="s">
        <v>2165</v>
      </c>
      <c r="CG215" t="s">
        <v>433</v>
      </c>
      <c r="CH215" t="s">
        <v>377</v>
      </c>
      <c r="CI215" t="s">
        <v>2164</v>
      </c>
      <c r="CJ215">
        <v>550</v>
      </c>
      <c r="CK215">
        <v>1100</v>
      </c>
      <c r="CL215" t="s">
        <v>2171</v>
      </c>
      <c r="CN215">
        <v>2</v>
      </c>
      <c r="CO215">
        <v>4644</v>
      </c>
      <c r="CP215">
        <v>9288</v>
      </c>
      <c r="CQ215" t="s">
        <v>379</v>
      </c>
      <c r="CS215">
        <v>2</v>
      </c>
    </row>
    <row r="216" spans="1:97" x14ac:dyDescent="0.4">
      <c r="A216" s="10">
        <v>43122</v>
      </c>
      <c r="B216" t="s">
        <v>146</v>
      </c>
      <c r="C216" t="s">
        <v>2172</v>
      </c>
      <c r="D216" t="s">
        <v>359</v>
      </c>
      <c r="E216" t="s">
        <v>2081</v>
      </c>
      <c r="F216" t="str">
        <f t="shared" si="86"/>
        <v>20180122-0000019</v>
      </c>
      <c r="G216">
        <v>1033829</v>
      </c>
      <c r="H216">
        <v>20</v>
      </c>
      <c r="I216" t="s">
        <v>2173</v>
      </c>
      <c r="L216">
        <v>0</v>
      </c>
      <c r="M216">
        <v>1</v>
      </c>
      <c r="O216" t="s">
        <v>361</v>
      </c>
      <c r="P216" t="s">
        <v>2083</v>
      </c>
      <c r="S216" t="s">
        <v>2174</v>
      </c>
      <c r="T216" t="s">
        <v>364</v>
      </c>
      <c r="X216" t="s">
        <v>2173</v>
      </c>
      <c r="Y216" t="s">
        <v>2085</v>
      </c>
      <c r="AA216">
        <v>4644</v>
      </c>
      <c r="AB216">
        <v>2.97</v>
      </c>
      <c r="AC216" t="s">
        <v>2175</v>
      </c>
      <c r="AD216">
        <v>3.24</v>
      </c>
      <c r="AE216">
        <v>3.33</v>
      </c>
      <c r="AF216" t="s">
        <v>2143</v>
      </c>
      <c r="AG216">
        <v>1880</v>
      </c>
      <c r="AK216">
        <v>28</v>
      </c>
      <c r="AL216" t="s">
        <v>2173</v>
      </c>
      <c r="AN216" t="s">
        <v>2176</v>
      </c>
      <c r="AQ216">
        <v>550</v>
      </c>
      <c r="AR216" t="s">
        <v>368</v>
      </c>
      <c r="AS216">
        <v>613617692584</v>
      </c>
      <c r="AT216" t="str">
        <f t="shared" si="87"/>
        <v>조*원</v>
      </c>
      <c r="AU216" t="str">
        <f t="shared" si="88"/>
        <v xml:space="preserve"> 0***4</v>
      </c>
      <c r="AV216" t="str">
        <f t="shared" si="89"/>
        <v>***-****-0110</v>
      </c>
      <c r="AW216" t="str">
        <f t="shared" si="90"/>
        <v xml:space="preserve"> 서* 강*구 양******길 5* (**) 우***빌 4* 카**4 8*</v>
      </c>
      <c r="AY216" t="str">
        <f t="shared" si="91"/>
        <v>***-****-0110</v>
      </c>
      <c r="AZ216">
        <v>29336</v>
      </c>
      <c r="BA216">
        <v>1033831</v>
      </c>
      <c r="BB216">
        <v>20000</v>
      </c>
      <c r="BC216" t="s">
        <v>2087</v>
      </c>
      <c r="BD216" t="s">
        <v>1205</v>
      </c>
      <c r="BE216" t="str">
        <f t="shared" si="92"/>
        <v>조*원</v>
      </c>
      <c r="BF216" t="str">
        <f t="shared" si="93"/>
        <v>***-****-0110</v>
      </c>
      <c r="BG216" t="str">
        <f t="shared" si="93"/>
        <v>***-****-0110</v>
      </c>
      <c r="BH216" t="s">
        <v>453</v>
      </c>
      <c r="BI216" t="s">
        <v>454</v>
      </c>
      <c r="BJ216" t="s">
        <v>2177</v>
      </c>
      <c r="BK216" t="s">
        <v>456</v>
      </c>
      <c r="BL216">
        <v>16709</v>
      </c>
      <c r="BM216" t="str">
        <f>"16709"</f>
        <v>16709</v>
      </c>
      <c r="BN216" t="str">
        <f t="shared" si="94"/>
        <v>20180122-0000019</v>
      </c>
      <c r="BQ216" t="s">
        <v>373</v>
      </c>
      <c r="BV216" t="s">
        <v>2173</v>
      </c>
      <c r="BW216" t="s">
        <v>2173</v>
      </c>
      <c r="BX216" t="s">
        <v>146</v>
      </c>
      <c r="BY216">
        <v>0</v>
      </c>
      <c r="BZ216">
        <v>8806164115527</v>
      </c>
      <c r="CA216" t="s">
        <v>2178</v>
      </c>
      <c r="CF216" t="s">
        <v>2173</v>
      </c>
      <c r="CG216" t="s">
        <v>433</v>
      </c>
      <c r="CH216" t="s">
        <v>377</v>
      </c>
      <c r="CI216" t="s">
        <v>2172</v>
      </c>
      <c r="CJ216">
        <v>550</v>
      </c>
      <c r="CK216">
        <v>11000</v>
      </c>
      <c r="CL216" t="s">
        <v>2179</v>
      </c>
      <c r="CN216">
        <v>20</v>
      </c>
      <c r="CO216">
        <v>4644</v>
      </c>
      <c r="CP216">
        <v>92880</v>
      </c>
      <c r="CQ216" t="s">
        <v>379</v>
      </c>
      <c r="CS216">
        <v>23</v>
      </c>
    </row>
    <row r="217" spans="1:97" x14ac:dyDescent="0.4">
      <c r="A217" s="10">
        <v>43122</v>
      </c>
      <c r="B217" t="s">
        <v>198</v>
      </c>
      <c r="C217" t="s">
        <v>2180</v>
      </c>
      <c r="D217" t="s">
        <v>359</v>
      </c>
      <c r="E217" t="s">
        <v>2081</v>
      </c>
      <c r="F217" t="str">
        <f t="shared" si="86"/>
        <v>20180122-0000019</v>
      </c>
      <c r="G217">
        <v>1033829</v>
      </c>
      <c r="H217">
        <v>1</v>
      </c>
      <c r="I217" t="s">
        <v>2181</v>
      </c>
      <c r="L217">
        <v>0</v>
      </c>
      <c r="M217">
        <v>1</v>
      </c>
      <c r="O217" t="s">
        <v>361</v>
      </c>
      <c r="P217" t="s">
        <v>2083</v>
      </c>
      <c r="S217" t="s">
        <v>2182</v>
      </c>
      <c r="T217" t="s">
        <v>364</v>
      </c>
      <c r="X217" t="s">
        <v>2181</v>
      </c>
      <c r="Y217" t="s">
        <v>2085</v>
      </c>
      <c r="AA217">
        <v>8768</v>
      </c>
      <c r="AB217">
        <v>7.39</v>
      </c>
      <c r="AC217" t="s">
        <v>2183</v>
      </c>
      <c r="AD217">
        <v>8.06</v>
      </c>
      <c r="AE217">
        <v>8.2799999999999994</v>
      </c>
      <c r="AF217" t="s">
        <v>894</v>
      </c>
      <c r="AG217">
        <v>1880</v>
      </c>
      <c r="AK217">
        <v>20</v>
      </c>
      <c r="AL217" t="s">
        <v>2181</v>
      </c>
      <c r="AN217" t="s">
        <v>2184</v>
      </c>
      <c r="AQ217">
        <v>4200</v>
      </c>
      <c r="AR217" t="s">
        <v>368</v>
      </c>
      <c r="AS217">
        <v>613617692584</v>
      </c>
      <c r="AT217" t="str">
        <f t="shared" si="87"/>
        <v>조*원</v>
      </c>
      <c r="AU217" t="str">
        <f t="shared" si="88"/>
        <v xml:space="preserve"> 0***4</v>
      </c>
      <c r="AV217" t="str">
        <f t="shared" si="89"/>
        <v>***-****-0110</v>
      </c>
      <c r="AW217" t="str">
        <f t="shared" si="90"/>
        <v xml:space="preserve"> 서* 강*구 양******길 5* (**) 우***빌 4* 카**4 8*</v>
      </c>
      <c r="AY217" t="str">
        <f t="shared" si="91"/>
        <v>***-****-0110</v>
      </c>
      <c r="AZ217">
        <v>29326</v>
      </c>
      <c r="BA217">
        <v>1033839</v>
      </c>
      <c r="BB217">
        <v>6000</v>
      </c>
      <c r="BC217" t="s">
        <v>2087</v>
      </c>
      <c r="BD217" t="s">
        <v>1205</v>
      </c>
      <c r="BE217" t="str">
        <f t="shared" si="92"/>
        <v>조*원</v>
      </c>
      <c r="BF217" t="str">
        <f t="shared" si="93"/>
        <v>***-****-0110</v>
      </c>
      <c r="BG217" t="str">
        <f t="shared" si="93"/>
        <v>***-****-0110</v>
      </c>
      <c r="BH217" t="s">
        <v>453</v>
      </c>
      <c r="BI217" t="s">
        <v>454</v>
      </c>
      <c r="BJ217" t="s">
        <v>2185</v>
      </c>
      <c r="BK217" t="s">
        <v>456</v>
      </c>
      <c r="BL217">
        <v>19300</v>
      </c>
      <c r="BM217" t="str">
        <f>"19300"</f>
        <v>19300</v>
      </c>
      <c r="BN217" t="str">
        <f t="shared" si="94"/>
        <v>20180122-0000019</v>
      </c>
      <c r="BQ217" t="s">
        <v>373</v>
      </c>
      <c r="BU217">
        <v>71</v>
      </c>
      <c r="BV217" t="s">
        <v>2186</v>
      </c>
      <c r="BW217" t="s">
        <v>2181</v>
      </c>
      <c r="BX217" t="s">
        <v>198</v>
      </c>
      <c r="BY217">
        <v>0</v>
      </c>
      <c r="BZ217">
        <v>8806173439584</v>
      </c>
      <c r="CA217" t="s">
        <v>2187</v>
      </c>
      <c r="CF217" t="s">
        <v>2181</v>
      </c>
      <c r="CG217" t="s">
        <v>389</v>
      </c>
      <c r="CH217" t="s">
        <v>377</v>
      </c>
      <c r="CI217" t="s">
        <v>2180</v>
      </c>
      <c r="CJ217">
        <v>4200</v>
      </c>
      <c r="CK217">
        <v>4200</v>
      </c>
      <c r="CL217" t="s">
        <v>2188</v>
      </c>
      <c r="CN217">
        <v>1</v>
      </c>
      <c r="CO217">
        <v>8768</v>
      </c>
      <c r="CP217">
        <v>8768</v>
      </c>
      <c r="CQ217" t="s">
        <v>379</v>
      </c>
      <c r="CS217">
        <v>0</v>
      </c>
    </row>
    <row r="218" spans="1:97" x14ac:dyDescent="0.4">
      <c r="A218" s="10">
        <v>43122</v>
      </c>
      <c r="B218" t="s">
        <v>117</v>
      </c>
      <c r="C218" t="s">
        <v>2189</v>
      </c>
      <c r="D218" t="s">
        <v>359</v>
      </c>
      <c r="E218" t="s">
        <v>2190</v>
      </c>
      <c r="F218" t="str">
        <f t="shared" ref="F218:F224" si="95">"20180122-0000028"</f>
        <v>20180122-0000028</v>
      </c>
      <c r="G218">
        <v>1033820</v>
      </c>
      <c r="H218">
        <v>1</v>
      </c>
      <c r="I218" t="s">
        <v>2191</v>
      </c>
      <c r="L218">
        <v>0</v>
      </c>
      <c r="M218">
        <v>1</v>
      </c>
      <c r="O218" t="s">
        <v>361</v>
      </c>
      <c r="P218" t="s">
        <v>1846</v>
      </c>
      <c r="S218" t="s">
        <v>2192</v>
      </c>
      <c r="T218" t="s">
        <v>364</v>
      </c>
      <c r="X218" t="s">
        <v>2191</v>
      </c>
      <c r="AA218">
        <v>15862</v>
      </c>
      <c r="AB218">
        <v>13.28</v>
      </c>
      <c r="AC218" t="s">
        <v>2193</v>
      </c>
      <c r="AD218">
        <v>14.48</v>
      </c>
      <c r="AE218">
        <v>14.87</v>
      </c>
      <c r="AF218" t="s">
        <v>2194</v>
      </c>
      <c r="AG218">
        <v>3770</v>
      </c>
      <c r="AK218">
        <v>47</v>
      </c>
      <c r="AL218" t="s">
        <v>2191</v>
      </c>
      <c r="AN218" t="s">
        <v>2195</v>
      </c>
      <c r="AQ218">
        <v>7560</v>
      </c>
      <c r="AR218" t="s">
        <v>368</v>
      </c>
      <c r="AS218">
        <v>613617692610</v>
      </c>
      <c r="AT218" t="str">
        <f t="shared" ref="AT218:AT224" si="96">"부**텍①"</f>
        <v>부**텍①</v>
      </c>
      <c r="AU218" t="str">
        <f t="shared" ref="AU218:AU224" si="97">" 1****3"</f>
        <v xml:space="preserve"> 1****3</v>
      </c>
      <c r="AV218" t="str">
        <f t="shared" ref="AV218:AV224" si="98">"***-****-4825"</f>
        <v>***-****-4825</v>
      </c>
      <c r="AW218" t="str">
        <f t="shared" ref="AW218:AW224" si="99">" 서* 서*구 서**동 서***자 1***호"</f>
        <v xml:space="preserve"> 서* 서*구 서**동 서***자 1***호</v>
      </c>
      <c r="AY218" t="str">
        <f t="shared" ref="AY218:AY224" si="100">"***-****-4199"</f>
        <v>***-****-4199</v>
      </c>
      <c r="AZ218">
        <v>29324</v>
      </c>
      <c r="BA218">
        <v>1033822</v>
      </c>
      <c r="BB218">
        <v>12000</v>
      </c>
      <c r="BC218" t="s">
        <v>2196</v>
      </c>
      <c r="BD218" t="s">
        <v>1205</v>
      </c>
      <c r="BE218" t="str">
        <f t="shared" ref="BE218:BE224" si="101">"부**텍"</f>
        <v>부**텍</v>
      </c>
      <c r="BF218" t="str">
        <f t="shared" ref="BF218:BF224" si="102">"***-****-4825"</f>
        <v>***-****-4825</v>
      </c>
      <c r="BG218" t="str">
        <f t="shared" ref="BG218:BG224" si="103">"***-****-4199"</f>
        <v>***-****-4199</v>
      </c>
      <c r="BH218" t="s">
        <v>453</v>
      </c>
      <c r="BI218" t="s">
        <v>454</v>
      </c>
      <c r="BJ218" t="s">
        <v>2197</v>
      </c>
      <c r="BK218" t="s">
        <v>456</v>
      </c>
      <c r="BL218">
        <v>19721</v>
      </c>
      <c r="BM218" t="str">
        <f>"19721"</f>
        <v>19721</v>
      </c>
      <c r="BN218" t="str">
        <f t="shared" ref="BN218:BN224" si="104">"20180122-0000028"</f>
        <v>20180122-0000028</v>
      </c>
      <c r="BQ218" t="s">
        <v>373</v>
      </c>
      <c r="BU218">
        <v>0</v>
      </c>
      <c r="BV218" t="s">
        <v>2198</v>
      </c>
      <c r="BW218" t="s">
        <v>2191</v>
      </c>
      <c r="BX218" t="s">
        <v>117</v>
      </c>
      <c r="BY218">
        <v>0</v>
      </c>
      <c r="BZ218">
        <v>8809516791080</v>
      </c>
      <c r="CA218" t="s">
        <v>2199</v>
      </c>
      <c r="CF218" t="s">
        <v>2191</v>
      </c>
      <c r="CG218" t="s">
        <v>1363</v>
      </c>
      <c r="CH218" t="s">
        <v>377</v>
      </c>
      <c r="CI218" t="s">
        <v>2189</v>
      </c>
      <c r="CJ218">
        <v>7560</v>
      </c>
      <c r="CK218">
        <v>7560</v>
      </c>
      <c r="CL218" t="s">
        <v>2200</v>
      </c>
      <c r="CN218">
        <v>1</v>
      </c>
      <c r="CO218">
        <v>15862</v>
      </c>
      <c r="CP218">
        <v>15862</v>
      </c>
      <c r="CQ218" t="s">
        <v>379</v>
      </c>
      <c r="CS218">
        <v>0</v>
      </c>
    </row>
    <row r="219" spans="1:97" x14ac:dyDescent="0.4">
      <c r="A219" s="10">
        <v>43122</v>
      </c>
      <c r="B219" t="s">
        <v>117</v>
      </c>
      <c r="C219" t="s">
        <v>2201</v>
      </c>
      <c r="D219" t="s">
        <v>359</v>
      </c>
      <c r="E219" t="s">
        <v>2190</v>
      </c>
      <c r="F219" t="str">
        <f t="shared" si="95"/>
        <v>20180122-0000028</v>
      </c>
      <c r="G219">
        <v>1033820</v>
      </c>
      <c r="H219">
        <v>2</v>
      </c>
      <c r="I219" t="s">
        <v>2202</v>
      </c>
      <c r="L219">
        <v>0</v>
      </c>
      <c r="M219">
        <v>1</v>
      </c>
      <c r="O219" t="s">
        <v>361</v>
      </c>
      <c r="P219" t="s">
        <v>1846</v>
      </c>
      <c r="S219" t="s">
        <v>2203</v>
      </c>
      <c r="T219" t="s">
        <v>364</v>
      </c>
      <c r="X219" t="s">
        <v>2202</v>
      </c>
      <c r="AA219">
        <v>15862</v>
      </c>
      <c r="AB219">
        <v>13.28</v>
      </c>
      <c r="AC219" t="s">
        <v>2204</v>
      </c>
      <c r="AD219">
        <v>14.48</v>
      </c>
      <c r="AE219">
        <v>14.87</v>
      </c>
      <c r="AF219" t="s">
        <v>2194</v>
      </c>
      <c r="AG219">
        <v>3770</v>
      </c>
      <c r="AK219">
        <v>47</v>
      </c>
      <c r="AL219" t="s">
        <v>2202</v>
      </c>
      <c r="AN219" t="s">
        <v>2205</v>
      </c>
      <c r="AQ219">
        <v>7560</v>
      </c>
      <c r="AR219" t="s">
        <v>368</v>
      </c>
      <c r="AS219">
        <v>613617692610</v>
      </c>
      <c r="AT219" t="str">
        <f t="shared" si="96"/>
        <v>부**텍①</v>
      </c>
      <c r="AU219" t="str">
        <f t="shared" si="97"/>
        <v xml:space="preserve"> 1****3</v>
      </c>
      <c r="AV219" t="str">
        <f t="shared" si="98"/>
        <v>***-****-4825</v>
      </c>
      <c r="AW219" t="str">
        <f t="shared" si="99"/>
        <v xml:space="preserve"> 서* 서*구 서**동 서***자 1***호</v>
      </c>
      <c r="AY219" t="str">
        <f t="shared" si="100"/>
        <v>***-****-4199</v>
      </c>
      <c r="AZ219">
        <v>29325</v>
      </c>
      <c r="BA219">
        <v>1033823</v>
      </c>
      <c r="BB219">
        <v>24000</v>
      </c>
      <c r="BC219" t="s">
        <v>2196</v>
      </c>
      <c r="BD219" t="s">
        <v>1205</v>
      </c>
      <c r="BE219" t="str">
        <f t="shared" si="101"/>
        <v>부**텍</v>
      </c>
      <c r="BF219" t="str">
        <f t="shared" si="102"/>
        <v>***-****-4825</v>
      </c>
      <c r="BG219" t="str">
        <f t="shared" si="103"/>
        <v>***-****-4199</v>
      </c>
      <c r="BH219" t="s">
        <v>453</v>
      </c>
      <c r="BI219" t="s">
        <v>454</v>
      </c>
      <c r="BJ219" t="s">
        <v>2206</v>
      </c>
      <c r="BK219" t="s">
        <v>456</v>
      </c>
      <c r="BL219">
        <v>19721</v>
      </c>
      <c r="BM219" t="str">
        <f>"19721"</f>
        <v>19721</v>
      </c>
      <c r="BN219" t="str">
        <f t="shared" si="104"/>
        <v>20180122-0000028</v>
      </c>
      <c r="BQ219" t="s">
        <v>373</v>
      </c>
      <c r="BU219">
        <v>0</v>
      </c>
      <c r="BV219" t="s">
        <v>2207</v>
      </c>
      <c r="BW219" t="s">
        <v>2202</v>
      </c>
      <c r="BX219" t="s">
        <v>117</v>
      </c>
      <c r="BY219">
        <v>0</v>
      </c>
      <c r="BZ219">
        <v>8809516791073</v>
      </c>
      <c r="CA219" t="s">
        <v>2208</v>
      </c>
      <c r="CF219" t="s">
        <v>2202</v>
      </c>
      <c r="CG219" t="s">
        <v>1363</v>
      </c>
      <c r="CH219" t="s">
        <v>377</v>
      </c>
      <c r="CI219" t="s">
        <v>2201</v>
      </c>
      <c r="CJ219">
        <v>7560</v>
      </c>
      <c r="CK219">
        <v>15120</v>
      </c>
      <c r="CL219" t="s">
        <v>2209</v>
      </c>
      <c r="CN219">
        <v>2</v>
      </c>
      <c r="CO219">
        <v>15862</v>
      </c>
      <c r="CP219">
        <v>31724</v>
      </c>
      <c r="CQ219" t="s">
        <v>379</v>
      </c>
      <c r="CS219">
        <v>0</v>
      </c>
    </row>
    <row r="220" spans="1:97" x14ac:dyDescent="0.4">
      <c r="A220" s="10">
        <v>43122</v>
      </c>
      <c r="B220" t="s">
        <v>215</v>
      </c>
      <c r="C220" t="s">
        <v>2210</v>
      </c>
      <c r="D220" t="s">
        <v>359</v>
      </c>
      <c r="E220" t="s">
        <v>2190</v>
      </c>
      <c r="F220" t="str">
        <f t="shared" si="95"/>
        <v>20180122-0000028</v>
      </c>
      <c r="G220">
        <v>1033820</v>
      </c>
      <c r="H220">
        <v>1</v>
      </c>
      <c r="I220" t="s">
        <v>2211</v>
      </c>
      <c r="L220">
        <v>0</v>
      </c>
      <c r="M220">
        <v>1</v>
      </c>
      <c r="O220" t="s">
        <v>361</v>
      </c>
      <c r="P220" t="s">
        <v>1846</v>
      </c>
      <c r="S220" t="s">
        <v>2212</v>
      </c>
      <c r="T220" t="s">
        <v>364</v>
      </c>
      <c r="X220" t="s">
        <v>2213</v>
      </c>
      <c r="AA220">
        <v>8280</v>
      </c>
      <c r="AB220">
        <v>1.82</v>
      </c>
      <c r="AC220" t="s">
        <v>2214</v>
      </c>
      <c r="AD220">
        <v>5.29</v>
      </c>
      <c r="AE220">
        <v>5.44</v>
      </c>
      <c r="AF220" t="s">
        <v>2215</v>
      </c>
      <c r="AG220">
        <v>3360</v>
      </c>
      <c r="AL220" t="s">
        <v>2211</v>
      </c>
      <c r="AQ220">
        <v>1240</v>
      </c>
      <c r="AR220" t="s">
        <v>368</v>
      </c>
      <c r="AS220">
        <v>613617692610</v>
      </c>
      <c r="AT220" t="str">
        <f t="shared" si="96"/>
        <v>부**텍①</v>
      </c>
      <c r="AU220" t="str">
        <f t="shared" si="97"/>
        <v xml:space="preserve"> 1****3</v>
      </c>
      <c r="AV220" t="str">
        <f t="shared" si="98"/>
        <v>***-****-4825</v>
      </c>
      <c r="AW220" t="str">
        <f t="shared" si="99"/>
        <v xml:space="preserve"> 서* 서*구 서**동 서***자 1***호</v>
      </c>
      <c r="AY220" t="str">
        <f t="shared" si="100"/>
        <v>***-****-4199</v>
      </c>
      <c r="AZ220">
        <v>29232</v>
      </c>
      <c r="BA220">
        <v>1033827</v>
      </c>
      <c r="BB220">
        <v>2000</v>
      </c>
      <c r="BC220" t="s">
        <v>2196</v>
      </c>
      <c r="BD220" t="s">
        <v>1205</v>
      </c>
      <c r="BE220" t="str">
        <f t="shared" si="101"/>
        <v>부**텍</v>
      </c>
      <c r="BF220" t="str">
        <f t="shared" si="102"/>
        <v>***-****-4825</v>
      </c>
      <c r="BG220" t="str">
        <f t="shared" si="103"/>
        <v>***-****-4199</v>
      </c>
      <c r="BH220" t="s">
        <v>453</v>
      </c>
      <c r="BI220" t="s">
        <v>454</v>
      </c>
      <c r="BJ220" t="s">
        <v>2216</v>
      </c>
      <c r="BK220" t="s">
        <v>456</v>
      </c>
      <c r="BL220">
        <v>21460</v>
      </c>
      <c r="BM220" t="str">
        <f>"21460"</f>
        <v>21460</v>
      </c>
      <c r="BN220" t="str">
        <f t="shared" si="104"/>
        <v>20180122-0000028</v>
      </c>
      <c r="BQ220" t="s">
        <v>373</v>
      </c>
      <c r="BU220">
        <v>100</v>
      </c>
      <c r="BV220" t="s">
        <v>2217</v>
      </c>
      <c r="BW220" t="s">
        <v>2211</v>
      </c>
      <c r="BX220" t="s">
        <v>215</v>
      </c>
      <c r="BY220">
        <v>0</v>
      </c>
      <c r="BZ220">
        <v>8809140508375</v>
      </c>
      <c r="CA220" t="s">
        <v>2218</v>
      </c>
      <c r="CF220" t="s">
        <v>2213</v>
      </c>
      <c r="CG220" t="s">
        <v>2219</v>
      </c>
      <c r="CH220" t="s">
        <v>377</v>
      </c>
      <c r="CI220" t="s">
        <v>2210</v>
      </c>
      <c r="CJ220">
        <v>1240</v>
      </c>
      <c r="CK220">
        <v>1240</v>
      </c>
      <c r="CL220" t="s">
        <v>2220</v>
      </c>
      <c r="CN220">
        <v>1</v>
      </c>
      <c r="CO220">
        <v>8280</v>
      </c>
      <c r="CP220">
        <v>8280</v>
      </c>
      <c r="CQ220" t="s">
        <v>379</v>
      </c>
      <c r="CS220">
        <v>0</v>
      </c>
    </row>
    <row r="221" spans="1:97" x14ac:dyDescent="0.4">
      <c r="A221" s="10">
        <v>43122</v>
      </c>
      <c r="B221" t="s">
        <v>215</v>
      </c>
      <c r="C221" t="s">
        <v>2221</v>
      </c>
      <c r="D221" t="s">
        <v>359</v>
      </c>
      <c r="E221" t="s">
        <v>2190</v>
      </c>
      <c r="F221" t="str">
        <f t="shared" si="95"/>
        <v>20180122-0000028</v>
      </c>
      <c r="G221">
        <v>1033820</v>
      </c>
      <c r="H221">
        <v>1</v>
      </c>
      <c r="I221" t="s">
        <v>2222</v>
      </c>
      <c r="L221">
        <v>0</v>
      </c>
      <c r="M221">
        <v>1</v>
      </c>
      <c r="O221" t="s">
        <v>361</v>
      </c>
      <c r="P221" t="s">
        <v>1846</v>
      </c>
      <c r="S221" t="s">
        <v>2223</v>
      </c>
      <c r="T221" t="s">
        <v>364</v>
      </c>
      <c r="X221" t="s">
        <v>2224</v>
      </c>
      <c r="AA221">
        <v>11130</v>
      </c>
      <c r="AB221">
        <v>5.27</v>
      </c>
      <c r="AC221" t="s">
        <v>2225</v>
      </c>
      <c r="AD221">
        <v>8.7100000000000009</v>
      </c>
      <c r="AE221">
        <v>8.9499999999999993</v>
      </c>
      <c r="AF221" t="s">
        <v>2226</v>
      </c>
      <c r="AG221">
        <v>3360</v>
      </c>
      <c r="AL221" t="s">
        <v>2222</v>
      </c>
      <c r="AN221" t="s">
        <v>2227</v>
      </c>
      <c r="AQ221">
        <v>3596</v>
      </c>
      <c r="AR221" t="s">
        <v>368</v>
      </c>
      <c r="AS221">
        <v>613617692610</v>
      </c>
      <c r="AT221" t="str">
        <f t="shared" si="96"/>
        <v>부**텍①</v>
      </c>
      <c r="AU221" t="str">
        <f t="shared" si="97"/>
        <v xml:space="preserve"> 1****3</v>
      </c>
      <c r="AV221" t="str">
        <f t="shared" si="98"/>
        <v>***-****-4825</v>
      </c>
      <c r="AW221" t="str">
        <f t="shared" si="99"/>
        <v xml:space="preserve"> 서* 서*구 서**동 서***자 1***호</v>
      </c>
      <c r="AY221" t="str">
        <f t="shared" si="100"/>
        <v>***-****-4199</v>
      </c>
      <c r="AZ221">
        <v>29318</v>
      </c>
      <c r="BA221">
        <v>1033826</v>
      </c>
      <c r="BB221">
        <v>5800</v>
      </c>
      <c r="BC221" t="s">
        <v>2196</v>
      </c>
      <c r="BD221" t="s">
        <v>1205</v>
      </c>
      <c r="BE221" t="str">
        <f t="shared" si="101"/>
        <v>부**텍</v>
      </c>
      <c r="BF221" t="str">
        <f t="shared" si="102"/>
        <v>***-****-4825</v>
      </c>
      <c r="BG221" t="str">
        <f t="shared" si="103"/>
        <v>***-****-4199</v>
      </c>
      <c r="BH221" t="s">
        <v>453</v>
      </c>
      <c r="BI221" t="s">
        <v>454</v>
      </c>
      <c r="BJ221" t="s">
        <v>2228</v>
      </c>
      <c r="BK221" t="s">
        <v>456</v>
      </c>
      <c r="BL221">
        <v>21465</v>
      </c>
      <c r="BM221" t="str">
        <f>"21465"</f>
        <v>21465</v>
      </c>
      <c r="BN221" t="str">
        <f t="shared" si="104"/>
        <v>20180122-0000028</v>
      </c>
      <c r="BQ221" t="s">
        <v>373</v>
      </c>
      <c r="BU221">
        <v>98</v>
      </c>
      <c r="BV221" t="s">
        <v>2229</v>
      </c>
      <c r="BW221" t="s">
        <v>2222</v>
      </c>
      <c r="BX221" t="s">
        <v>215</v>
      </c>
      <c r="BY221">
        <v>0</v>
      </c>
      <c r="BZ221">
        <v>8809140505916</v>
      </c>
      <c r="CA221" t="s">
        <v>2230</v>
      </c>
      <c r="CF221" t="s">
        <v>2224</v>
      </c>
      <c r="CG221" t="s">
        <v>480</v>
      </c>
      <c r="CH221" t="s">
        <v>377</v>
      </c>
      <c r="CI221" t="s">
        <v>2221</v>
      </c>
      <c r="CJ221">
        <v>3596</v>
      </c>
      <c r="CK221">
        <v>3596</v>
      </c>
      <c r="CL221" t="s">
        <v>2231</v>
      </c>
      <c r="CN221">
        <v>1</v>
      </c>
      <c r="CO221">
        <v>11130</v>
      </c>
      <c r="CP221">
        <v>11130</v>
      </c>
      <c r="CQ221" t="s">
        <v>379</v>
      </c>
      <c r="CS221">
        <v>1</v>
      </c>
    </row>
    <row r="222" spans="1:97" x14ac:dyDescent="0.4">
      <c r="A222" s="10">
        <v>43122</v>
      </c>
      <c r="B222" t="s">
        <v>215</v>
      </c>
      <c r="C222" t="s">
        <v>2232</v>
      </c>
      <c r="D222" t="s">
        <v>359</v>
      </c>
      <c r="E222" t="s">
        <v>2190</v>
      </c>
      <c r="F222" t="str">
        <f t="shared" si="95"/>
        <v>20180122-0000028</v>
      </c>
      <c r="G222">
        <v>1033820</v>
      </c>
      <c r="H222">
        <v>1</v>
      </c>
      <c r="I222" t="s">
        <v>2233</v>
      </c>
      <c r="L222">
        <v>0</v>
      </c>
      <c r="M222">
        <v>1</v>
      </c>
      <c r="O222" t="s">
        <v>361</v>
      </c>
      <c r="P222" t="s">
        <v>1846</v>
      </c>
      <c r="S222" t="s">
        <v>2234</v>
      </c>
      <c r="T222" t="s">
        <v>364</v>
      </c>
      <c r="X222" t="s">
        <v>2235</v>
      </c>
      <c r="AA222">
        <v>11130</v>
      </c>
      <c r="AB222">
        <v>5.27</v>
      </c>
      <c r="AC222" t="s">
        <v>2236</v>
      </c>
      <c r="AD222">
        <v>8.7100000000000009</v>
      </c>
      <c r="AE222">
        <v>8.9499999999999993</v>
      </c>
      <c r="AF222" t="s">
        <v>2226</v>
      </c>
      <c r="AG222">
        <v>3360</v>
      </c>
      <c r="AL222" t="s">
        <v>2233</v>
      </c>
      <c r="AN222" t="s">
        <v>2237</v>
      </c>
      <c r="AQ222">
        <v>3596</v>
      </c>
      <c r="AR222" t="s">
        <v>368</v>
      </c>
      <c r="AS222">
        <v>613617692610</v>
      </c>
      <c r="AT222" t="str">
        <f t="shared" si="96"/>
        <v>부**텍①</v>
      </c>
      <c r="AU222" t="str">
        <f t="shared" si="97"/>
        <v xml:space="preserve"> 1****3</v>
      </c>
      <c r="AV222" t="str">
        <f t="shared" si="98"/>
        <v>***-****-4825</v>
      </c>
      <c r="AW222" t="str">
        <f t="shared" si="99"/>
        <v xml:space="preserve"> 서* 서*구 서**동 서***자 1***호</v>
      </c>
      <c r="AY222" t="str">
        <f t="shared" si="100"/>
        <v>***-****-4199</v>
      </c>
      <c r="AZ222">
        <v>29319</v>
      </c>
      <c r="BA222">
        <v>1033825</v>
      </c>
      <c r="BB222">
        <v>5800</v>
      </c>
      <c r="BC222" t="s">
        <v>2196</v>
      </c>
      <c r="BD222" t="s">
        <v>1205</v>
      </c>
      <c r="BE222" t="str">
        <f t="shared" si="101"/>
        <v>부**텍</v>
      </c>
      <c r="BF222" t="str">
        <f t="shared" si="102"/>
        <v>***-****-4825</v>
      </c>
      <c r="BG222" t="str">
        <f t="shared" si="103"/>
        <v>***-****-4199</v>
      </c>
      <c r="BH222" t="s">
        <v>453</v>
      </c>
      <c r="BI222" t="s">
        <v>454</v>
      </c>
      <c r="BJ222" t="s">
        <v>2238</v>
      </c>
      <c r="BK222" t="s">
        <v>456</v>
      </c>
      <c r="BL222">
        <v>21465</v>
      </c>
      <c r="BM222" t="str">
        <f>"21465"</f>
        <v>21465</v>
      </c>
      <c r="BN222" t="str">
        <f t="shared" si="104"/>
        <v>20180122-0000028</v>
      </c>
      <c r="BQ222" t="s">
        <v>373</v>
      </c>
      <c r="BU222">
        <v>94</v>
      </c>
      <c r="BV222" t="s">
        <v>2239</v>
      </c>
      <c r="BW222" t="s">
        <v>2233</v>
      </c>
      <c r="BX222" t="s">
        <v>215</v>
      </c>
      <c r="BY222">
        <v>0</v>
      </c>
      <c r="BZ222">
        <v>8809140505909</v>
      </c>
      <c r="CA222" t="s">
        <v>2240</v>
      </c>
      <c r="CF222" t="s">
        <v>2235</v>
      </c>
      <c r="CG222" t="s">
        <v>480</v>
      </c>
      <c r="CH222" t="s">
        <v>377</v>
      </c>
      <c r="CI222" t="s">
        <v>2232</v>
      </c>
      <c r="CJ222">
        <v>3596</v>
      </c>
      <c r="CK222">
        <v>3596</v>
      </c>
      <c r="CL222" t="s">
        <v>1521</v>
      </c>
      <c r="CN222">
        <v>1</v>
      </c>
      <c r="CO222">
        <v>11130</v>
      </c>
      <c r="CP222">
        <v>11130</v>
      </c>
      <c r="CQ222" t="s">
        <v>379</v>
      </c>
      <c r="CS222">
        <v>2</v>
      </c>
    </row>
    <row r="223" spans="1:97" x14ac:dyDescent="0.4">
      <c r="A223" s="10">
        <v>43122</v>
      </c>
      <c r="B223" t="s">
        <v>200</v>
      </c>
      <c r="C223" t="s">
        <v>2241</v>
      </c>
      <c r="D223" t="s">
        <v>359</v>
      </c>
      <c r="E223" t="s">
        <v>2190</v>
      </c>
      <c r="F223" t="str">
        <f t="shared" si="95"/>
        <v>20180122-0000028</v>
      </c>
      <c r="G223">
        <v>1033820</v>
      </c>
      <c r="H223">
        <v>1</v>
      </c>
      <c r="I223" t="s">
        <v>2242</v>
      </c>
      <c r="L223">
        <v>0</v>
      </c>
      <c r="M223">
        <v>1</v>
      </c>
      <c r="O223" t="s">
        <v>361</v>
      </c>
      <c r="P223" t="s">
        <v>1846</v>
      </c>
      <c r="S223" t="s">
        <v>2243</v>
      </c>
      <c r="T223" t="s">
        <v>364</v>
      </c>
      <c r="X223" t="s">
        <v>2244</v>
      </c>
      <c r="AA223">
        <v>15056</v>
      </c>
      <c r="AB223">
        <v>10</v>
      </c>
      <c r="AC223" t="s">
        <v>2245</v>
      </c>
      <c r="AD223">
        <v>12.28</v>
      </c>
      <c r="AE223">
        <v>12.62</v>
      </c>
      <c r="AF223" t="s">
        <v>1860</v>
      </c>
      <c r="AG223">
        <v>3360</v>
      </c>
      <c r="AL223" t="s">
        <v>2242</v>
      </c>
      <c r="AN223" t="s">
        <v>2246</v>
      </c>
      <c r="AQ223">
        <v>6050</v>
      </c>
      <c r="AR223" t="s">
        <v>368</v>
      </c>
      <c r="AS223">
        <v>613617692610</v>
      </c>
      <c r="AT223" t="str">
        <f t="shared" si="96"/>
        <v>부**텍①</v>
      </c>
      <c r="AU223" t="str">
        <f t="shared" si="97"/>
        <v xml:space="preserve"> 1****3</v>
      </c>
      <c r="AV223" t="str">
        <f t="shared" si="98"/>
        <v>***-****-4825</v>
      </c>
      <c r="AW223" t="str">
        <f t="shared" si="99"/>
        <v xml:space="preserve"> 서* 서*구 서**동 서***자 1***호</v>
      </c>
      <c r="AY223" t="str">
        <f t="shared" si="100"/>
        <v>***-****-4199</v>
      </c>
      <c r="AZ223">
        <v>29321</v>
      </c>
      <c r="BA223">
        <v>1033820</v>
      </c>
      <c r="BB223">
        <v>11000</v>
      </c>
      <c r="BC223" t="s">
        <v>2196</v>
      </c>
      <c r="BD223" t="s">
        <v>1205</v>
      </c>
      <c r="BE223" t="str">
        <f t="shared" si="101"/>
        <v>부**텍</v>
      </c>
      <c r="BF223" t="str">
        <f t="shared" si="102"/>
        <v>***-****-4825</v>
      </c>
      <c r="BG223" t="str">
        <f t="shared" si="103"/>
        <v>***-****-4199</v>
      </c>
      <c r="BH223" t="s">
        <v>453</v>
      </c>
      <c r="BI223" t="s">
        <v>454</v>
      </c>
      <c r="BJ223" t="s">
        <v>2247</v>
      </c>
      <c r="BK223" t="s">
        <v>456</v>
      </c>
      <c r="BL223">
        <v>21380</v>
      </c>
      <c r="BM223" t="str">
        <f>"21380"</f>
        <v>21380</v>
      </c>
      <c r="BN223" t="str">
        <f t="shared" si="104"/>
        <v>20180122-0000028</v>
      </c>
      <c r="BQ223" t="s">
        <v>373</v>
      </c>
      <c r="BU223">
        <v>70</v>
      </c>
      <c r="BV223" t="s">
        <v>2248</v>
      </c>
      <c r="BW223" t="s">
        <v>2242</v>
      </c>
      <c r="BX223" t="s">
        <v>200</v>
      </c>
      <c r="BY223">
        <v>0</v>
      </c>
      <c r="BZ223">
        <v>8809530076828</v>
      </c>
      <c r="CA223" t="s">
        <v>2249</v>
      </c>
      <c r="CF223" t="s">
        <v>2244</v>
      </c>
      <c r="CG223" t="s">
        <v>389</v>
      </c>
      <c r="CH223" t="s">
        <v>377</v>
      </c>
      <c r="CI223" t="s">
        <v>2241</v>
      </c>
      <c r="CJ223">
        <v>6050</v>
      </c>
      <c r="CK223">
        <v>6050</v>
      </c>
      <c r="CL223" t="s">
        <v>2250</v>
      </c>
      <c r="CN223">
        <v>1</v>
      </c>
      <c r="CO223">
        <v>15056</v>
      </c>
      <c r="CP223">
        <v>15056</v>
      </c>
      <c r="CQ223" t="s">
        <v>379</v>
      </c>
      <c r="CS223">
        <v>0</v>
      </c>
    </row>
    <row r="224" spans="1:97" x14ac:dyDescent="0.4">
      <c r="A224" s="10">
        <v>43122</v>
      </c>
      <c r="B224" t="s">
        <v>205</v>
      </c>
      <c r="C224" t="s">
        <v>2251</v>
      </c>
      <c r="D224" t="s">
        <v>359</v>
      </c>
      <c r="E224" t="s">
        <v>2190</v>
      </c>
      <c r="F224" t="str">
        <f t="shared" si="95"/>
        <v>20180122-0000028</v>
      </c>
      <c r="G224">
        <v>1033820</v>
      </c>
      <c r="H224">
        <v>1</v>
      </c>
      <c r="I224" t="s">
        <v>2252</v>
      </c>
      <c r="L224">
        <v>0</v>
      </c>
      <c r="M224">
        <v>1</v>
      </c>
      <c r="O224" t="s">
        <v>361</v>
      </c>
      <c r="P224" t="s">
        <v>1846</v>
      </c>
      <c r="S224" t="s">
        <v>2253</v>
      </c>
      <c r="T224" t="s">
        <v>364</v>
      </c>
      <c r="X224" t="s">
        <v>2252</v>
      </c>
      <c r="AA224">
        <v>33930</v>
      </c>
      <c r="AB224">
        <v>29.61</v>
      </c>
      <c r="AC224" t="s">
        <v>2254</v>
      </c>
      <c r="AD224">
        <v>32.270000000000003</v>
      </c>
      <c r="AE224">
        <v>33.159999999999997</v>
      </c>
      <c r="AF224" t="s">
        <v>873</v>
      </c>
      <c r="AG224">
        <v>6500</v>
      </c>
      <c r="AH224">
        <v>421</v>
      </c>
      <c r="AI224">
        <v>6500</v>
      </c>
      <c r="AK224">
        <v>346</v>
      </c>
      <c r="AL224" t="s">
        <v>2252</v>
      </c>
      <c r="AQ224">
        <v>18200</v>
      </c>
      <c r="AR224" t="s">
        <v>368</v>
      </c>
      <c r="AS224">
        <v>613617692610</v>
      </c>
      <c r="AT224" t="str">
        <f t="shared" si="96"/>
        <v>부**텍①</v>
      </c>
      <c r="AU224" t="str">
        <f t="shared" si="97"/>
        <v xml:space="preserve"> 1****3</v>
      </c>
      <c r="AV224" t="str">
        <f t="shared" si="98"/>
        <v>***-****-4825</v>
      </c>
      <c r="AW224" t="str">
        <f t="shared" si="99"/>
        <v xml:space="preserve"> 서* 서*구 서**동 서***자 1***호</v>
      </c>
      <c r="AY224" t="str">
        <f t="shared" si="100"/>
        <v>***-****-4199</v>
      </c>
      <c r="AZ224">
        <v>14931</v>
      </c>
      <c r="BA224">
        <v>1033828</v>
      </c>
      <c r="BB224">
        <v>28000</v>
      </c>
      <c r="BC224" t="s">
        <v>2196</v>
      </c>
      <c r="BD224" t="s">
        <v>1205</v>
      </c>
      <c r="BE224" t="str">
        <f t="shared" si="101"/>
        <v>부**텍</v>
      </c>
      <c r="BF224" t="str">
        <f t="shared" si="102"/>
        <v>***-****-4825</v>
      </c>
      <c r="BG224" t="str">
        <f t="shared" si="103"/>
        <v>***-****-4199</v>
      </c>
      <c r="BH224" t="s">
        <v>453</v>
      </c>
      <c r="BI224" t="s">
        <v>454</v>
      </c>
      <c r="BJ224" t="s">
        <v>2255</v>
      </c>
      <c r="BK224" t="s">
        <v>456</v>
      </c>
      <c r="BL224">
        <v>17528</v>
      </c>
      <c r="BM224" t="str">
        <f>"17528"</f>
        <v>17528</v>
      </c>
      <c r="BN224" t="str">
        <f t="shared" si="104"/>
        <v>20180122-0000028</v>
      </c>
      <c r="BQ224" t="s">
        <v>373</v>
      </c>
      <c r="BV224" t="s">
        <v>2256</v>
      </c>
      <c r="BW224" t="s">
        <v>2252</v>
      </c>
      <c r="BX224" t="s">
        <v>205</v>
      </c>
      <c r="BY224">
        <v>0</v>
      </c>
      <c r="BZ224">
        <v>8801042573185</v>
      </c>
      <c r="CA224" t="s">
        <v>2257</v>
      </c>
      <c r="CF224" t="s">
        <v>2252</v>
      </c>
      <c r="CG224" t="s">
        <v>444</v>
      </c>
      <c r="CH224" t="s">
        <v>377</v>
      </c>
      <c r="CI224" t="s">
        <v>2251</v>
      </c>
      <c r="CJ224">
        <v>18200</v>
      </c>
      <c r="CK224">
        <v>18200</v>
      </c>
      <c r="CL224" t="s">
        <v>2258</v>
      </c>
      <c r="CN224">
        <v>1</v>
      </c>
      <c r="CO224">
        <v>33930</v>
      </c>
      <c r="CP224">
        <v>33930</v>
      </c>
      <c r="CQ224" t="s">
        <v>379</v>
      </c>
      <c r="CS224">
        <v>0</v>
      </c>
    </row>
    <row r="225" spans="1:97" x14ac:dyDescent="0.4">
      <c r="A225" s="10">
        <v>43122</v>
      </c>
      <c r="B225" t="s">
        <v>107</v>
      </c>
      <c r="C225" t="s">
        <v>2259</v>
      </c>
      <c r="D225" t="s">
        <v>359</v>
      </c>
      <c r="E225" t="s">
        <v>2260</v>
      </c>
      <c r="F225" t="str">
        <f t="shared" ref="F225:F231" si="105">"20180118-0000029"</f>
        <v>20180118-0000029</v>
      </c>
      <c r="G225">
        <v>1031893</v>
      </c>
      <c r="H225">
        <v>3</v>
      </c>
      <c r="I225" t="s">
        <v>2261</v>
      </c>
      <c r="J225">
        <v>64800</v>
      </c>
      <c r="L225">
        <v>0</v>
      </c>
      <c r="M225">
        <v>1</v>
      </c>
      <c r="O225" t="s">
        <v>361</v>
      </c>
      <c r="P225" t="s">
        <v>2262</v>
      </c>
      <c r="S225" t="s">
        <v>2263</v>
      </c>
      <c r="T225" t="s">
        <v>364</v>
      </c>
      <c r="X225" t="s">
        <v>2264</v>
      </c>
      <c r="AA225">
        <v>30355</v>
      </c>
      <c r="AB225">
        <v>27.04</v>
      </c>
      <c r="AC225" t="s">
        <v>2265</v>
      </c>
      <c r="AD225">
        <v>29.47</v>
      </c>
      <c r="AE225">
        <v>30.28</v>
      </c>
      <c r="AF225" t="s">
        <v>441</v>
      </c>
      <c r="AG225">
        <v>2350</v>
      </c>
      <c r="AL225" t="s">
        <v>2261</v>
      </c>
      <c r="AQ225">
        <v>21000</v>
      </c>
      <c r="AR225" t="s">
        <v>368</v>
      </c>
      <c r="AS225">
        <v>613617692595</v>
      </c>
      <c r="AT225" t="str">
        <f t="shared" ref="AT225:AT247" si="106">"피****아"</f>
        <v>피****아</v>
      </c>
      <c r="AU225" t="str">
        <f t="shared" ref="AU225:AU247" si="107">" 1****0"</f>
        <v xml:space="preserve"> 1****0</v>
      </c>
      <c r="AV225" t="str">
        <f t="shared" ref="AV225:AV247" si="108">"***-****-1406"</f>
        <v>***-****-1406</v>
      </c>
      <c r="AW225" t="str">
        <f t="shared" ref="AW225:AW247" si="109">" 서* 강*구 방*동 5****5 2* 김****님"</f>
        <v xml:space="preserve"> 서* 강*구 방*동 5****5 2* 김****님</v>
      </c>
      <c r="AX225" t="str">
        <f>""</f>
        <v/>
      </c>
      <c r="AY225" t="str">
        <f t="shared" ref="AY225:AY247" si="110">"***-****-0388"</f>
        <v>***-****-0388</v>
      </c>
      <c r="AZ225">
        <v>27924</v>
      </c>
      <c r="BA225">
        <v>1031960</v>
      </c>
      <c r="BB225">
        <v>90000</v>
      </c>
      <c r="BC225" t="s">
        <v>2266</v>
      </c>
      <c r="BD225" t="s">
        <v>1195</v>
      </c>
      <c r="BE225" t="str">
        <f t="shared" ref="BE225:BE247" si="111">"피****아"</f>
        <v>피****아</v>
      </c>
      <c r="BF225" t="str">
        <f t="shared" ref="BF225:BF247" si="112">"***-****-6097"</f>
        <v>***-****-6097</v>
      </c>
      <c r="BG225" t="str">
        <f t="shared" ref="BG225:BG247" si="113">"***-****-7488"</f>
        <v>***-****-7488</v>
      </c>
      <c r="BH225" t="s">
        <v>453</v>
      </c>
      <c r="BI225" t="s">
        <v>454</v>
      </c>
      <c r="BJ225" t="s">
        <v>2267</v>
      </c>
      <c r="BK225" t="s">
        <v>456</v>
      </c>
      <c r="BL225">
        <v>20781</v>
      </c>
      <c r="BM225" t="str">
        <f>"20781"</f>
        <v>20781</v>
      </c>
      <c r="BN225" t="str">
        <f t="shared" ref="BN225:BN231" si="114">"20180118-0000029"</f>
        <v>20180118-0000029</v>
      </c>
      <c r="BQ225" t="s">
        <v>373</v>
      </c>
      <c r="BV225" t="s">
        <v>2268</v>
      </c>
      <c r="BW225" t="s">
        <v>2261</v>
      </c>
      <c r="BX225" t="s">
        <v>107</v>
      </c>
      <c r="BY225">
        <v>0</v>
      </c>
      <c r="BZ225">
        <v>8801042560154</v>
      </c>
      <c r="CA225" t="s">
        <v>2269</v>
      </c>
      <c r="CF225" t="s">
        <v>2264</v>
      </c>
      <c r="CG225" t="s">
        <v>1908</v>
      </c>
      <c r="CH225" t="s">
        <v>377</v>
      </c>
      <c r="CI225" t="s">
        <v>2259</v>
      </c>
      <c r="CJ225">
        <v>21000</v>
      </c>
      <c r="CK225">
        <v>63000</v>
      </c>
      <c r="CL225" t="s">
        <v>2270</v>
      </c>
      <c r="CN225">
        <v>3</v>
      </c>
      <c r="CO225">
        <v>30355</v>
      </c>
      <c r="CP225">
        <v>91065</v>
      </c>
      <c r="CQ225" t="s">
        <v>379</v>
      </c>
      <c r="CS225">
        <v>0</v>
      </c>
    </row>
    <row r="226" spans="1:97" x14ac:dyDescent="0.4">
      <c r="A226" s="10">
        <v>43122</v>
      </c>
      <c r="B226" t="s">
        <v>107</v>
      </c>
      <c r="C226" t="s">
        <v>744</v>
      </c>
      <c r="D226" t="s">
        <v>359</v>
      </c>
      <c r="E226" t="s">
        <v>2260</v>
      </c>
      <c r="F226" t="str">
        <f t="shared" si="105"/>
        <v>20180118-0000029</v>
      </c>
      <c r="G226">
        <v>1031893</v>
      </c>
      <c r="H226">
        <v>1</v>
      </c>
      <c r="I226" t="s">
        <v>745</v>
      </c>
      <c r="J226">
        <v>61200</v>
      </c>
      <c r="L226">
        <v>0</v>
      </c>
      <c r="M226">
        <v>1</v>
      </c>
      <c r="O226" t="s">
        <v>361</v>
      </c>
      <c r="P226" t="s">
        <v>2262</v>
      </c>
      <c r="S226" t="s">
        <v>2271</v>
      </c>
      <c r="T226" t="s">
        <v>364</v>
      </c>
      <c r="X226" t="s">
        <v>747</v>
      </c>
      <c r="AA226">
        <v>81718</v>
      </c>
      <c r="AB226">
        <v>77.27</v>
      </c>
      <c r="AC226" t="s">
        <v>748</v>
      </c>
      <c r="AD226">
        <v>72.67</v>
      </c>
      <c r="AE226">
        <v>74.67</v>
      </c>
      <c r="AF226" t="s">
        <v>726</v>
      </c>
      <c r="AG226">
        <v>3360</v>
      </c>
      <c r="AL226" t="s">
        <v>745</v>
      </c>
      <c r="AQ226">
        <v>59500</v>
      </c>
      <c r="AR226" t="s">
        <v>368</v>
      </c>
      <c r="AS226">
        <v>613617692595</v>
      </c>
      <c r="AT226" t="str">
        <f t="shared" si="106"/>
        <v>피****아</v>
      </c>
      <c r="AU226" t="str">
        <f t="shared" si="107"/>
        <v xml:space="preserve"> 1****0</v>
      </c>
      <c r="AV226" t="str">
        <f t="shared" si="108"/>
        <v>***-****-1406</v>
      </c>
      <c r="AW226" t="str">
        <f t="shared" si="109"/>
        <v xml:space="preserve"> 서* 강*구 방*동 5****5 2* 김****님</v>
      </c>
      <c r="AX226" t="str">
        <f>""</f>
        <v/>
      </c>
      <c r="AY226" t="str">
        <f t="shared" si="110"/>
        <v>***-****-0388</v>
      </c>
      <c r="AZ226">
        <v>27791</v>
      </c>
      <c r="BA226">
        <v>1031961</v>
      </c>
      <c r="BB226">
        <v>85000</v>
      </c>
      <c r="BC226" t="s">
        <v>2266</v>
      </c>
      <c r="BD226" t="s">
        <v>1195</v>
      </c>
      <c r="BE226" t="str">
        <f t="shared" si="111"/>
        <v>피****아</v>
      </c>
      <c r="BF226" t="str">
        <f t="shared" si="112"/>
        <v>***-****-6097</v>
      </c>
      <c r="BG226" t="str">
        <f t="shared" si="113"/>
        <v>***-****-7488</v>
      </c>
      <c r="BH226" t="s">
        <v>453</v>
      </c>
      <c r="BI226" t="s">
        <v>454</v>
      </c>
      <c r="BJ226" t="s">
        <v>2272</v>
      </c>
      <c r="BK226" t="s">
        <v>456</v>
      </c>
      <c r="BL226">
        <v>21254</v>
      </c>
      <c r="BM226" t="str">
        <f>"21254"</f>
        <v>21254</v>
      </c>
      <c r="BN226" t="str">
        <f t="shared" si="114"/>
        <v>20180118-0000029</v>
      </c>
      <c r="BQ226" t="s">
        <v>373</v>
      </c>
      <c r="BU226">
        <v>110</v>
      </c>
      <c r="BV226" t="s">
        <v>750</v>
      </c>
      <c r="BW226" t="s">
        <v>745</v>
      </c>
      <c r="BX226" t="s">
        <v>107</v>
      </c>
      <c r="BY226">
        <v>0</v>
      </c>
      <c r="BZ226">
        <v>8809559343963</v>
      </c>
      <c r="CA226" t="s">
        <v>751</v>
      </c>
      <c r="CF226" t="s">
        <v>747</v>
      </c>
      <c r="CG226" t="s">
        <v>534</v>
      </c>
      <c r="CH226" t="s">
        <v>377</v>
      </c>
      <c r="CI226" t="s">
        <v>744</v>
      </c>
      <c r="CJ226">
        <v>59500</v>
      </c>
      <c r="CK226">
        <v>59500</v>
      </c>
      <c r="CL226" t="s">
        <v>752</v>
      </c>
      <c r="CN226">
        <v>1</v>
      </c>
      <c r="CO226">
        <v>81718</v>
      </c>
      <c r="CP226">
        <v>81718</v>
      </c>
      <c r="CQ226" t="s">
        <v>379</v>
      </c>
      <c r="CS226">
        <v>0</v>
      </c>
    </row>
    <row r="227" spans="1:97" x14ac:dyDescent="0.4">
      <c r="A227" s="10">
        <v>43122</v>
      </c>
      <c r="B227" t="s">
        <v>210</v>
      </c>
      <c r="C227" t="s">
        <v>841</v>
      </c>
      <c r="D227" t="s">
        <v>359</v>
      </c>
      <c r="E227" t="s">
        <v>2260</v>
      </c>
      <c r="F227" t="str">
        <f t="shared" si="105"/>
        <v>20180118-0000029</v>
      </c>
      <c r="G227">
        <v>1031893</v>
      </c>
      <c r="H227">
        <v>1</v>
      </c>
      <c r="I227" t="s">
        <v>842</v>
      </c>
      <c r="J227">
        <v>11520</v>
      </c>
      <c r="L227">
        <v>0</v>
      </c>
      <c r="M227">
        <v>1</v>
      </c>
      <c r="O227" t="s">
        <v>361</v>
      </c>
      <c r="P227" t="s">
        <v>2262</v>
      </c>
      <c r="S227" t="s">
        <v>2273</v>
      </c>
      <c r="T227" t="s">
        <v>364</v>
      </c>
      <c r="X227" t="s">
        <v>842</v>
      </c>
      <c r="AA227">
        <v>19012</v>
      </c>
      <c r="AB227">
        <v>16.72</v>
      </c>
      <c r="AC227" t="s">
        <v>844</v>
      </c>
      <c r="AD227">
        <v>18.23</v>
      </c>
      <c r="AE227">
        <v>18.73</v>
      </c>
      <c r="AF227" t="s">
        <v>845</v>
      </c>
      <c r="AG227">
        <v>1880</v>
      </c>
      <c r="AK227">
        <v>27</v>
      </c>
      <c r="AL227" t="s">
        <v>842</v>
      </c>
      <c r="AN227" t="s">
        <v>846</v>
      </c>
      <c r="AQ227">
        <v>11700</v>
      </c>
      <c r="AR227" t="s">
        <v>368</v>
      </c>
      <c r="AS227">
        <v>613617692595</v>
      </c>
      <c r="AT227" t="str">
        <f t="shared" si="106"/>
        <v>피****아</v>
      </c>
      <c r="AU227" t="str">
        <f t="shared" si="107"/>
        <v xml:space="preserve"> 1****0</v>
      </c>
      <c r="AV227" t="str">
        <f t="shared" si="108"/>
        <v>***-****-1406</v>
      </c>
      <c r="AW227" t="str">
        <f t="shared" si="109"/>
        <v xml:space="preserve"> 서* 강*구 방*동 5****5 2* 김****님</v>
      </c>
      <c r="AX227" t="str">
        <f>""</f>
        <v/>
      </c>
      <c r="AY227" t="str">
        <f t="shared" si="110"/>
        <v>***-****-0388</v>
      </c>
      <c r="AZ227">
        <v>29115</v>
      </c>
      <c r="BA227">
        <v>1031951</v>
      </c>
      <c r="BB227">
        <v>18000</v>
      </c>
      <c r="BC227" t="s">
        <v>2266</v>
      </c>
      <c r="BD227" t="s">
        <v>1195</v>
      </c>
      <c r="BE227" t="str">
        <f t="shared" si="111"/>
        <v>피****아</v>
      </c>
      <c r="BF227" t="str">
        <f t="shared" si="112"/>
        <v>***-****-6097</v>
      </c>
      <c r="BG227" t="str">
        <f t="shared" si="113"/>
        <v>***-****-7488</v>
      </c>
      <c r="BH227" t="s">
        <v>453</v>
      </c>
      <c r="BI227" t="s">
        <v>454</v>
      </c>
      <c r="BJ227" t="s">
        <v>2274</v>
      </c>
      <c r="BK227" t="s">
        <v>456</v>
      </c>
      <c r="BL227">
        <v>19267</v>
      </c>
      <c r="BM227" t="str">
        <f>"19267"</f>
        <v>19267</v>
      </c>
      <c r="BN227" t="str">
        <f t="shared" si="114"/>
        <v>20180118-0000029</v>
      </c>
      <c r="BQ227" t="s">
        <v>373</v>
      </c>
      <c r="BV227" t="s">
        <v>848</v>
      </c>
      <c r="BW227" t="s">
        <v>842</v>
      </c>
      <c r="BX227" t="s">
        <v>210</v>
      </c>
      <c r="BY227">
        <v>0</v>
      </c>
      <c r="BZ227">
        <v>8801042677944</v>
      </c>
      <c r="CA227" t="s">
        <v>849</v>
      </c>
      <c r="CF227" t="s">
        <v>842</v>
      </c>
      <c r="CG227" t="s">
        <v>458</v>
      </c>
      <c r="CH227" t="s">
        <v>377</v>
      </c>
      <c r="CI227" t="s">
        <v>841</v>
      </c>
      <c r="CJ227">
        <v>11700</v>
      </c>
      <c r="CK227">
        <v>11700</v>
      </c>
      <c r="CL227" t="s">
        <v>850</v>
      </c>
      <c r="CN227">
        <v>1</v>
      </c>
      <c r="CO227">
        <v>19012</v>
      </c>
      <c r="CP227">
        <v>19012</v>
      </c>
      <c r="CQ227" t="s">
        <v>379</v>
      </c>
      <c r="CS227">
        <v>0</v>
      </c>
    </row>
    <row r="228" spans="1:97" x14ac:dyDescent="0.4">
      <c r="A228" s="10">
        <v>43122</v>
      </c>
      <c r="B228" t="s">
        <v>129</v>
      </c>
      <c r="C228" t="s">
        <v>879</v>
      </c>
      <c r="D228" t="s">
        <v>359</v>
      </c>
      <c r="E228" t="s">
        <v>2260</v>
      </c>
      <c r="F228" t="str">
        <f t="shared" si="105"/>
        <v>20180118-0000029</v>
      </c>
      <c r="G228">
        <v>1031893</v>
      </c>
      <c r="H228">
        <v>1</v>
      </c>
      <c r="I228" t="s">
        <v>880</v>
      </c>
      <c r="J228">
        <v>27360</v>
      </c>
      <c r="L228">
        <v>0</v>
      </c>
      <c r="M228">
        <v>1</v>
      </c>
      <c r="O228" t="s">
        <v>361</v>
      </c>
      <c r="P228" t="s">
        <v>2262</v>
      </c>
      <c r="S228" t="s">
        <v>2275</v>
      </c>
      <c r="T228" t="s">
        <v>364</v>
      </c>
      <c r="X228" t="s">
        <v>882</v>
      </c>
      <c r="AA228">
        <v>38948</v>
      </c>
      <c r="AB228">
        <v>34.549999999999997</v>
      </c>
      <c r="AC228" t="s">
        <v>883</v>
      </c>
      <c r="AD228">
        <v>37.729999999999997</v>
      </c>
      <c r="AE228">
        <v>38.770000000000003</v>
      </c>
      <c r="AF228" t="s">
        <v>884</v>
      </c>
      <c r="AG228">
        <v>3360</v>
      </c>
      <c r="AK228">
        <v>164</v>
      </c>
      <c r="AL228" t="s">
        <v>880</v>
      </c>
      <c r="AN228" t="s">
        <v>885</v>
      </c>
      <c r="AQ228">
        <v>26600</v>
      </c>
      <c r="AR228" t="s">
        <v>368</v>
      </c>
      <c r="AS228">
        <v>613617692595</v>
      </c>
      <c r="AT228" t="str">
        <f t="shared" si="106"/>
        <v>피****아</v>
      </c>
      <c r="AU228" t="str">
        <f t="shared" si="107"/>
        <v xml:space="preserve"> 1****0</v>
      </c>
      <c r="AV228" t="str">
        <f t="shared" si="108"/>
        <v>***-****-1406</v>
      </c>
      <c r="AW228" t="str">
        <f t="shared" si="109"/>
        <v xml:space="preserve"> 서* 강*구 방*동 5****5 2* 김****님</v>
      </c>
      <c r="AX228" t="str">
        <f>""</f>
        <v/>
      </c>
      <c r="AY228" t="str">
        <f t="shared" si="110"/>
        <v>***-****-0388</v>
      </c>
      <c r="AZ228">
        <v>28056</v>
      </c>
      <c r="BA228">
        <v>1031952</v>
      </c>
      <c r="BB228">
        <v>38000</v>
      </c>
      <c r="BC228" t="s">
        <v>2266</v>
      </c>
      <c r="BD228" t="s">
        <v>1195</v>
      </c>
      <c r="BE228" t="str">
        <f t="shared" si="111"/>
        <v>피****아</v>
      </c>
      <c r="BF228" t="str">
        <f t="shared" si="112"/>
        <v>***-****-6097</v>
      </c>
      <c r="BG228" t="str">
        <f t="shared" si="113"/>
        <v>***-****-7488</v>
      </c>
      <c r="BH228" t="s">
        <v>453</v>
      </c>
      <c r="BI228" t="s">
        <v>454</v>
      </c>
      <c r="BJ228" t="s">
        <v>2276</v>
      </c>
      <c r="BK228" t="s">
        <v>456</v>
      </c>
      <c r="BL228">
        <v>21185</v>
      </c>
      <c r="BM228" t="str">
        <f>"21185"</f>
        <v>21185</v>
      </c>
      <c r="BN228" t="str">
        <f t="shared" si="114"/>
        <v>20180118-0000029</v>
      </c>
      <c r="BQ228" t="s">
        <v>373</v>
      </c>
      <c r="BU228">
        <v>117</v>
      </c>
      <c r="BV228" t="s">
        <v>887</v>
      </c>
      <c r="BW228" t="s">
        <v>880</v>
      </c>
      <c r="BX228" t="s">
        <v>129</v>
      </c>
      <c r="BY228">
        <v>0</v>
      </c>
      <c r="BZ228">
        <v>8809560220536</v>
      </c>
      <c r="CA228" t="s">
        <v>888</v>
      </c>
      <c r="CF228" t="s">
        <v>882</v>
      </c>
      <c r="CG228" t="s">
        <v>376</v>
      </c>
      <c r="CH228" t="s">
        <v>377</v>
      </c>
      <c r="CI228" t="s">
        <v>879</v>
      </c>
      <c r="CJ228">
        <v>26600</v>
      </c>
      <c r="CK228">
        <v>26600</v>
      </c>
      <c r="CL228" t="s">
        <v>889</v>
      </c>
      <c r="CN228">
        <v>1</v>
      </c>
      <c r="CO228">
        <v>38948</v>
      </c>
      <c r="CP228">
        <v>38948</v>
      </c>
      <c r="CQ228" t="s">
        <v>379</v>
      </c>
      <c r="CS228">
        <v>0</v>
      </c>
    </row>
    <row r="229" spans="1:97" x14ac:dyDescent="0.4">
      <c r="A229" s="10">
        <v>43122</v>
      </c>
      <c r="B229" t="s">
        <v>129</v>
      </c>
      <c r="C229" t="s">
        <v>2277</v>
      </c>
      <c r="D229" t="s">
        <v>359</v>
      </c>
      <c r="E229" t="s">
        <v>2260</v>
      </c>
      <c r="F229" t="str">
        <f t="shared" si="105"/>
        <v>20180118-0000029</v>
      </c>
      <c r="G229">
        <v>1031893</v>
      </c>
      <c r="H229">
        <v>1</v>
      </c>
      <c r="I229" t="s">
        <v>2278</v>
      </c>
      <c r="J229">
        <v>27360</v>
      </c>
      <c r="L229">
        <v>0</v>
      </c>
      <c r="M229">
        <v>1</v>
      </c>
      <c r="O229" t="s">
        <v>361</v>
      </c>
      <c r="P229" t="s">
        <v>2262</v>
      </c>
      <c r="S229" t="s">
        <v>2279</v>
      </c>
      <c r="T229" t="s">
        <v>364</v>
      </c>
      <c r="X229" t="s">
        <v>2280</v>
      </c>
      <c r="AA229">
        <v>38948</v>
      </c>
      <c r="AB229">
        <v>34.549999999999997</v>
      </c>
      <c r="AC229" t="s">
        <v>2281</v>
      </c>
      <c r="AD229">
        <v>37.729999999999997</v>
      </c>
      <c r="AE229">
        <v>38.770000000000003</v>
      </c>
      <c r="AF229" t="s">
        <v>884</v>
      </c>
      <c r="AG229">
        <v>3360</v>
      </c>
      <c r="AK229">
        <v>164</v>
      </c>
      <c r="AL229" t="s">
        <v>2278</v>
      </c>
      <c r="AN229" t="s">
        <v>2282</v>
      </c>
      <c r="AQ229">
        <v>26600</v>
      </c>
      <c r="AR229" t="s">
        <v>368</v>
      </c>
      <c r="AS229">
        <v>613617692595</v>
      </c>
      <c r="AT229" t="str">
        <f t="shared" si="106"/>
        <v>피****아</v>
      </c>
      <c r="AU229" t="str">
        <f t="shared" si="107"/>
        <v xml:space="preserve"> 1****0</v>
      </c>
      <c r="AV229" t="str">
        <f t="shared" si="108"/>
        <v>***-****-1406</v>
      </c>
      <c r="AW229" t="str">
        <f t="shared" si="109"/>
        <v xml:space="preserve"> 서* 강*구 방*동 5****5 2* 김****님</v>
      </c>
      <c r="AX229" t="str">
        <f>""</f>
        <v/>
      </c>
      <c r="AY229" t="str">
        <f t="shared" si="110"/>
        <v>***-****-0388</v>
      </c>
      <c r="AZ229">
        <v>27682</v>
      </c>
      <c r="BA229">
        <v>1031953</v>
      </c>
      <c r="BB229">
        <v>38000</v>
      </c>
      <c r="BC229" t="s">
        <v>2266</v>
      </c>
      <c r="BD229" t="s">
        <v>1195</v>
      </c>
      <c r="BE229" t="str">
        <f t="shared" si="111"/>
        <v>피****아</v>
      </c>
      <c r="BF229" t="str">
        <f t="shared" si="112"/>
        <v>***-****-6097</v>
      </c>
      <c r="BG229" t="str">
        <f t="shared" si="113"/>
        <v>***-****-7488</v>
      </c>
      <c r="BH229" t="s">
        <v>453</v>
      </c>
      <c r="BI229" t="s">
        <v>454</v>
      </c>
      <c r="BJ229" t="s">
        <v>2283</v>
      </c>
      <c r="BK229" t="s">
        <v>456</v>
      </c>
      <c r="BL229">
        <v>21185</v>
      </c>
      <c r="BM229" t="str">
        <f>"21185"</f>
        <v>21185</v>
      </c>
      <c r="BN229" t="str">
        <f t="shared" si="114"/>
        <v>20180118-0000029</v>
      </c>
      <c r="BQ229" t="s">
        <v>373</v>
      </c>
      <c r="BU229">
        <v>117</v>
      </c>
      <c r="BV229" t="s">
        <v>2284</v>
      </c>
      <c r="BW229" t="s">
        <v>2278</v>
      </c>
      <c r="BX229" t="s">
        <v>129</v>
      </c>
      <c r="BY229">
        <v>0</v>
      </c>
      <c r="BZ229">
        <v>8809560220529</v>
      </c>
      <c r="CA229" t="s">
        <v>2285</v>
      </c>
      <c r="CF229" t="s">
        <v>2280</v>
      </c>
      <c r="CG229" t="s">
        <v>376</v>
      </c>
      <c r="CH229" t="s">
        <v>377</v>
      </c>
      <c r="CI229" t="s">
        <v>2277</v>
      </c>
      <c r="CJ229">
        <v>26600</v>
      </c>
      <c r="CK229">
        <v>26600</v>
      </c>
      <c r="CL229" t="s">
        <v>2286</v>
      </c>
      <c r="CN229">
        <v>1</v>
      </c>
      <c r="CO229">
        <v>38948</v>
      </c>
      <c r="CP229">
        <v>38948</v>
      </c>
      <c r="CQ229" t="s">
        <v>379</v>
      </c>
      <c r="CS229">
        <v>0</v>
      </c>
    </row>
    <row r="230" spans="1:97" x14ac:dyDescent="0.4">
      <c r="A230" s="10">
        <v>43122</v>
      </c>
      <c r="B230" t="s">
        <v>191</v>
      </c>
      <c r="C230" t="s">
        <v>763</v>
      </c>
      <c r="D230" t="s">
        <v>359</v>
      </c>
      <c r="E230" t="s">
        <v>2260</v>
      </c>
      <c r="F230" t="str">
        <f t="shared" si="105"/>
        <v>20180118-0000029</v>
      </c>
      <c r="G230">
        <v>1031893</v>
      </c>
      <c r="H230">
        <v>2</v>
      </c>
      <c r="I230" t="s">
        <v>764</v>
      </c>
      <c r="J230">
        <v>17420</v>
      </c>
      <c r="L230">
        <v>0</v>
      </c>
      <c r="M230">
        <v>1</v>
      </c>
      <c r="O230" t="s">
        <v>361</v>
      </c>
      <c r="P230" t="s">
        <v>2262</v>
      </c>
      <c r="S230" t="s">
        <v>2287</v>
      </c>
      <c r="T230" t="s">
        <v>364</v>
      </c>
      <c r="X230" t="s">
        <v>764</v>
      </c>
      <c r="AA230">
        <v>14462</v>
      </c>
      <c r="AB230">
        <v>18.34</v>
      </c>
      <c r="AC230" t="s">
        <v>766</v>
      </c>
      <c r="AD230">
        <v>19.989999999999998</v>
      </c>
      <c r="AE230">
        <v>20.54</v>
      </c>
      <c r="AF230" t="s">
        <v>572</v>
      </c>
      <c r="AG230">
        <v>6500</v>
      </c>
      <c r="AK230">
        <v>390</v>
      </c>
      <c r="AL230" t="s">
        <v>764</v>
      </c>
      <c r="AQ230">
        <v>8450</v>
      </c>
      <c r="AR230" t="s">
        <v>368</v>
      </c>
      <c r="AS230">
        <v>613617692595</v>
      </c>
      <c r="AT230" t="str">
        <f t="shared" si="106"/>
        <v>피****아</v>
      </c>
      <c r="AU230" t="str">
        <f t="shared" si="107"/>
        <v xml:space="preserve"> 1****0</v>
      </c>
      <c r="AV230" t="str">
        <f t="shared" si="108"/>
        <v>***-****-1406</v>
      </c>
      <c r="AW230" t="str">
        <f t="shared" si="109"/>
        <v xml:space="preserve"> 서* 강*구 방*동 5****5 2* 김****님</v>
      </c>
      <c r="AX230" t="str">
        <f>""</f>
        <v/>
      </c>
      <c r="AY230" t="str">
        <f t="shared" si="110"/>
        <v>***-****-0388</v>
      </c>
      <c r="AZ230">
        <v>12761</v>
      </c>
      <c r="BA230">
        <v>1031957</v>
      </c>
      <c r="BB230">
        <v>26000</v>
      </c>
      <c r="BC230" t="s">
        <v>2266</v>
      </c>
      <c r="BD230" t="s">
        <v>1195</v>
      </c>
      <c r="BE230" t="str">
        <f t="shared" si="111"/>
        <v>피****아</v>
      </c>
      <c r="BF230" t="str">
        <f t="shared" si="112"/>
        <v>***-****-6097</v>
      </c>
      <c r="BG230" t="str">
        <f t="shared" si="113"/>
        <v>***-****-7488</v>
      </c>
      <c r="BH230" t="s">
        <v>453</v>
      </c>
      <c r="BI230" t="s">
        <v>454</v>
      </c>
      <c r="BJ230" t="s">
        <v>2288</v>
      </c>
      <c r="BK230" t="s">
        <v>456</v>
      </c>
      <c r="BL230">
        <v>12744</v>
      </c>
      <c r="BM230" t="str">
        <f>"12744"</f>
        <v>12744</v>
      </c>
      <c r="BN230" t="str">
        <f t="shared" si="114"/>
        <v>20180118-0000029</v>
      </c>
      <c r="BQ230" t="s">
        <v>373</v>
      </c>
      <c r="BV230" t="s">
        <v>768</v>
      </c>
      <c r="BW230" t="s">
        <v>764</v>
      </c>
      <c r="BX230" t="s">
        <v>191</v>
      </c>
      <c r="BY230">
        <v>0</v>
      </c>
      <c r="BZ230">
        <v>8806182550836</v>
      </c>
      <c r="CA230" t="s">
        <v>769</v>
      </c>
      <c r="CF230" t="s">
        <v>764</v>
      </c>
      <c r="CG230" t="s">
        <v>770</v>
      </c>
      <c r="CH230" t="s">
        <v>377</v>
      </c>
      <c r="CI230" t="s">
        <v>763</v>
      </c>
      <c r="CJ230">
        <v>8450</v>
      </c>
      <c r="CK230">
        <v>16900</v>
      </c>
      <c r="CL230" t="s">
        <v>771</v>
      </c>
      <c r="CN230">
        <v>2</v>
      </c>
      <c r="CO230">
        <v>14462</v>
      </c>
      <c r="CP230">
        <v>28924</v>
      </c>
      <c r="CQ230" t="s">
        <v>379</v>
      </c>
      <c r="CS230">
        <v>0</v>
      </c>
    </row>
    <row r="231" spans="1:97" x14ac:dyDescent="0.4">
      <c r="A231" s="10">
        <v>43122</v>
      </c>
      <c r="B231" t="s">
        <v>191</v>
      </c>
      <c r="C231" t="s">
        <v>2289</v>
      </c>
      <c r="D231" t="s">
        <v>359</v>
      </c>
      <c r="E231" t="s">
        <v>2260</v>
      </c>
      <c r="F231" t="str">
        <f t="shared" si="105"/>
        <v>20180118-0000029</v>
      </c>
      <c r="G231">
        <v>1031893</v>
      </c>
      <c r="H231">
        <v>12</v>
      </c>
      <c r="I231" t="s">
        <v>2290</v>
      </c>
      <c r="J231">
        <v>20100</v>
      </c>
      <c r="L231">
        <v>0</v>
      </c>
      <c r="M231">
        <v>1</v>
      </c>
      <c r="O231" t="s">
        <v>361</v>
      </c>
      <c r="P231" t="s">
        <v>2262</v>
      </c>
      <c r="S231" t="s">
        <v>2291</v>
      </c>
      <c r="T231" t="s">
        <v>364</v>
      </c>
      <c r="X231" t="s">
        <v>2290</v>
      </c>
      <c r="AA231">
        <v>6309</v>
      </c>
      <c r="AB231">
        <v>4.4000000000000004</v>
      </c>
      <c r="AC231" t="s">
        <v>2292</v>
      </c>
      <c r="AD231">
        <v>4.8</v>
      </c>
      <c r="AE231">
        <v>4.93</v>
      </c>
      <c r="AF231" t="s">
        <v>815</v>
      </c>
      <c r="AG231">
        <v>1880</v>
      </c>
      <c r="AK231">
        <v>37</v>
      </c>
      <c r="AL231" t="s">
        <v>2290</v>
      </c>
      <c r="AQ231">
        <v>1625</v>
      </c>
      <c r="AR231" t="s">
        <v>368</v>
      </c>
      <c r="AS231">
        <v>613617692595</v>
      </c>
      <c r="AT231" t="str">
        <f t="shared" si="106"/>
        <v>피****아</v>
      </c>
      <c r="AU231" t="str">
        <f t="shared" si="107"/>
        <v xml:space="preserve"> 1****0</v>
      </c>
      <c r="AV231" t="str">
        <f t="shared" si="108"/>
        <v>***-****-1406</v>
      </c>
      <c r="AW231" t="str">
        <f t="shared" si="109"/>
        <v xml:space="preserve"> 서* 강*구 방*동 5****5 2* 김****님</v>
      </c>
      <c r="AX231" t="str">
        <f>""</f>
        <v/>
      </c>
      <c r="AY231" t="str">
        <f t="shared" si="110"/>
        <v>***-****-0388</v>
      </c>
      <c r="AZ231">
        <v>20276</v>
      </c>
      <c r="BA231">
        <v>1031958</v>
      </c>
      <c r="BB231">
        <v>30000</v>
      </c>
      <c r="BC231" t="s">
        <v>2266</v>
      </c>
      <c r="BD231" t="s">
        <v>1195</v>
      </c>
      <c r="BE231" t="str">
        <f t="shared" si="111"/>
        <v>피****아</v>
      </c>
      <c r="BF231" t="str">
        <f t="shared" si="112"/>
        <v>***-****-6097</v>
      </c>
      <c r="BG231" t="str">
        <f t="shared" si="113"/>
        <v>***-****-7488</v>
      </c>
      <c r="BH231" t="s">
        <v>453</v>
      </c>
      <c r="BI231" t="s">
        <v>454</v>
      </c>
      <c r="BJ231" t="s">
        <v>2293</v>
      </c>
      <c r="BK231" t="s">
        <v>456</v>
      </c>
      <c r="BL231">
        <v>19322</v>
      </c>
      <c r="BM231" t="str">
        <f>"19322"</f>
        <v>19322</v>
      </c>
      <c r="BN231" t="str">
        <f t="shared" si="114"/>
        <v>20180118-0000029</v>
      </c>
      <c r="BQ231" t="s">
        <v>373</v>
      </c>
      <c r="BV231" t="s">
        <v>2294</v>
      </c>
      <c r="BW231" t="s">
        <v>2290</v>
      </c>
      <c r="BX231" t="s">
        <v>191</v>
      </c>
      <c r="BY231">
        <v>0</v>
      </c>
      <c r="BZ231">
        <v>8806182551420</v>
      </c>
      <c r="CA231" t="s">
        <v>2295</v>
      </c>
      <c r="CF231" t="s">
        <v>2290</v>
      </c>
      <c r="CG231" t="s">
        <v>433</v>
      </c>
      <c r="CH231" t="s">
        <v>377</v>
      </c>
      <c r="CI231" t="s">
        <v>2289</v>
      </c>
      <c r="CJ231">
        <v>1625</v>
      </c>
      <c r="CK231">
        <v>19500</v>
      </c>
      <c r="CL231" t="s">
        <v>2296</v>
      </c>
      <c r="CN231">
        <v>12</v>
      </c>
      <c r="CO231">
        <v>6309</v>
      </c>
      <c r="CP231">
        <v>75708</v>
      </c>
      <c r="CQ231" t="s">
        <v>379</v>
      </c>
      <c r="CS231">
        <v>0</v>
      </c>
    </row>
    <row r="232" spans="1:97" x14ac:dyDescent="0.4">
      <c r="A232" s="10">
        <v>43122</v>
      </c>
      <c r="B232" t="s">
        <v>210</v>
      </c>
      <c r="C232" t="s">
        <v>1338</v>
      </c>
      <c r="D232" t="s">
        <v>359</v>
      </c>
      <c r="E232" t="s">
        <v>2260</v>
      </c>
      <c r="F232" t="str">
        <f>"20180118-0000038"</f>
        <v>20180118-0000038</v>
      </c>
      <c r="G232">
        <v>1031893</v>
      </c>
      <c r="H232">
        <v>2</v>
      </c>
      <c r="I232" t="s">
        <v>1339</v>
      </c>
      <c r="J232">
        <v>23040</v>
      </c>
      <c r="L232">
        <v>0</v>
      </c>
      <c r="M232">
        <v>1</v>
      </c>
      <c r="O232" t="s">
        <v>361</v>
      </c>
      <c r="P232" t="s">
        <v>1190</v>
      </c>
      <c r="S232" t="s">
        <v>2297</v>
      </c>
      <c r="T232" t="s">
        <v>364</v>
      </c>
      <c r="X232" t="s">
        <v>1339</v>
      </c>
      <c r="AA232">
        <v>19012</v>
      </c>
      <c r="AB232">
        <v>16.72</v>
      </c>
      <c r="AC232" t="s">
        <v>1341</v>
      </c>
      <c r="AD232">
        <v>18.23</v>
      </c>
      <c r="AE232">
        <v>18.73</v>
      </c>
      <c r="AF232" t="s">
        <v>845</v>
      </c>
      <c r="AG232">
        <v>1880</v>
      </c>
      <c r="AK232">
        <v>27</v>
      </c>
      <c r="AL232" t="s">
        <v>1339</v>
      </c>
      <c r="AN232" t="s">
        <v>1342</v>
      </c>
      <c r="AQ232">
        <v>11700</v>
      </c>
      <c r="AR232" t="s">
        <v>368</v>
      </c>
      <c r="AS232">
        <v>613617692595</v>
      </c>
      <c r="AT232" t="str">
        <f t="shared" si="106"/>
        <v>피****아</v>
      </c>
      <c r="AU232" t="str">
        <f t="shared" si="107"/>
        <v xml:space="preserve"> 1****0</v>
      </c>
      <c r="AV232" t="str">
        <f t="shared" si="108"/>
        <v>***-****-1406</v>
      </c>
      <c r="AW232" t="str">
        <f t="shared" si="109"/>
        <v xml:space="preserve"> 서* 강*구 방*동 5****5 2* 김****님</v>
      </c>
      <c r="AX232" t="str">
        <f>""</f>
        <v/>
      </c>
      <c r="AY232" t="str">
        <f t="shared" si="110"/>
        <v>***-****-0388</v>
      </c>
      <c r="AZ232">
        <v>27826</v>
      </c>
      <c r="BA232">
        <v>1031924</v>
      </c>
      <c r="BB232">
        <v>36000</v>
      </c>
      <c r="BC232" t="s">
        <v>2266</v>
      </c>
      <c r="BD232" t="s">
        <v>1195</v>
      </c>
      <c r="BE232" t="str">
        <f t="shared" si="111"/>
        <v>피****아</v>
      </c>
      <c r="BF232" t="str">
        <f t="shared" si="112"/>
        <v>***-****-6097</v>
      </c>
      <c r="BG232" t="str">
        <f t="shared" si="113"/>
        <v>***-****-7488</v>
      </c>
      <c r="BH232" t="s">
        <v>453</v>
      </c>
      <c r="BI232" t="s">
        <v>454</v>
      </c>
      <c r="BJ232" t="s">
        <v>2298</v>
      </c>
      <c r="BK232" t="s">
        <v>456</v>
      </c>
      <c r="BL232">
        <v>19267</v>
      </c>
      <c r="BM232" t="str">
        <f>"19267"</f>
        <v>19267</v>
      </c>
      <c r="BN232" t="str">
        <f>"20180118-0000038"</f>
        <v>20180118-0000038</v>
      </c>
      <c r="BQ232" t="s">
        <v>373</v>
      </c>
      <c r="BV232" t="s">
        <v>1344</v>
      </c>
      <c r="BW232" t="s">
        <v>1339</v>
      </c>
      <c r="BX232" t="s">
        <v>210</v>
      </c>
      <c r="BY232">
        <v>0</v>
      </c>
      <c r="BZ232">
        <v>8801042677951</v>
      </c>
      <c r="CA232" t="s">
        <v>1345</v>
      </c>
      <c r="CF232" t="s">
        <v>1339</v>
      </c>
      <c r="CG232" t="s">
        <v>458</v>
      </c>
      <c r="CH232" t="s">
        <v>377</v>
      </c>
      <c r="CI232" t="s">
        <v>1338</v>
      </c>
      <c r="CJ232">
        <v>11700</v>
      </c>
      <c r="CK232">
        <v>23400</v>
      </c>
      <c r="CL232" t="s">
        <v>1346</v>
      </c>
      <c r="CN232">
        <v>2</v>
      </c>
      <c r="CO232">
        <v>19012</v>
      </c>
      <c r="CP232">
        <v>38024</v>
      </c>
      <c r="CQ232" t="s">
        <v>379</v>
      </c>
      <c r="CS232">
        <v>0</v>
      </c>
    </row>
    <row r="233" spans="1:97" x14ac:dyDescent="0.4">
      <c r="A233" s="10">
        <v>43122</v>
      </c>
      <c r="B233" t="s">
        <v>129</v>
      </c>
      <c r="C233" t="s">
        <v>2299</v>
      </c>
      <c r="D233" t="s">
        <v>359</v>
      </c>
      <c r="E233" t="s">
        <v>2260</v>
      </c>
      <c r="F233" t="str">
        <f>"20180118-0000038"</f>
        <v>20180118-0000038</v>
      </c>
      <c r="G233">
        <v>1031893</v>
      </c>
      <c r="H233">
        <v>2</v>
      </c>
      <c r="I233" t="s">
        <v>2300</v>
      </c>
      <c r="J233">
        <v>40320</v>
      </c>
      <c r="L233">
        <v>0</v>
      </c>
      <c r="M233">
        <v>1</v>
      </c>
      <c r="O233" t="s">
        <v>361</v>
      </c>
      <c r="P233" t="s">
        <v>1190</v>
      </c>
      <c r="S233" t="s">
        <v>2301</v>
      </c>
      <c r="T233" t="s">
        <v>364</v>
      </c>
      <c r="X233" t="s">
        <v>2302</v>
      </c>
      <c r="AA233">
        <v>29848</v>
      </c>
      <c r="AB233">
        <v>25.454545450000001</v>
      </c>
      <c r="AC233" t="s">
        <v>2303</v>
      </c>
      <c r="AD233">
        <v>29.94</v>
      </c>
      <c r="AE233">
        <v>30.76</v>
      </c>
      <c r="AF233" t="s">
        <v>486</v>
      </c>
      <c r="AG233">
        <v>3360</v>
      </c>
      <c r="AK233">
        <v>158</v>
      </c>
      <c r="AL233" t="s">
        <v>2300</v>
      </c>
      <c r="AQ233">
        <v>19600</v>
      </c>
      <c r="AR233" t="s">
        <v>368</v>
      </c>
      <c r="AS233">
        <v>613617692595</v>
      </c>
      <c r="AT233" t="str">
        <f t="shared" si="106"/>
        <v>피****아</v>
      </c>
      <c r="AU233" t="str">
        <f t="shared" si="107"/>
        <v xml:space="preserve"> 1****0</v>
      </c>
      <c r="AV233" t="str">
        <f t="shared" si="108"/>
        <v>***-****-1406</v>
      </c>
      <c r="AW233" t="str">
        <f t="shared" si="109"/>
        <v xml:space="preserve"> 서* 강*구 방*동 5****5 2* 김****님</v>
      </c>
      <c r="AX233" t="str">
        <f>""</f>
        <v/>
      </c>
      <c r="AY233" t="str">
        <f t="shared" si="110"/>
        <v>***-****-0388</v>
      </c>
      <c r="AZ233">
        <v>26703</v>
      </c>
      <c r="BA233">
        <v>1031933</v>
      </c>
      <c r="BB233">
        <v>56000</v>
      </c>
      <c r="BC233" t="s">
        <v>2266</v>
      </c>
      <c r="BD233" t="s">
        <v>1195</v>
      </c>
      <c r="BE233" t="str">
        <f t="shared" si="111"/>
        <v>피****아</v>
      </c>
      <c r="BF233" t="str">
        <f t="shared" si="112"/>
        <v>***-****-6097</v>
      </c>
      <c r="BG233" t="str">
        <f t="shared" si="113"/>
        <v>***-****-7488</v>
      </c>
      <c r="BH233" t="s">
        <v>453</v>
      </c>
      <c r="BI233" t="s">
        <v>454</v>
      </c>
      <c r="BJ233" t="s">
        <v>2304</v>
      </c>
      <c r="BK233" t="s">
        <v>456</v>
      </c>
      <c r="BL233">
        <v>21109</v>
      </c>
      <c r="BM233" t="str">
        <f>"21109"</f>
        <v>21109</v>
      </c>
      <c r="BN233" t="str">
        <f>"20180118-0000038"</f>
        <v>20180118-0000038</v>
      </c>
      <c r="BQ233" t="s">
        <v>373</v>
      </c>
      <c r="BU233">
        <v>140</v>
      </c>
      <c r="BV233" t="s">
        <v>2305</v>
      </c>
      <c r="BW233" t="s">
        <v>2300</v>
      </c>
      <c r="BX233" t="s">
        <v>129</v>
      </c>
      <c r="BY233">
        <v>0</v>
      </c>
      <c r="BZ233">
        <v>8809147455610</v>
      </c>
      <c r="CA233" t="s">
        <v>2306</v>
      </c>
      <c r="CF233" t="s">
        <v>2302</v>
      </c>
      <c r="CG233" t="s">
        <v>534</v>
      </c>
      <c r="CH233" t="s">
        <v>377</v>
      </c>
      <c r="CI233" t="s">
        <v>2299</v>
      </c>
      <c r="CJ233">
        <v>19600</v>
      </c>
      <c r="CK233">
        <v>39200</v>
      </c>
      <c r="CL233" t="s">
        <v>2307</v>
      </c>
      <c r="CN233">
        <v>2</v>
      </c>
      <c r="CO233">
        <v>29848</v>
      </c>
      <c r="CP233">
        <v>59696</v>
      </c>
      <c r="CQ233" t="s">
        <v>379</v>
      </c>
      <c r="CS233">
        <v>0</v>
      </c>
    </row>
    <row r="234" spans="1:97" x14ac:dyDescent="0.4">
      <c r="A234" s="10">
        <v>43122</v>
      </c>
      <c r="B234" t="s">
        <v>129</v>
      </c>
      <c r="C234" t="s">
        <v>2308</v>
      </c>
      <c r="D234" t="s">
        <v>359</v>
      </c>
      <c r="E234" t="s">
        <v>2260</v>
      </c>
      <c r="F234" t="str">
        <f>"20180118-0000038"</f>
        <v>20180118-0000038</v>
      </c>
      <c r="G234">
        <v>1031893</v>
      </c>
      <c r="H234">
        <v>1</v>
      </c>
      <c r="I234" t="s">
        <v>2309</v>
      </c>
      <c r="J234">
        <v>7200</v>
      </c>
      <c r="L234">
        <v>0</v>
      </c>
      <c r="M234">
        <v>1</v>
      </c>
      <c r="O234" t="s">
        <v>361</v>
      </c>
      <c r="P234" t="s">
        <v>1190</v>
      </c>
      <c r="S234" t="s">
        <v>2310</v>
      </c>
      <c r="T234" t="s">
        <v>364</v>
      </c>
      <c r="X234" t="s">
        <v>2311</v>
      </c>
      <c r="AA234">
        <v>14504</v>
      </c>
      <c r="AB234">
        <v>9.0909090910000003</v>
      </c>
      <c r="AC234" t="s">
        <v>2312</v>
      </c>
      <c r="AD234">
        <v>13.66</v>
      </c>
      <c r="AE234">
        <v>14.04</v>
      </c>
      <c r="AF234" t="s">
        <v>2313</v>
      </c>
      <c r="AG234">
        <v>3360</v>
      </c>
      <c r="AK234">
        <v>43</v>
      </c>
      <c r="AL234" t="s">
        <v>2309</v>
      </c>
      <c r="AN234" t="s">
        <v>2314</v>
      </c>
      <c r="AQ234">
        <v>7000</v>
      </c>
      <c r="AR234" t="s">
        <v>368</v>
      </c>
      <c r="AS234">
        <v>613617692595</v>
      </c>
      <c r="AT234" t="str">
        <f t="shared" si="106"/>
        <v>피****아</v>
      </c>
      <c r="AU234" t="str">
        <f t="shared" si="107"/>
        <v xml:space="preserve"> 1****0</v>
      </c>
      <c r="AV234" t="str">
        <f t="shared" si="108"/>
        <v>***-****-1406</v>
      </c>
      <c r="AW234" t="str">
        <f t="shared" si="109"/>
        <v xml:space="preserve"> 서* 강*구 방*동 5****5 2* 김****님</v>
      </c>
      <c r="AX234" t="str">
        <f>""</f>
        <v/>
      </c>
      <c r="AY234" t="str">
        <f t="shared" si="110"/>
        <v>***-****-0388</v>
      </c>
      <c r="AZ234">
        <v>28237</v>
      </c>
      <c r="BA234">
        <v>1031949</v>
      </c>
      <c r="BB234">
        <v>10000</v>
      </c>
      <c r="BC234" t="s">
        <v>2266</v>
      </c>
      <c r="BD234" t="s">
        <v>1195</v>
      </c>
      <c r="BE234" t="str">
        <f t="shared" si="111"/>
        <v>피****아</v>
      </c>
      <c r="BF234" t="str">
        <f t="shared" si="112"/>
        <v>***-****-6097</v>
      </c>
      <c r="BG234" t="str">
        <f t="shared" si="113"/>
        <v>***-****-7488</v>
      </c>
      <c r="BH234" t="s">
        <v>453</v>
      </c>
      <c r="BI234" t="s">
        <v>454</v>
      </c>
      <c r="BJ234" t="s">
        <v>2315</v>
      </c>
      <c r="BK234" t="s">
        <v>456</v>
      </c>
      <c r="BL234">
        <v>21124</v>
      </c>
      <c r="BM234" t="str">
        <f>"21124"</f>
        <v>21124</v>
      </c>
      <c r="BN234" t="str">
        <f>"20180118-0000038"</f>
        <v>20180118-0000038</v>
      </c>
      <c r="BQ234" t="s">
        <v>373</v>
      </c>
      <c r="BU234">
        <v>114</v>
      </c>
      <c r="BV234" t="s">
        <v>2316</v>
      </c>
      <c r="BW234" t="s">
        <v>2309</v>
      </c>
      <c r="BX234" t="s">
        <v>129</v>
      </c>
      <c r="BY234">
        <v>0</v>
      </c>
      <c r="BZ234">
        <v>8809560222059</v>
      </c>
      <c r="CA234" t="s">
        <v>2317</v>
      </c>
      <c r="CF234" t="s">
        <v>2311</v>
      </c>
      <c r="CG234" t="s">
        <v>566</v>
      </c>
      <c r="CH234" t="s">
        <v>377</v>
      </c>
      <c r="CI234" t="s">
        <v>2308</v>
      </c>
      <c r="CJ234">
        <v>7000</v>
      </c>
      <c r="CK234">
        <v>7000</v>
      </c>
      <c r="CL234" t="s">
        <v>2318</v>
      </c>
      <c r="CN234">
        <v>1</v>
      </c>
      <c r="CO234">
        <v>14504</v>
      </c>
      <c r="CP234">
        <v>14504</v>
      </c>
      <c r="CQ234" t="s">
        <v>379</v>
      </c>
      <c r="CS234">
        <v>0</v>
      </c>
    </row>
    <row r="235" spans="1:97" x14ac:dyDescent="0.4">
      <c r="A235" s="10">
        <v>43122</v>
      </c>
      <c r="B235" t="s">
        <v>191</v>
      </c>
      <c r="C235" t="s">
        <v>763</v>
      </c>
      <c r="D235" t="s">
        <v>359</v>
      </c>
      <c r="E235" t="s">
        <v>2260</v>
      </c>
      <c r="F235" t="str">
        <f>"20180118-0000038"</f>
        <v>20180118-0000038</v>
      </c>
      <c r="G235">
        <v>1031893</v>
      </c>
      <c r="H235">
        <v>1</v>
      </c>
      <c r="I235" t="s">
        <v>764</v>
      </c>
      <c r="J235">
        <v>8710</v>
      </c>
      <c r="L235">
        <v>0</v>
      </c>
      <c r="M235">
        <v>1</v>
      </c>
      <c r="O235" t="s">
        <v>361</v>
      </c>
      <c r="P235" t="s">
        <v>1190</v>
      </c>
      <c r="S235" t="s">
        <v>2319</v>
      </c>
      <c r="T235" t="s">
        <v>364</v>
      </c>
      <c r="X235" t="s">
        <v>764</v>
      </c>
      <c r="AA235">
        <v>14462</v>
      </c>
      <c r="AB235">
        <v>18.34</v>
      </c>
      <c r="AC235" t="s">
        <v>766</v>
      </c>
      <c r="AD235">
        <v>19.989999999999998</v>
      </c>
      <c r="AE235">
        <v>20.54</v>
      </c>
      <c r="AF235" t="s">
        <v>572</v>
      </c>
      <c r="AG235">
        <v>6500</v>
      </c>
      <c r="AK235">
        <v>390</v>
      </c>
      <c r="AL235" t="s">
        <v>764</v>
      </c>
      <c r="AQ235">
        <v>8450</v>
      </c>
      <c r="AR235" t="s">
        <v>368</v>
      </c>
      <c r="AS235">
        <v>613617692595</v>
      </c>
      <c r="AT235" t="str">
        <f t="shared" si="106"/>
        <v>피****아</v>
      </c>
      <c r="AU235" t="str">
        <f t="shared" si="107"/>
        <v xml:space="preserve"> 1****0</v>
      </c>
      <c r="AV235" t="str">
        <f t="shared" si="108"/>
        <v>***-****-1406</v>
      </c>
      <c r="AW235" t="str">
        <f t="shared" si="109"/>
        <v xml:space="preserve"> 서* 강*구 방*동 5****5 2* 김****님</v>
      </c>
      <c r="AX235" t="str">
        <f>""</f>
        <v/>
      </c>
      <c r="AY235" t="str">
        <f t="shared" si="110"/>
        <v>***-****-0388</v>
      </c>
      <c r="AZ235">
        <v>12761</v>
      </c>
      <c r="BA235">
        <v>1031941</v>
      </c>
      <c r="BB235">
        <v>13000</v>
      </c>
      <c r="BC235" t="s">
        <v>2266</v>
      </c>
      <c r="BD235" t="s">
        <v>1195</v>
      </c>
      <c r="BE235" t="str">
        <f t="shared" si="111"/>
        <v>피****아</v>
      </c>
      <c r="BF235" t="str">
        <f t="shared" si="112"/>
        <v>***-****-6097</v>
      </c>
      <c r="BG235" t="str">
        <f t="shared" si="113"/>
        <v>***-****-7488</v>
      </c>
      <c r="BH235" t="s">
        <v>453</v>
      </c>
      <c r="BI235" t="s">
        <v>454</v>
      </c>
      <c r="BJ235" t="s">
        <v>2320</v>
      </c>
      <c r="BK235" t="s">
        <v>456</v>
      </c>
      <c r="BL235">
        <v>12744</v>
      </c>
      <c r="BM235" t="str">
        <f>"12744"</f>
        <v>12744</v>
      </c>
      <c r="BN235" t="str">
        <f>"20180118-0000038"</f>
        <v>20180118-0000038</v>
      </c>
      <c r="BQ235" t="s">
        <v>373</v>
      </c>
      <c r="BV235" t="s">
        <v>768</v>
      </c>
      <c r="BW235" t="s">
        <v>764</v>
      </c>
      <c r="BX235" t="s">
        <v>191</v>
      </c>
      <c r="BY235">
        <v>0</v>
      </c>
      <c r="BZ235">
        <v>8806182550836</v>
      </c>
      <c r="CA235" t="s">
        <v>769</v>
      </c>
      <c r="CF235" t="s">
        <v>764</v>
      </c>
      <c r="CG235" t="s">
        <v>770</v>
      </c>
      <c r="CH235" t="s">
        <v>377</v>
      </c>
      <c r="CI235" t="s">
        <v>763</v>
      </c>
      <c r="CJ235">
        <v>8450</v>
      </c>
      <c r="CK235">
        <v>8450</v>
      </c>
      <c r="CL235" t="s">
        <v>771</v>
      </c>
      <c r="CN235">
        <v>1</v>
      </c>
      <c r="CO235">
        <v>14462</v>
      </c>
      <c r="CP235">
        <v>14462</v>
      </c>
      <c r="CQ235" t="s">
        <v>379</v>
      </c>
      <c r="CS235">
        <v>0</v>
      </c>
    </row>
    <row r="236" spans="1:97" x14ac:dyDescent="0.4">
      <c r="A236" s="10">
        <v>43122</v>
      </c>
      <c r="B236" t="s">
        <v>107</v>
      </c>
      <c r="C236" t="s">
        <v>2321</v>
      </c>
      <c r="D236" t="s">
        <v>359</v>
      </c>
      <c r="E236" t="s">
        <v>2260</v>
      </c>
      <c r="F236" t="str">
        <f>"20180118-0000048"</f>
        <v>20180118-0000048</v>
      </c>
      <c r="G236">
        <v>1031893</v>
      </c>
      <c r="H236">
        <v>1</v>
      </c>
      <c r="I236" t="s">
        <v>2322</v>
      </c>
      <c r="J236">
        <v>48960</v>
      </c>
      <c r="L236">
        <v>0</v>
      </c>
      <c r="M236">
        <v>1</v>
      </c>
      <c r="O236" t="s">
        <v>361</v>
      </c>
      <c r="P236" t="s">
        <v>1200</v>
      </c>
      <c r="S236" t="s">
        <v>2323</v>
      </c>
      <c r="T236" t="s">
        <v>364</v>
      </c>
      <c r="X236" t="s">
        <v>2324</v>
      </c>
      <c r="AA236">
        <v>66248</v>
      </c>
      <c r="AB236">
        <v>61.82</v>
      </c>
      <c r="AC236" t="s">
        <v>2325</v>
      </c>
      <c r="AD236">
        <v>60.31</v>
      </c>
      <c r="AE236">
        <v>61.97</v>
      </c>
      <c r="AF236" t="s">
        <v>716</v>
      </c>
      <c r="AG236">
        <v>3360</v>
      </c>
      <c r="AL236" t="s">
        <v>2322</v>
      </c>
      <c r="AN236" t="s">
        <v>2326</v>
      </c>
      <c r="AQ236">
        <v>47600</v>
      </c>
      <c r="AR236" t="s">
        <v>368</v>
      </c>
      <c r="AS236">
        <v>613617692595</v>
      </c>
      <c r="AT236" t="str">
        <f t="shared" si="106"/>
        <v>피****아</v>
      </c>
      <c r="AU236" t="str">
        <f t="shared" si="107"/>
        <v xml:space="preserve"> 1****0</v>
      </c>
      <c r="AV236" t="str">
        <f t="shared" si="108"/>
        <v>***-****-1406</v>
      </c>
      <c r="AW236" t="str">
        <f t="shared" si="109"/>
        <v xml:space="preserve"> 서* 강*구 방*동 5****5 2* 김****님</v>
      </c>
      <c r="AX236" t="str">
        <f>""</f>
        <v/>
      </c>
      <c r="AY236" t="str">
        <f t="shared" si="110"/>
        <v>***-****-0388</v>
      </c>
      <c r="AZ236">
        <v>27921</v>
      </c>
      <c r="BA236">
        <v>1031914</v>
      </c>
      <c r="BB236">
        <v>68000</v>
      </c>
      <c r="BC236" t="s">
        <v>2266</v>
      </c>
      <c r="BD236" t="s">
        <v>1195</v>
      </c>
      <c r="BE236" t="str">
        <f t="shared" si="111"/>
        <v>피****아</v>
      </c>
      <c r="BF236" t="str">
        <f t="shared" si="112"/>
        <v>***-****-6097</v>
      </c>
      <c r="BG236" t="str">
        <f t="shared" si="113"/>
        <v>***-****-7488</v>
      </c>
      <c r="BH236" t="s">
        <v>453</v>
      </c>
      <c r="BI236" t="s">
        <v>454</v>
      </c>
      <c r="BJ236" t="s">
        <v>2327</v>
      </c>
      <c r="BK236" t="s">
        <v>456</v>
      </c>
      <c r="BL236">
        <v>21264</v>
      </c>
      <c r="BM236" t="str">
        <f>"21264"</f>
        <v>21264</v>
      </c>
      <c r="BN236" t="str">
        <f>"20180118-0000048"</f>
        <v>20180118-0000048</v>
      </c>
      <c r="BQ236" t="s">
        <v>373</v>
      </c>
      <c r="BU236">
        <v>112</v>
      </c>
      <c r="BV236" t="s">
        <v>2328</v>
      </c>
      <c r="BW236" t="s">
        <v>2322</v>
      </c>
      <c r="BX236" t="s">
        <v>107</v>
      </c>
      <c r="BY236">
        <v>0</v>
      </c>
      <c r="BZ236">
        <v>8809539428062</v>
      </c>
      <c r="CA236" t="s">
        <v>2329</v>
      </c>
      <c r="CF236" t="s">
        <v>2324</v>
      </c>
      <c r="CG236" t="s">
        <v>376</v>
      </c>
      <c r="CH236" t="s">
        <v>377</v>
      </c>
      <c r="CI236" t="s">
        <v>2321</v>
      </c>
      <c r="CJ236">
        <v>47600</v>
      </c>
      <c r="CK236">
        <v>47600</v>
      </c>
      <c r="CL236" t="s">
        <v>1808</v>
      </c>
      <c r="CN236">
        <v>1</v>
      </c>
      <c r="CO236">
        <v>66248</v>
      </c>
      <c r="CP236">
        <v>66248</v>
      </c>
      <c r="CQ236" t="s">
        <v>379</v>
      </c>
      <c r="CS236">
        <v>0</v>
      </c>
    </row>
    <row r="237" spans="1:97" x14ac:dyDescent="0.4">
      <c r="A237" s="10">
        <v>43122</v>
      </c>
      <c r="B237" t="s">
        <v>107</v>
      </c>
      <c r="C237" t="s">
        <v>2259</v>
      </c>
      <c r="D237" t="s">
        <v>359</v>
      </c>
      <c r="E237" t="s">
        <v>2260</v>
      </c>
      <c r="F237" t="str">
        <f>"20180118-0000048"</f>
        <v>20180118-0000048</v>
      </c>
      <c r="G237">
        <v>1031893</v>
      </c>
      <c r="H237">
        <v>1</v>
      </c>
      <c r="I237" t="s">
        <v>2261</v>
      </c>
      <c r="J237">
        <v>21600</v>
      </c>
      <c r="L237">
        <v>0</v>
      </c>
      <c r="M237">
        <v>1</v>
      </c>
      <c r="O237" t="s">
        <v>361</v>
      </c>
      <c r="P237" t="s">
        <v>1200</v>
      </c>
      <c r="S237" t="s">
        <v>2330</v>
      </c>
      <c r="T237" t="s">
        <v>364</v>
      </c>
      <c r="X237" t="s">
        <v>2264</v>
      </c>
      <c r="AA237">
        <v>30355</v>
      </c>
      <c r="AB237">
        <v>27.04</v>
      </c>
      <c r="AC237" t="s">
        <v>2265</v>
      </c>
      <c r="AD237">
        <v>29.47</v>
      </c>
      <c r="AE237">
        <v>30.28</v>
      </c>
      <c r="AF237" t="s">
        <v>441</v>
      </c>
      <c r="AG237">
        <v>2350</v>
      </c>
      <c r="AL237" t="s">
        <v>2261</v>
      </c>
      <c r="AQ237">
        <v>21000</v>
      </c>
      <c r="AR237" t="s">
        <v>368</v>
      </c>
      <c r="AS237">
        <v>613617692595</v>
      </c>
      <c r="AT237" t="str">
        <f t="shared" si="106"/>
        <v>피****아</v>
      </c>
      <c r="AU237" t="str">
        <f t="shared" si="107"/>
        <v xml:space="preserve"> 1****0</v>
      </c>
      <c r="AV237" t="str">
        <f t="shared" si="108"/>
        <v>***-****-1406</v>
      </c>
      <c r="AW237" t="str">
        <f t="shared" si="109"/>
        <v xml:space="preserve"> 서* 강*구 방*동 5****5 2* 김****님</v>
      </c>
      <c r="AX237" t="str">
        <f>""</f>
        <v/>
      </c>
      <c r="AY237" t="str">
        <f t="shared" si="110"/>
        <v>***-****-0388</v>
      </c>
      <c r="AZ237">
        <v>27924</v>
      </c>
      <c r="BA237">
        <v>1031913</v>
      </c>
      <c r="BB237">
        <v>30000</v>
      </c>
      <c r="BC237" t="s">
        <v>2266</v>
      </c>
      <c r="BD237" t="s">
        <v>1195</v>
      </c>
      <c r="BE237" t="str">
        <f t="shared" si="111"/>
        <v>피****아</v>
      </c>
      <c r="BF237" t="str">
        <f t="shared" si="112"/>
        <v>***-****-6097</v>
      </c>
      <c r="BG237" t="str">
        <f t="shared" si="113"/>
        <v>***-****-7488</v>
      </c>
      <c r="BH237" t="s">
        <v>453</v>
      </c>
      <c r="BI237" t="s">
        <v>454</v>
      </c>
      <c r="BJ237" t="s">
        <v>2331</v>
      </c>
      <c r="BK237" t="s">
        <v>456</v>
      </c>
      <c r="BL237">
        <v>20781</v>
      </c>
      <c r="BM237" t="str">
        <f>"20781"</f>
        <v>20781</v>
      </c>
      <c r="BN237" t="str">
        <f>"20180118-0000048"</f>
        <v>20180118-0000048</v>
      </c>
      <c r="BQ237" t="s">
        <v>373</v>
      </c>
      <c r="BV237" t="s">
        <v>2268</v>
      </c>
      <c r="BW237" t="s">
        <v>2261</v>
      </c>
      <c r="BX237" t="s">
        <v>107</v>
      </c>
      <c r="BY237">
        <v>0</v>
      </c>
      <c r="BZ237">
        <v>8801042560154</v>
      </c>
      <c r="CA237" t="s">
        <v>2269</v>
      </c>
      <c r="CF237" t="s">
        <v>2264</v>
      </c>
      <c r="CG237" t="s">
        <v>1908</v>
      </c>
      <c r="CH237" t="s">
        <v>377</v>
      </c>
      <c r="CI237" t="s">
        <v>2259</v>
      </c>
      <c r="CJ237">
        <v>21000</v>
      </c>
      <c r="CK237">
        <v>21000</v>
      </c>
      <c r="CL237" t="s">
        <v>2270</v>
      </c>
      <c r="CN237">
        <v>1</v>
      </c>
      <c r="CO237">
        <v>30355</v>
      </c>
      <c r="CP237">
        <v>30355</v>
      </c>
      <c r="CQ237" t="s">
        <v>379</v>
      </c>
      <c r="CS237">
        <v>0</v>
      </c>
    </row>
    <row r="238" spans="1:97" x14ac:dyDescent="0.4">
      <c r="A238" s="10">
        <v>43122</v>
      </c>
      <c r="B238" t="s">
        <v>107</v>
      </c>
      <c r="C238" t="s">
        <v>2321</v>
      </c>
      <c r="D238" t="s">
        <v>359</v>
      </c>
      <c r="E238" t="s">
        <v>2260</v>
      </c>
      <c r="F238" t="str">
        <f>"20180118-0000051"</f>
        <v>20180118-0000051</v>
      </c>
      <c r="G238">
        <v>1031893</v>
      </c>
      <c r="H238">
        <v>1</v>
      </c>
      <c r="I238" t="s">
        <v>2322</v>
      </c>
      <c r="J238">
        <v>48960</v>
      </c>
      <c r="L238">
        <v>0</v>
      </c>
      <c r="M238">
        <v>1</v>
      </c>
      <c r="O238" t="s">
        <v>361</v>
      </c>
      <c r="P238" t="s">
        <v>1869</v>
      </c>
      <c r="S238" t="s">
        <v>2332</v>
      </c>
      <c r="T238" t="s">
        <v>364</v>
      </c>
      <c r="X238" t="s">
        <v>2324</v>
      </c>
      <c r="AA238">
        <v>66248</v>
      </c>
      <c r="AB238">
        <v>61.82</v>
      </c>
      <c r="AC238" t="s">
        <v>2325</v>
      </c>
      <c r="AD238">
        <v>60.31</v>
      </c>
      <c r="AE238">
        <v>61.97</v>
      </c>
      <c r="AF238" t="s">
        <v>716</v>
      </c>
      <c r="AG238">
        <v>3360</v>
      </c>
      <c r="AL238" t="s">
        <v>2322</v>
      </c>
      <c r="AN238" t="s">
        <v>2326</v>
      </c>
      <c r="AQ238">
        <v>47600</v>
      </c>
      <c r="AR238" t="s">
        <v>368</v>
      </c>
      <c r="AS238">
        <v>613617692595</v>
      </c>
      <c r="AT238" t="str">
        <f t="shared" si="106"/>
        <v>피****아</v>
      </c>
      <c r="AU238" t="str">
        <f t="shared" si="107"/>
        <v xml:space="preserve"> 1****0</v>
      </c>
      <c r="AV238" t="str">
        <f t="shared" si="108"/>
        <v>***-****-1406</v>
      </c>
      <c r="AW238" t="str">
        <f t="shared" si="109"/>
        <v xml:space="preserve"> 서* 강*구 방*동 5****5 2* 김****님</v>
      </c>
      <c r="AX238" t="str">
        <f>""</f>
        <v/>
      </c>
      <c r="AY238" t="str">
        <f t="shared" si="110"/>
        <v>***-****-0388</v>
      </c>
      <c r="AZ238">
        <v>27921</v>
      </c>
      <c r="BA238">
        <v>1031904</v>
      </c>
      <c r="BB238">
        <v>68000</v>
      </c>
      <c r="BC238" t="s">
        <v>2266</v>
      </c>
      <c r="BD238" t="s">
        <v>1195</v>
      </c>
      <c r="BE238" t="str">
        <f t="shared" si="111"/>
        <v>피****아</v>
      </c>
      <c r="BF238" t="str">
        <f t="shared" si="112"/>
        <v>***-****-6097</v>
      </c>
      <c r="BG238" t="str">
        <f t="shared" si="113"/>
        <v>***-****-7488</v>
      </c>
      <c r="BH238" t="s">
        <v>453</v>
      </c>
      <c r="BI238" t="s">
        <v>454</v>
      </c>
      <c r="BJ238" t="s">
        <v>2333</v>
      </c>
      <c r="BK238" t="s">
        <v>456</v>
      </c>
      <c r="BL238">
        <v>21264</v>
      </c>
      <c r="BM238" t="str">
        <f>"21264"</f>
        <v>21264</v>
      </c>
      <c r="BN238" t="str">
        <f>"20180118-0000051"</f>
        <v>20180118-0000051</v>
      </c>
      <c r="BQ238" t="s">
        <v>373</v>
      </c>
      <c r="BU238">
        <v>112</v>
      </c>
      <c r="BV238" t="s">
        <v>2328</v>
      </c>
      <c r="BW238" t="s">
        <v>2322</v>
      </c>
      <c r="BX238" t="s">
        <v>107</v>
      </c>
      <c r="BY238">
        <v>0</v>
      </c>
      <c r="BZ238">
        <v>8809539428062</v>
      </c>
      <c r="CA238" t="s">
        <v>2329</v>
      </c>
      <c r="CF238" t="s">
        <v>2324</v>
      </c>
      <c r="CG238" t="s">
        <v>376</v>
      </c>
      <c r="CH238" t="s">
        <v>377</v>
      </c>
      <c r="CI238" t="s">
        <v>2321</v>
      </c>
      <c r="CJ238">
        <v>47600</v>
      </c>
      <c r="CK238">
        <v>47600</v>
      </c>
      <c r="CL238" t="s">
        <v>1808</v>
      </c>
      <c r="CN238">
        <v>1</v>
      </c>
      <c r="CO238">
        <v>66248</v>
      </c>
      <c r="CP238">
        <v>66248</v>
      </c>
      <c r="CQ238" t="s">
        <v>379</v>
      </c>
      <c r="CS238">
        <v>0</v>
      </c>
    </row>
    <row r="239" spans="1:97" x14ac:dyDescent="0.4">
      <c r="A239" s="10">
        <v>43122</v>
      </c>
      <c r="B239" t="s">
        <v>107</v>
      </c>
      <c r="C239" t="s">
        <v>782</v>
      </c>
      <c r="D239" t="s">
        <v>359</v>
      </c>
      <c r="E239" t="s">
        <v>2260</v>
      </c>
      <c r="F239" t="str">
        <f>"20180118-0000051"</f>
        <v>20180118-0000051</v>
      </c>
      <c r="G239">
        <v>1031893</v>
      </c>
      <c r="H239">
        <v>1</v>
      </c>
      <c r="I239" t="s">
        <v>783</v>
      </c>
      <c r="J239">
        <v>20160</v>
      </c>
      <c r="L239">
        <v>0</v>
      </c>
      <c r="M239">
        <v>1</v>
      </c>
      <c r="O239" t="s">
        <v>361</v>
      </c>
      <c r="P239" t="s">
        <v>1869</v>
      </c>
      <c r="S239" t="s">
        <v>2334</v>
      </c>
      <c r="T239" t="s">
        <v>364</v>
      </c>
      <c r="X239" t="s">
        <v>783</v>
      </c>
      <c r="AA239">
        <v>27924</v>
      </c>
      <c r="AB239">
        <v>26.06</v>
      </c>
      <c r="AC239" t="s">
        <v>785</v>
      </c>
      <c r="AD239">
        <v>28.4</v>
      </c>
      <c r="AE239">
        <v>29.18</v>
      </c>
      <c r="AF239" t="s">
        <v>786</v>
      </c>
      <c r="AG239">
        <v>1880</v>
      </c>
      <c r="AK239">
        <v>15</v>
      </c>
      <c r="AL239" t="s">
        <v>783</v>
      </c>
      <c r="AN239" t="s">
        <v>787</v>
      </c>
      <c r="AQ239">
        <v>19600</v>
      </c>
      <c r="AR239" t="s">
        <v>368</v>
      </c>
      <c r="AS239">
        <v>613617692595</v>
      </c>
      <c r="AT239" t="str">
        <f t="shared" si="106"/>
        <v>피****아</v>
      </c>
      <c r="AU239" t="str">
        <f t="shared" si="107"/>
        <v xml:space="preserve"> 1****0</v>
      </c>
      <c r="AV239" t="str">
        <f t="shared" si="108"/>
        <v>***-****-1406</v>
      </c>
      <c r="AW239" t="str">
        <f t="shared" si="109"/>
        <v xml:space="preserve"> 서* 강*구 방*동 5****5 2* 김****님</v>
      </c>
      <c r="AX239" t="str">
        <f>""</f>
        <v/>
      </c>
      <c r="AY239" t="str">
        <f t="shared" si="110"/>
        <v>***-****-0388</v>
      </c>
      <c r="AZ239">
        <v>28079</v>
      </c>
      <c r="BA239">
        <v>1031907</v>
      </c>
      <c r="BB239">
        <v>28000</v>
      </c>
      <c r="BC239" t="s">
        <v>2266</v>
      </c>
      <c r="BD239" t="s">
        <v>1195</v>
      </c>
      <c r="BE239" t="str">
        <f t="shared" si="111"/>
        <v>피****아</v>
      </c>
      <c r="BF239" t="str">
        <f t="shared" si="112"/>
        <v>***-****-6097</v>
      </c>
      <c r="BG239" t="str">
        <f t="shared" si="113"/>
        <v>***-****-7488</v>
      </c>
      <c r="BH239" t="s">
        <v>453</v>
      </c>
      <c r="BI239" t="s">
        <v>454</v>
      </c>
      <c r="BJ239" t="s">
        <v>2335</v>
      </c>
      <c r="BK239" t="s">
        <v>456</v>
      </c>
      <c r="BL239">
        <v>20296</v>
      </c>
      <c r="BM239" t="str">
        <f>"20296"</f>
        <v>20296</v>
      </c>
      <c r="BN239" t="str">
        <f>"20180118-0000051"</f>
        <v>20180118-0000051</v>
      </c>
      <c r="BQ239" t="s">
        <v>373</v>
      </c>
      <c r="BU239">
        <v>80</v>
      </c>
      <c r="BV239" t="s">
        <v>789</v>
      </c>
      <c r="BW239" t="s">
        <v>783</v>
      </c>
      <c r="BX239" t="s">
        <v>107</v>
      </c>
      <c r="BY239">
        <v>0</v>
      </c>
      <c r="BZ239">
        <v>8801042655904</v>
      </c>
      <c r="CA239" t="s">
        <v>790</v>
      </c>
      <c r="CF239" t="s">
        <v>783</v>
      </c>
      <c r="CG239" t="s">
        <v>458</v>
      </c>
      <c r="CH239" t="s">
        <v>377</v>
      </c>
      <c r="CI239" t="s">
        <v>782</v>
      </c>
      <c r="CJ239">
        <v>19600</v>
      </c>
      <c r="CK239">
        <v>19600</v>
      </c>
      <c r="CL239" t="s">
        <v>791</v>
      </c>
      <c r="CN239">
        <v>1</v>
      </c>
      <c r="CO239">
        <v>27924</v>
      </c>
      <c r="CP239">
        <v>27924</v>
      </c>
      <c r="CQ239" t="s">
        <v>379</v>
      </c>
      <c r="CS239">
        <v>0</v>
      </c>
    </row>
    <row r="240" spans="1:97" x14ac:dyDescent="0.4">
      <c r="A240" s="10">
        <v>43122</v>
      </c>
      <c r="B240" t="s">
        <v>107</v>
      </c>
      <c r="C240" t="s">
        <v>744</v>
      </c>
      <c r="D240" t="s">
        <v>359</v>
      </c>
      <c r="E240" t="s">
        <v>2260</v>
      </c>
      <c r="F240" t="str">
        <f>"20180118-0000051"</f>
        <v>20180118-0000051</v>
      </c>
      <c r="G240">
        <v>1031893</v>
      </c>
      <c r="H240">
        <v>2</v>
      </c>
      <c r="I240" t="s">
        <v>745</v>
      </c>
      <c r="J240">
        <v>122400</v>
      </c>
      <c r="L240">
        <v>0</v>
      </c>
      <c r="M240">
        <v>1</v>
      </c>
      <c r="O240" t="s">
        <v>361</v>
      </c>
      <c r="P240" t="s">
        <v>1869</v>
      </c>
      <c r="S240" t="s">
        <v>2336</v>
      </c>
      <c r="T240" t="s">
        <v>364</v>
      </c>
      <c r="X240" t="s">
        <v>747</v>
      </c>
      <c r="AA240">
        <v>81718</v>
      </c>
      <c r="AB240">
        <v>77.27</v>
      </c>
      <c r="AC240" t="s">
        <v>748</v>
      </c>
      <c r="AD240">
        <v>72.67</v>
      </c>
      <c r="AE240">
        <v>74.67</v>
      </c>
      <c r="AF240" t="s">
        <v>726</v>
      </c>
      <c r="AG240">
        <v>3360</v>
      </c>
      <c r="AL240" t="s">
        <v>745</v>
      </c>
      <c r="AQ240">
        <v>59500</v>
      </c>
      <c r="AR240" t="s">
        <v>368</v>
      </c>
      <c r="AS240">
        <v>613617692595</v>
      </c>
      <c r="AT240" t="str">
        <f t="shared" si="106"/>
        <v>피****아</v>
      </c>
      <c r="AU240" t="str">
        <f t="shared" si="107"/>
        <v xml:space="preserve"> 1****0</v>
      </c>
      <c r="AV240" t="str">
        <f t="shared" si="108"/>
        <v>***-****-1406</v>
      </c>
      <c r="AW240" t="str">
        <f t="shared" si="109"/>
        <v xml:space="preserve"> 서* 강*구 방*동 5****5 2* 김****님</v>
      </c>
      <c r="AX240" t="str">
        <f>""</f>
        <v/>
      </c>
      <c r="AY240" t="str">
        <f t="shared" si="110"/>
        <v>***-****-0388</v>
      </c>
      <c r="AZ240">
        <v>27791</v>
      </c>
      <c r="BA240">
        <v>1031893</v>
      </c>
      <c r="BB240">
        <v>170000</v>
      </c>
      <c r="BC240" t="s">
        <v>2266</v>
      </c>
      <c r="BD240" t="s">
        <v>1195</v>
      </c>
      <c r="BE240" t="str">
        <f t="shared" si="111"/>
        <v>피****아</v>
      </c>
      <c r="BF240" t="str">
        <f t="shared" si="112"/>
        <v>***-****-6097</v>
      </c>
      <c r="BG240" t="str">
        <f t="shared" si="113"/>
        <v>***-****-7488</v>
      </c>
      <c r="BH240" t="s">
        <v>453</v>
      </c>
      <c r="BI240" t="s">
        <v>454</v>
      </c>
      <c r="BJ240" t="s">
        <v>2337</v>
      </c>
      <c r="BK240" t="s">
        <v>456</v>
      </c>
      <c r="BL240">
        <v>21254</v>
      </c>
      <c r="BM240" t="str">
        <f>"21254"</f>
        <v>21254</v>
      </c>
      <c r="BN240" t="str">
        <f>"20180118-0000051"</f>
        <v>20180118-0000051</v>
      </c>
      <c r="BQ240" t="s">
        <v>373</v>
      </c>
      <c r="BU240">
        <v>110</v>
      </c>
      <c r="BV240" t="s">
        <v>750</v>
      </c>
      <c r="BW240" t="s">
        <v>745</v>
      </c>
      <c r="BX240" t="s">
        <v>107</v>
      </c>
      <c r="BY240">
        <v>0</v>
      </c>
      <c r="BZ240">
        <v>8809559343963</v>
      </c>
      <c r="CA240" t="s">
        <v>751</v>
      </c>
      <c r="CF240" t="s">
        <v>747</v>
      </c>
      <c r="CG240" t="s">
        <v>534</v>
      </c>
      <c r="CH240" t="s">
        <v>377</v>
      </c>
      <c r="CI240" t="s">
        <v>744</v>
      </c>
      <c r="CJ240">
        <v>59500</v>
      </c>
      <c r="CK240">
        <v>119000</v>
      </c>
      <c r="CL240" t="s">
        <v>752</v>
      </c>
      <c r="CN240">
        <v>2</v>
      </c>
      <c r="CO240">
        <v>81718</v>
      </c>
      <c r="CP240">
        <v>163436</v>
      </c>
      <c r="CQ240" t="s">
        <v>379</v>
      </c>
      <c r="CS240">
        <v>0</v>
      </c>
    </row>
    <row r="241" spans="1:97" x14ac:dyDescent="0.4">
      <c r="A241" s="10">
        <v>43122</v>
      </c>
      <c r="B241" t="s">
        <v>135</v>
      </c>
      <c r="C241" t="s">
        <v>1249</v>
      </c>
      <c r="D241" t="s">
        <v>359</v>
      </c>
      <c r="E241" t="s">
        <v>2260</v>
      </c>
      <c r="F241" t="str">
        <f t="shared" ref="F241:F247" si="115">"20180119-0000011"</f>
        <v>20180119-0000011</v>
      </c>
      <c r="G241">
        <v>1031893</v>
      </c>
      <c r="H241">
        <v>2</v>
      </c>
      <c r="I241" t="s">
        <v>1250</v>
      </c>
      <c r="L241">
        <v>0</v>
      </c>
      <c r="M241">
        <v>1</v>
      </c>
      <c r="O241" t="s">
        <v>361</v>
      </c>
      <c r="P241" t="s">
        <v>1203</v>
      </c>
      <c r="S241" t="s">
        <v>2338</v>
      </c>
      <c r="T241" t="s">
        <v>364</v>
      </c>
      <c r="X241" t="s">
        <v>1250</v>
      </c>
      <c r="AA241">
        <v>19600</v>
      </c>
      <c r="AB241">
        <v>17.190000000000001</v>
      </c>
      <c r="AC241" t="s">
        <v>1252</v>
      </c>
      <c r="AD241">
        <v>18.739999999999998</v>
      </c>
      <c r="AE241">
        <v>19.25</v>
      </c>
      <c r="AF241" t="s">
        <v>1009</v>
      </c>
      <c r="AG241">
        <v>6500</v>
      </c>
      <c r="AK241">
        <v>178</v>
      </c>
      <c r="AL241" t="s">
        <v>1250</v>
      </c>
      <c r="AQ241">
        <v>8250</v>
      </c>
      <c r="AR241" t="s">
        <v>368</v>
      </c>
      <c r="AS241">
        <v>613617692595</v>
      </c>
      <c r="AT241" t="str">
        <f t="shared" si="106"/>
        <v>피****아</v>
      </c>
      <c r="AU241" t="str">
        <f t="shared" si="107"/>
        <v xml:space="preserve"> 1****0</v>
      </c>
      <c r="AV241" t="str">
        <f t="shared" si="108"/>
        <v>***-****-1406</v>
      </c>
      <c r="AW241" t="str">
        <f t="shared" si="109"/>
        <v xml:space="preserve"> 서* 강*구 방*동 5****5 2* 김****님</v>
      </c>
      <c r="AX241" t="str">
        <f>""</f>
        <v/>
      </c>
      <c r="AY241" t="str">
        <f t="shared" si="110"/>
        <v>***-****-0388</v>
      </c>
      <c r="AZ241">
        <v>20708</v>
      </c>
      <c r="BA241">
        <v>1033878</v>
      </c>
      <c r="BB241">
        <v>30000</v>
      </c>
      <c r="BC241" t="s">
        <v>2266</v>
      </c>
      <c r="BD241" t="s">
        <v>1205</v>
      </c>
      <c r="BE241" t="str">
        <f t="shared" si="111"/>
        <v>피****아</v>
      </c>
      <c r="BF241" t="str">
        <f t="shared" si="112"/>
        <v>***-****-6097</v>
      </c>
      <c r="BG241" t="str">
        <f t="shared" si="113"/>
        <v>***-****-7488</v>
      </c>
      <c r="BH241" t="s">
        <v>453</v>
      </c>
      <c r="BI241" t="s">
        <v>454</v>
      </c>
      <c r="BJ241" t="s">
        <v>2339</v>
      </c>
      <c r="BK241" t="s">
        <v>456</v>
      </c>
      <c r="BL241">
        <v>18775</v>
      </c>
      <c r="BM241" t="str">
        <f>"18775"</f>
        <v>18775</v>
      </c>
      <c r="BN241" t="str">
        <f t="shared" ref="BN241:BN247" si="116">"20180119-0000011"</f>
        <v>20180119-0000011</v>
      </c>
      <c r="BQ241" t="s">
        <v>373</v>
      </c>
      <c r="BU241">
        <v>413</v>
      </c>
      <c r="BV241" t="s">
        <v>1254</v>
      </c>
      <c r="BW241" t="s">
        <v>1250</v>
      </c>
      <c r="BX241" t="s">
        <v>135</v>
      </c>
      <c r="BY241">
        <v>0</v>
      </c>
      <c r="BZ241">
        <v>8806358568443</v>
      </c>
      <c r="CA241" t="s">
        <v>1255</v>
      </c>
      <c r="CF241" t="s">
        <v>1250</v>
      </c>
      <c r="CG241" t="s">
        <v>1256</v>
      </c>
      <c r="CH241" t="s">
        <v>377</v>
      </c>
      <c r="CI241" t="s">
        <v>1249</v>
      </c>
      <c r="CJ241">
        <v>8250</v>
      </c>
      <c r="CK241">
        <v>16500</v>
      </c>
      <c r="CL241" t="s">
        <v>1257</v>
      </c>
      <c r="CN241">
        <v>2</v>
      </c>
      <c r="CO241">
        <v>19600</v>
      </c>
      <c r="CP241">
        <v>39200</v>
      </c>
      <c r="CQ241" t="s">
        <v>379</v>
      </c>
      <c r="CS241">
        <v>0</v>
      </c>
    </row>
    <row r="242" spans="1:97" x14ac:dyDescent="0.4">
      <c r="A242" s="10">
        <v>43122</v>
      </c>
      <c r="B242" t="s">
        <v>123</v>
      </c>
      <c r="C242" t="s">
        <v>2340</v>
      </c>
      <c r="D242" t="s">
        <v>359</v>
      </c>
      <c r="E242" t="s">
        <v>2260</v>
      </c>
      <c r="F242" t="str">
        <f t="shared" si="115"/>
        <v>20180119-0000011</v>
      </c>
      <c r="G242">
        <v>1031893</v>
      </c>
      <c r="H242">
        <v>3</v>
      </c>
      <c r="I242" t="s">
        <v>2341</v>
      </c>
      <c r="L242">
        <v>0</v>
      </c>
      <c r="M242">
        <v>1</v>
      </c>
      <c r="O242" t="s">
        <v>361</v>
      </c>
      <c r="P242" t="s">
        <v>1203</v>
      </c>
      <c r="S242" t="s">
        <v>2342</v>
      </c>
      <c r="T242" t="s">
        <v>364</v>
      </c>
      <c r="X242" t="s">
        <v>2341</v>
      </c>
      <c r="AA242">
        <v>15949</v>
      </c>
      <c r="AB242">
        <v>10.81</v>
      </c>
      <c r="AC242" t="s">
        <v>2343</v>
      </c>
      <c r="AD242">
        <v>11.79</v>
      </c>
      <c r="AE242">
        <v>12.11</v>
      </c>
      <c r="AF242" t="s">
        <v>2344</v>
      </c>
      <c r="AG242">
        <v>6500</v>
      </c>
      <c r="AL242" t="s">
        <v>2341</v>
      </c>
      <c r="AQ242">
        <v>3468</v>
      </c>
      <c r="AR242" t="s">
        <v>368</v>
      </c>
      <c r="AS242">
        <v>613617692595</v>
      </c>
      <c r="AT242" t="str">
        <f t="shared" si="106"/>
        <v>피****아</v>
      </c>
      <c r="AU242" t="str">
        <f t="shared" si="107"/>
        <v xml:space="preserve"> 1****0</v>
      </c>
      <c r="AV242" t="str">
        <f t="shared" si="108"/>
        <v>***-****-1406</v>
      </c>
      <c r="AW242" t="str">
        <f t="shared" si="109"/>
        <v xml:space="preserve"> 서* 강*구 방*동 5****5 2* 김****님</v>
      </c>
      <c r="AX242" t="str">
        <f>""</f>
        <v/>
      </c>
      <c r="AY242" t="str">
        <f t="shared" si="110"/>
        <v>***-****-0388</v>
      </c>
      <c r="AZ242">
        <v>28008</v>
      </c>
      <c r="BA242">
        <v>1033875</v>
      </c>
      <c r="BB242">
        <v>20400</v>
      </c>
      <c r="BC242" t="s">
        <v>2266</v>
      </c>
      <c r="BD242" t="s">
        <v>1205</v>
      </c>
      <c r="BE242" t="str">
        <f t="shared" si="111"/>
        <v>피****아</v>
      </c>
      <c r="BF242" t="str">
        <f t="shared" si="112"/>
        <v>***-****-6097</v>
      </c>
      <c r="BG242" t="str">
        <f t="shared" si="113"/>
        <v>***-****-7488</v>
      </c>
      <c r="BH242" t="s">
        <v>453</v>
      </c>
      <c r="BI242" t="s">
        <v>454</v>
      </c>
      <c r="BJ242" t="s">
        <v>2345</v>
      </c>
      <c r="BK242" t="s">
        <v>456</v>
      </c>
      <c r="BL242">
        <v>19279</v>
      </c>
      <c r="BM242" t="str">
        <f>"19279"</f>
        <v>19279</v>
      </c>
      <c r="BN242" t="str">
        <f t="shared" si="116"/>
        <v>20180119-0000011</v>
      </c>
      <c r="BQ242" t="s">
        <v>373</v>
      </c>
      <c r="BU242">
        <v>413</v>
      </c>
      <c r="BV242" t="s">
        <v>2346</v>
      </c>
      <c r="BW242" t="s">
        <v>2341</v>
      </c>
      <c r="BX242" t="s">
        <v>123</v>
      </c>
      <c r="BY242">
        <v>0</v>
      </c>
      <c r="BZ242">
        <v>8809454025018</v>
      </c>
      <c r="CA242" t="s">
        <v>2347</v>
      </c>
      <c r="CF242" t="s">
        <v>2341</v>
      </c>
      <c r="CG242" t="s">
        <v>1363</v>
      </c>
      <c r="CH242" t="s">
        <v>377</v>
      </c>
      <c r="CI242" t="s">
        <v>2340</v>
      </c>
      <c r="CJ242">
        <v>3468</v>
      </c>
      <c r="CK242">
        <v>10404</v>
      </c>
      <c r="CL242" t="s">
        <v>2348</v>
      </c>
      <c r="CN242">
        <v>3</v>
      </c>
      <c r="CO242">
        <v>15949</v>
      </c>
      <c r="CP242">
        <v>47847</v>
      </c>
      <c r="CQ242" t="s">
        <v>379</v>
      </c>
      <c r="CS242">
        <v>0</v>
      </c>
    </row>
    <row r="243" spans="1:97" x14ac:dyDescent="0.4">
      <c r="A243" s="10">
        <v>43122</v>
      </c>
      <c r="B243" t="s">
        <v>187</v>
      </c>
      <c r="C243" t="s">
        <v>1371</v>
      </c>
      <c r="D243" t="s">
        <v>359</v>
      </c>
      <c r="E243" t="s">
        <v>2260</v>
      </c>
      <c r="F243" t="str">
        <f t="shared" si="115"/>
        <v>20180119-0000011</v>
      </c>
      <c r="G243">
        <v>1031893</v>
      </c>
      <c r="H243">
        <v>2</v>
      </c>
      <c r="I243" t="s">
        <v>1372</v>
      </c>
      <c r="L243">
        <v>0</v>
      </c>
      <c r="M243">
        <v>1</v>
      </c>
      <c r="O243" t="s">
        <v>361</v>
      </c>
      <c r="P243" t="s">
        <v>1203</v>
      </c>
      <c r="S243" t="s">
        <v>2349</v>
      </c>
      <c r="T243" t="s">
        <v>364</v>
      </c>
      <c r="X243" t="s">
        <v>1372</v>
      </c>
      <c r="AA243">
        <v>20188</v>
      </c>
      <c r="AB243">
        <v>18.2</v>
      </c>
      <c r="AC243" t="s">
        <v>1374</v>
      </c>
      <c r="AD243">
        <v>19.84</v>
      </c>
      <c r="AE243">
        <v>20.38</v>
      </c>
      <c r="AF243" t="s">
        <v>467</v>
      </c>
      <c r="AG243">
        <v>6500</v>
      </c>
      <c r="AK243">
        <v>299</v>
      </c>
      <c r="AL243" t="s">
        <v>1372</v>
      </c>
      <c r="AQ243">
        <v>10560</v>
      </c>
      <c r="AR243" t="s">
        <v>368</v>
      </c>
      <c r="AS243">
        <v>613617692595</v>
      </c>
      <c r="AT243" t="str">
        <f t="shared" si="106"/>
        <v>피****아</v>
      </c>
      <c r="AU243" t="str">
        <f t="shared" si="107"/>
        <v xml:space="preserve"> 1****0</v>
      </c>
      <c r="AV243" t="str">
        <f t="shared" si="108"/>
        <v>***-****-1406</v>
      </c>
      <c r="AW243" t="str">
        <f t="shared" si="109"/>
        <v xml:space="preserve"> 서* 강*구 방*동 5****5 2* 김****님</v>
      </c>
      <c r="AX243" t="str">
        <f>""</f>
        <v/>
      </c>
      <c r="AY243" t="str">
        <f t="shared" si="110"/>
        <v>***-****-0388</v>
      </c>
      <c r="AZ243">
        <v>12721</v>
      </c>
      <c r="BA243">
        <v>1033872</v>
      </c>
      <c r="BB243">
        <v>26400</v>
      </c>
      <c r="BC243" t="s">
        <v>2266</v>
      </c>
      <c r="BD243" t="s">
        <v>1205</v>
      </c>
      <c r="BE243" t="str">
        <f t="shared" si="111"/>
        <v>피****아</v>
      </c>
      <c r="BF243" t="str">
        <f t="shared" si="112"/>
        <v>***-****-6097</v>
      </c>
      <c r="BG243" t="str">
        <f t="shared" si="113"/>
        <v>***-****-7488</v>
      </c>
      <c r="BH243" t="s">
        <v>453</v>
      </c>
      <c r="BI243" t="s">
        <v>454</v>
      </c>
      <c r="BJ243" t="s">
        <v>2350</v>
      </c>
      <c r="BK243" t="s">
        <v>456</v>
      </c>
      <c r="BL243">
        <v>14410</v>
      </c>
      <c r="BM243" t="str">
        <f>"14410"</f>
        <v>14410</v>
      </c>
      <c r="BN243" t="str">
        <f t="shared" si="116"/>
        <v>20180119-0000011</v>
      </c>
      <c r="BQ243" t="s">
        <v>373</v>
      </c>
      <c r="BV243" t="s">
        <v>1376</v>
      </c>
      <c r="BW243" t="s">
        <v>1372</v>
      </c>
      <c r="BX243" t="s">
        <v>187</v>
      </c>
      <c r="BY243">
        <v>0</v>
      </c>
      <c r="BZ243">
        <v>8801051914986</v>
      </c>
      <c r="CA243" t="s">
        <v>1377</v>
      </c>
      <c r="CF243" t="s">
        <v>1372</v>
      </c>
      <c r="CG243" t="s">
        <v>583</v>
      </c>
      <c r="CH243" t="s">
        <v>377</v>
      </c>
      <c r="CI243" t="s">
        <v>1371</v>
      </c>
      <c r="CJ243">
        <v>10560</v>
      </c>
      <c r="CK243">
        <v>21120</v>
      </c>
      <c r="CL243" t="s">
        <v>1378</v>
      </c>
      <c r="CN243">
        <v>2</v>
      </c>
      <c r="CO243">
        <v>20188</v>
      </c>
      <c r="CP243">
        <v>40376</v>
      </c>
      <c r="CQ243" t="s">
        <v>820</v>
      </c>
      <c r="CR243" t="s">
        <v>1379</v>
      </c>
      <c r="CS243">
        <v>0</v>
      </c>
    </row>
    <row r="244" spans="1:97" x14ac:dyDescent="0.4">
      <c r="A244" s="10">
        <v>43122</v>
      </c>
      <c r="B244" t="s">
        <v>129</v>
      </c>
      <c r="C244" t="s">
        <v>2277</v>
      </c>
      <c r="D244" t="s">
        <v>359</v>
      </c>
      <c r="E244" t="s">
        <v>2260</v>
      </c>
      <c r="F244" t="str">
        <f t="shared" si="115"/>
        <v>20180119-0000011</v>
      </c>
      <c r="G244">
        <v>1031893</v>
      </c>
      <c r="H244">
        <v>2</v>
      </c>
      <c r="I244" t="s">
        <v>2278</v>
      </c>
      <c r="L244">
        <v>0</v>
      </c>
      <c r="M244">
        <v>1</v>
      </c>
      <c r="O244" t="s">
        <v>361</v>
      </c>
      <c r="P244" t="s">
        <v>1203</v>
      </c>
      <c r="S244" t="s">
        <v>2351</v>
      </c>
      <c r="T244" t="s">
        <v>364</v>
      </c>
      <c r="X244" t="s">
        <v>2280</v>
      </c>
      <c r="AA244">
        <v>38948</v>
      </c>
      <c r="AB244">
        <v>34.549999999999997</v>
      </c>
      <c r="AC244" t="s">
        <v>2281</v>
      </c>
      <c r="AD244">
        <v>37.729999999999997</v>
      </c>
      <c r="AE244">
        <v>38.770000000000003</v>
      </c>
      <c r="AF244" t="s">
        <v>884</v>
      </c>
      <c r="AG244">
        <v>3360</v>
      </c>
      <c r="AK244">
        <v>164</v>
      </c>
      <c r="AL244" t="s">
        <v>2278</v>
      </c>
      <c r="AN244" t="s">
        <v>2282</v>
      </c>
      <c r="AQ244">
        <v>26600</v>
      </c>
      <c r="AR244" t="s">
        <v>368</v>
      </c>
      <c r="AS244">
        <v>613617692595</v>
      </c>
      <c r="AT244" t="str">
        <f t="shared" si="106"/>
        <v>피****아</v>
      </c>
      <c r="AU244" t="str">
        <f t="shared" si="107"/>
        <v xml:space="preserve"> 1****0</v>
      </c>
      <c r="AV244" t="str">
        <f t="shared" si="108"/>
        <v>***-****-1406</v>
      </c>
      <c r="AW244" t="str">
        <f t="shared" si="109"/>
        <v xml:space="preserve"> 서* 강*구 방*동 5****5 2* 김****님</v>
      </c>
      <c r="AX244" t="str">
        <f>""</f>
        <v/>
      </c>
      <c r="AY244" t="str">
        <f t="shared" si="110"/>
        <v>***-****-0388</v>
      </c>
      <c r="AZ244">
        <v>27682</v>
      </c>
      <c r="BA244">
        <v>1033871</v>
      </c>
      <c r="BB244">
        <v>76000</v>
      </c>
      <c r="BC244" t="s">
        <v>2266</v>
      </c>
      <c r="BD244" t="s">
        <v>1205</v>
      </c>
      <c r="BE244" t="str">
        <f t="shared" si="111"/>
        <v>피****아</v>
      </c>
      <c r="BF244" t="str">
        <f t="shared" si="112"/>
        <v>***-****-6097</v>
      </c>
      <c r="BG244" t="str">
        <f t="shared" si="113"/>
        <v>***-****-7488</v>
      </c>
      <c r="BH244" t="s">
        <v>453</v>
      </c>
      <c r="BI244" t="s">
        <v>454</v>
      </c>
      <c r="BJ244" t="s">
        <v>2352</v>
      </c>
      <c r="BK244" t="s">
        <v>456</v>
      </c>
      <c r="BL244">
        <v>21185</v>
      </c>
      <c r="BM244" t="str">
        <f>"21185"</f>
        <v>21185</v>
      </c>
      <c r="BN244" t="str">
        <f t="shared" si="116"/>
        <v>20180119-0000011</v>
      </c>
      <c r="BQ244" t="s">
        <v>373</v>
      </c>
      <c r="BU244">
        <v>117</v>
      </c>
      <c r="BV244" t="s">
        <v>2284</v>
      </c>
      <c r="BW244" t="s">
        <v>2278</v>
      </c>
      <c r="BX244" t="s">
        <v>129</v>
      </c>
      <c r="BY244">
        <v>0</v>
      </c>
      <c r="BZ244">
        <v>8809560220529</v>
      </c>
      <c r="CA244" t="s">
        <v>2285</v>
      </c>
      <c r="CF244" t="s">
        <v>2280</v>
      </c>
      <c r="CG244" t="s">
        <v>376</v>
      </c>
      <c r="CH244" t="s">
        <v>377</v>
      </c>
      <c r="CI244" t="s">
        <v>2277</v>
      </c>
      <c r="CJ244">
        <v>26600</v>
      </c>
      <c r="CK244">
        <v>53200</v>
      </c>
      <c r="CL244" t="s">
        <v>2286</v>
      </c>
      <c r="CN244">
        <v>2</v>
      </c>
      <c r="CO244">
        <v>38948</v>
      </c>
      <c r="CP244">
        <v>77896</v>
      </c>
      <c r="CQ244" t="s">
        <v>379</v>
      </c>
      <c r="CS244">
        <v>0</v>
      </c>
    </row>
    <row r="245" spans="1:97" x14ac:dyDescent="0.4">
      <c r="A245" s="10">
        <v>43122</v>
      </c>
      <c r="B245" t="s">
        <v>191</v>
      </c>
      <c r="C245" t="s">
        <v>2353</v>
      </c>
      <c r="D245" t="s">
        <v>359</v>
      </c>
      <c r="E245" t="s">
        <v>2260</v>
      </c>
      <c r="F245" t="str">
        <f t="shared" si="115"/>
        <v>20180119-0000011</v>
      </c>
      <c r="G245">
        <v>1031893</v>
      </c>
      <c r="H245">
        <v>5</v>
      </c>
      <c r="I245" t="s">
        <v>2354</v>
      </c>
      <c r="L245">
        <v>0</v>
      </c>
      <c r="M245">
        <v>1</v>
      </c>
      <c r="O245" t="s">
        <v>361</v>
      </c>
      <c r="P245" t="s">
        <v>1203</v>
      </c>
      <c r="S245" t="s">
        <v>2355</v>
      </c>
      <c r="T245" t="s">
        <v>364</v>
      </c>
      <c r="X245" t="s">
        <v>2354</v>
      </c>
      <c r="AA245">
        <v>6894</v>
      </c>
      <c r="AB245">
        <v>5.8</v>
      </c>
      <c r="AC245" t="s">
        <v>2356</v>
      </c>
      <c r="AD245">
        <v>6.32</v>
      </c>
      <c r="AE245">
        <v>6.5</v>
      </c>
      <c r="AF245" t="s">
        <v>2357</v>
      </c>
      <c r="AG245">
        <v>3770</v>
      </c>
      <c r="AK245">
        <v>92</v>
      </c>
      <c r="AL245" t="s">
        <v>2354</v>
      </c>
      <c r="AQ245">
        <v>1950</v>
      </c>
      <c r="AR245" t="s">
        <v>368</v>
      </c>
      <c r="AS245">
        <v>613617692595</v>
      </c>
      <c r="AT245" t="str">
        <f t="shared" si="106"/>
        <v>피****아</v>
      </c>
      <c r="AU245" t="str">
        <f t="shared" si="107"/>
        <v xml:space="preserve"> 1****0</v>
      </c>
      <c r="AV245" t="str">
        <f t="shared" si="108"/>
        <v>***-****-1406</v>
      </c>
      <c r="AW245" t="str">
        <f t="shared" si="109"/>
        <v xml:space="preserve"> 서* 강*구 방*동 5****5 2* 김****님</v>
      </c>
      <c r="AX245" t="str">
        <f>""</f>
        <v/>
      </c>
      <c r="AY245" t="str">
        <f t="shared" si="110"/>
        <v>***-****-0388</v>
      </c>
      <c r="AZ245">
        <v>5408</v>
      </c>
      <c r="BA245">
        <v>1033873</v>
      </c>
      <c r="BB245">
        <v>15000</v>
      </c>
      <c r="BC245" t="s">
        <v>2266</v>
      </c>
      <c r="BD245" t="s">
        <v>1205</v>
      </c>
      <c r="BE245" t="str">
        <f t="shared" si="111"/>
        <v>피****아</v>
      </c>
      <c r="BF245" t="str">
        <f t="shared" si="112"/>
        <v>***-****-6097</v>
      </c>
      <c r="BG245" t="str">
        <f t="shared" si="113"/>
        <v>***-****-7488</v>
      </c>
      <c r="BH245" t="s">
        <v>453</v>
      </c>
      <c r="BI245" t="s">
        <v>454</v>
      </c>
      <c r="BJ245" t="s">
        <v>2358</v>
      </c>
      <c r="BK245" t="s">
        <v>456</v>
      </c>
      <c r="BL245">
        <v>12837</v>
      </c>
      <c r="BM245" t="str">
        <f>"12837"</f>
        <v>12837</v>
      </c>
      <c r="BN245" t="str">
        <f t="shared" si="116"/>
        <v>20180119-0000011</v>
      </c>
      <c r="BQ245" t="s">
        <v>373</v>
      </c>
      <c r="BV245" t="s">
        <v>2359</v>
      </c>
      <c r="BW245" t="s">
        <v>2354</v>
      </c>
      <c r="BX245" t="s">
        <v>191</v>
      </c>
      <c r="BY245">
        <v>0</v>
      </c>
      <c r="BZ245">
        <v>8806364007219</v>
      </c>
      <c r="CA245" t="s">
        <v>2360</v>
      </c>
      <c r="CF245" t="s">
        <v>2354</v>
      </c>
      <c r="CG245" t="s">
        <v>2361</v>
      </c>
      <c r="CH245" t="s">
        <v>377</v>
      </c>
      <c r="CI245" t="s">
        <v>2353</v>
      </c>
      <c r="CJ245">
        <v>1950</v>
      </c>
      <c r="CK245">
        <v>9750</v>
      </c>
      <c r="CL245" t="s">
        <v>2362</v>
      </c>
      <c r="CN245">
        <v>5</v>
      </c>
      <c r="CO245">
        <v>6894</v>
      </c>
      <c r="CP245">
        <v>34470</v>
      </c>
      <c r="CQ245" t="s">
        <v>379</v>
      </c>
      <c r="CS245">
        <v>0</v>
      </c>
    </row>
    <row r="246" spans="1:97" x14ac:dyDescent="0.4">
      <c r="A246" s="10">
        <v>43122</v>
      </c>
      <c r="B246" t="s">
        <v>191</v>
      </c>
      <c r="C246" t="s">
        <v>2363</v>
      </c>
      <c r="D246" t="s">
        <v>359</v>
      </c>
      <c r="E246" t="s">
        <v>2260</v>
      </c>
      <c r="F246" t="str">
        <f t="shared" si="115"/>
        <v>20180119-0000011</v>
      </c>
      <c r="G246">
        <v>1031893</v>
      </c>
      <c r="H246">
        <v>3</v>
      </c>
      <c r="I246" t="s">
        <v>2364</v>
      </c>
      <c r="L246">
        <v>0</v>
      </c>
      <c r="M246">
        <v>1</v>
      </c>
      <c r="O246" t="s">
        <v>361</v>
      </c>
      <c r="P246" t="s">
        <v>1203</v>
      </c>
      <c r="S246" t="s">
        <v>2365</v>
      </c>
      <c r="T246" t="s">
        <v>364</v>
      </c>
      <c r="X246" t="s">
        <v>2364</v>
      </c>
      <c r="AA246">
        <v>7479</v>
      </c>
      <c r="AB246">
        <v>13.61</v>
      </c>
      <c r="AC246" t="s">
        <v>2366</v>
      </c>
      <c r="AD246">
        <v>14.83</v>
      </c>
      <c r="AE246">
        <v>15.24</v>
      </c>
      <c r="AF246" t="s">
        <v>2367</v>
      </c>
      <c r="AG246">
        <v>10650</v>
      </c>
      <c r="AK246">
        <v>462</v>
      </c>
      <c r="AL246" t="s">
        <v>2364</v>
      </c>
      <c r="AQ246">
        <v>2600</v>
      </c>
      <c r="AR246" t="s">
        <v>368</v>
      </c>
      <c r="AS246">
        <v>613617692595</v>
      </c>
      <c r="AT246" t="str">
        <f t="shared" si="106"/>
        <v>피****아</v>
      </c>
      <c r="AU246" t="str">
        <f t="shared" si="107"/>
        <v xml:space="preserve"> 1****0</v>
      </c>
      <c r="AV246" t="str">
        <f t="shared" si="108"/>
        <v>***-****-1406</v>
      </c>
      <c r="AW246" t="str">
        <f t="shared" si="109"/>
        <v xml:space="preserve"> 서* 강*구 방*동 5****5 2* 김****님</v>
      </c>
      <c r="AX246" t="str">
        <f>""</f>
        <v/>
      </c>
      <c r="AY246" t="str">
        <f t="shared" si="110"/>
        <v>***-****-0388</v>
      </c>
      <c r="AZ246">
        <v>3258</v>
      </c>
      <c r="BA246">
        <v>1033874</v>
      </c>
      <c r="BB246">
        <v>10500</v>
      </c>
      <c r="BC246" t="s">
        <v>2266</v>
      </c>
      <c r="BD246" t="s">
        <v>1205</v>
      </c>
      <c r="BE246" t="str">
        <f t="shared" si="111"/>
        <v>피****아</v>
      </c>
      <c r="BF246" t="str">
        <f t="shared" si="112"/>
        <v>***-****-6097</v>
      </c>
      <c r="BG246" t="str">
        <f t="shared" si="113"/>
        <v>***-****-7488</v>
      </c>
      <c r="BH246" t="s">
        <v>453</v>
      </c>
      <c r="BI246" t="s">
        <v>454</v>
      </c>
      <c r="BJ246" t="s">
        <v>2368</v>
      </c>
      <c r="BK246" t="s">
        <v>456</v>
      </c>
      <c r="BL246">
        <v>12872</v>
      </c>
      <c r="BM246" t="str">
        <f>"12872"</f>
        <v>12872</v>
      </c>
      <c r="BN246" t="str">
        <f t="shared" si="116"/>
        <v>20180119-0000011</v>
      </c>
      <c r="BQ246" t="s">
        <v>373</v>
      </c>
      <c r="BU246">
        <v>190</v>
      </c>
      <c r="BV246" t="s">
        <v>2369</v>
      </c>
      <c r="BW246" t="s">
        <v>2364</v>
      </c>
      <c r="BX246" t="s">
        <v>191</v>
      </c>
      <c r="BY246">
        <v>0</v>
      </c>
      <c r="BZ246">
        <v>8806182508301</v>
      </c>
      <c r="CA246" t="s">
        <v>2370</v>
      </c>
      <c r="CF246" t="s">
        <v>2364</v>
      </c>
      <c r="CG246" t="s">
        <v>1363</v>
      </c>
      <c r="CH246" t="s">
        <v>377</v>
      </c>
      <c r="CI246" t="s">
        <v>2363</v>
      </c>
      <c r="CJ246">
        <v>2600</v>
      </c>
      <c r="CK246">
        <v>7800</v>
      </c>
      <c r="CL246" t="s">
        <v>2258</v>
      </c>
      <c r="CN246">
        <v>3</v>
      </c>
      <c r="CO246">
        <v>7479</v>
      </c>
      <c r="CP246">
        <v>22437</v>
      </c>
      <c r="CQ246" t="s">
        <v>379</v>
      </c>
      <c r="CS246">
        <v>0</v>
      </c>
    </row>
    <row r="247" spans="1:97" x14ac:dyDescent="0.4">
      <c r="A247" s="10">
        <v>43122</v>
      </c>
      <c r="B247" t="s">
        <v>198</v>
      </c>
      <c r="C247" t="s">
        <v>1484</v>
      </c>
      <c r="D247" t="s">
        <v>359</v>
      </c>
      <c r="E247" t="s">
        <v>2260</v>
      </c>
      <c r="F247" t="str">
        <f t="shared" si="115"/>
        <v>20180119-0000011</v>
      </c>
      <c r="G247">
        <v>1031893</v>
      </c>
      <c r="H247">
        <v>1</v>
      </c>
      <c r="I247" t="s">
        <v>1485</v>
      </c>
      <c r="L247">
        <v>0</v>
      </c>
      <c r="M247">
        <v>1</v>
      </c>
      <c r="O247" t="s">
        <v>361</v>
      </c>
      <c r="P247" t="s">
        <v>1203</v>
      </c>
      <c r="S247" t="s">
        <v>2371</v>
      </c>
      <c r="T247" t="s">
        <v>364</v>
      </c>
      <c r="X247" t="s">
        <v>1485</v>
      </c>
      <c r="AA247">
        <v>25228</v>
      </c>
      <c r="AB247">
        <v>26.9</v>
      </c>
      <c r="AC247" t="s">
        <v>1487</v>
      </c>
      <c r="AD247">
        <v>29.33</v>
      </c>
      <c r="AE247">
        <v>30.13</v>
      </c>
      <c r="AF247" t="s">
        <v>486</v>
      </c>
      <c r="AG247">
        <v>3770</v>
      </c>
      <c r="AK247">
        <v>216</v>
      </c>
      <c r="AL247" t="s">
        <v>1485</v>
      </c>
      <c r="AQ247">
        <v>18830</v>
      </c>
      <c r="AR247" t="s">
        <v>368</v>
      </c>
      <c r="AS247">
        <v>613617692595</v>
      </c>
      <c r="AT247" t="str">
        <f t="shared" si="106"/>
        <v>피****아</v>
      </c>
      <c r="AU247" t="str">
        <f t="shared" si="107"/>
        <v xml:space="preserve"> 1****0</v>
      </c>
      <c r="AV247" t="str">
        <f t="shared" si="108"/>
        <v>***-****-1406</v>
      </c>
      <c r="AW247" t="str">
        <f t="shared" si="109"/>
        <v xml:space="preserve"> 서* 강*구 방*동 5****5 2* 김****님</v>
      </c>
      <c r="AX247" t="str">
        <f>""</f>
        <v/>
      </c>
      <c r="AY247" t="str">
        <f t="shared" si="110"/>
        <v>***-****-0388</v>
      </c>
      <c r="AZ247">
        <v>22714</v>
      </c>
      <c r="BA247">
        <v>1033876</v>
      </c>
      <c r="BB247">
        <v>26900</v>
      </c>
      <c r="BC247" t="s">
        <v>2266</v>
      </c>
      <c r="BD247" t="s">
        <v>1205</v>
      </c>
      <c r="BE247" t="str">
        <f t="shared" si="111"/>
        <v>피****아</v>
      </c>
      <c r="BF247" t="str">
        <f t="shared" si="112"/>
        <v>***-****-6097</v>
      </c>
      <c r="BG247" t="str">
        <f t="shared" si="113"/>
        <v>***-****-7488</v>
      </c>
      <c r="BH247" t="s">
        <v>453</v>
      </c>
      <c r="BI247" t="s">
        <v>454</v>
      </c>
      <c r="BJ247" t="s">
        <v>2372</v>
      </c>
      <c r="BK247" t="s">
        <v>456</v>
      </c>
      <c r="BL247">
        <v>20147</v>
      </c>
      <c r="BM247" t="str">
        <f>"20147"</f>
        <v>20147</v>
      </c>
      <c r="BN247" t="str">
        <f t="shared" si="116"/>
        <v>20180119-0000011</v>
      </c>
      <c r="BQ247" t="s">
        <v>373</v>
      </c>
      <c r="BV247" t="s">
        <v>1489</v>
      </c>
      <c r="BW247" t="s">
        <v>1485</v>
      </c>
      <c r="BX247" t="s">
        <v>198</v>
      </c>
      <c r="BY247">
        <v>0</v>
      </c>
      <c r="BZ247">
        <v>8806173436538</v>
      </c>
      <c r="CA247" t="s">
        <v>1490</v>
      </c>
      <c r="CF247" t="s">
        <v>1485</v>
      </c>
      <c r="CG247" t="s">
        <v>534</v>
      </c>
      <c r="CH247" t="s">
        <v>377</v>
      </c>
      <c r="CI247" t="s">
        <v>1484</v>
      </c>
      <c r="CJ247">
        <v>18830</v>
      </c>
      <c r="CK247">
        <v>18830</v>
      </c>
      <c r="CL247" t="s">
        <v>760</v>
      </c>
      <c r="CN247">
        <v>1</v>
      </c>
      <c r="CO247">
        <v>25228</v>
      </c>
      <c r="CP247">
        <v>25228</v>
      </c>
      <c r="CQ247" t="s">
        <v>379</v>
      </c>
      <c r="CS247">
        <v>0</v>
      </c>
    </row>
    <row r="248" spans="1:97" x14ac:dyDescent="0.4">
      <c r="A248" s="10">
        <v>43122</v>
      </c>
      <c r="B248" t="s">
        <v>129</v>
      </c>
      <c r="C248" t="s">
        <v>2373</v>
      </c>
      <c r="D248" t="s">
        <v>359</v>
      </c>
      <c r="E248" t="s">
        <v>2374</v>
      </c>
      <c r="F248" t="str">
        <f>"20180118-0000063"</f>
        <v>20180118-0000063</v>
      </c>
      <c r="H248">
        <v>1</v>
      </c>
      <c r="I248" t="s">
        <v>2375</v>
      </c>
      <c r="J248">
        <v>21560</v>
      </c>
      <c r="L248">
        <v>0</v>
      </c>
      <c r="M248">
        <v>1</v>
      </c>
      <c r="O248" t="s">
        <v>361</v>
      </c>
      <c r="P248" t="s">
        <v>2376</v>
      </c>
      <c r="S248" t="s">
        <v>2377</v>
      </c>
      <c r="T248" t="s">
        <v>364</v>
      </c>
      <c r="X248" t="s">
        <v>2375</v>
      </c>
      <c r="Y248" t="s">
        <v>2378</v>
      </c>
      <c r="AA248">
        <v>30381</v>
      </c>
      <c r="AB248">
        <v>27.47</v>
      </c>
      <c r="AC248" t="s">
        <v>2379</v>
      </c>
      <c r="AD248">
        <v>29.94</v>
      </c>
      <c r="AE248">
        <v>30.76</v>
      </c>
      <c r="AF248" t="s">
        <v>777</v>
      </c>
      <c r="AG248">
        <v>3770</v>
      </c>
      <c r="AK248">
        <v>83</v>
      </c>
      <c r="AL248" t="s">
        <v>2375</v>
      </c>
      <c r="AN248" t="s">
        <v>2380</v>
      </c>
      <c r="AQ248">
        <v>19600</v>
      </c>
      <c r="AR248" t="s">
        <v>368</v>
      </c>
      <c r="AS248">
        <v>613617692573</v>
      </c>
      <c r="AT248" t="str">
        <f>"강*현②"</f>
        <v>강*현②</v>
      </c>
      <c r="AU248" t="str">
        <f>" 1***1"</f>
        <v xml:space="preserve"> 1***1</v>
      </c>
      <c r="AV248" t="str">
        <f>"***-****-0441"</f>
        <v>***-****-0441</v>
      </c>
      <c r="AW248" t="str">
        <f>" 경* 파*시 송*로 1* (***) 팜*****트 1**동 4**호"</f>
        <v xml:space="preserve"> 경* 파*시 송*로 1* (***) 팜*****트 1**동 4**호</v>
      </c>
      <c r="AX248" t="str">
        <f>""</f>
        <v/>
      </c>
      <c r="AY248" t="str">
        <f>"***-****-0444"</f>
        <v>***-****-0444</v>
      </c>
      <c r="AZ248">
        <v>28246</v>
      </c>
      <c r="BA248">
        <v>1031888</v>
      </c>
      <c r="BB248">
        <v>28000</v>
      </c>
      <c r="BC248" t="s">
        <v>2381</v>
      </c>
      <c r="BD248" t="s">
        <v>1195</v>
      </c>
      <c r="BE248" t="str">
        <f>"강*현"</f>
        <v>강*현</v>
      </c>
      <c r="BF248" t="str">
        <f>"***-****-0441"</f>
        <v>***-****-0441</v>
      </c>
      <c r="BG248" t="str">
        <f>"***-****-0444"</f>
        <v>***-****-0444</v>
      </c>
      <c r="BH248" t="s">
        <v>453</v>
      </c>
      <c r="BI248" t="s">
        <v>454</v>
      </c>
      <c r="BJ248" t="s">
        <v>2382</v>
      </c>
      <c r="BK248" t="s">
        <v>456</v>
      </c>
      <c r="BL248">
        <v>18523</v>
      </c>
      <c r="BM248" t="str">
        <f>"18523"</f>
        <v>18523</v>
      </c>
      <c r="BN248" t="str">
        <f>"20180118-0000063"</f>
        <v>20180118-0000063</v>
      </c>
      <c r="BQ248" t="s">
        <v>373</v>
      </c>
      <c r="BV248" t="s">
        <v>2383</v>
      </c>
      <c r="BW248" t="s">
        <v>2375</v>
      </c>
      <c r="BX248" t="s">
        <v>129</v>
      </c>
      <c r="BY248">
        <v>0</v>
      </c>
      <c r="BZ248">
        <v>8809560220635</v>
      </c>
      <c r="CA248" t="s">
        <v>2384</v>
      </c>
      <c r="CF248" t="s">
        <v>2375</v>
      </c>
      <c r="CG248" t="s">
        <v>376</v>
      </c>
      <c r="CH248" t="s">
        <v>377</v>
      </c>
      <c r="CI248" t="s">
        <v>2373</v>
      </c>
      <c r="CJ248">
        <v>19600</v>
      </c>
      <c r="CK248">
        <v>19600</v>
      </c>
      <c r="CL248" t="s">
        <v>2385</v>
      </c>
      <c r="CN248">
        <v>1</v>
      </c>
      <c r="CO248">
        <v>30381</v>
      </c>
      <c r="CP248">
        <v>30381</v>
      </c>
      <c r="CQ248" t="s">
        <v>379</v>
      </c>
      <c r="CS248">
        <v>0</v>
      </c>
    </row>
    <row r="249" spans="1:97" x14ac:dyDescent="0.4">
      <c r="A249" s="10">
        <v>43119</v>
      </c>
      <c r="B249" t="s">
        <v>135</v>
      </c>
      <c r="C249" t="s">
        <v>2386</v>
      </c>
      <c r="D249" t="s">
        <v>359</v>
      </c>
      <c r="E249" t="s">
        <v>2387</v>
      </c>
      <c r="F249" t="str">
        <f t="shared" ref="F249:F258" si="117">"20180118-0000029"</f>
        <v>20180118-0000029</v>
      </c>
      <c r="G249">
        <v>1031892</v>
      </c>
      <c r="H249">
        <v>1</v>
      </c>
      <c r="I249" t="s">
        <v>2388</v>
      </c>
      <c r="J249">
        <v>5590</v>
      </c>
      <c r="L249">
        <v>0</v>
      </c>
      <c r="M249">
        <v>1</v>
      </c>
      <c r="O249" t="s">
        <v>361</v>
      </c>
      <c r="P249" t="s">
        <v>2262</v>
      </c>
      <c r="S249" t="s">
        <v>2389</v>
      </c>
      <c r="T249" t="s">
        <v>364</v>
      </c>
      <c r="X249" t="s">
        <v>2388</v>
      </c>
      <c r="AA249">
        <v>12416</v>
      </c>
      <c r="AB249">
        <v>9.42</v>
      </c>
      <c r="AC249" t="s">
        <v>2390</v>
      </c>
      <c r="AD249">
        <v>10.27</v>
      </c>
      <c r="AE249">
        <v>10.56</v>
      </c>
      <c r="AF249" t="s">
        <v>826</v>
      </c>
      <c r="AG249">
        <v>1880</v>
      </c>
      <c r="AK249">
        <v>28</v>
      </c>
      <c r="AL249" t="s">
        <v>2388</v>
      </c>
      <c r="AN249" t="s">
        <v>2391</v>
      </c>
      <c r="AQ249">
        <v>5390</v>
      </c>
      <c r="AR249" t="s">
        <v>368</v>
      </c>
      <c r="AS249">
        <v>613594389945</v>
      </c>
      <c r="AT249" t="str">
        <f t="shared" ref="AT249:AT297" si="118">"피****아①"</f>
        <v>피****아①</v>
      </c>
      <c r="AU249" t="str">
        <f t="shared" ref="AU249:AU297" si="119">" 1****0"</f>
        <v xml:space="preserve"> 1****0</v>
      </c>
      <c r="AV249" t="str">
        <f t="shared" ref="AV249:AV297" si="120">"***-****-1406"</f>
        <v>***-****-1406</v>
      </c>
      <c r="AW249" t="str">
        <f t="shared" ref="AW249:AW297" si="121">" 서* 강*구 방*동 5****5 2* 김****님"</f>
        <v xml:space="preserve"> 서* 강*구 방*동 5****5 2* 김****님</v>
      </c>
      <c r="AY249" t="str">
        <f t="shared" ref="AY249:AY297" si="122">"***-****-0388"</f>
        <v>***-****-0388</v>
      </c>
      <c r="AZ249">
        <v>28043</v>
      </c>
      <c r="BA249">
        <v>1031966</v>
      </c>
      <c r="BB249">
        <v>9800</v>
      </c>
      <c r="BC249" t="s">
        <v>2392</v>
      </c>
      <c r="BD249" t="s">
        <v>1195</v>
      </c>
      <c r="BE249" t="str">
        <f t="shared" ref="BE249:BE297" si="123">"피****아"</f>
        <v>피****아</v>
      </c>
      <c r="BF249" t="str">
        <f t="shared" ref="BF249:BF297" si="124">"***-****-6097"</f>
        <v>***-****-6097</v>
      </c>
      <c r="BG249" t="str">
        <f t="shared" ref="BG249:BG297" si="125">"***-****-7488"</f>
        <v>***-****-7488</v>
      </c>
      <c r="BH249" t="s">
        <v>453</v>
      </c>
      <c r="BI249" t="s">
        <v>454</v>
      </c>
      <c r="BJ249" t="s">
        <v>2393</v>
      </c>
      <c r="BK249" t="s">
        <v>456</v>
      </c>
      <c r="BL249">
        <v>18326</v>
      </c>
      <c r="BM249" t="str">
        <f>"18326"</f>
        <v>18326</v>
      </c>
      <c r="BN249" t="str">
        <f t="shared" ref="BN249:BN258" si="126">"20180118-0000029"</f>
        <v>20180118-0000029</v>
      </c>
      <c r="BQ249" t="s">
        <v>373</v>
      </c>
      <c r="BV249" t="s">
        <v>2394</v>
      </c>
      <c r="BW249" t="s">
        <v>2388</v>
      </c>
      <c r="BX249" t="s">
        <v>135</v>
      </c>
      <c r="BY249">
        <v>0</v>
      </c>
      <c r="BZ249">
        <v>8806358561215</v>
      </c>
      <c r="CA249" t="s">
        <v>2395</v>
      </c>
      <c r="CF249" t="s">
        <v>2388</v>
      </c>
      <c r="CG249" t="s">
        <v>831</v>
      </c>
      <c r="CH249" t="s">
        <v>377</v>
      </c>
      <c r="CI249" t="s">
        <v>2386</v>
      </c>
      <c r="CJ249">
        <v>5390</v>
      </c>
      <c r="CK249">
        <v>5390</v>
      </c>
      <c r="CL249" t="s">
        <v>1991</v>
      </c>
      <c r="CN249">
        <v>1</v>
      </c>
      <c r="CO249">
        <v>12416</v>
      </c>
      <c r="CP249">
        <v>12416</v>
      </c>
      <c r="CQ249" t="s">
        <v>379</v>
      </c>
      <c r="CS249">
        <v>0</v>
      </c>
    </row>
    <row r="250" spans="1:97" x14ac:dyDescent="0.4">
      <c r="A250" s="10">
        <v>43119</v>
      </c>
      <c r="B250" t="s">
        <v>123</v>
      </c>
      <c r="C250" t="s">
        <v>1322</v>
      </c>
      <c r="D250" t="s">
        <v>359</v>
      </c>
      <c r="E250" t="s">
        <v>2387</v>
      </c>
      <c r="F250" t="str">
        <f t="shared" si="117"/>
        <v>20180118-0000029</v>
      </c>
      <c r="G250">
        <v>1031892</v>
      </c>
      <c r="H250">
        <v>1</v>
      </c>
      <c r="I250" t="s">
        <v>1323</v>
      </c>
      <c r="J250">
        <v>3260</v>
      </c>
      <c r="L250">
        <v>0</v>
      </c>
      <c r="M250">
        <v>1</v>
      </c>
      <c r="O250" t="s">
        <v>361</v>
      </c>
      <c r="P250" t="s">
        <v>2262</v>
      </c>
      <c r="S250" t="s">
        <v>2396</v>
      </c>
      <c r="T250" t="s">
        <v>364</v>
      </c>
      <c r="X250" t="s">
        <v>1323</v>
      </c>
      <c r="AA250">
        <v>12560</v>
      </c>
      <c r="AB250">
        <v>8.7899999999999991</v>
      </c>
      <c r="AC250" t="s">
        <v>1325</v>
      </c>
      <c r="AD250">
        <v>9.58</v>
      </c>
      <c r="AE250">
        <v>9.84</v>
      </c>
      <c r="AF250" t="s">
        <v>1009</v>
      </c>
      <c r="AG250">
        <v>6500</v>
      </c>
      <c r="AH250">
        <v>250</v>
      </c>
      <c r="AI250">
        <v>3770</v>
      </c>
      <c r="AK250">
        <v>183</v>
      </c>
      <c r="AL250" t="s">
        <v>1323</v>
      </c>
      <c r="AQ250">
        <v>3468</v>
      </c>
      <c r="AR250" t="s">
        <v>368</v>
      </c>
      <c r="AS250">
        <v>613594389945</v>
      </c>
      <c r="AT250" t="str">
        <f t="shared" si="118"/>
        <v>피****아①</v>
      </c>
      <c r="AU250" t="str">
        <f t="shared" si="119"/>
        <v xml:space="preserve"> 1****0</v>
      </c>
      <c r="AV250" t="str">
        <f t="shared" si="120"/>
        <v>***-****-1406</v>
      </c>
      <c r="AW250" t="str">
        <f t="shared" si="121"/>
        <v xml:space="preserve"> 서* 강*구 방*동 5****5 2* 김****님</v>
      </c>
      <c r="AY250" t="str">
        <f t="shared" si="122"/>
        <v>***-****-0388</v>
      </c>
      <c r="AZ250">
        <v>7256</v>
      </c>
      <c r="BA250">
        <v>1031962</v>
      </c>
      <c r="BB250">
        <v>6800</v>
      </c>
      <c r="BC250" t="s">
        <v>2392</v>
      </c>
      <c r="BD250" t="s">
        <v>1195</v>
      </c>
      <c r="BE250" t="str">
        <f t="shared" si="123"/>
        <v>피****아</v>
      </c>
      <c r="BF250" t="str">
        <f t="shared" si="124"/>
        <v>***-****-6097</v>
      </c>
      <c r="BG250" t="str">
        <f t="shared" si="125"/>
        <v>***-****-7488</v>
      </c>
      <c r="BH250" t="s">
        <v>453</v>
      </c>
      <c r="BI250" t="s">
        <v>454</v>
      </c>
      <c r="BJ250" t="s">
        <v>2397</v>
      </c>
      <c r="BK250" t="s">
        <v>456</v>
      </c>
      <c r="BL250">
        <v>11973</v>
      </c>
      <c r="BM250" t="str">
        <f>"11973"</f>
        <v>11973</v>
      </c>
      <c r="BN250" t="str">
        <f t="shared" si="126"/>
        <v>20180118-0000029</v>
      </c>
      <c r="BQ250" t="s">
        <v>373</v>
      </c>
      <c r="BV250" t="s">
        <v>1327</v>
      </c>
      <c r="BW250" t="s">
        <v>1323</v>
      </c>
      <c r="BX250" t="s">
        <v>123</v>
      </c>
      <c r="BZ250">
        <v>8809241887447</v>
      </c>
      <c r="CA250" t="s">
        <v>1328</v>
      </c>
      <c r="CF250" t="s">
        <v>1323</v>
      </c>
      <c r="CG250" t="s">
        <v>877</v>
      </c>
      <c r="CH250" t="s">
        <v>377</v>
      </c>
      <c r="CI250" t="s">
        <v>1322</v>
      </c>
      <c r="CJ250">
        <v>3468</v>
      </c>
      <c r="CK250">
        <v>3468</v>
      </c>
      <c r="CL250" t="s">
        <v>653</v>
      </c>
      <c r="CN250">
        <v>1</v>
      </c>
      <c r="CO250">
        <v>14798</v>
      </c>
      <c r="CP250">
        <v>14798</v>
      </c>
      <c r="CQ250" t="s">
        <v>379</v>
      </c>
      <c r="CS250">
        <v>0</v>
      </c>
    </row>
    <row r="251" spans="1:97" x14ac:dyDescent="0.4">
      <c r="A251" s="10">
        <v>43119</v>
      </c>
      <c r="B251" t="s">
        <v>215</v>
      </c>
      <c r="C251" t="s">
        <v>2398</v>
      </c>
      <c r="D251" t="s">
        <v>359</v>
      </c>
      <c r="E251" t="s">
        <v>2387</v>
      </c>
      <c r="F251" t="str">
        <f t="shared" si="117"/>
        <v>20180118-0000029</v>
      </c>
      <c r="G251">
        <v>1031892</v>
      </c>
      <c r="H251">
        <v>1</v>
      </c>
      <c r="I251" t="s">
        <v>2399</v>
      </c>
      <c r="J251">
        <v>3100</v>
      </c>
      <c r="L251">
        <v>0</v>
      </c>
      <c r="M251">
        <v>1</v>
      </c>
      <c r="O251" t="s">
        <v>361</v>
      </c>
      <c r="P251" t="s">
        <v>2262</v>
      </c>
      <c r="S251" t="s">
        <v>2400</v>
      </c>
      <c r="T251" t="s">
        <v>364</v>
      </c>
      <c r="X251" t="s">
        <v>2399</v>
      </c>
      <c r="AA251">
        <v>11072</v>
      </c>
      <c r="AB251">
        <v>5.96</v>
      </c>
      <c r="AC251" t="s">
        <v>2401</v>
      </c>
      <c r="AD251">
        <v>6.49</v>
      </c>
      <c r="AE251">
        <v>6.67</v>
      </c>
      <c r="AF251" t="s">
        <v>826</v>
      </c>
      <c r="AG251">
        <v>1880</v>
      </c>
      <c r="AH251">
        <v>82</v>
      </c>
      <c r="AI251">
        <v>1880</v>
      </c>
      <c r="AK251">
        <v>16</v>
      </c>
      <c r="AL251" t="s">
        <v>2399</v>
      </c>
      <c r="AQ251">
        <v>2790</v>
      </c>
      <c r="AR251" t="s">
        <v>368</v>
      </c>
      <c r="AS251">
        <v>613594389945</v>
      </c>
      <c r="AT251" t="str">
        <f t="shared" si="118"/>
        <v>피****아①</v>
      </c>
      <c r="AU251" t="str">
        <f t="shared" si="119"/>
        <v xml:space="preserve"> 1****0</v>
      </c>
      <c r="AV251" t="str">
        <f t="shared" si="120"/>
        <v>***-****-1406</v>
      </c>
      <c r="AW251" t="str">
        <f t="shared" si="121"/>
        <v xml:space="preserve"> 서* 강*구 방*동 5****5 2* 김****님</v>
      </c>
      <c r="AY251" t="str">
        <f t="shared" si="122"/>
        <v>***-****-0388</v>
      </c>
      <c r="AZ251">
        <v>1134</v>
      </c>
      <c r="BA251">
        <v>1031956</v>
      </c>
      <c r="BB251">
        <v>5000</v>
      </c>
      <c r="BC251" t="s">
        <v>2392</v>
      </c>
      <c r="BD251" t="s">
        <v>1195</v>
      </c>
      <c r="BE251" t="str">
        <f t="shared" si="123"/>
        <v>피****아</v>
      </c>
      <c r="BF251" t="str">
        <f t="shared" si="124"/>
        <v>***-****-6097</v>
      </c>
      <c r="BG251" t="str">
        <f t="shared" si="125"/>
        <v>***-****-7488</v>
      </c>
      <c r="BH251" t="s">
        <v>453</v>
      </c>
      <c r="BI251" t="s">
        <v>454</v>
      </c>
      <c r="BJ251" t="s">
        <v>2402</v>
      </c>
      <c r="BK251" t="s">
        <v>456</v>
      </c>
      <c r="BL251">
        <v>11425</v>
      </c>
      <c r="BM251" t="str">
        <f>"11425"</f>
        <v>11425</v>
      </c>
      <c r="BN251" t="str">
        <f t="shared" si="126"/>
        <v>20180118-0000029</v>
      </c>
      <c r="BQ251" t="s">
        <v>373</v>
      </c>
      <c r="BV251" t="s">
        <v>2403</v>
      </c>
      <c r="BW251" t="s">
        <v>2399</v>
      </c>
      <c r="BX251" t="s">
        <v>215</v>
      </c>
      <c r="BY251">
        <v>0</v>
      </c>
      <c r="BZ251">
        <v>8806179484458</v>
      </c>
      <c r="CA251" t="s">
        <v>2404</v>
      </c>
      <c r="CF251" t="s">
        <v>2399</v>
      </c>
      <c r="CG251" t="s">
        <v>1102</v>
      </c>
      <c r="CH251" t="s">
        <v>377</v>
      </c>
      <c r="CI251" t="s">
        <v>2398</v>
      </c>
      <c r="CJ251">
        <v>2790</v>
      </c>
      <c r="CK251">
        <v>2790</v>
      </c>
      <c r="CL251" t="s">
        <v>2405</v>
      </c>
      <c r="CN251">
        <v>1</v>
      </c>
      <c r="CO251">
        <v>11072</v>
      </c>
      <c r="CP251">
        <v>11072</v>
      </c>
      <c r="CQ251" t="s">
        <v>379</v>
      </c>
      <c r="CS251">
        <v>0</v>
      </c>
    </row>
    <row r="252" spans="1:97" x14ac:dyDescent="0.4">
      <c r="A252" s="10">
        <v>43119</v>
      </c>
      <c r="B252" t="s">
        <v>210</v>
      </c>
      <c r="C252" t="s">
        <v>1338</v>
      </c>
      <c r="D252" t="s">
        <v>359</v>
      </c>
      <c r="E252" t="s">
        <v>2387</v>
      </c>
      <c r="F252" t="str">
        <f t="shared" si="117"/>
        <v>20180118-0000029</v>
      </c>
      <c r="G252">
        <v>1031892</v>
      </c>
      <c r="H252">
        <v>1</v>
      </c>
      <c r="I252" t="s">
        <v>1339</v>
      </c>
      <c r="J252">
        <v>11520</v>
      </c>
      <c r="L252">
        <v>0</v>
      </c>
      <c r="M252">
        <v>1</v>
      </c>
      <c r="O252" t="s">
        <v>361</v>
      </c>
      <c r="P252" t="s">
        <v>2262</v>
      </c>
      <c r="S252" t="s">
        <v>2406</v>
      </c>
      <c r="T252" t="s">
        <v>364</v>
      </c>
      <c r="X252" t="s">
        <v>1339</v>
      </c>
      <c r="AA252">
        <v>19012</v>
      </c>
      <c r="AB252">
        <v>16.72</v>
      </c>
      <c r="AC252" t="s">
        <v>1341</v>
      </c>
      <c r="AD252">
        <v>18.23</v>
      </c>
      <c r="AE252">
        <v>18.73</v>
      </c>
      <c r="AF252" t="s">
        <v>845</v>
      </c>
      <c r="AG252">
        <v>1880</v>
      </c>
      <c r="AK252">
        <v>27</v>
      </c>
      <c r="AL252" t="s">
        <v>1339</v>
      </c>
      <c r="AN252" t="s">
        <v>1342</v>
      </c>
      <c r="AQ252">
        <v>11700</v>
      </c>
      <c r="AR252" t="s">
        <v>368</v>
      </c>
      <c r="AS252">
        <v>613594389945</v>
      </c>
      <c r="AT252" t="str">
        <f t="shared" si="118"/>
        <v>피****아①</v>
      </c>
      <c r="AU252" t="str">
        <f t="shared" si="119"/>
        <v xml:space="preserve"> 1****0</v>
      </c>
      <c r="AV252" t="str">
        <f t="shared" si="120"/>
        <v>***-****-1406</v>
      </c>
      <c r="AW252" t="str">
        <f t="shared" si="121"/>
        <v xml:space="preserve"> 서* 강*구 방*동 5****5 2* 김****님</v>
      </c>
      <c r="AY252" t="str">
        <f t="shared" si="122"/>
        <v>***-****-0388</v>
      </c>
      <c r="AZ252">
        <v>27826</v>
      </c>
      <c r="BA252">
        <v>1031950</v>
      </c>
      <c r="BB252">
        <v>18000</v>
      </c>
      <c r="BC252" t="s">
        <v>2392</v>
      </c>
      <c r="BD252" t="s">
        <v>1195</v>
      </c>
      <c r="BE252" t="str">
        <f t="shared" si="123"/>
        <v>피****아</v>
      </c>
      <c r="BF252" t="str">
        <f t="shared" si="124"/>
        <v>***-****-6097</v>
      </c>
      <c r="BG252" t="str">
        <f t="shared" si="125"/>
        <v>***-****-7488</v>
      </c>
      <c r="BH252" t="s">
        <v>453</v>
      </c>
      <c r="BI252" t="s">
        <v>454</v>
      </c>
      <c r="BJ252" t="s">
        <v>2407</v>
      </c>
      <c r="BK252" t="s">
        <v>456</v>
      </c>
      <c r="BL252">
        <v>19267</v>
      </c>
      <c r="BM252" t="str">
        <f>"19267"</f>
        <v>19267</v>
      </c>
      <c r="BN252" t="str">
        <f t="shared" si="126"/>
        <v>20180118-0000029</v>
      </c>
      <c r="BQ252" t="s">
        <v>373</v>
      </c>
      <c r="BV252" t="s">
        <v>1344</v>
      </c>
      <c r="BW252" t="s">
        <v>1339</v>
      </c>
      <c r="BX252" t="s">
        <v>210</v>
      </c>
      <c r="BY252">
        <v>0</v>
      </c>
      <c r="BZ252">
        <v>8801042677951</v>
      </c>
      <c r="CA252" t="s">
        <v>1345</v>
      </c>
      <c r="CF252" t="s">
        <v>1339</v>
      </c>
      <c r="CG252" t="s">
        <v>458</v>
      </c>
      <c r="CH252" t="s">
        <v>377</v>
      </c>
      <c r="CI252" t="s">
        <v>1338</v>
      </c>
      <c r="CJ252">
        <v>11700</v>
      </c>
      <c r="CK252">
        <v>11700</v>
      </c>
      <c r="CL252" t="s">
        <v>1346</v>
      </c>
      <c r="CN252">
        <v>1</v>
      </c>
      <c r="CO252">
        <v>19012</v>
      </c>
      <c r="CP252">
        <v>19012</v>
      </c>
      <c r="CQ252" t="s">
        <v>379</v>
      </c>
      <c r="CS252">
        <v>0</v>
      </c>
    </row>
    <row r="253" spans="1:97" x14ac:dyDescent="0.4">
      <c r="A253" s="10">
        <v>43119</v>
      </c>
      <c r="B253" t="s">
        <v>187</v>
      </c>
      <c r="C253" t="s">
        <v>1371</v>
      </c>
      <c r="D253" t="s">
        <v>359</v>
      </c>
      <c r="E253" t="s">
        <v>2387</v>
      </c>
      <c r="F253" t="str">
        <f t="shared" si="117"/>
        <v>20180118-0000029</v>
      </c>
      <c r="G253">
        <v>1031892</v>
      </c>
      <c r="H253">
        <v>1</v>
      </c>
      <c r="I253" t="s">
        <v>1372</v>
      </c>
      <c r="J253">
        <v>10820</v>
      </c>
      <c r="L253">
        <v>0</v>
      </c>
      <c r="M253">
        <v>1</v>
      </c>
      <c r="O253" t="s">
        <v>361</v>
      </c>
      <c r="P253" t="s">
        <v>2262</v>
      </c>
      <c r="S253" t="s">
        <v>2408</v>
      </c>
      <c r="T253" t="s">
        <v>364</v>
      </c>
      <c r="X253" t="s">
        <v>1372</v>
      </c>
      <c r="AA253">
        <v>20188</v>
      </c>
      <c r="AB253">
        <v>18.2</v>
      </c>
      <c r="AC253" t="s">
        <v>1374</v>
      </c>
      <c r="AD253">
        <v>19.84</v>
      </c>
      <c r="AE253">
        <v>20.38</v>
      </c>
      <c r="AF253" t="s">
        <v>467</v>
      </c>
      <c r="AG253">
        <v>6500</v>
      </c>
      <c r="AK253">
        <v>299</v>
      </c>
      <c r="AL253" t="s">
        <v>1372</v>
      </c>
      <c r="AQ253">
        <v>10560</v>
      </c>
      <c r="AR253" t="s">
        <v>368</v>
      </c>
      <c r="AS253">
        <v>613594389945</v>
      </c>
      <c r="AT253" t="str">
        <f t="shared" si="118"/>
        <v>피****아①</v>
      </c>
      <c r="AU253" t="str">
        <f t="shared" si="119"/>
        <v xml:space="preserve"> 1****0</v>
      </c>
      <c r="AV253" t="str">
        <f t="shared" si="120"/>
        <v>***-****-1406</v>
      </c>
      <c r="AW253" t="str">
        <f t="shared" si="121"/>
        <v xml:space="preserve"> 서* 강*구 방*동 5****5 2* 김****님</v>
      </c>
      <c r="AY253" t="str">
        <f t="shared" si="122"/>
        <v>***-****-0388</v>
      </c>
      <c r="AZ253">
        <v>12721</v>
      </c>
      <c r="BA253">
        <v>1031954</v>
      </c>
      <c r="BB253">
        <v>13200</v>
      </c>
      <c r="BC253" t="s">
        <v>2392</v>
      </c>
      <c r="BD253" t="s">
        <v>1195</v>
      </c>
      <c r="BE253" t="str">
        <f t="shared" si="123"/>
        <v>피****아</v>
      </c>
      <c r="BF253" t="str">
        <f t="shared" si="124"/>
        <v>***-****-6097</v>
      </c>
      <c r="BG253" t="str">
        <f t="shared" si="125"/>
        <v>***-****-7488</v>
      </c>
      <c r="BH253" t="s">
        <v>453</v>
      </c>
      <c r="BI253" t="s">
        <v>454</v>
      </c>
      <c r="BJ253" t="s">
        <v>2409</v>
      </c>
      <c r="BK253" t="s">
        <v>456</v>
      </c>
      <c r="BL253">
        <v>14410</v>
      </c>
      <c r="BM253" t="str">
        <f>"14410"</f>
        <v>14410</v>
      </c>
      <c r="BN253" t="str">
        <f t="shared" si="126"/>
        <v>20180118-0000029</v>
      </c>
      <c r="BQ253" t="s">
        <v>373</v>
      </c>
      <c r="BV253" t="s">
        <v>1376</v>
      </c>
      <c r="BW253" t="s">
        <v>1372</v>
      </c>
      <c r="BX253" t="s">
        <v>187</v>
      </c>
      <c r="BY253">
        <v>0</v>
      </c>
      <c r="BZ253">
        <v>8801051914986</v>
      </c>
      <c r="CA253" t="s">
        <v>1377</v>
      </c>
      <c r="CF253" t="s">
        <v>1372</v>
      </c>
      <c r="CG253" t="s">
        <v>583</v>
      </c>
      <c r="CH253" t="s">
        <v>377</v>
      </c>
      <c r="CI253" t="s">
        <v>1371</v>
      </c>
      <c r="CJ253">
        <v>10560</v>
      </c>
      <c r="CK253">
        <v>10560</v>
      </c>
      <c r="CL253" t="s">
        <v>1378</v>
      </c>
      <c r="CN253">
        <v>1</v>
      </c>
      <c r="CO253">
        <v>20188</v>
      </c>
      <c r="CP253">
        <v>20188</v>
      </c>
      <c r="CQ253" t="s">
        <v>820</v>
      </c>
      <c r="CR253" t="s">
        <v>1379</v>
      </c>
      <c r="CS253">
        <v>0</v>
      </c>
    </row>
    <row r="254" spans="1:97" x14ac:dyDescent="0.4">
      <c r="A254" s="10">
        <v>43119</v>
      </c>
      <c r="B254" t="s">
        <v>187</v>
      </c>
      <c r="C254" t="s">
        <v>2410</v>
      </c>
      <c r="D254" t="s">
        <v>359</v>
      </c>
      <c r="E254" t="s">
        <v>2387</v>
      </c>
      <c r="F254" t="str">
        <f t="shared" si="117"/>
        <v>20180118-0000029</v>
      </c>
      <c r="G254">
        <v>1031892</v>
      </c>
      <c r="H254">
        <v>1</v>
      </c>
      <c r="I254" t="s">
        <v>2411</v>
      </c>
      <c r="J254">
        <v>19270</v>
      </c>
      <c r="L254">
        <v>0</v>
      </c>
      <c r="M254">
        <v>1</v>
      </c>
      <c r="O254" t="s">
        <v>361</v>
      </c>
      <c r="P254" t="s">
        <v>2262</v>
      </c>
      <c r="S254" t="s">
        <v>2412</v>
      </c>
      <c r="T254" t="s">
        <v>364</v>
      </c>
      <c r="X254" t="s">
        <v>2413</v>
      </c>
      <c r="AA254">
        <v>37804</v>
      </c>
      <c r="AB254">
        <v>21.363636360000001</v>
      </c>
      <c r="AC254" t="s">
        <v>2414</v>
      </c>
      <c r="AD254">
        <v>36.04</v>
      </c>
      <c r="AE254">
        <v>37.03</v>
      </c>
      <c r="AF254" t="s">
        <v>2415</v>
      </c>
      <c r="AG254">
        <v>10280</v>
      </c>
      <c r="AL254" t="s">
        <v>2411</v>
      </c>
      <c r="AQ254">
        <v>18800</v>
      </c>
      <c r="AR254" t="s">
        <v>368</v>
      </c>
      <c r="AS254">
        <v>613594389945</v>
      </c>
      <c r="AT254" t="str">
        <f t="shared" si="118"/>
        <v>피****아①</v>
      </c>
      <c r="AU254" t="str">
        <f t="shared" si="119"/>
        <v xml:space="preserve"> 1****0</v>
      </c>
      <c r="AV254" t="str">
        <f t="shared" si="120"/>
        <v>***-****-1406</v>
      </c>
      <c r="AW254" t="str">
        <f t="shared" si="121"/>
        <v xml:space="preserve"> 서* 강*구 방*동 5****5 2* 김****님</v>
      </c>
      <c r="AY254" t="str">
        <f t="shared" si="122"/>
        <v>***-****-0388</v>
      </c>
      <c r="AZ254">
        <v>27795</v>
      </c>
      <c r="BA254">
        <v>1031955</v>
      </c>
      <c r="BB254">
        <v>23500</v>
      </c>
      <c r="BC254" t="s">
        <v>2392</v>
      </c>
      <c r="BD254" t="s">
        <v>1195</v>
      </c>
      <c r="BE254" t="str">
        <f t="shared" si="123"/>
        <v>피****아</v>
      </c>
      <c r="BF254" t="str">
        <f t="shared" si="124"/>
        <v>***-****-6097</v>
      </c>
      <c r="BG254" t="str">
        <f t="shared" si="125"/>
        <v>***-****-7488</v>
      </c>
      <c r="BH254" t="s">
        <v>453</v>
      </c>
      <c r="BI254" t="s">
        <v>454</v>
      </c>
      <c r="BJ254" t="s">
        <v>2416</v>
      </c>
      <c r="BK254" t="s">
        <v>456</v>
      </c>
      <c r="BL254">
        <v>20978</v>
      </c>
      <c r="BM254" t="str">
        <f>"20978"</f>
        <v>20978</v>
      </c>
      <c r="BN254" t="str">
        <f t="shared" si="126"/>
        <v>20180118-0000029</v>
      </c>
      <c r="BQ254" t="s">
        <v>373</v>
      </c>
      <c r="BU254">
        <v>610</v>
      </c>
      <c r="BV254" t="s">
        <v>2417</v>
      </c>
      <c r="BW254" t="s">
        <v>2411</v>
      </c>
      <c r="BX254" t="s">
        <v>187</v>
      </c>
      <c r="BY254">
        <v>0</v>
      </c>
      <c r="BZ254">
        <v>8801051762549</v>
      </c>
      <c r="CA254" t="s">
        <v>2418</v>
      </c>
      <c r="CF254" t="s">
        <v>2413</v>
      </c>
      <c r="CG254" t="s">
        <v>1133</v>
      </c>
      <c r="CH254" t="s">
        <v>377</v>
      </c>
      <c r="CI254" t="s">
        <v>2410</v>
      </c>
      <c r="CJ254">
        <v>18800</v>
      </c>
      <c r="CK254">
        <v>18800</v>
      </c>
      <c r="CL254" t="s">
        <v>2419</v>
      </c>
      <c r="CN254">
        <v>1</v>
      </c>
      <c r="CO254">
        <v>37804</v>
      </c>
      <c r="CP254">
        <v>37804</v>
      </c>
      <c r="CQ254" t="s">
        <v>379</v>
      </c>
      <c r="CS254">
        <v>0</v>
      </c>
    </row>
    <row r="255" spans="1:97" x14ac:dyDescent="0.4">
      <c r="A255" s="10">
        <v>43119</v>
      </c>
      <c r="B255" t="s">
        <v>200</v>
      </c>
      <c r="C255" t="s">
        <v>2420</v>
      </c>
      <c r="D255" t="s">
        <v>359</v>
      </c>
      <c r="E255" t="s">
        <v>2387</v>
      </c>
      <c r="F255" t="str">
        <f t="shared" si="117"/>
        <v>20180118-0000029</v>
      </c>
      <c r="G255">
        <v>1031892</v>
      </c>
      <c r="H255">
        <v>1</v>
      </c>
      <c r="I255" t="s">
        <v>2421</v>
      </c>
      <c r="J255">
        <v>8060</v>
      </c>
      <c r="L255">
        <v>0</v>
      </c>
      <c r="M255">
        <v>1</v>
      </c>
      <c r="O255" t="s">
        <v>361</v>
      </c>
      <c r="P255" t="s">
        <v>2262</v>
      </c>
      <c r="S255" t="s">
        <v>2422</v>
      </c>
      <c r="T255" t="s">
        <v>364</v>
      </c>
      <c r="X255" t="s">
        <v>2421</v>
      </c>
      <c r="AA255">
        <v>21266</v>
      </c>
      <c r="AB255">
        <v>17.78</v>
      </c>
      <c r="AC255" t="s">
        <v>2423</v>
      </c>
      <c r="AD255">
        <v>19.38</v>
      </c>
      <c r="AE255">
        <v>19.91</v>
      </c>
      <c r="AF255" t="s">
        <v>873</v>
      </c>
      <c r="AG255">
        <v>6500</v>
      </c>
      <c r="AK255">
        <v>287</v>
      </c>
      <c r="AL255" t="s">
        <v>2421</v>
      </c>
      <c r="AQ255">
        <v>8690</v>
      </c>
      <c r="AR255" t="s">
        <v>368</v>
      </c>
      <c r="AS255">
        <v>613594389945</v>
      </c>
      <c r="AT255" t="str">
        <f t="shared" si="118"/>
        <v>피****아①</v>
      </c>
      <c r="AU255" t="str">
        <f t="shared" si="119"/>
        <v xml:space="preserve"> 1****0</v>
      </c>
      <c r="AV255" t="str">
        <f t="shared" si="120"/>
        <v>***-****-1406</v>
      </c>
      <c r="AW255" t="str">
        <f t="shared" si="121"/>
        <v xml:space="preserve"> 서* 강*구 방*동 5****5 2* 김****님</v>
      </c>
      <c r="AY255" t="str">
        <f t="shared" si="122"/>
        <v>***-****-0388</v>
      </c>
      <c r="AZ255">
        <v>27798</v>
      </c>
      <c r="BA255">
        <v>1031964</v>
      </c>
      <c r="BB255">
        <v>15800</v>
      </c>
      <c r="BC255" t="s">
        <v>2392</v>
      </c>
      <c r="BD255" t="s">
        <v>1195</v>
      </c>
      <c r="BE255" t="str">
        <f t="shared" si="123"/>
        <v>피****아</v>
      </c>
      <c r="BF255" t="str">
        <f t="shared" si="124"/>
        <v>***-****-6097</v>
      </c>
      <c r="BG255" t="str">
        <f t="shared" si="125"/>
        <v>***-****-7488</v>
      </c>
      <c r="BH255" t="s">
        <v>453</v>
      </c>
      <c r="BI255" t="s">
        <v>454</v>
      </c>
      <c r="BJ255" t="s">
        <v>2424</v>
      </c>
      <c r="BK255" t="s">
        <v>456</v>
      </c>
      <c r="BL255">
        <v>20757</v>
      </c>
      <c r="BM255" t="str">
        <f>"20757"</f>
        <v>20757</v>
      </c>
      <c r="BN255" t="str">
        <f t="shared" si="126"/>
        <v>20180118-0000029</v>
      </c>
      <c r="BQ255" t="s">
        <v>373</v>
      </c>
      <c r="BV255" t="s">
        <v>2425</v>
      </c>
      <c r="BW255" t="s">
        <v>2421</v>
      </c>
      <c r="BX255" t="s">
        <v>200</v>
      </c>
      <c r="BY255">
        <v>0</v>
      </c>
      <c r="BZ255">
        <v>8809530047842</v>
      </c>
      <c r="CA255" t="s">
        <v>2426</v>
      </c>
      <c r="CF255" t="s">
        <v>2421</v>
      </c>
      <c r="CG255" t="s">
        <v>583</v>
      </c>
      <c r="CH255" t="s">
        <v>377</v>
      </c>
      <c r="CI255" t="s">
        <v>2420</v>
      </c>
      <c r="CJ255">
        <v>8690</v>
      </c>
      <c r="CK255">
        <v>8690</v>
      </c>
      <c r="CL255" t="s">
        <v>2427</v>
      </c>
      <c r="CN255">
        <v>1</v>
      </c>
      <c r="CO255">
        <v>21266</v>
      </c>
      <c r="CP255">
        <v>21266</v>
      </c>
      <c r="CQ255" t="s">
        <v>379</v>
      </c>
      <c r="CS255">
        <v>0</v>
      </c>
    </row>
    <row r="256" spans="1:97" x14ac:dyDescent="0.4">
      <c r="A256" s="10">
        <v>43119</v>
      </c>
      <c r="B256" t="s">
        <v>213</v>
      </c>
      <c r="C256" t="s">
        <v>2428</v>
      </c>
      <c r="D256" t="s">
        <v>359</v>
      </c>
      <c r="E256" t="s">
        <v>2387</v>
      </c>
      <c r="F256" t="str">
        <f t="shared" si="117"/>
        <v>20180118-0000029</v>
      </c>
      <c r="G256">
        <v>1031892</v>
      </c>
      <c r="H256">
        <v>1</v>
      </c>
      <c r="I256" t="s">
        <v>2429</v>
      </c>
      <c r="J256">
        <v>7680</v>
      </c>
      <c r="L256">
        <v>0</v>
      </c>
      <c r="M256">
        <v>1</v>
      </c>
      <c r="O256" t="s">
        <v>361</v>
      </c>
      <c r="P256" t="s">
        <v>2262</v>
      </c>
      <c r="S256" t="s">
        <v>2430</v>
      </c>
      <c r="T256" t="s">
        <v>364</v>
      </c>
      <c r="X256" t="s">
        <v>2429</v>
      </c>
      <c r="AA256">
        <v>15488</v>
      </c>
      <c r="AB256">
        <v>12.64</v>
      </c>
      <c r="AC256" t="s">
        <v>2431</v>
      </c>
      <c r="AD256">
        <v>13.78</v>
      </c>
      <c r="AE256">
        <v>14.15</v>
      </c>
      <c r="AF256" t="s">
        <v>943</v>
      </c>
      <c r="AG256">
        <v>1880</v>
      </c>
      <c r="AK256">
        <v>17</v>
      </c>
      <c r="AL256" t="s">
        <v>2429</v>
      </c>
      <c r="AN256" t="s">
        <v>2432</v>
      </c>
      <c r="AQ256">
        <v>7800</v>
      </c>
      <c r="AR256" t="s">
        <v>368</v>
      </c>
      <c r="AS256">
        <v>613594389945</v>
      </c>
      <c r="AT256" t="str">
        <f t="shared" si="118"/>
        <v>피****아①</v>
      </c>
      <c r="AU256" t="str">
        <f t="shared" si="119"/>
        <v xml:space="preserve"> 1****0</v>
      </c>
      <c r="AV256" t="str">
        <f t="shared" si="120"/>
        <v>***-****-1406</v>
      </c>
      <c r="AW256" t="str">
        <f t="shared" si="121"/>
        <v xml:space="preserve"> 서* 강*구 방*동 5****5 2* 김****님</v>
      </c>
      <c r="AY256" t="str">
        <f t="shared" si="122"/>
        <v>***-****-0388</v>
      </c>
      <c r="AZ256">
        <v>28492</v>
      </c>
      <c r="BA256">
        <v>1031963</v>
      </c>
      <c r="BB256">
        <v>12000</v>
      </c>
      <c r="BC256" t="s">
        <v>2392</v>
      </c>
      <c r="BD256" t="s">
        <v>1195</v>
      </c>
      <c r="BE256" t="str">
        <f t="shared" si="123"/>
        <v>피****아</v>
      </c>
      <c r="BF256" t="str">
        <f t="shared" si="124"/>
        <v>***-****-6097</v>
      </c>
      <c r="BG256" t="str">
        <f t="shared" si="125"/>
        <v>***-****-7488</v>
      </c>
      <c r="BH256" t="s">
        <v>453</v>
      </c>
      <c r="BI256" t="s">
        <v>454</v>
      </c>
      <c r="BJ256" t="s">
        <v>2433</v>
      </c>
      <c r="BK256" t="s">
        <v>456</v>
      </c>
      <c r="BL256">
        <v>19170</v>
      </c>
      <c r="BM256" t="str">
        <f>"19170"</f>
        <v>19170</v>
      </c>
      <c r="BN256" t="str">
        <f t="shared" si="126"/>
        <v>20180118-0000029</v>
      </c>
      <c r="BQ256" t="s">
        <v>373</v>
      </c>
      <c r="BV256" t="s">
        <v>2434</v>
      </c>
      <c r="BW256" t="s">
        <v>2429</v>
      </c>
      <c r="BX256" t="s">
        <v>213</v>
      </c>
      <c r="BY256">
        <v>0</v>
      </c>
      <c r="BZ256">
        <v>8806390573658</v>
      </c>
      <c r="CA256" t="s">
        <v>2435</v>
      </c>
      <c r="CF256" t="s">
        <v>2429</v>
      </c>
      <c r="CG256" t="s">
        <v>480</v>
      </c>
      <c r="CH256" t="s">
        <v>377</v>
      </c>
      <c r="CI256" t="s">
        <v>2428</v>
      </c>
      <c r="CJ256">
        <v>7800</v>
      </c>
      <c r="CK256">
        <v>7800</v>
      </c>
      <c r="CL256" t="s">
        <v>2436</v>
      </c>
      <c r="CN256">
        <v>1</v>
      </c>
      <c r="CO256">
        <v>15488</v>
      </c>
      <c r="CP256">
        <v>15488</v>
      </c>
      <c r="CQ256" t="s">
        <v>379</v>
      </c>
      <c r="CS256">
        <v>0</v>
      </c>
    </row>
    <row r="257" spans="1:97" x14ac:dyDescent="0.4">
      <c r="A257" s="10">
        <v>43119</v>
      </c>
      <c r="B257" t="s">
        <v>191</v>
      </c>
      <c r="C257" t="s">
        <v>2353</v>
      </c>
      <c r="D257" t="s">
        <v>359</v>
      </c>
      <c r="E257" t="s">
        <v>2387</v>
      </c>
      <c r="F257" t="str">
        <f t="shared" si="117"/>
        <v>20180118-0000029</v>
      </c>
      <c r="G257">
        <v>1031892</v>
      </c>
      <c r="H257">
        <v>1</v>
      </c>
      <c r="I257" t="s">
        <v>2354</v>
      </c>
      <c r="J257">
        <v>2010</v>
      </c>
      <c r="L257">
        <v>0</v>
      </c>
      <c r="M257">
        <v>1</v>
      </c>
      <c r="O257" t="s">
        <v>361</v>
      </c>
      <c r="P257" t="s">
        <v>2262</v>
      </c>
      <c r="S257" t="s">
        <v>2437</v>
      </c>
      <c r="T257" t="s">
        <v>364</v>
      </c>
      <c r="X257" t="s">
        <v>2354</v>
      </c>
      <c r="AA257">
        <v>6894</v>
      </c>
      <c r="AB257">
        <v>5.8</v>
      </c>
      <c r="AC257" t="s">
        <v>2356</v>
      </c>
      <c r="AD257">
        <v>6.32</v>
      </c>
      <c r="AE257">
        <v>6.5</v>
      </c>
      <c r="AF257" t="s">
        <v>2357</v>
      </c>
      <c r="AG257">
        <v>3770</v>
      </c>
      <c r="AK257">
        <v>92</v>
      </c>
      <c r="AL257" t="s">
        <v>2354</v>
      </c>
      <c r="AQ257">
        <v>1950</v>
      </c>
      <c r="AR257" t="s">
        <v>368</v>
      </c>
      <c r="AS257">
        <v>613594389945</v>
      </c>
      <c r="AT257" t="str">
        <f t="shared" si="118"/>
        <v>피****아①</v>
      </c>
      <c r="AU257" t="str">
        <f t="shared" si="119"/>
        <v xml:space="preserve"> 1****0</v>
      </c>
      <c r="AV257" t="str">
        <f t="shared" si="120"/>
        <v>***-****-1406</v>
      </c>
      <c r="AW257" t="str">
        <f t="shared" si="121"/>
        <v xml:space="preserve"> 서* 강*구 방*동 5****5 2* 김****님</v>
      </c>
      <c r="AY257" t="str">
        <f t="shared" si="122"/>
        <v>***-****-0388</v>
      </c>
      <c r="AZ257">
        <v>5408</v>
      </c>
      <c r="BA257">
        <v>1031959</v>
      </c>
      <c r="BB257">
        <v>3000</v>
      </c>
      <c r="BC257" t="s">
        <v>2392</v>
      </c>
      <c r="BD257" t="s">
        <v>1195</v>
      </c>
      <c r="BE257" t="str">
        <f t="shared" si="123"/>
        <v>피****아</v>
      </c>
      <c r="BF257" t="str">
        <f t="shared" si="124"/>
        <v>***-****-6097</v>
      </c>
      <c r="BG257" t="str">
        <f t="shared" si="125"/>
        <v>***-****-7488</v>
      </c>
      <c r="BH257" t="s">
        <v>453</v>
      </c>
      <c r="BI257" t="s">
        <v>454</v>
      </c>
      <c r="BJ257" t="s">
        <v>2438</v>
      </c>
      <c r="BK257" t="s">
        <v>456</v>
      </c>
      <c r="BL257">
        <v>12837</v>
      </c>
      <c r="BM257" t="str">
        <f>"12837"</f>
        <v>12837</v>
      </c>
      <c r="BN257" t="str">
        <f t="shared" si="126"/>
        <v>20180118-0000029</v>
      </c>
      <c r="BQ257" t="s">
        <v>373</v>
      </c>
      <c r="BV257" t="s">
        <v>2359</v>
      </c>
      <c r="BW257" t="s">
        <v>2354</v>
      </c>
      <c r="BX257" t="s">
        <v>191</v>
      </c>
      <c r="BY257">
        <v>0</v>
      </c>
      <c r="BZ257">
        <v>8806364007219</v>
      </c>
      <c r="CA257" t="s">
        <v>2360</v>
      </c>
      <c r="CF257" t="s">
        <v>2354</v>
      </c>
      <c r="CG257" t="s">
        <v>2361</v>
      </c>
      <c r="CH257" t="s">
        <v>377</v>
      </c>
      <c r="CI257" t="s">
        <v>2353</v>
      </c>
      <c r="CJ257">
        <v>1950</v>
      </c>
      <c r="CK257">
        <v>1950</v>
      </c>
      <c r="CL257" t="s">
        <v>2362</v>
      </c>
      <c r="CN257">
        <v>1</v>
      </c>
      <c r="CO257">
        <v>6894</v>
      </c>
      <c r="CP257">
        <v>6894</v>
      </c>
      <c r="CQ257" t="s">
        <v>379</v>
      </c>
      <c r="CS257">
        <v>0</v>
      </c>
    </row>
    <row r="258" spans="1:97" x14ac:dyDescent="0.4">
      <c r="A258" s="10">
        <v>43119</v>
      </c>
      <c r="B258" t="s">
        <v>198</v>
      </c>
      <c r="C258" t="s">
        <v>1484</v>
      </c>
      <c r="D258" t="s">
        <v>359</v>
      </c>
      <c r="E258" t="s">
        <v>2387</v>
      </c>
      <c r="F258" t="str">
        <f t="shared" si="117"/>
        <v>20180118-0000029</v>
      </c>
      <c r="G258">
        <v>1031892</v>
      </c>
      <c r="H258">
        <v>1</v>
      </c>
      <c r="I258" t="s">
        <v>1485</v>
      </c>
      <c r="J258">
        <v>20170</v>
      </c>
      <c r="L258">
        <v>0</v>
      </c>
      <c r="M258">
        <v>1</v>
      </c>
      <c r="O258" t="s">
        <v>361</v>
      </c>
      <c r="P258" t="s">
        <v>2262</v>
      </c>
      <c r="S258" t="s">
        <v>2439</v>
      </c>
      <c r="T258" t="s">
        <v>364</v>
      </c>
      <c r="X258" t="s">
        <v>1485</v>
      </c>
      <c r="AA258">
        <v>25228</v>
      </c>
      <c r="AB258">
        <v>26.9</v>
      </c>
      <c r="AC258" t="s">
        <v>1487</v>
      </c>
      <c r="AD258">
        <v>29.33</v>
      </c>
      <c r="AE258">
        <v>30.13</v>
      </c>
      <c r="AF258" t="s">
        <v>486</v>
      </c>
      <c r="AG258">
        <v>3770</v>
      </c>
      <c r="AK258">
        <v>216</v>
      </c>
      <c r="AL258" t="s">
        <v>1485</v>
      </c>
      <c r="AQ258">
        <v>18830</v>
      </c>
      <c r="AR258" t="s">
        <v>368</v>
      </c>
      <c r="AS258">
        <v>613594389945</v>
      </c>
      <c r="AT258" t="str">
        <f t="shared" si="118"/>
        <v>피****아①</v>
      </c>
      <c r="AU258" t="str">
        <f t="shared" si="119"/>
        <v xml:space="preserve"> 1****0</v>
      </c>
      <c r="AV258" t="str">
        <f t="shared" si="120"/>
        <v>***-****-1406</v>
      </c>
      <c r="AW258" t="str">
        <f t="shared" si="121"/>
        <v xml:space="preserve"> 서* 강*구 방*동 5****5 2* 김****님</v>
      </c>
      <c r="AY258" t="str">
        <f t="shared" si="122"/>
        <v>***-****-0388</v>
      </c>
      <c r="AZ258">
        <v>22714</v>
      </c>
      <c r="BA258">
        <v>1031965</v>
      </c>
      <c r="BB258">
        <v>26900</v>
      </c>
      <c r="BC258" t="s">
        <v>2392</v>
      </c>
      <c r="BD258" t="s">
        <v>1195</v>
      </c>
      <c r="BE258" t="str">
        <f t="shared" si="123"/>
        <v>피****아</v>
      </c>
      <c r="BF258" t="str">
        <f t="shared" si="124"/>
        <v>***-****-6097</v>
      </c>
      <c r="BG258" t="str">
        <f t="shared" si="125"/>
        <v>***-****-7488</v>
      </c>
      <c r="BH258" t="s">
        <v>453</v>
      </c>
      <c r="BI258" t="s">
        <v>454</v>
      </c>
      <c r="BJ258" t="s">
        <v>2440</v>
      </c>
      <c r="BK258" t="s">
        <v>456</v>
      </c>
      <c r="BL258">
        <v>20147</v>
      </c>
      <c r="BM258" t="str">
        <f>"20147"</f>
        <v>20147</v>
      </c>
      <c r="BN258" t="str">
        <f t="shared" si="126"/>
        <v>20180118-0000029</v>
      </c>
      <c r="BQ258" t="s">
        <v>373</v>
      </c>
      <c r="BV258" t="s">
        <v>1489</v>
      </c>
      <c r="BW258" t="s">
        <v>1485</v>
      </c>
      <c r="BX258" t="s">
        <v>198</v>
      </c>
      <c r="BY258">
        <v>0</v>
      </c>
      <c r="BZ258">
        <v>8806173436538</v>
      </c>
      <c r="CA258" t="s">
        <v>1490</v>
      </c>
      <c r="CF258" t="s">
        <v>1485</v>
      </c>
      <c r="CG258" t="s">
        <v>534</v>
      </c>
      <c r="CH258" t="s">
        <v>377</v>
      </c>
      <c r="CI258" t="s">
        <v>1484</v>
      </c>
      <c r="CJ258">
        <v>18830</v>
      </c>
      <c r="CK258">
        <v>18830</v>
      </c>
      <c r="CL258" t="s">
        <v>760</v>
      </c>
      <c r="CN258">
        <v>1</v>
      </c>
      <c r="CO258">
        <v>25228</v>
      </c>
      <c r="CP258">
        <v>25228</v>
      </c>
      <c r="CQ258" t="s">
        <v>379</v>
      </c>
      <c r="CS258">
        <v>0</v>
      </c>
    </row>
    <row r="259" spans="1:97" x14ac:dyDescent="0.4">
      <c r="A259" s="10">
        <v>43119</v>
      </c>
      <c r="B259" t="s">
        <v>189</v>
      </c>
      <c r="C259" t="s">
        <v>1216</v>
      </c>
      <c r="D259" t="s">
        <v>359</v>
      </c>
      <c r="E259" t="s">
        <v>2387</v>
      </c>
      <c r="F259" t="str">
        <f t="shared" ref="F259:F278" si="127">"20180118-0000038"</f>
        <v>20180118-0000038</v>
      </c>
      <c r="G259">
        <v>1031892</v>
      </c>
      <c r="H259">
        <v>2</v>
      </c>
      <c r="I259" t="s">
        <v>1217</v>
      </c>
      <c r="J259">
        <v>30960</v>
      </c>
      <c r="L259">
        <v>0</v>
      </c>
      <c r="M259">
        <v>1</v>
      </c>
      <c r="O259" t="s">
        <v>361</v>
      </c>
      <c r="P259" t="s">
        <v>1190</v>
      </c>
      <c r="S259" t="s">
        <v>2441</v>
      </c>
      <c r="T259" t="s">
        <v>364</v>
      </c>
      <c r="X259" t="s">
        <v>1217</v>
      </c>
      <c r="AA259">
        <v>21532</v>
      </c>
      <c r="AB259">
        <v>18.5</v>
      </c>
      <c r="AC259" t="s">
        <v>1219</v>
      </c>
      <c r="AD259">
        <v>20.170000000000002</v>
      </c>
      <c r="AE259">
        <v>20.73</v>
      </c>
      <c r="AF259" t="s">
        <v>1220</v>
      </c>
      <c r="AG259">
        <v>1880</v>
      </c>
      <c r="AL259" t="s">
        <v>1217</v>
      </c>
      <c r="AQ259">
        <v>13500</v>
      </c>
      <c r="AR259" t="s">
        <v>368</v>
      </c>
      <c r="AS259">
        <v>613594389945</v>
      </c>
      <c r="AT259" t="str">
        <f t="shared" si="118"/>
        <v>피****아①</v>
      </c>
      <c r="AU259" t="str">
        <f t="shared" si="119"/>
        <v xml:space="preserve"> 1****0</v>
      </c>
      <c r="AV259" t="str">
        <f t="shared" si="120"/>
        <v>***-****-1406</v>
      </c>
      <c r="AW259" t="str">
        <f t="shared" si="121"/>
        <v xml:space="preserve"> 서* 강*구 방*동 5****5 2* 김****님</v>
      </c>
      <c r="AY259" t="str">
        <f t="shared" si="122"/>
        <v>***-****-0388</v>
      </c>
      <c r="AZ259">
        <v>27834</v>
      </c>
      <c r="BA259">
        <v>1031948</v>
      </c>
      <c r="BB259">
        <v>36000</v>
      </c>
      <c r="BC259" t="s">
        <v>2392</v>
      </c>
      <c r="BD259" t="s">
        <v>1195</v>
      </c>
      <c r="BE259" t="str">
        <f t="shared" si="123"/>
        <v>피****아</v>
      </c>
      <c r="BF259" t="str">
        <f t="shared" si="124"/>
        <v>***-****-6097</v>
      </c>
      <c r="BG259" t="str">
        <f t="shared" si="125"/>
        <v>***-****-7488</v>
      </c>
      <c r="BH259" t="s">
        <v>453</v>
      </c>
      <c r="BI259" t="s">
        <v>454</v>
      </c>
      <c r="BJ259" t="s">
        <v>2442</v>
      </c>
      <c r="BK259" t="s">
        <v>456</v>
      </c>
      <c r="BL259">
        <v>18972</v>
      </c>
      <c r="BM259" t="str">
        <f>"18972"</f>
        <v>18972</v>
      </c>
      <c r="BN259" t="str">
        <f t="shared" ref="BN259:BN278" si="128">"20180118-0000038"</f>
        <v>20180118-0000038</v>
      </c>
      <c r="BQ259" t="s">
        <v>373</v>
      </c>
      <c r="BU259">
        <v>85</v>
      </c>
      <c r="BV259" t="s">
        <v>1222</v>
      </c>
      <c r="BW259" t="s">
        <v>1217</v>
      </c>
      <c r="BX259" t="s">
        <v>189</v>
      </c>
      <c r="BY259">
        <v>0</v>
      </c>
      <c r="BZ259">
        <v>8801051961799</v>
      </c>
      <c r="CA259" t="s">
        <v>1223</v>
      </c>
      <c r="CF259" t="s">
        <v>1217</v>
      </c>
      <c r="CG259" t="s">
        <v>1214</v>
      </c>
      <c r="CH259" t="s">
        <v>377</v>
      </c>
      <c r="CI259" t="s">
        <v>1216</v>
      </c>
      <c r="CJ259">
        <v>13500</v>
      </c>
      <c r="CK259">
        <v>27000</v>
      </c>
      <c r="CL259" t="s">
        <v>1224</v>
      </c>
      <c r="CN259">
        <v>2</v>
      </c>
      <c r="CO259">
        <v>21532</v>
      </c>
      <c r="CP259">
        <v>43064</v>
      </c>
      <c r="CQ259" t="s">
        <v>379</v>
      </c>
      <c r="CS259">
        <v>0</v>
      </c>
    </row>
    <row r="260" spans="1:97" x14ac:dyDescent="0.4">
      <c r="A260" s="10">
        <v>43119</v>
      </c>
      <c r="B260" t="s">
        <v>107</v>
      </c>
      <c r="C260" t="s">
        <v>2443</v>
      </c>
      <c r="D260" t="s">
        <v>359</v>
      </c>
      <c r="E260" t="s">
        <v>2387</v>
      </c>
      <c r="F260" t="str">
        <f t="shared" si="127"/>
        <v>20180118-0000038</v>
      </c>
      <c r="G260">
        <v>1031892</v>
      </c>
      <c r="H260">
        <v>2</v>
      </c>
      <c r="I260" t="s">
        <v>2444</v>
      </c>
      <c r="J260">
        <v>37440</v>
      </c>
      <c r="L260">
        <v>0</v>
      </c>
      <c r="M260">
        <v>1</v>
      </c>
      <c r="O260" t="s">
        <v>361</v>
      </c>
      <c r="P260" t="s">
        <v>1190</v>
      </c>
      <c r="S260" t="s">
        <v>2445</v>
      </c>
      <c r="T260" t="s">
        <v>364</v>
      </c>
      <c r="X260" t="s">
        <v>2446</v>
      </c>
      <c r="AA260">
        <v>28028</v>
      </c>
      <c r="AB260">
        <v>23.64</v>
      </c>
      <c r="AC260" t="s">
        <v>2447</v>
      </c>
      <c r="AD260">
        <v>28.05</v>
      </c>
      <c r="AE260">
        <v>28.82</v>
      </c>
      <c r="AF260" t="s">
        <v>1962</v>
      </c>
      <c r="AG260">
        <v>3360</v>
      </c>
      <c r="AL260" t="s">
        <v>2444</v>
      </c>
      <c r="AQ260">
        <v>18200</v>
      </c>
      <c r="AR260" t="s">
        <v>368</v>
      </c>
      <c r="AS260">
        <v>613594389945</v>
      </c>
      <c r="AT260" t="str">
        <f t="shared" si="118"/>
        <v>피****아①</v>
      </c>
      <c r="AU260" t="str">
        <f t="shared" si="119"/>
        <v xml:space="preserve"> 1****0</v>
      </c>
      <c r="AV260" t="str">
        <f t="shared" si="120"/>
        <v>***-****-1406</v>
      </c>
      <c r="AW260" t="str">
        <f t="shared" si="121"/>
        <v xml:space="preserve"> 서* 강*구 방*동 5****5 2* 김****님</v>
      </c>
      <c r="AY260" t="str">
        <f t="shared" si="122"/>
        <v>***-****-0388</v>
      </c>
      <c r="AZ260">
        <v>27790</v>
      </c>
      <c r="BA260">
        <v>1031926</v>
      </c>
      <c r="BB260">
        <v>52000</v>
      </c>
      <c r="BC260" t="s">
        <v>2392</v>
      </c>
      <c r="BD260" t="s">
        <v>1195</v>
      </c>
      <c r="BE260" t="str">
        <f t="shared" si="123"/>
        <v>피****아</v>
      </c>
      <c r="BF260" t="str">
        <f t="shared" si="124"/>
        <v>***-****-6097</v>
      </c>
      <c r="BG260" t="str">
        <f t="shared" si="125"/>
        <v>***-****-7488</v>
      </c>
      <c r="BH260" t="s">
        <v>453</v>
      </c>
      <c r="BI260" t="s">
        <v>454</v>
      </c>
      <c r="BJ260" t="s">
        <v>2448</v>
      </c>
      <c r="BK260" t="s">
        <v>456</v>
      </c>
      <c r="BL260">
        <v>21255</v>
      </c>
      <c r="BM260" t="str">
        <f>"21255"</f>
        <v>21255</v>
      </c>
      <c r="BN260" t="str">
        <f t="shared" si="128"/>
        <v>20180118-0000038</v>
      </c>
      <c r="BQ260" t="s">
        <v>373</v>
      </c>
      <c r="BU260">
        <v>109</v>
      </c>
      <c r="BV260" t="s">
        <v>2449</v>
      </c>
      <c r="BW260" t="s">
        <v>2444</v>
      </c>
      <c r="BX260" t="s">
        <v>107</v>
      </c>
      <c r="BY260">
        <v>0</v>
      </c>
      <c r="BZ260">
        <v>8809516836736</v>
      </c>
      <c r="CA260" t="s">
        <v>2450</v>
      </c>
      <c r="CF260" t="s">
        <v>2446</v>
      </c>
      <c r="CG260" t="s">
        <v>376</v>
      </c>
      <c r="CH260" t="s">
        <v>377</v>
      </c>
      <c r="CI260" t="s">
        <v>2443</v>
      </c>
      <c r="CJ260">
        <v>18200</v>
      </c>
      <c r="CK260">
        <v>36400</v>
      </c>
      <c r="CL260" t="s">
        <v>2451</v>
      </c>
      <c r="CN260">
        <v>2</v>
      </c>
      <c r="CO260">
        <v>28028</v>
      </c>
      <c r="CP260">
        <v>56056</v>
      </c>
      <c r="CQ260" t="s">
        <v>379</v>
      </c>
      <c r="CS260">
        <v>0</v>
      </c>
    </row>
    <row r="261" spans="1:97" x14ac:dyDescent="0.4">
      <c r="A261" s="10">
        <v>43119</v>
      </c>
      <c r="B261" t="s">
        <v>107</v>
      </c>
      <c r="C261" t="s">
        <v>792</v>
      </c>
      <c r="D261" t="s">
        <v>359</v>
      </c>
      <c r="E261" t="s">
        <v>2387</v>
      </c>
      <c r="F261" t="str">
        <f t="shared" si="127"/>
        <v>20180118-0000038</v>
      </c>
      <c r="G261">
        <v>1031892</v>
      </c>
      <c r="H261">
        <v>3</v>
      </c>
      <c r="I261" t="s">
        <v>793</v>
      </c>
      <c r="J261">
        <v>82080</v>
      </c>
      <c r="L261">
        <v>0</v>
      </c>
      <c r="M261">
        <v>1</v>
      </c>
      <c r="O261" t="s">
        <v>361</v>
      </c>
      <c r="P261" t="s">
        <v>1190</v>
      </c>
      <c r="S261" t="s">
        <v>2452</v>
      </c>
      <c r="T261" t="s">
        <v>364</v>
      </c>
      <c r="X261" t="s">
        <v>795</v>
      </c>
      <c r="AA261">
        <v>38948</v>
      </c>
      <c r="AB261">
        <v>34.61</v>
      </c>
      <c r="AC261" t="s">
        <v>796</v>
      </c>
      <c r="AD261">
        <v>37.729999999999997</v>
      </c>
      <c r="AE261">
        <v>38.770000000000003</v>
      </c>
      <c r="AF261" t="s">
        <v>486</v>
      </c>
      <c r="AG261">
        <v>3360</v>
      </c>
      <c r="AL261" t="s">
        <v>793</v>
      </c>
      <c r="AQ261">
        <v>26600</v>
      </c>
      <c r="AR261" t="s">
        <v>368</v>
      </c>
      <c r="AS261">
        <v>613594389945</v>
      </c>
      <c r="AT261" t="str">
        <f t="shared" si="118"/>
        <v>피****아①</v>
      </c>
      <c r="AU261" t="str">
        <f t="shared" si="119"/>
        <v xml:space="preserve"> 1****0</v>
      </c>
      <c r="AV261" t="str">
        <f t="shared" si="120"/>
        <v>***-****-1406</v>
      </c>
      <c r="AW261" t="str">
        <f t="shared" si="121"/>
        <v xml:space="preserve"> 서* 강*구 방*동 5****5 2* 김****님</v>
      </c>
      <c r="AY261" t="str">
        <f t="shared" si="122"/>
        <v>***-****-0388</v>
      </c>
      <c r="AZ261">
        <v>28112</v>
      </c>
      <c r="BA261">
        <v>1031928</v>
      </c>
      <c r="BB261">
        <v>114000</v>
      </c>
      <c r="BC261" t="s">
        <v>2392</v>
      </c>
      <c r="BD261" t="s">
        <v>1195</v>
      </c>
      <c r="BE261" t="str">
        <f t="shared" si="123"/>
        <v>피****아</v>
      </c>
      <c r="BF261" t="str">
        <f t="shared" si="124"/>
        <v>***-****-6097</v>
      </c>
      <c r="BG261" t="str">
        <f t="shared" si="125"/>
        <v>***-****-7488</v>
      </c>
      <c r="BH261" t="s">
        <v>453</v>
      </c>
      <c r="BI261" t="s">
        <v>454</v>
      </c>
      <c r="BJ261" t="s">
        <v>2453</v>
      </c>
      <c r="BK261" t="s">
        <v>456</v>
      </c>
      <c r="BL261">
        <v>20779</v>
      </c>
      <c r="BM261" t="str">
        <f>"20779"</f>
        <v>20779</v>
      </c>
      <c r="BN261" t="str">
        <f t="shared" si="128"/>
        <v>20180118-0000038</v>
      </c>
      <c r="BQ261" t="s">
        <v>373</v>
      </c>
      <c r="BV261" t="s">
        <v>798</v>
      </c>
      <c r="BW261" t="s">
        <v>793</v>
      </c>
      <c r="BX261" t="s">
        <v>107</v>
      </c>
      <c r="BY261">
        <v>0</v>
      </c>
      <c r="BZ261">
        <v>8806390505789</v>
      </c>
      <c r="CA261" t="s">
        <v>799</v>
      </c>
      <c r="CF261" t="s">
        <v>795</v>
      </c>
      <c r="CG261" t="s">
        <v>489</v>
      </c>
      <c r="CH261" t="s">
        <v>377</v>
      </c>
      <c r="CI261" t="s">
        <v>792</v>
      </c>
      <c r="CJ261">
        <v>26600</v>
      </c>
      <c r="CK261">
        <v>79800</v>
      </c>
      <c r="CL261" t="s">
        <v>800</v>
      </c>
      <c r="CN261">
        <v>3</v>
      </c>
      <c r="CO261">
        <v>38948</v>
      </c>
      <c r="CP261">
        <v>116844</v>
      </c>
      <c r="CQ261" t="s">
        <v>379</v>
      </c>
      <c r="CS261">
        <v>12</v>
      </c>
    </row>
    <row r="262" spans="1:97" x14ac:dyDescent="0.4">
      <c r="A262" s="10">
        <v>43119</v>
      </c>
      <c r="B262" t="s">
        <v>102</v>
      </c>
      <c r="C262" t="s">
        <v>2454</v>
      </c>
      <c r="D262" t="s">
        <v>359</v>
      </c>
      <c r="E262" t="s">
        <v>2387</v>
      </c>
      <c r="F262" t="str">
        <f t="shared" si="127"/>
        <v>20180118-0000038</v>
      </c>
      <c r="G262">
        <v>1031892</v>
      </c>
      <c r="H262">
        <v>1</v>
      </c>
      <c r="I262" t="s">
        <v>2455</v>
      </c>
      <c r="J262">
        <v>25200</v>
      </c>
      <c r="L262">
        <v>0</v>
      </c>
      <c r="M262">
        <v>1</v>
      </c>
      <c r="O262" t="s">
        <v>361</v>
      </c>
      <c r="P262" t="s">
        <v>1190</v>
      </c>
      <c r="S262" t="s">
        <v>2456</v>
      </c>
      <c r="T262" t="s">
        <v>364</v>
      </c>
      <c r="X262" t="s">
        <v>2455</v>
      </c>
      <c r="AA262">
        <v>36751</v>
      </c>
      <c r="AB262">
        <v>32.520000000000003</v>
      </c>
      <c r="AC262" t="s">
        <v>2457</v>
      </c>
      <c r="AD262">
        <v>35.450000000000003</v>
      </c>
      <c r="AE262">
        <v>36.43</v>
      </c>
      <c r="AF262" t="s">
        <v>486</v>
      </c>
      <c r="AG262">
        <v>3770</v>
      </c>
      <c r="AK262">
        <v>111</v>
      </c>
      <c r="AL262" t="s">
        <v>2455</v>
      </c>
      <c r="AQ262">
        <v>24500</v>
      </c>
      <c r="AR262" t="s">
        <v>368</v>
      </c>
      <c r="AS262">
        <v>613594389945</v>
      </c>
      <c r="AT262" t="str">
        <f t="shared" si="118"/>
        <v>피****아①</v>
      </c>
      <c r="AU262" t="str">
        <f t="shared" si="119"/>
        <v xml:space="preserve"> 1****0</v>
      </c>
      <c r="AV262" t="str">
        <f t="shared" si="120"/>
        <v>***-****-1406</v>
      </c>
      <c r="AW262" t="str">
        <f t="shared" si="121"/>
        <v xml:space="preserve"> 서* 강*구 방*동 5****5 2* 김****님</v>
      </c>
      <c r="AY262" t="str">
        <f t="shared" si="122"/>
        <v>***-****-0388</v>
      </c>
      <c r="AZ262">
        <v>25191</v>
      </c>
      <c r="BA262">
        <v>1031927</v>
      </c>
      <c r="BB262">
        <v>35000</v>
      </c>
      <c r="BC262" t="s">
        <v>2392</v>
      </c>
      <c r="BD262" t="s">
        <v>1195</v>
      </c>
      <c r="BE262" t="str">
        <f t="shared" si="123"/>
        <v>피****아</v>
      </c>
      <c r="BF262" t="str">
        <f t="shared" si="124"/>
        <v>***-****-6097</v>
      </c>
      <c r="BG262" t="str">
        <f t="shared" si="125"/>
        <v>***-****-7488</v>
      </c>
      <c r="BH262" t="s">
        <v>453</v>
      </c>
      <c r="BI262" t="s">
        <v>454</v>
      </c>
      <c r="BJ262" t="s">
        <v>2458</v>
      </c>
      <c r="BK262" t="s">
        <v>456</v>
      </c>
      <c r="BL262">
        <v>19485</v>
      </c>
      <c r="BM262" t="str">
        <f>"19485"</f>
        <v>19485</v>
      </c>
      <c r="BN262" t="str">
        <f t="shared" si="128"/>
        <v>20180118-0000038</v>
      </c>
      <c r="BQ262" t="s">
        <v>373</v>
      </c>
      <c r="BV262" t="s">
        <v>2459</v>
      </c>
      <c r="BW262" t="s">
        <v>2455</v>
      </c>
      <c r="BX262" t="s">
        <v>102</v>
      </c>
      <c r="BY262">
        <v>0</v>
      </c>
      <c r="BZ262">
        <v>8806390582995</v>
      </c>
      <c r="CA262" t="s">
        <v>2460</v>
      </c>
      <c r="CF262" t="s">
        <v>2455</v>
      </c>
      <c r="CG262" t="s">
        <v>2461</v>
      </c>
      <c r="CH262" t="s">
        <v>377</v>
      </c>
      <c r="CI262" t="s">
        <v>2454</v>
      </c>
      <c r="CJ262">
        <v>24500</v>
      </c>
      <c r="CK262">
        <v>24500</v>
      </c>
      <c r="CL262" t="s">
        <v>2462</v>
      </c>
      <c r="CN262">
        <v>1</v>
      </c>
      <c r="CO262">
        <v>36751</v>
      </c>
      <c r="CP262">
        <v>36751</v>
      </c>
      <c r="CQ262" t="s">
        <v>379</v>
      </c>
      <c r="CS262">
        <v>1</v>
      </c>
    </row>
    <row r="263" spans="1:97" x14ac:dyDescent="0.4">
      <c r="A263" s="10">
        <v>43119</v>
      </c>
      <c r="B263" t="s">
        <v>135</v>
      </c>
      <c r="C263" t="s">
        <v>811</v>
      </c>
      <c r="D263" t="s">
        <v>359</v>
      </c>
      <c r="E263" t="s">
        <v>2387</v>
      </c>
      <c r="F263" t="str">
        <f t="shared" si="127"/>
        <v>20180118-0000038</v>
      </c>
      <c r="G263">
        <v>1031892</v>
      </c>
      <c r="H263">
        <v>2</v>
      </c>
      <c r="I263" t="s">
        <v>812</v>
      </c>
      <c r="J263">
        <v>7410</v>
      </c>
      <c r="L263">
        <v>0</v>
      </c>
      <c r="M263">
        <v>1</v>
      </c>
      <c r="O263" t="s">
        <v>361</v>
      </c>
      <c r="P263" t="s">
        <v>1190</v>
      </c>
      <c r="S263" t="s">
        <v>2463</v>
      </c>
      <c r="T263" t="s">
        <v>364</v>
      </c>
      <c r="X263" t="s">
        <v>812</v>
      </c>
      <c r="AA263">
        <v>10288</v>
      </c>
      <c r="AB263">
        <v>7.97</v>
      </c>
      <c r="AC263" t="s">
        <v>814</v>
      </c>
      <c r="AD263">
        <v>8.68</v>
      </c>
      <c r="AE263">
        <v>8.92</v>
      </c>
      <c r="AF263" t="s">
        <v>815</v>
      </c>
      <c r="AG263">
        <v>3770</v>
      </c>
      <c r="AH263">
        <v>409</v>
      </c>
      <c r="AI263">
        <v>6500</v>
      </c>
      <c r="AK263">
        <v>92</v>
      </c>
      <c r="AL263" t="s">
        <v>812</v>
      </c>
      <c r="AQ263">
        <v>3575</v>
      </c>
      <c r="AR263" t="s">
        <v>368</v>
      </c>
      <c r="AS263">
        <v>613594389945</v>
      </c>
      <c r="AT263" t="str">
        <f t="shared" si="118"/>
        <v>피****아①</v>
      </c>
      <c r="AU263" t="str">
        <f t="shared" si="119"/>
        <v xml:space="preserve"> 1****0</v>
      </c>
      <c r="AV263" t="str">
        <f t="shared" si="120"/>
        <v>***-****-1406</v>
      </c>
      <c r="AW263" t="str">
        <f t="shared" si="121"/>
        <v xml:space="preserve"> 서* 강*구 방*동 5****5 2* 김****님</v>
      </c>
      <c r="AY263" t="str">
        <f t="shared" si="122"/>
        <v>***-****-0388</v>
      </c>
      <c r="AZ263">
        <v>6256</v>
      </c>
      <c r="BA263">
        <v>1031940</v>
      </c>
      <c r="BB263">
        <v>13000</v>
      </c>
      <c r="BC263" t="s">
        <v>2392</v>
      </c>
      <c r="BD263" t="s">
        <v>1195</v>
      </c>
      <c r="BE263" t="str">
        <f t="shared" si="123"/>
        <v>피****아</v>
      </c>
      <c r="BF263" t="str">
        <f t="shared" si="124"/>
        <v>***-****-6097</v>
      </c>
      <c r="BG263" t="str">
        <f t="shared" si="125"/>
        <v>***-****-7488</v>
      </c>
      <c r="BH263" t="s">
        <v>453</v>
      </c>
      <c r="BI263" t="s">
        <v>454</v>
      </c>
      <c r="BJ263" t="s">
        <v>2464</v>
      </c>
      <c r="BK263" t="s">
        <v>456</v>
      </c>
      <c r="BL263">
        <v>13058</v>
      </c>
      <c r="BM263" t="str">
        <f>"13058"</f>
        <v>13058</v>
      </c>
      <c r="BN263" t="str">
        <f t="shared" si="128"/>
        <v>20180118-0000038</v>
      </c>
      <c r="BQ263" t="s">
        <v>373</v>
      </c>
      <c r="BV263" t="s">
        <v>817</v>
      </c>
      <c r="BW263" t="s">
        <v>812</v>
      </c>
      <c r="BX263" t="s">
        <v>135</v>
      </c>
      <c r="BY263">
        <v>0</v>
      </c>
      <c r="BZ263">
        <v>8806358517458</v>
      </c>
      <c r="CA263" t="s">
        <v>818</v>
      </c>
      <c r="CF263" t="s">
        <v>812</v>
      </c>
      <c r="CG263" t="s">
        <v>610</v>
      </c>
      <c r="CH263" t="s">
        <v>377</v>
      </c>
      <c r="CI263" t="s">
        <v>811</v>
      </c>
      <c r="CJ263">
        <v>3575</v>
      </c>
      <c r="CK263">
        <v>7150</v>
      </c>
      <c r="CL263" t="s">
        <v>819</v>
      </c>
      <c r="CN263">
        <v>2</v>
      </c>
      <c r="CO263">
        <v>10288</v>
      </c>
      <c r="CP263">
        <v>20576</v>
      </c>
      <c r="CQ263" t="s">
        <v>820</v>
      </c>
      <c r="CR263" t="s">
        <v>821</v>
      </c>
      <c r="CS263">
        <v>1</v>
      </c>
    </row>
    <row r="264" spans="1:97" x14ac:dyDescent="0.4">
      <c r="A264" s="10">
        <v>43119</v>
      </c>
      <c r="B264" t="s">
        <v>135</v>
      </c>
      <c r="C264" t="s">
        <v>822</v>
      </c>
      <c r="D264" t="s">
        <v>359</v>
      </c>
      <c r="E264" t="s">
        <v>2387</v>
      </c>
      <c r="F264" t="str">
        <f t="shared" si="127"/>
        <v>20180118-0000038</v>
      </c>
      <c r="G264">
        <v>1031892</v>
      </c>
      <c r="H264">
        <v>1</v>
      </c>
      <c r="I264" t="s">
        <v>823</v>
      </c>
      <c r="J264">
        <v>5590</v>
      </c>
      <c r="L264">
        <v>0</v>
      </c>
      <c r="M264">
        <v>1</v>
      </c>
      <c r="O264" t="s">
        <v>361</v>
      </c>
      <c r="P264" t="s">
        <v>1190</v>
      </c>
      <c r="S264" t="s">
        <v>2465</v>
      </c>
      <c r="T264" t="s">
        <v>364</v>
      </c>
      <c r="X264" t="s">
        <v>823</v>
      </c>
      <c r="AA264">
        <v>12416</v>
      </c>
      <c r="AB264">
        <v>9.42</v>
      </c>
      <c r="AC264" t="s">
        <v>825</v>
      </c>
      <c r="AD264">
        <v>10.27</v>
      </c>
      <c r="AE264">
        <v>10.56</v>
      </c>
      <c r="AF264" t="s">
        <v>826</v>
      </c>
      <c r="AG264">
        <v>1880</v>
      </c>
      <c r="AK264">
        <v>28</v>
      </c>
      <c r="AL264" t="s">
        <v>823</v>
      </c>
      <c r="AN264" t="s">
        <v>827</v>
      </c>
      <c r="AQ264">
        <v>5390</v>
      </c>
      <c r="AR264" t="s">
        <v>368</v>
      </c>
      <c r="AS264">
        <v>613594389945</v>
      </c>
      <c r="AT264" t="str">
        <f t="shared" si="118"/>
        <v>피****아①</v>
      </c>
      <c r="AU264" t="str">
        <f t="shared" si="119"/>
        <v xml:space="preserve"> 1****0</v>
      </c>
      <c r="AV264" t="str">
        <f t="shared" si="120"/>
        <v>***-****-1406</v>
      </c>
      <c r="AW264" t="str">
        <f t="shared" si="121"/>
        <v xml:space="preserve"> 서* 강*구 방*동 5****5 2* 김****님</v>
      </c>
      <c r="AY264" t="str">
        <f t="shared" si="122"/>
        <v>***-****-0388</v>
      </c>
      <c r="AZ264">
        <v>27946</v>
      </c>
      <c r="BA264">
        <v>1031937</v>
      </c>
      <c r="BB264">
        <v>9800</v>
      </c>
      <c r="BC264" t="s">
        <v>2392</v>
      </c>
      <c r="BD264" t="s">
        <v>1195</v>
      </c>
      <c r="BE264" t="str">
        <f t="shared" si="123"/>
        <v>피****아</v>
      </c>
      <c r="BF264" t="str">
        <f t="shared" si="124"/>
        <v>***-****-6097</v>
      </c>
      <c r="BG264" t="str">
        <f t="shared" si="125"/>
        <v>***-****-7488</v>
      </c>
      <c r="BH264" t="s">
        <v>453</v>
      </c>
      <c r="BI264" t="s">
        <v>454</v>
      </c>
      <c r="BJ264" t="s">
        <v>2466</v>
      </c>
      <c r="BK264" t="s">
        <v>456</v>
      </c>
      <c r="BL264">
        <v>18326</v>
      </c>
      <c r="BM264" t="str">
        <f>"18326"</f>
        <v>18326</v>
      </c>
      <c r="BN264" t="str">
        <f t="shared" si="128"/>
        <v>20180118-0000038</v>
      </c>
      <c r="BQ264" t="s">
        <v>373</v>
      </c>
      <c r="BV264" t="s">
        <v>829</v>
      </c>
      <c r="BW264" t="s">
        <v>823</v>
      </c>
      <c r="BX264" t="s">
        <v>135</v>
      </c>
      <c r="BY264">
        <v>0</v>
      </c>
      <c r="BZ264">
        <v>8806358560997</v>
      </c>
      <c r="CA264" t="s">
        <v>830</v>
      </c>
      <c r="CF264" t="s">
        <v>823</v>
      </c>
      <c r="CG264" t="s">
        <v>831</v>
      </c>
      <c r="CH264" t="s">
        <v>377</v>
      </c>
      <c r="CI264" t="s">
        <v>822</v>
      </c>
      <c r="CJ264">
        <v>5390</v>
      </c>
      <c r="CK264">
        <v>5390</v>
      </c>
      <c r="CL264" t="s">
        <v>832</v>
      </c>
      <c r="CN264">
        <v>1</v>
      </c>
      <c r="CO264">
        <v>12416</v>
      </c>
      <c r="CP264">
        <v>12416</v>
      </c>
      <c r="CQ264" t="s">
        <v>379</v>
      </c>
      <c r="CS264">
        <v>0</v>
      </c>
    </row>
    <row r="265" spans="1:97" x14ac:dyDescent="0.4">
      <c r="A265" s="10">
        <v>43119</v>
      </c>
      <c r="B265" t="s">
        <v>215</v>
      </c>
      <c r="C265" t="s">
        <v>1329</v>
      </c>
      <c r="D265" t="s">
        <v>359</v>
      </c>
      <c r="E265" t="s">
        <v>2387</v>
      </c>
      <c r="F265" t="str">
        <f t="shared" si="127"/>
        <v>20180118-0000038</v>
      </c>
      <c r="G265">
        <v>1031892</v>
      </c>
      <c r="H265">
        <v>2</v>
      </c>
      <c r="I265" t="s">
        <v>1330</v>
      </c>
      <c r="J265">
        <v>12400</v>
      </c>
      <c r="L265">
        <v>0</v>
      </c>
      <c r="M265">
        <v>1</v>
      </c>
      <c r="O265" t="s">
        <v>361</v>
      </c>
      <c r="P265" t="s">
        <v>1190</v>
      </c>
      <c r="S265" t="s">
        <v>2467</v>
      </c>
      <c r="T265" t="s">
        <v>364</v>
      </c>
      <c r="X265" t="s">
        <v>1330</v>
      </c>
      <c r="AA265">
        <v>17500</v>
      </c>
      <c r="AB265">
        <v>12.43</v>
      </c>
      <c r="AC265" t="s">
        <v>1332</v>
      </c>
      <c r="AD265">
        <v>13.55</v>
      </c>
      <c r="AE265">
        <v>13.92</v>
      </c>
      <c r="AF265" t="s">
        <v>1009</v>
      </c>
      <c r="AG265">
        <v>6500</v>
      </c>
      <c r="AK265">
        <v>190</v>
      </c>
      <c r="AL265" t="s">
        <v>1330</v>
      </c>
      <c r="AQ265">
        <v>6200</v>
      </c>
      <c r="AR265" t="s">
        <v>368</v>
      </c>
      <c r="AS265">
        <v>613594389945</v>
      </c>
      <c r="AT265" t="str">
        <f t="shared" si="118"/>
        <v>피****아①</v>
      </c>
      <c r="AU265" t="str">
        <f t="shared" si="119"/>
        <v xml:space="preserve"> 1****0</v>
      </c>
      <c r="AV265" t="str">
        <f t="shared" si="120"/>
        <v>***-****-1406</v>
      </c>
      <c r="AW265" t="str">
        <f t="shared" si="121"/>
        <v xml:space="preserve"> 서* 강*구 방*동 5****5 2* 김****님</v>
      </c>
      <c r="AY265" t="str">
        <f t="shared" si="122"/>
        <v>***-****-0388</v>
      </c>
      <c r="AZ265">
        <v>11331</v>
      </c>
      <c r="BA265">
        <v>1031942</v>
      </c>
      <c r="BB265">
        <v>20000</v>
      </c>
      <c r="BC265" t="s">
        <v>2392</v>
      </c>
      <c r="BD265" t="s">
        <v>1195</v>
      </c>
      <c r="BE265" t="str">
        <f t="shared" si="123"/>
        <v>피****아</v>
      </c>
      <c r="BF265" t="str">
        <f t="shared" si="124"/>
        <v>***-****-6097</v>
      </c>
      <c r="BG265" t="str">
        <f t="shared" si="125"/>
        <v>***-****-7488</v>
      </c>
      <c r="BH265" t="s">
        <v>453</v>
      </c>
      <c r="BI265" t="s">
        <v>454</v>
      </c>
      <c r="BJ265" t="s">
        <v>2468</v>
      </c>
      <c r="BK265" t="s">
        <v>456</v>
      </c>
      <c r="BL265">
        <v>15155</v>
      </c>
      <c r="BM265" t="str">
        <f>"15155"</f>
        <v>15155</v>
      </c>
      <c r="BN265" t="str">
        <f t="shared" si="128"/>
        <v>20180118-0000038</v>
      </c>
      <c r="BQ265" t="s">
        <v>373</v>
      </c>
      <c r="BV265" t="s">
        <v>1334</v>
      </c>
      <c r="BW265" t="s">
        <v>1330</v>
      </c>
      <c r="BX265" t="s">
        <v>215</v>
      </c>
      <c r="BY265">
        <v>0</v>
      </c>
      <c r="BZ265">
        <v>8806179486452</v>
      </c>
      <c r="CA265" t="s">
        <v>1335</v>
      </c>
      <c r="CF265" t="s">
        <v>1330</v>
      </c>
      <c r="CG265" t="s">
        <v>1336</v>
      </c>
      <c r="CH265" t="s">
        <v>377</v>
      </c>
      <c r="CI265" t="s">
        <v>1329</v>
      </c>
      <c r="CJ265">
        <v>6200</v>
      </c>
      <c r="CK265">
        <v>12400</v>
      </c>
      <c r="CL265" t="s">
        <v>1337</v>
      </c>
      <c r="CN265">
        <v>2</v>
      </c>
      <c r="CO265">
        <v>17500</v>
      </c>
      <c r="CP265">
        <v>35000</v>
      </c>
      <c r="CQ265" t="s">
        <v>379</v>
      </c>
      <c r="CS265">
        <v>0</v>
      </c>
    </row>
    <row r="266" spans="1:97" x14ac:dyDescent="0.4">
      <c r="A266" s="10">
        <v>43119</v>
      </c>
      <c r="B266" t="s">
        <v>215</v>
      </c>
      <c r="C266" t="s">
        <v>2469</v>
      </c>
      <c r="D266" t="s">
        <v>359</v>
      </c>
      <c r="E266" t="s">
        <v>2387</v>
      </c>
      <c r="F266" t="str">
        <f t="shared" si="127"/>
        <v>20180118-0000038</v>
      </c>
      <c r="G266">
        <v>1031892</v>
      </c>
      <c r="H266">
        <v>1</v>
      </c>
      <c r="I266" t="s">
        <v>2470</v>
      </c>
      <c r="J266">
        <v>3720</v>
      </c>
      <c r="L266">
        <v>0</v>
      </c>
      <c r="M266">
        <v>1</v>
      </c>
      <c r="O266" t="s">
        <v>361</v>
      </c>
      <c r="P266" t="s">
        <v>1190</v>
      </c>
      <c r="S266" t="s">
        <v>2471</v>
      </c>
      <c r="T266" t="s">
        <v>364</v>
      </c>
      <c r="X266" t="s">
        <v>2470</v>
      </c>
      <c r="AA266">
        <v>9728</v>
      </c>
      <c r="AB266">
        <v>7.2</v>
      </c>
      <c r="AC266" t="s">
        <v>2472</v>
      </c>
      <c r="AD266">
        <v>7.85</v>
      </c>
      <c r="AE266">
        <v>8.06</v>
      </c>
      <c r="AF266" t="s">
        <v>1031</v>
      </c>
      <c r="AG266">
        <v>1880</v>
      </c>
      <c r="AH266">
        <v>29</v>
      </c>
      <c r="AI266">
        <v>1880</v>
      </c>
      <c r="AK266">
        <v>13</v>
      </c>
      <c r="AL266" t="s">
        <v>2470</v>
      </c>
      <c r="AQ266">
        <v>3720</v>
      </c>
      <c r="AR266" t="s">
        <v>368</v>
      </c>
      <c r="AS266">
        <v>613594389945</v>
      </c>
      <c r="AT266" t="str">
        <f t="shared" si="118"/>
        <v>피****아①</v>
      </c>
      <c r="AU266" t="str">
        <f t="shared" si="119"/>
        <v xml:space="preserve"> 1****0</v>
      </c>
      <c r="AV266" t="str">
        <f t="shared" si="120"/>
        <v>***-****-1406</v>
      </c>
      <c r="AW266" t="str">
        <f t="shared" si="121"/>
        <v xml:space="preserve"> 서* 강*구 방*동 5****5 2* 김****님</v>
      </c>
      <c r="AY266" t="str">
        <f t="shared" si="122"/>
        <v>***-****-0388</v>
      </c>
      <c r="AZ266">
        <v>3194</v>
      </c>
      <c r="BA266">
        <v>1031925</v>
      </c>
      <c r="BB266">
        <v>6000</v>
      </c>
      <c r="BC266" t="s">
        <v>2392</v>
      </c>
      <c r="BD266" t="s">
        <v>1195</v>
      </c>
      <c r="BE266" t="str">
        <f t="shared" si="123"/>
        <v>피****아</v>
      </c>
      <c r="BF266" t="str">
        <f t="shared" si="124"/>
        <v>***-****-6097</v>
      </c>
      <c r="BG266" t="str">
        <f t="shared" si="125"/>
        <v>***-****-7488</v>
      </c>
      <c r="BH266" t="s">
        <v>453</v>
      </c>
      <c r="BI266" t="s">
        <v>454</v>
      </c>
      <c r="BJ266" t="s">
        <v>2473</v>
      </c>
      <c r="BK266" t="s">
        <v>456</v>
      </c>
      <c r="BL266">
        <v>11372</v>
      </c>
      <c r="BM266" t="str">
        <f>"11372"</f>
        <v>11372</v>
      </c>
      <c r="BN266" t="str">
        <f t="shared" si="128"/>
        <v>20180118-0000038</v>
      </c>
      <c r="BQ266" t="s">
        <v>373</v>
      </c>
      <c r="BV266" t="s">
        <v>2474</v>
      </c>
      <c r="BW266" t="s">
        <v>2470</v>
      </c>
      <c r="BX266" t="s">
        <v>215</v>
      </c>
      <c r="BY266">
        <v>0</v>
      </c>
      <c r="BZ266">
        <v>8806165933724</v>
      </c>
      <c r="CA266" t="s">
        <v>2475</v>
      </c>
      <c r="CF266" t="s">
        <v>2470</v>
      </c>
      <c r="CG266" t="s">
        <v>831</v>
      </c>
      <c r="CH266" t="s">
        <v>377</v>
      </c>
      <c r="CI266" t="s">
        <v>2469</v>
      </c>
      <c r="CJ266">
        <v>3720</v>
      </c>
      <c r="CK266">
        <v>3720</v>
      </c>
      <c r="CL266" t="s">
        <v>2476</v>
      </c>
      <c r="CN266">
        <v>1</v>
      </c>
      <c r="CO266">
        <v>9728</v>
      </c>
      <c r="CP266">
        <v>9728</v>
      </c>
      <c r="CQ266" t="s">
        <v>379</v>
      </c>
      <c r="CS266">
        <v>6</v>
      </c>
    </row>
    <row r="267" spans="1:97" x14ac:dyDescent="0.4">
      <c r="A267" s="10">
        <v>43119</v>
      </c>
      <c r="B267" t="s">
        <v>210</v>
      </c>
      <c r="C267" t="s">
        <v>2477</v>
      </c>
      <c r="D267" t="s">
        <v>359</v>
      </c>
      <c r="E267" t="s">
        <v>2387</v>
      </c>
      <c r="F267" t="str">
        <f t="shared" si="127"/>
        <v>20180118-0000038</v>
      </c>
      <c r="G267">
        <v>1031892</v>
      </c>
      <c r="H267">
        <v>1</v>
      </c>
      <c r="I267" t="s">
        <v>2478</v>
      </c>
      <c r="J267">
        <v>4480</v>
      </c>
      <c r="L267">
        <v>0</v>
      </c>
      <c r="M267">
        <v>1</v>
      </c>
      <c r="O267" t="s">
        <v>361</v>
      </c>
      <c r="P267" t="s">
        <v>1190</v>
      </c>
      <c r="S267" t="s">
        <v>2479</v>
      </c>
      <c r="T267" t="s">
        <v>364</v>
      </c>
      <c r="X267" t="s">
        <v>2480</v>
      </c>
      <c r="AA267">
        <v>10288</v>
      </c>
      <c r="AB267">
        <v>8.3000000000000007</v>
      </c>
      <c r="AC267" t="s">
        <v>2481</v>
      </c>
      <c r="AD267">
        <v>9.0500000000000007</v>
      </c>
      <c r="AE267">
        <v>9.3000000000000007</v>
      </c>
      <c r="AF267" t="s">
        <v>1648</v>
      </c>
      <c r="AG267">
        <v>1880</v>
      </c>
      <c r="AK267">
        <v>36</v>
      </c>
      <c r="AL267" t="s">
        <v>2478</v>
      </c>
      <c r="AN267" t="s">
        <v>2482</v>
      </c>
      <c r="AQ267">
        <v>4550</v>
      </c>
      <c r="AR267" t="s">
        <v>368</v>
      </c>
      <c r="AS267">
        <v>613594389945</v>
      </c>
      <c r="AT267" t="str">
        <f t="shared" si="118"/>
        <v>피****아①</v>
      </c>
      <c r="AU267" t="str">
        <f t="shared" si="119"/>
        <v xml:space="preserve"> 1****0</v>
      </c>
      <c r="AV267" t="str">
        <f t="shared" si="120"/>
        <v>***-****-1406</v>
      </c>
      <c r="AW267" t="str">
        <f t="shared" si="121"/>
        <v xml:space="preserve"> 서* 강*구 방*동 5****5 2* 김****님</v>
      </c>
      <c r="AY267" t="str">
        <f t="shared" si="122"/>
        <v>***-****-0388</v>
      </c>
      <c r="AZ267">
        <v>28300</v>
      </c>
      <c r="BA267">
        <v>1031932</v>
      </c>
      <c r="BB267">
        <v>7000</v>
      </c>
      <c r="BC267" t="s">
        <v>2392</v>
      </c>
      <c r="BD267" t="s">
        <v>1195</v>
      </c>
      <c r="BE267" t="str">
        <f t="shared" si="123"/>
        <v>피****아</v>
      </c>
      <c r="BF267" t="str">
        <f t="shared" si="124"/>
        <v>***-****-6097</v>
      </c>
      <c r="BG267" t="str">
        <f t="shared" si="125"/>
        <v>***-****-7488</v>
      </c>
      <c r="BH267" t="s">
        <v>453</v>
      </c>
      <c r="BI267" t="s">
        <v>454</v>
      </c>
      <c r="BJ267" t="s">
        <v>2483</v>
      </c>
      <c r="BK267" t="s">
        <v>456</v>
      </c>
      <c r="BL267">
        <v>20594</v>
      </c>
      <c r="BM267" t="str">
        <f>"20594"</f>
        <v>20594</v>
      </c>
      <c r="BN267" t="str">
        <f t="shared" si="128"/>
        <v>20180118-0000038</v>
      </c>
      <c r="BQ267" t="s">
        <v>373</v>
      </c>
      <c r="BV267" t="s">
        <v>2484</v>
      </c>
      <c r="BW267" t="s">
        <v>2478</v>
      </c>
      <c r="BX267" t="s">
        <v>210</v>
      </c>
      <c r="BY267">
        <v>0</v>
      </c>
      <c r="BZ267">
        <v>8809539429588</v>
      </c>
      <c r="CA267" t="s">
        <v>2485</v>
      </c>
      <c r="CF267" t="s">
        <v>2480</v>
      </c>
      <c r="CG267" t="s">
        <v>1653</v>
      </c>
      <c r="CH267" t="s">
        <v>377</v>
      </c>
      <c r="CI267" t="s">
        <v>2477</v>
      </c>
      <c r="CJ267">
        <v>4550</v>
      </c>
      <c r="CK267">
        <v>4550</v>
      </c>
      <c r="CL267" t="s">
        <v>2486</v>
      </c>
      <c r="CN267">
        <v>1</v>
      </c>
      <c r="CO267">
        <v>10288</v>
      </c>
      <c r="CP267">
        <v>10288</v>
      </c>
      <c r="CQ267" t="s">
        <v>379</v>
      </c>
      <c r="CS267">
        <v>0</v>
      </c>
    </row>
    <row r="268" spans="1:97" x14ac:dyDescent="0.4">
      <c r="A268" s="10">
        <v>43119</v>
      </c>
      <c r="B268" t="s">
        <v>226</v>
      </c>
      <c r="C268" t="s">
        <v>1347</v>
      </c>
      <c r="D268" t="s">
        <v>359</v>
      </c>
      <c r="E268" t="s">
        <v>2387</v>
      </c>
      <c r="F268" t="str">
        <f t="shared" si="127"/>
        <v>20180118-0000038</v>
      </c>
      <c r="G268">
        <v>1031892</v>
      </c>
      <c r="H268">
        <v>2</v>
      </c>
      <c r="I268" t="s">
        <v>1348</v>
      </c>
      <c r="J268">
        <v>9360</v>
      </c>
      <c r="L268">
        <v>0</v>
      </c>
      <c r="M268">
        <v>1</v>
      </c>
      <c r="O268" t="s">
        <v>361</v>
      </c>
      <c r="P268" t="s">
        <v>1190</v>
      </c>
      <c r="S268" t="s">
        <v>2487</v>
      </c>
      <c r="T268" t="s">
        <v>364</v>
      </c>
      <c r="X268" t="s">
        <v>1348</v>
      </c>
      <c r="AA268">
        <v>17290</v>
      </c>
      <c r="AB268">
        <v>12.43</v>
      </c>
      <c r="AC268" t="s">
        <v>1350</v>
      </c>
      <c r="AD268">
        <v>13.55</v>
      </c>
      <c r="AE268">
        <v>13.92</v>
      </c>
      <c r="AF268" t="s">
        <v>1009</v>
      </c>
      <c r="AG268">
        <v>6500</v>
      </c>
      <c r="AL268" t="s">
        <v>1348</v>
      </c>
      <c r="AQ268">
        <v>4680</v>
      </c>
      <c r="AR268" t="s">
        <v>368</v>
      </c>
      <c r="AS268">
        <v>613594389945</v>
      </c>
      <c r="AT268" t="str">
        <f t="shared" si="118"/>
        <v>피****아①</v>
      </c>
      <c r="AU268" t="str">
        <f t="shared" si="119"/>
        <v xml:space="preserve"> 1****0</v>
      </c>
      <c r="AV268" t="str">
        <f t="shared" si="120"/>
        <v>***-****-1406</v>
      </c>
      <c r="AW268" t="str">
        <f t="shared" si="121"/>
        <v xml:space="preserve"> 서* 강*구 방*동 5****5 2* 김****님</v>
      </c>
      <c r="AY268" t="str">
        <f t="shared" si="122"/>
        <v>***-****-0388</v>
      </c>
      <c r="AZ268">
        <v>19045</v>
      </c>
      <c r="BA268">
        <v>1031944</v>
      </c>
      <c r="BB268">
        <v>18000</v>
      </c>
      <c r="BC268" t="s">
        <v>2392</v>
      </c>
      <c r="BD268" t="s">
        <v>1195</v>
      </c>
      <c r="BE268" t="str">
        <f t="shared" si="123"/>
        <v>피****아</v>
      </c>
      <c r="BF268" t="str">
        <f t="shared" si="124"/>
        <v>***-****-6097</v>
      </c>
      <c r="BG268" t="str">
        <f t="shared" si="125"/>
        <v>***-****-7488</v>
      </c>
      <c r="BH268" t="s">
        <v>453</v>
      </c>
      <c r="BI268" t="s">
        <v>454</v>
      </c>
      <c r="BJ268" t="s">
        <v>2488</v>
      </c>
      <c r="BK268" t="s">
        <v>456</v>
      </c>
      <c r="BL268">
        <v>17732</v>
      </c>
      <c r="BM268" t="str">
        <f>"17732"</f>
        <v>17732</v>
      </c>
      <c r="BN268" t="str">
        <f t="shared" si="128"/>
        <v>20180118-0000038</v>
      </c>
      <c r="BQ268" t="s">
        <v>373</v>
      </c>
      <c r="BU268">
        <v>408</v>
      </c>
      <c r="BV268" t="s">
        <v>1352</v>
      </c>
      <c r="BW268" t="s">
        <v>1348</v>
      </c>
      <c r="BX268" t="s">
        <v>226</v>
      </c>
      <c r="BY268">
        <v>0</v>
      </c>
      <c r="BZ268">
        <v>8809427865276</v>
      </c>
      <c r="CA268" t="s">
        <v>1353</v>
      </c>
      <c r="CF268" t="s">
        <v>1348</v>
      </c>
      <c r="CG268" t="s">
        <v>877</v>
      </c>
      <c r="CH268" t="s">
        <v>377</v>
      </c>
      <c r="CI268" t="s">
        <v>1347</v>
      </c>
      <c r="CJ268">
        <v>4680</v>
      </c>
      <c r="CK268">
        <v>9360</v>
      </c>
      <c r="CL268" t="s">
        <v>1354</v>
      </c>
      <c r="CN268">
        <v>2</v>
      </c>
      <c r="CO268">
        <v>17290</v>
      </c>
      <c r="CP268">
        <v>34580</v>
      </c>
      <c r="CQ268" t="s">
        <v>379</v>
      </c>
      <c r="CS268">
        <v>0</v>
      </c>
    </row>
    <row r="269" spans="1:97" x14ac:dyDescent="0.4">
      <c r="A269" s="10">
        <v>43119</v>
      </c>
      <c r="B269" t="s">
        <v>226</v>
      </c>
      <c r="C269" t="s">
        <v>2489</v>
      </c>
      <c r="D269" t="s">
        <v>359</v>
      </c>
      <c r="E269" t="s">
        <v>2387</v>
      </c>
      <c r="F269" t="str">
        <f t="shared" si="127"/>
        <v>20180118-0000038</v>
      </c>
      <c r="G269">
        <v>1031892</v>
      </c>
      <c r="H269">
        <v>2</v>
      </c>
      <c r="I269" t="s">
        <v>2490</v>
      </c>
      <c r="J269">
        <v>10400</v>
      </c>
      <c r="L269">
        <v>0</v>
      </c>
      <c r="M269">
        <v>1</v>
      </c>
      <c r="O269" t="s">
        <v>361</v>
      </c>
      <c r="P269" t="s">
        <v>1190</v>
      </c>
      <c r="S269" t="s">
        <v>2491</v>
      </c>
      <c r="T269" t="s">
        <v>364</v>
      </c>
      <c r="X269" t="s">
        <v>2490</v>
      </c>
      <c r="AA269">
        <v>18200</v>
      </c>
      <c r="AB269">
        <v>13.12</v>
      </c>
      <c r="AC269" t="s">
        <v>2492</v>
      </c>
      <c r="AD269">
        <v>14.3</v>
      </c>
      <c r="AE269">
        <v>14.7</v>
      </c>
      <c r="AF269" t="s">
        <v>2493</v>
      </c>
      <c r="AG269">
        <v>6500</v>
      </c>
      <c r="AL269" t="s">
        <v>2490</v>
      </c>
      <c r="AQ269">
        <v>5200</v>
      </c>
      <c r="AR269" t="s">
        <v>368</v>
      </c>
      <c r="AS269">
        <v>613594389945</v>
      </c>
      <c r="AT269" t="str">
        <f t="shared" si="118"/>
        <v>피****아①</v>
      </c>
      <c r="AU269" t="str">
        <f t="shared" si="119"/>
        <v xml:space="preserve"> 1****0</v>
      </c>
      <c r="AV269" t="str">
        <f t="shared" si="120"/>
        <v>***-****-1406</v>
      </c>
      <c r="AW269" t="str">
        <f t="shared" si="121"/>
        <v xml:space="preserve"> 서* 강*구 방*동 5****5 2* 김****님</v>
      </c>
      <c r="AY269" t="str">
        <f t="shared" si="122"/>
        <v>***-****-0388</v>
      </c>
      <c r="AZ269">
        <v>13871</v>
      </c>
      <c r="BA269">
        <v>1031943</v>
      </c>
      <c r="BB269">
        <v>20000</v>
      </c>
      <c r="BC269" t="s">
        <v>2392</v>
      </c>
      <c r="BD269" t="s">
        <v>1195</v>
      </c>
      <c r="BE269" t="str">
        <f t="shared" si="123"/>
        <v>피****아</v>
      </c>
      <c r="BF269" t="str">
        <f t="shared" si="124"/>
        <v>***-****-6097</v>
      </c>
      <c r="BG269" t="str">
        <f t="shared" si="125"/>
        <v>***-****-7488</v>
      </c>
      <c r="BH269" t="s">
        <v>453</v>
      </c>
      <c r="BI269" t="s">
        <v>454</v>
      </c>
      <c r="BJ269" t="s">
        <v>2494</v>
      </c>
      <c r="BK269" t="s">
        <v>456</v>
      </c>
      <c r="BL269">
        <v>16945</v>
      </c>
      <c r="BM269" t="str">
        <f>"16945"</f>
        <v>16945</v>
      </c>
      <c r="BN269" t="str">
        <f t="shared" si="128"/>
        <v>20180118-0000038</v>
      </c>
      <c r="BQ269" t="s">
        <v>373</v>
      </c>
      <c r="BU269">
        <v>418</v>
      </c>
      <c r="BV269" t="s">
        <v>2495</v>
      </c>
      <c r="BW269" t="s">
        <v>2490</v>
      </c>
      <c r="BX269" t="s">
        <v>226</v>
      </c>
      <c r="BY269">
        <v>0</v>
      </c>
      <c r="BZ269">
        <v>8809427862367</v>
      </c>
      <c r="CA269" t="s">
        <v>2496</v>
      </c>
      <c r="CF269" t="s">
        <v>2490</v>
      </c>
      <c r="CG269" t="s">
        <v>770</v>
      </c>
      <c r="CH269" t="s">
        <v>377</v>
      </c>
      <c r="CI269" t="s">
        <v>2489</v>
      </c>
      <c r="CJ269">
        <v>5200</v>
      </c>
      <c r="CK269">
        <v>10400</v>
      </c>
      <c r="CL269" t="s">
        <v>2348</v>
      </c>
      <c r="CN269">
        <v>2</v>
      </c>
      <c r="CO269">
        <v>18200</v>
      </c>
      <c r="CP269">
        <v>36400</v>
      </c>
      <c r="CQ269" t="s">
        <v>379</v>
      </c>
      <c r="CS269">
        <v>0</v>
      </c>
    </row>
    <row r="270" spans="1:97" x14ac:dyDescent="0.4">
      <c r="A270" s="10">
        <v>43119</v>
      </c>
      <c r="B270" t="s">
        <v>97</v>
      </c>
      <c r="C270" t="s">
        <v>861</v>
      </c>
      <c r="D270" t="s">
        <v>359</v>
      </c>
      <c r="E270" t="s">
        <v>2387</v>
      </c>
      <c r="F270" t="str">
        <f t="shared" si="127"/>
        <v>20180118-0000038</v>
      </c>
      <c r="G270">
        <v>1031892</v>
      </c>
      <c r="H270">
        <v>10</v>
      </c>
      <c r="I270" t="s">
        <v>862</v>
      </c>
      <c r="J270">
        <v>1512000</v>
      </c>
      <c r="L270">
        <v>0</v>
      </c>
      <c r="M270">
        <v>1</v>
      </c>
      <c r="O270" t="s">
        <v>361</v>
      </c>
      <c r="P270" t="s">
        <v>1190</v>
      </c>
      <c r="S270" t="s">
        <v>2497</v>
      </c>
      <c r="T270" t="s">
        <v>364</v>
      </c>
      <c r="X270" t="s">
        <v>862</v>
      </c>
      <c r="AA270">
        <v>196001</v>
      </c>
      <c r="AB270">
        <v>161.91999999999999</v>
      </c>
      <c r="AC270" t="s">
        <v>864</v>
      </c>
      <c r="AD270">
        <v>176.5</v>
      </c>
      <c r="AE270">
        <v>181.35</v>
      </c>
      <c r="AF270" t="s">
        <v>486</v>
      </c>
      <c r="AG270">
        <v>6500</v>
      </c>
      <c r="AH270">
        <v>273</v>
      </c>
      <c r="AI270">
        <v>6500</v>
      </c>
      <c r="AK270">
        <v>211</v>
      </c>
      <c r="AL270" t="s">
        <v>862</v>
      </c>
      <c r="AQ270">
        <v>147000</v>
      </c>
      <c r="AR270" t="s">
        <v>368</v>
      </c>
      <c r="AS270">
        <v>613594389945</v>
      </c>
      <c r="AT270" t="str">
        <f t="shared" si="118"/>
        <v>피****아①</v>
      </c>
      <c r="AU270" t="str">
        <f t="shared" si="119"/>
        <v xml:space="preserve"> 1****0</v>
      </c>
      <c r="AV270" t="str">
        <f t="shared" si="120"/>
        <v>***-****-1406</v>
      </c>
      <c r="AW270" t="str">
        <f t="shared" si="121"/>
        <v xml:space="preserve"> 서* 강*구 방*동 5****5 2* 김****님</v>
      </c>
      <c r="AY270" t="str">
        <f t="shared" si="122"/>
        <v>***-****-0388</v>
      </c>
      <c r="AZ270">
        <v>12972</v>
      </c>
      <c r="BA270">
        <v>1031921</v>
      </c>
      <c r="BB270">
        <v>2100000</v>
      </c>
      <c r="BC270" t="s">
        <v>2392</v>
      </c>
      <c r="BD270" t="s">
        <v>1195</v>
      </c>
      <c r="BE270" t="str">
        <f t="shared" si="123"/>
        <v>피****아</v>
      </c>
      <c r="BF270" t="str">
        <f t="shared" si="124"/>
        <v>***-****-6097</v>
      </c>
      <c r="BG270" t="str">
        <f t="shared" si="125"/>
        <v>***-****-7488</v>
      </c>
      <c r="BH270" t="s">
        <v>453</v>
      </c>
      <c r="BI270" t="s">
        <v>454</v>
      </c>
      <c r="BJ270" t="s">
        <v>2498</v>
      </c>
      <c r="BK270" t="s">
        <v>456</v>
      </c>
      <c r="BL270">
        <v>19386</v>
      </c>
      <c r="BM270" t="str">
        <f>"19386"</f>
        <v>19386</v>
      </c>
      <c r="BN270" t="str">
        <f t="shared" si="128"/>
        <v>20180118-0000038</v>
      </c>
      <c r="BQ270" t="s">
        <v>373</v>
      </c>
      <c r="BV270" t="s">
        <v>866</v>
      </c>
      <c r="BW270" t="s">
        <v>862</v>
      </c>
      <c r="BX270" t="s">
        <v>97</v>
      </c>
      <c r="BY270">
        <v>0</v>
      </c>
      <c r="BZ270">
        <v>8806390509176</v>
      </c>
      <c r="CA270" t="s">
        <v>867</v>
      </c>
      <c r="CF270" t="s">
        <v>862</v>
      </c>
      <c r="CG270" t="s">
        <v>638</v>
      </c>
      <c r="CH270" t="s">
        <v>377</v>
      </c>
      <c r="CI270" t="s">
        <v>861</v>
      </c>
      <c r="CJ270">
        <v>147000</v>
      </c>
      <c r="CK270">
        <v>1470000</v>
      </c>
      <c r="CL270" t="s">
        <v>868</v>
      </c>
      <c r="CN270">
        <v>10</v>
      </c>
      <c r="CO270">
        <v>0</v>
      </c>
      <c r="CP270">
        <v>0</v>
      </c>
      <c r="CQ270" t="s">
        <v>379</v>
      </c>
      <c r="CS270">
        <v>36</v>
      </c>
    </row>
    <row r="271" spans="1:97" x14ac:dyDescent="0.4">
      <c r="A271" s="10">
        <v>43119</v>
      </c>
      <c r="B271" t="s">
        <v>187</v>
      </c>
      <c r="C271" t="s">
        <v>869</v>
      </c>
      <c r="D271" t="s">
        <v>359</v>
      </c>
      <c r="E271" t="s">
        <v>2387</v>
      </c>
      <c r="F271" t="str">
        <f t="shared" si="127"/>
        <v>20180118-0000038</v>
      </c>
      <c r="G271">
        <v>1031892</v>
      </c>
      <c r="H271">
        <v>3</v>
      </c>
      <c r="I271" t="s">
        <v>870</v>
      </c>
      <c r="J271">
        <v>61500</v>
      </c>
      <c r="L271">
        <v>0</v>
      </c>
      <c r="M271">
        <v>1</v>
      </c>
      <c r="O271" t="s">
        <v>361</v>
      </c>
      <c r="P271" t="s">
        <v>1190</v>
      </c>
      <c r="S271" t="s">
        <v>2499</v>
      </c>
      <c r="T271" t="s">
        <v>364</v>
      </c>
      <c r="X271" t="s">
        <v>870</v>
      </c>
      <c r="AA271">
        <v>27950</v>
      </c>
      <c r="AB271">
        <v>29.89</v>
      </c>
      <c r="AC271" t="s">
        <v>872</v>
      </c>
      <c r="AD271">
        <v>32.58</v>
      </c>
      <c r="AE271">
        <v>33.47</v>
      </c>
      <c r="AF271" t="s">
        <v>873</v>
      </c>
      <c r="AG271">
        <v>6500</v>
      </c>
      <c r="AK271">
        <v>279</v>
      </c>
      <c r="AL271" t="s">
        <v>870</v>
      </c>
      <c r="AQ271">
        <v>20000</v>
      </c>
      <c r="AR271" t="s">
        <v>368</v>
      </c>
      <c r="AS271">
        <v>613594389945</v>
      </c>
      <c r="AT271" t="str">
        <f t="shared" si="118"/>
        <v>피****아①</v>
      </c>
      <c r="AU271" t="str">
        <f t="shared" si="119"/>
        <v xml:space="preserve"> 1****0</v>
      </c>
      <c r="AV271" t="str">
        <f t="shared" si="120"/>
        <v>***-****-1406</v>
      </c>
      <c r="AW271" t="str">
        <f t="shared" si="121"/>
        <v xml:space="preserve"> 서* 강*구 방*동 5****5 2* 김****님</v>
      </c>
      <c r="AY271" t="str">
        <f t="shared" si="122"/>
        <v>***-****-0388</v>
      </c>
      <c r="AZ271">
        <v>11550</v>
      </c>
      <c r="BA271">
        <v>1031934</v>
      </c>
      <c r="BB271">
        <v>75000</v>
      </c>
      <c r="BC271" t="s">
        <v>2392</v>
      </c>
      <c r="BD271" t="s">
        <v>1195</v>
      </c>
      <c r="BE271" t="str">
        <f t="shared" si="123"/>
        <v>피****아</v>
      </c>
      <c r="BF271" t="str">
        <f t="shared" si="124"/>
        <v>***-****-6097</v>
      </c>
      <c r="BG271" t="str">
        <f t="shared" si="125"/>
        <v>***-****-7488</v>
      </c>
      <c r="BH271" t="s">
        <v>453</v>
      </c>
      <c r="BI271" t="s">
        <v>454</v>
      </c>
      <c r="BJ271" t="s">
        <v>2500</v>
      </c>
      <c r="BK271" t="s">
        <v>456</v>
      </c>
      <c r="BL271">
        <v>14329</v>
      </c>
      <c r="BM271" t="str">
        <f>"14329"</f>
        <v>14329</v>
      </c>
      <c r="BN271" t="str">
        <f t="shared" si="128"/>
        <v>20180118-0000038</v>
      </c>
      <c r="BQ271" t="s">
        <v>373</v>
      </c>
      <c r="BV271" t="s">
        <v>875</v>
      </c>
      <c r="BW271" t="s">
        <v>870</v>
      </c>
      <c r="BX271" t="s">
        <v>187</v>
      </c>
      <c r="BZ271">
        <v>8801051178449</v>
      </c>
      <c r="CA271" t="s">
        <v>876</v>
      </c>
      <c r="CF271" t="s">
        <v>870</v>
      </c>
      <c r="CG271" t="s">
        <v>877</v>
      </c>
      <c r="CH271" t="s">
        <v>377</v>
      </c>
      <c r="CI271" t="s">
        <v>869</v>
      </c>
      <c r="CJ271">
        <v>20000</v>
      </c>
      <c r="CK271">
        <v>60000</v>
      </c>
      <c r="CL271" t="s">
        <v>878</v>
      </c>
      <c r="CN271">
        <v>3</v>
      </c>
      <c r="CO271">
        <v>27950</v>
      </c>
      <c r="CP271">
        <v>83850</v>
      </c>
      <c r="CQ271" t="s">
        <v>379</v>
      </c>
      <c r="CS271">
        <v>0</v>
      </c>
    </row>
    <row r="272" spans="1:97" x14ac:dyDescent="0.4">
      <c r="A272" s="10">
        <v>43119</v>
      </c>
      <c r="B272" t="s">
        <v>187</v>
      </c>
      <c r="C272" t="s">
        <v>1371</v>
      </c>
      <c r="D272" t="s">
        <v>359</v>
      </c>
      <c r="E272" t="s">
        <v>2387</v>
      </c>
      <c r="F272" t="str">
        <f t="shared" si="127"/>
        <v>20180118-0000038</v>
      </c>
      <c r="G272">
        <v>1031892</v>
      </c>
      <c r="H272">
        <v>1</v>
      </c>
      <c r="I272" t="s">
        <v>1372</v>
      </c>
      <c r="J272">
        <v>10820</v>
      </c>
      <c r="L272">
        <v>0</v>
      </c>
      <c r="M272">
        <v>1</v>
      </c>
      <c r="O272" t="s">
        <v>361</v>
      </c>
      <c r="P272" t="s">
        <v>1190</v>
      </c>
      <c r="S272" t="s">
        <v>2501</v>
      </c>
      <c r="T272" t="s">
        <v>364</v>
      </c>
      <c r="X272" t="s">
        <v>1372</v>
      </c>
      <c r="AA272">
        <v>20188</v>
      </c>
      <c r="AB272">
        <v>18.2</v>
      </c>
      <c r="AC272" t="s">
        <v>1374</v>
      </c>
      <c r="AD272">
        <v>19.84</v>
      </c>
      <c r="AE272">
        <v>20.38</v>
      </c>
      <c r="AF272" t="s">
        <v>467</v>
      </c>
      <c r="AG272">
        <v>6500</v>
      </c>
      <c r="AK272">
        <v>299</v>
      </c>
      <c r="AL272" t="s">
        <v>1372</v>
      </c>
      <c r="AQ272">
        <v>10560</v>
      </c>
      <c r="AR272" t="s">
        <v>368</v>
      </c>
      <c r="AS272">
        <v>613594389945</v>
      </c>
      <c r="AT272" t="str">
        <f t="shared" si="118"/>
        <v>피****아①</v>
      </c>
      <c r="AU272" t="str">
        <f t="shared" si="119"/>
        <v xml:space="preserve"> 1****0</v>
      </c>
      <c r="AV272" t="str">
        <f t="shared" si="120"/>
        <v>***-****-1406</v>
      </c>
      <c r="AW272" t="str">
        <f t="shared" si="121"/>
        <v xml:space="preserve"> 서* 강*구 방*동 5****5 2* 김****님</v>
      </c>
      <c r="AY272" t="str">
        <f t="shared" si="122"/>
        <v>***-****-0388</v>
      </c>
      <c r="AZ272">
        <v>12721</v>
      </c>
      <c r="BA272">
        <v>1031935</v>
      </c>
      <c r="BB272">
        <v>13200</v>
      </c>
      <c r="BC272" t="s">
        <v>2392</v>
      </c>
      <c r="BD272" t="s">
        <v>1195</v>
      </c>
      <c r="BE272" t="str">
        <f t="shared" si="123"/>
        <v>피****아</v>
      </c>
      <c r="BF272" t="str">
        <f t="shared" si="124"/>
        <v>***-****-6097</v>
      </c>
      <c r="BG272" t="str">
        <f t="shared" si="125"/>
        <v>***-****-7488</v>
      </c>
      <c r="BH272" t="s">
        <v>453</v>
      </c>
      <c r="BI272" t="s">
        <v>454</v>
      </c>
      <c r="BJ272" t="s">
        <v>2502</v>
      </c>
      <c r="BK272" t="s">
        <v>456</v>
      </c>
      <c r="BL272">
        <v>14410</v>
      </c>
      <c r="BM272" t="str">
        <f>"14410"</f>
        <v>14410</v>
      </c>
      <c r="BN272" t="str">
        <f t="shared" si="128"/>
        <v>20180118-0000038</v>
      </c>
      <c r="BQ272" t="s">
        <v>373</v>
      </c>
      <c r="BV272" t="s">
        <v>1376</v>
      </c>
      <c r="BW272" t="s">
        <v>1372</v>
      </c>
      <c r="BX272" t="s">
        <v>187</v>
      </c>
      <c r="BY272">
        <v>0</v>
      </c>
      <c r="BZ272">
        <v>8801051914986</v>
      </c>
      <c r="CA272" t="s">
        <v>1377</v>
      </c>
      <c r="CF272" t="s">
        <v>1372</v>
      </c>
      <c r="CG272" t="s">
        <v>583</v>
      </c>
      <c r="CH272" t="s">
        <v>377</v>
      </c>
      <c r="CI272" t="s">
        <v>1371</v>
      </c>
      <c r="CJ272">
        <v>10560</v>
      </c>
      <c r="CK272">
        <v>10560</v>
      </c>
      <c r="CL272" t="s">
        <v>1378</v>
      </c>
      <c r="CN272">
        <v>1</v>
      </c>
      <c r="CO272">
        <v>20188</v>
      </c>
      <c r="CP272">
        <v>20188</v>
      </c>
      <c r="CQ272" t="s">
        <v>820</v>
      </c>
      <c r="CR272" t="s">
        <v>1379</v>
      </c>
      <c r="CS272">
        <v>0</v>
      </c>
    </row>
    <row r="273" spans="1:97" x14ac:dyDescent="0.4">
      <c r="A273" s="10">
        <v>43119</v>
      </c>
      <c r="B273" t="s">
        <v>213</v>
      </c>
      <c r="C273" t="s">
        <v>2503</v>
      </c>
      <c r="D273" t="s">
        <v>359</v>
      </c>
      <c r="E273" t="s">
        <v>2387</v>
      </c>
      <c r="F273" t="str">
        <f t="shared" si="127"/>
        <v>20180118-0000038</v>
      </c>
      <c r="G273">
        <v>1031892</v>
      </c>
      <c r="H273">
        <v>1</v>
      </c>
      <c r="I273" t="s">
        <v>2504</v>
      </c>
      <c r="J273">
        <v>7680</v>
      </c>
      <c r="L273">
        <v>0</v>
      </c>
      <c r="M273">
        <v>1</v>
      </c>
      <c r="O273" t="s">
        <v>361</v>
      </c>
      <c r="P273" t="s">
        <v>1190</v>
      </c>
      <c r="S273" t="s">
        <v>2505</v>
      </c>
      <c r="T273" t="s">
        <v>364</v>
      </c>
      <c r="X273" t="s">
        <v>2504</v>
      </c>
      <c r="AA273">
        <v>15488</v>
      </c>
      <c r="AB273">
        <v>12.64</v>
      </c>
      <c r="AC273" t="s">
        <v>2506</v>
      </c>
      <c r="AD273">
        <v>13.78</v>
      </c>
      <c r="AE273">
        <v>14.15</v>
      </c>
      <c r="AF273" t="s">
        <v>943</v>
      </c>
      <c r="AG273">
        <v>1880</v>
      </c>
      <c r="AK273">
        <v>17</v>
      </c>
      <c r="AL273" t="s">
        <v>2504</v>
      </c>
      <c r="AN273" t="s">
        <v>2507</v>
      </c>
      <c r="AQ273">
        <v>7800</v>
      </c>
      <c r="AR273" t="s">
        <v>368</v>
      </c>
      <c r="AS273">
        <v>613594389945</v>
      </c>
      <c r="AT273" t="str">
        <f t="shared" si="118"/>
        <v>피****아①</v>
      </c>
      <c r="AU273" t="str">
        <f t="shared" si="119"/>
        <v xml:space="preserve"> 1****0</v>
      </c>
      <c r="AV273" t="str">
        <f t="shared" si="120"/>
        <v>***-****-1406</v>
      </c>
      <c r="AW273" t="str">
        <f t="shared" si="121"/>
        <v xml:space="preserve"> 서* 강*구 방*동 5****5 2* 김****님</v>
      </c>
      <c r="AY273" t="str">
        <f t="shared" si="122"/>
        <v>***-****-0388</v>
      </c>
      <c r="AZ273">
        <v>28489</v>
      </c>
      <c r="BA273">
        <v>1031923</v>
      </c>
      <c r="BB273">
        <v>12000</v>
      </c>
      <c r="BC273" t="s">
        <v>2392</v>
      </c>
      <c r="BD273" t="s">
        <v>1195</v>
      </c>
      <c r="BE273" t="str">
        <f t="shared" si="123"/>
        <v>피****아</v>
      </c>
      <c r="BF273" t="str">
        <f t="shared" si="124"/>
        <v>***-****-6097</v>
      </c>
      <c r="BG273" t="str">
        <f t="shared" si="125"/>
        <v>***-****-7488</v>
      </c>
      <c r="BH273" t="s">
        <v>453</v>
      </c>
      <c r="BI273" t="s">
        <v>454</v>
      </c>
      <c r="BJ273" t="s">
        <v>2508</v>
      </c>
      <c r="BK273" t="s">
        <v>456</v>
      </c>
      <c r="BL273">
        <v>19170</v>
      </c>
      <c r="BM273" t="str">
        <f>"19170"</f>
        <v>19170</v>
      </c>
      <c r="BN273" t="str">
        <f t="shared" si="128"/>
        <v>20180118-0000038</v>
      </c>
      <c r="BQ273" t="s">
        <v>373</v>
      </c>
      <c r="BV273" t="s">
        <v>2509</v>
      </c>
      <c r="BW273" t="s">
        <v>2504</v>
      </c>
      <c r="BX273" t="s">
        <v>213</v>
      </c>
      <c r="BY273">
        <v>0</v>
      </c>
      <c r="BZ273">
        <v>8806390573702</v>
      </c>
      <c r="CA273" t="s">
        <v>2510</v>
      </c>
      <c r="CF273" t="s">
        <v>2504</v>
      </c>
      <c r="CG273" t="s">
        <v>480</v>
      </c>
      <c r="CH273" t="s">
        <v>377</v>
      </c>
      <c r="CI273" t="s">
        <v>2503</v>
      </c>
      <c r="CJ273">
        <v>7800</v>
      </c>
      <c r="CK273">
        <v>7800</v>
      </c>
      <c r="CL273" t="s">
        <v>2511</v>
      </c>
      <c r="CN273">
        <v>1</v>
      </c>
      <c r="CO273">
        <v>15488</v>
      </c>
      <c r="CP273">
        <v>15488</v>
      </c>
      <c r="CQ273" t="s">
        <v>379</v>
      </c>
      <c r="CS273">
        <v>0</v>
      </c>
    </row>
    <row r="274" spans="1:97" x14ac:dyDescent="0.4">
      <c r="A274" s="10">
        <v>43119</v>
      </c>
      <c r="B274" t="s">
        <v>191</v>
      </c>
      <c r="C274" t="s">
        <v>2512</v>
      </c>
      <c r="D274" t="s">
        <v>359</v>
      </c>
      <c r="E274" t="s">
        <v>2387</v>
      </c>
      <c r="F274" t="str">
        <f t="shared" si="127"/>
        <v>20180118-0000038</v>
      </c>
      <c r="G274">
        <v>1031892</v>
      </c>
      <c r="H274">
        <v>1</v>
      </c>
      <c r="I274" t="s">
        <v>2513</v>
      </c>
      <c r="J274">
        <v>8040</v>
      </c>
      <c r="L274">
        <v>0</v>
      </c>
      <c r="M274">
        <v>1</v>
      </c>
      <c r="O274" t="s">
        <v>361</v>
      </c>
      <c r="P274" t="s">
        <v>1190</v>
      </c>
      <c r="S274" t="s">
        <v>2514</v>
      </c>
      <c r="T274" t="s">
        <v>364</v>
      </c>
      <c r="X274" t="s">
        <v>2513</v>
      </c>
      <c r="AA274">
        <v>15488</v>
      </c>
      <c r="AB274">
        <v>12.19</v>
      </c>
      <c r="AC274" t="s">
        <v>2515</v>
      </c>
      <c r="AD274">
        <v>13.29</v>
      </c>
      <c r="AE274">
        <v>13.65</v>
      </c>
      <c r="AF274" t="s">
        <v>952</v>
      </c>
      <c r="AG274">
        <v>1880</v>
      </c>
      <c r="AL274" t="s">
        <v>2513</v>
      </c>
      <c r="AN274" t="s">
        <v>2516</v>
      </c>
      <c r="AQ274">
        <v>7800</v>
      </c>
      <c r="AR274" t="s">
        <v>368</v>
      </c>
      <c r="AS274">
        <v>613594389945</v>
      </c>
      <c r="AT274" t="str">
        <f t="shared" si="118"/>
        <v>피****아①</v>
      </c>
      <c r="AU274" t="str">
        <f t="shared" si="119"/>
        <v xml:space="preserve"> 1****0</v>
      </c>
      <c r="AV274" t="str">
        <f t="shared" si="120"/>
        <v>***-****-1406</v>
      </c>
      <c r="AW274" t="str">
        <f t="shared" si="121"/>
        <v xml:space="preserve"> 서* 강*구 방*동 5****5 2* 김****님</v>
      </c>
      <c r="AY274" t="str">
        <f t="shared" si="122"/>
        <v>***-****-0388</v>
      </c>
      <c r="AZ274">
        <v>29284</v>
      </c>
      <c r="BA274">
        <v>1031930</v>
      </c>
      <c r="BB274">
        <v>12000</v>
      </c>
      <c r="BC274" t="s">
        <v>2392</v>
      </c>
      <c r="BD274" t="s">
        <v>1195</v>
      </c>
      <c r="BE274" t="str">
        <f t="shared" si="123"/>
        <v>피****아</v>
      </c>
      <c r="BF274" t="str">
        <f t="shared" si="124"/>
        <v>***-****-6097</v>
      </c>
      <c r="BG274" t="str">
        <f t="shared" si="125"/>
        <v>***-****-7488</v>
      </c>
      <c r="BH274" t="s">
        <v>453</v>
      </c>
      <c r="BI274" t="s">
        <v>454</v>
      </c>
      <c r="BJ274" t="s">
        <v>2517</v>
      </c>
      <c r="BK274" t="s">
        <v>456</v>
      </c>
      <c r="BL274">
        <v>19643</v>
      </c>
      <c r="BM274" t="str">
        <f>"19643"</f>
        <v>19643</v>
      </c>
      <c r="BN274" t="str">
        <f t="shared" si="128"/>
        <v>20180118-0000038</v>
      </c>
      <c r="BQ274" t="s">
        <v>373</v>
      </c>
      <c r="BU274">
        <v>81</v>
      </c>
      <c r="BV274" t="s">
        <v>2518</v>
      </c>
      <c r="BW274" t="s">
        <v>2513</v>
      </c>
      <c r="BX274" t="s">
        <v>191</v>
      </c>
      <c r="BY274">
        <v>0</v>
      </c>
      <c r="BZ274">
        <v>8806182545108</v>
      </c>
      <c r="CA274" t="s">
        <v>2519</v>
      </c>
      <c r="CF274" t="s">
        <v>2513</v>
      </c>
      <c r="CG274" t="s">
        <v>480</v>
      </c>
      <c r="CH274" t="s">
        <v>377</v>
      </c>
      <c r="CI274" t="s">
        <v>2512</v>
      </c>
      <c r="CJ274">
        <v>7800</v>
      </c>
      <c r="CK274">
        <v>7800</v>
      </c>
      <c r="CL274" t="s">
        <v>2520</v>
      </c>
      <c r="CN274">
        <v>1</v>
      </c>
      <c r="CO274">
        <v>15488</v>
      </c>
      <c r="CP274">
        <v>15488</v>
      </c>
      <c r="CQ274" t="s">
        <v>379</v>
      </c>
      <c r="CS274">
        <v>0</v>
      </c>
    </row>
    <row r="275" spans="1:97" x14ac:dyDescent="0.4">
      <c r="A275" s="10">
        <v>43119</v>
      </c>
      <c r="B275" t="s">
        <v>191</v>
      </c>
      <c r="C275" t="s">
        <v>2521</v>
      </c>
      <c r="D275" t="s">
        <v>359</v>
      </c>
      <c r="E275" t="s">
        <v>2387</v>
      </c>
      <c r="F275" t="str">
        <f t="shared" si="127"/>
        <v>20180118-0000038</v>
      </c>
      <c r="G275">
        <v>1031892</v>
      </c>
      <c r="H275">
        <v>1</v>
      </c>
      <c r="I275" t="s">
        <v>2522</v>
      </c>
      <c r="J275">
        <v>8040</v>
      </c>
      <c r="L275">
        <v>0</v>
      </c>
      <c r="M275">
        <v>1</v>
      </c>
      <c r="O275" t="s">
        <v>361</v>
      </c>
      <c r="P275" t="s">
        <v>1190</v>
      </c>
      <c r="S275" t="s">
        <v>2523</v>
      </c>
      <c r="T275" t="s">
        <v>364</v>
      </c>
      <c r="X275" t="s">
        <v>2522</v>
      </c>
      <c r="AA275">
        <v>15488</v>
      </c>
      <c r="AB275">
        <v>12.19</v>
      </c>
      <c r="AC275" t="s">
        <v>2524</v>
      </c>
      <c r="AD275">
        <v>13.29</v>
      </c>
      <c r="AE275">
        <v>13.65</v>
      </c>
      <c r="AF275" t="s">
        <v>952</v>
      </c>
      <c r="AG275">
        <v>1880</v>
      </c>
      <c r="AL275" t="s">
        <v>2522</v>
      </c>
      <c r="AN275" t="s">
        <v>2525</v>
      </c>
      <c r="AQ275">
        <v>7800</v>
      </c>
      <c r="AR275" t="s">
        <v>368</v>
      </c>
      <c r="AS275">
        <v>613594389945</v>
      </c>
      <c r="AT275" t="str">
        <f t="shared" si="118"/>
        <v>피****아①</v>
      </c>
      <c r="AU275" t="str">
        <f t="shared" si="119"/>
        <v xml:space="preserve"> 1****0</v>
      </c>
      <c r="AV275" t="str">
        <f t="shared" si="120"/>
        <v>***-****-1406</v>
      </c>
      <c r="AW275" t="str">
        <f t="shared" si="121"/>
        <v xml:space="preserve"> 서* 강*구 방*동 5****5 2* 김****님</v>
      </c>
      <c r="AY275" t="str">
        <f t="shared" si="122"/>
        <v>***-****-0388</v>
      </c>
      <c r="AZ275">
        <v>29285</v>
      </c>
      <c r="BA275">
        <v>1031931</v>
      </c>
      <c r="BB275">
        <v>12000</v>
      </c>
      <c r="BC275" t="s">
        <v>2392</v>
      </c>
      <c r="BD275" t="s">
        <v>1195</v>
      </c>
      <c r="BE275" t="str">
        <f t="shared" si="123"/>
        <v>피****아</v>
      </c>
      <c r="BF275" t="str">
        <f t="shared" si="124"/>
        <v>***-****-6097</v>
      </c>
      <c r="BG275" t="str">
        <f t="shared" si="125"/>
        <v>***-****-7488</v>
      </c>
      <c r="BH275" t="s">
        <v>453</v>
      </c>
      <c r="BI275" t="s">
        <v>454</v>
      </c>
      <c r="BJ275" t="s">
        <v>2526</v>
      </c>
      <c r="BK275" t="s">
        <v>456</v>
      </c>
      <c r="BL275">
        <v>19643</v>
      </c>
      <c r="BM275" t="str">
        <f>"19643"</f>
        <v>19643</v>
      </c>
      <c r="BN275" t="str">
        <f t="shared" si="128"/>
        <v>20180118-0000038</v>
      </c>
      <c r="BQ275" t="s">
        <v>373</v>
      </c>
      <c r="BU275">
        <v>81</v>
      </c>
      <c r="BV275" t="s">
        <v>2527</v>
      </c>
      <c r="BW275" t="s">
        <v>2522</v>
      </c>
      <c r="BX275" t="s">
        <v>191</v>
      </c>
      <c r="BY275">
        <v>0</v>
      </c>
      <c r="BZ275">
        <v>8806182545054</v>
      </c>
      <c r="CA275" t="s">
        <v>2528</v>
      </c>
      <c r="CF275" t="s">
        <v>2522</v>
      </c>
      <c r="CG275" t="s">
        <v>480</v>
      </c>
      <c r="CH275" t="s">
        <v>377</v>
      </c>
      <c r="CI275" t="s">
        <v>2521</v>
      </c>
      <c r="CJ275">
        <v>7800</v>
      </c>
      <c r="CK275">
        <v>7800</v>
      </c>
      <c r="CL275" t="s">
        <v>2529</v>
      </c>
      <c r="CN275">
        <v>1</v>
      </c>
      <c r="CO275">
        <v>15488</v>
      </c>
      <c r="CP275">
        <v>15488</v>
      </c>
      <c r="CQ275" t="s">
        <v>379</v>
      </c>
      <c r="CS275">
        <v>0</v>
      </c>
    </row>
    <row r="276" spans="1:97" x14ac:dyDescent="0.4">
      <c r="A276" s="10">
        <v>43119</v>
      </c>
      <c r="B276" t="s">
        <v>191</v>
      </c>
      <c r="C276" t="s">
        <v>976</v>
      </c>
      <c r="D276" t="s">
        <v>359</v>
      </c>
      <c r="E276" t="s">
        <v>2387</v>
      </c>
      <c r="F276" t="str">
        <f t="shared" si="127"/>
        <v>20180118-0000038</v>
      </c>
      <c r="G276">
        <v>1031892</v>
      </c>
      <c r="H276">
        <v>1</v>
      </c>
      <c r="I276" t="s">
        <v>977</v>
      </c>
      <c r="J276">
        <v>11320</v>
      </c>
      <c r="L276">
        <v>0</v>
      </c>
      <c r="M276">
        <v>1</v>
      </c>
      <c r="O276" t="s">
        <v>361</v>
      </c>
      <c r="P276" t="s">
        <v>1190</v>
      </c>
      <c r="S276" t="s">
        <v>2530</v>
      </c>
      <c r="T276" t="s">
        <v>364</v>
      </c>
      <c r="X276" t="s">
        <v>977</v>
      </c>
      <c r="AA276">
        <v>18102</v>
      </c>
      <c r="AB276">
        <v>17.690000000000001</v>
      </c>
      <c r="AC276" t="s">
        <v>979</v>
      </c>
      <c r="AD276">
        <v>19.28</v>
      </c>
      <c r="AE276">
        <v>19.809999999999999</v>
      </c>
      <c r="AF276" t="s">
        <v>980</v>
      </c>
      <c r="AG276">
        <v>3770</v>
      </c>
      <c r="AK276">
        <v>90</v>
      </c>
      <c r="AL276" t="s">
        <v>977</v>
      </c>
      <c r="AN276" t="s">
        <v>981</v>
      </c>
      <c r="AQ276">
        <v>11700</v>
      </c>
      <c r="AR276" t="s">
        <v>368</v>
      </c>
      <c r="AS276">
        <v>613594389945</v>
      </c>
      <c r="AT276" t="str">
        <f t="shared" si="118"/>
        <v>피****아①</v>
      </c>
      <c r="AU276" t="str">
        <f t="shared" si="119"/>
        <v xml:space="preserve"> 1****0</v>
      </c>
      <c r="AV276" t="str">
        <f t="shared" si="120"/>
        <v>***-****-1406</v>
      </c>
      <c r="AW276" t="str">
        <f t="shared" si="121"/>
        <v xml:space="preserve"> 서* 강*구 방*동 5****5 2* 김****님</v>
      </c>
      <c r="AY276" t="str">
        <f t="shared" si="122"/>
        <v>***-****-0388</v>
      </c>
      <c r="AZ276">
        <v>28095</v>
      </c>
      <c r="BA276">
        <v>1031929</v>
      </c>
      <c r="BB276">
        <v>16900</v>
      </c>
      <c r="BC276" t="s">
        <v>2392</v>
      </c>
      <c r="BD276" t="s">
        <v>1195</v>
      </c>
      <c r="BE276" t="str">
        <f t="shared" si="123"/>
        <v>피****아</v>
      </c>
      <c r="BF276" t="str">
        <f t="shared" si="124"/>
        <v>***-****-6097</v>
      </c>
      <c r="BG276" t="str">
        <f t="shared" si="125"/>
        <v>***-****-7488</v>
      </c>
      <c r="BH276" t="s">
        <v>453</v>
      </c>
      <c r="BI276" t="s">
        <v>454</v>
      </c>
      <c r="BJ276" t="s">
        <v>2531</v>
      </c>
      <c r="BK276" t="s">
        <v>456</v>
      </c>
      <c r="BL276">
        <v>13253</v>
      </c>
      <c r="BM276" t="str">
        <f>"13253"</f>
        <v>13253</v>
      </c>
      <c r="BN276" t="str">
        <f t="shared" si="128"/>
        <v>20180118-0000038</v>
      </c>
      <c r="BQ276" t="s">
        <v>373</v>
      </c>
      <c r="BV276" t="s">
        <v>977</v>
      </c>
      <c r="BW276" t="s">
        <v>977</v>
      </c>
      <c r="BX276" t="s">
        <v>191</v>
      </c>
      <c r="BY276">
        <v>0</v>
      </c>
      <c r="BZ276">
        <v>8806182522307</v>
      </c>
      <c r="CA276" t="s">
        <v>983</v>
      </c>
      <c r="CF276" t="s">
        <v>977</v>
      </c>
      <c r="CG276" t="s">
        <v>730</v>
      </c>
      <c r="CH276" t="s">
        <v>377</v>
      </c>
      <c r="CI276" t="s">
        <v>976</v>
      </c>
      <c r="CJ276">
        <v>11700</v>
      </c>
      <c r="CK276">
        <v>11700</v>
      </c>
      <c r="CL276" t="s">
        <v>984</v>
      </c>
      <c r="CN276">
        <v>1</v>
      </c>
      <c r="CO276">
        <v>18102</v>
      </c>
      <c r="CP276">
        <v>18102</v>
      </c>
      <c r="CQ276" t="s">
        <v>379</v>
      </c>
      <c r="CS276">
        <v>0</v>
      </c>
    </row>
    <row r="277" spans="1:97" x14ac:dyDescent="0.4">
      <c r="A277" s="10">
        <v>43119</v>
      </c>
      <c r="B277" t="s">
        <v>198</v>
      </c>
      <c r="C277" t="s">
        <v>1484</v>
      </c>
      <c r="D277" t="s">
        <v>359</v>
      </c>
      <c r="E277" t="s">
        <v>2387</v>
      </c>
      <c r="F277" t="str">
        <f t="shared" si="127"/>
        <v>20180118-0000038</v>
      </c>
      <c r="G277">
        <v>1031892</v>
      </c>
      <c r="H277">
        <v>2</v>
      </c>
      <c r="I277" t="s">
        <v>1485</v>
      </c>
      <c r="J277">
        <v>40350</v>
      </c>
      <c r="L277">
        <v>0</v>
      </c>
      <c r="M277">
        <v>1</v>
      </c>
      <c r="O277" t="s">
        <v>361</v>
      </c>
      <c r="P277" t="s">
        <v>1190</v>
      </c>
      <c r="S277" t="s">
        <v>2532</v>
      </c>
      <c r="T277" t="s">
        <v>364</v>
      </c>
      <c r="X277" t="s">
        <v>1485</v>
      </c>
      <c r="AA277">
        <v>25228</v>
      </c>
      <c r="AB277">
        <v>26.9</v>
      </c>
      <c r="AC277" t="s">
        <v>1487</v>
      </c>
      <c r="AD277">
        <v>29.33</v>
      </c>
      <c r="AE277">
        <v>30.13</v>
      </c>
      <c r="AF277" t="s">
        <v>486</v>
      </c>
      <c r="AG277">
        <v>3770</v>
      </c>
      <c r="AK277">
        <v>216</v>
      </c>
      <c r="AL277" t="s">
        <v>1485</v>
      </c>
      <c r="AQ277">
        <v>18830</v>
      </c>
      <c r="AR277" t="s">
        <v>368</v>
      </c>
      <c r="AS277">
        <v>613594389945</v>
      </c>
      <c r="AT277" t="str">
        <f t="shared" si="118"/>
        <v>피****아①</v>
      </c>
      <c r="AU277" t="str">
        <f t="shared" si="119"/>
        <v xml:space="preserve"> 1****0</v>
      </c>
      <c r="AV277" t="str">
        <f t="shared" si="120"/>
        <v>***-****-1406</v>
      </c>
      <c r="AW277" t="str">
        <f t="shared" si="121"/>
        <v xml:space="preserve"> 서* 강*구 방*동 5****5 2* 김****님</v>
      </c>
      <c r="AY277" t="str">
        <f t="shared" si="122"/>
        <v>***-****-0388</v>
      </c>
      <c r="AZ277">
        <v>22714</v>
      </c>
      <c r="BA277">
        <v>1031922</v>
      </c>
      <c r="BB277">
        <v>53800</v>
      </c>
      <c r="BC277" t="s">
        <v>2392</v>
      </c>
      <c r="BD277" t="s">
        <v>1195</v>
      </c>
      <c r="BE277" t="str">
        <f t="shared" si="123"/>
        <v>피****아</v>
      </c>
      <c r="BF277" t="str">
        <f t="shared" si="124"/>
        <v>***-****-6097</v>
      </c>
      <c r="BG277" t="str">
        <f t="shared" si="125"/>
        <v>***-****-7488</v>
      </c>
      <c r="BH277" t="s">
        <v>453</v>
      </c>
      <c r="BI277" t="s">
        <v>454</v>
      </c>
      <c r="BJ277" t="s">
        <v>2533</v>
      </c>
      <c r="BK277" t="s">
        <v>456</v>
      </c>
      <c r="BL277">
        <v>20147</v>
      </c>
      <c r="BM277" t="str">
        <f>"20147"</f>
        <v>20147</v>
      </c>
      <c r="BN277" t="str">
        <f t="shared" si="128"/>
        <v>20180118-0000038</v>
      </c>
      <c r="BQ277" t="s">
        <v>373</v>
      </c>
      <c r="BV277" t="s">
        <v>1489</v>
      </c>
      <c r="BW277" t="s">
        <v>1485</v>
      </c>
      <c r="BX277" t="s">
        <v>198</v>
      </c>
      <c r="BY277">
        <v>0</v>
      </c>
      <c r="BZ277">
        <v>8806173436538</v>
      </c>
      <c r="CA277" t="s">
        <v>1490</v>
      </c>
      <c r="CF277" t="s">
        <v>1485</v>
      </c>
      <c r="CG277" t="s">
        <v>534</v>
      </c>
      <c r="CH277" t="s">
        <v>377</v>
      </c>
      <c r="CI277" t="s">
        <v>1484</v>
      </c>
      <c r="CJ277">
        <v>18830</v>
      </c>
      <c r="CK277">
        <v>37660</v>
      </c>
      <c r="CL277" t="s">
        <v>760</v>
      </c>
      <c r="CN277">
        <v>2</v>
      </c>
      <c r="CO277">
        <v>25228</v>
      </c>
      <c r="CP277">
        <v>50456</v>
      </c>
      <c r="CQ277" t="s">
        <v>379</v>
      </c>
      <c r="CS277">
        <v>0</v>
      </c>
    </row>
    <row r="278" spans="1:97" x14ac:dyDescent="0.4">
      <c r="A278" s="10">
        <v>43119</v>
      </c>
      <c r="B278" t="s">
        <v>198</v>
      </c>
      <c r="C278" t="s">
        <v>2534</v>
      </c>
      <c r="D278" t="s">
        <v>359</v>
      </c>
      <c r="E278" t="s">
        <v>2387</v>
      </c>
      <c r="F278" t="str">
        <f t="shared" si="127"/>
        <v>20180118-0000038</v>
      </c>
      <c r="G278">
        <v>1031892</v>
      </c>
      <c r="H278">
        <v>1</v>
      </c>
      <c r="I278" t="s">
        <v>2535</v>
      </c>
      <c r="J278">
        <v>9000</v>
      </c>
      <c r="L278">
        <v>0</v>
      </c>
      <c r="M278">
        <v>1</v>
      </c>
      <c r="O278" t="s">
        <v>361</v>
      </c>
      <c r="P278" t="s">
        <v>1190</v>
      </c>
      <c r="S278" t="s">
        <v>2536</v>
      </c>
      <c r="T278" t="s">
        <v>364</v>
      </c>
      <c r="X278" t="s">
        <v>2537</v>
      </c>
      <c r="AA278">
        <v>19292</v>
      </c>
      <c r="AB278">
        <v>10.9</v>
      </c>
      <c r="AC278" t="s">
        <v>2538</v>
      </c>
      <c r="AD278">
        <v>17.79</v>
      </c>
      <c r="AE278">
        <v>18.28</v>
      </c>
      <c r="AF278" t="s">
        <v>2539</v>
      </c>
      <c r="AG278">
        <v>5380</v>
      </c>
      <c r="AL278" t="s">
        <v>2535</v>
      </c>
      <c r="AN278" t="s">
        <v>2540</v>
      </c>
      <c r="AQ278">
        <v>8400</v>
      </c>
      <c r="AR278" t="s">
        <v>368</v>
      </c>
      <c r="AS278">
        <v>613594389945</v>
      </c>
      <c r="AT278" t="str">
        <f t="shared" si="118"/>
        <v>피****아①</v>
      </c>
      <c r="AU278" t="str">
        <f t="shared" si="119"/>
        <v xml:space="preserve"> 1****0</v>
      </c>
      <c r="AV278" t="str">
        <f t="shared" si="120"/>
        <v>***-****-1406</v>
      </c>
      <c r="AW278" t="str">
        <f t="shared" si="121"/>
        <v xml:space="preserve"> 서* 강*구 방*동 5****5 2* 김****님</v>
      </c>
      <c r="AY278" t="str">
        <f t="shared" si="122"/>
        <v>***-****-0388</v>
      </c>
      <c r="AZ278">
        <v>29166</v>
      </c>
      <c r="BA278">
        <v>1031936</v>
      </c>
      <c r="BB278">
        <v>12000</v>
      </c>
      <c r="BC278" t="s">
        <v>2392</v>
      </c>
      <c r="BD278" t="s">
        <v>1195</v>
      </c>
      <c r="BE278" t="str">
        <f t="shared" si="123"/>
        <v>피****아</v>
      </c>
      <c r="BF278" t="str">
        <f t="shared" si="124"/>
        <v>***-****-6097</v>
      </c>
      <c r="BG278" t="str">
        <f t="shared" si="125"/>
        <v>***-****-7488</v>
      </c>
      <c r="BH278" t="s">
        <v>453</v>
      </c>
      <c r="BI278" t="s">
        <v>454</v>
      </c>
      <c r="BJ278" t="s">
        <v>2541</v>
      </c>
      <c r="BK278" t="s">
        <v>456</v>
      </c>
      <c r="BL278">
        <v>21251</v>
      </c>
      <c r="BM278" t="str">
        <f>"21251"</f>
        <v>21251</v>
      </c>
      <c r="BN278" t="str">
        <f t="shared" si="128"/>
        <v>20180118-0000038</v>
      </c>
      <c r="BQ278" t="s">
        <v>373</v>
      </c>
      <c r="BU278">
        <v>261</v>
      </c>
      <c r="BV278" t="s">
        <v>2542</v>
      </c>
      <c r="BW278" t="s">
        <v>2535</v>
      </c>
      <c r="BX278" t="s">
        <v>198</v>
      </c>
      <c r="BY278">
        <v>0</v>
      </c>
      <c r="BZ278">
        <v>8806173443246</v>
      </c>
      <c r="CA278" t="s">
        <v>2543</v>
      </c>
      <c r="CF278" t="s">
        <v>2537</v>
      </c>
      <c r="CG278" t="s">
        <v>1908</v>
      </c>
      <c r="CH278" t="s">
        <v>377</v>
      </c>
      <c r="CI278" t="s">
        <v>2534</v>
      </c>
      <c r="CJ278">
        <v>8400</v>
      </c>
      <c r="CK278">
        <v>8400</v>
      </c>
      <c r="CL278" t="s">
        <v>2544</v>
      </c>
      <c r="CN278">
        <v>1</v>
      </c>
      <c r="CO278">
        <v>19292</v>
      </c>
      <c r="CP278">
        <v>19292</v>
      </c>
      <c r="CQ278" t="s">
        <v>379</v>
      </c>
      <c r="CS278">
        <v>0</v>
      </c>
    </row>
    <row r="279" spans="1:97" x14ac:dyDescent="0.4">
      <c r="A279" s="10">
        <v>43119</v>
      </c>
      <c r="B279" t="s">
        <v>107</v>
      </c>
      <c r="C279" t="s">
        <v>2545</v>
      </c>
      <c r="D279" t="s">
        <v>359</v>
      </c>
      <c r="E279" t="s">
        <v>2387</v>
      </c>
      <c r="F279" t="str">
        <f>"20180118-0000048"</f>
        <v>20180118-0000048</v>
      </c>
      <c r="G279">
        <v>1031892</v>
      </c>
      <c r="H279">
        <v>1</v>
      </c>
      <c r="I279" t="s">
        <v>2546</v>
      </c>
      <c r="J279">
        <v>36000</v>
      </c>
      <c r="L279">
        <v>0</v>
      </c>
      <c r="M279">
        <v>1</v>
      </c>
      <c r="O279" t="s">
        <v>361</v>
      </c>
      <c r="P279" t="s">
        <v>1200</v>
      </c>
      <c r="S279" t="s">
        <v>2547</v>
      </c>
      <c r="T279" t="s">
        <v>364</v>
      </c>
      <c r="X279" t="s">
        <v>2546</v>
      </c>
      <c r="AA279">
        <v>50401</v>
      </c>
      <c r="AB279">
        <v>43.26</v>
      </c>
      <c r="AC279" t="s">
        <v>2548</v>
      </c>
      <c r="AD279">
        <v>47.15</v>
      </c>
      <c r="AE279">
        <v>48.45</v>
      </c>
      <c r="AF279" t="s">
        <v>486</v>
      </c>
      <c r="AG279">
        <v>3770</v>
      </c>
      <c r="AH279">
        <v>174</v>
      </c>
      <c r="AI279">
        <v>3770</v>
      </c>
      <c r="AK279">
        <v>111</v>
      </c>
      <c r="AL279" t="s">
        <v>2546</v>
      </c>
      <c r="AN279" t="s">
        <v>2549</v>
      </c>
      <c r="AQ279">
        <v>35000</v>
      </c>
      <c r="AR279" t="s">
        <v>368</v>
      </c>
      <c r="AS279">
        <v>613594389945</v>
      </c>
      <c r="AT279" t="str">
        <f t="shared" si="118"/>
        <v>피****아①</v>
      </c>
      <c r="AU279" t="str">
        <f t="shared" si="119"/>
        <v xml:space="preserve"> 1****0</v>
      </c>
      <c r="AV279" t="str">
        <f t="shared" si="120"/>
        <v>***-****-1406</v>
      </c>
      <c r="AW279" t="str">
        <f t="shared" si="121"/>
        <v xml:space="preserve"> 서* 강*구 방*동 5****5 2* 김****님</v>
      </c>
      <c r="AY279" t="str">
        <f t="shared" si="122"/>
        <v>***-****-0388</v>
      </c>
      <c r="AZ279">
        <v>28248</v>
      </c>
      <c r="BA279">
        <v>1031912</v>
      </c>
      <c r="BB279">
        <v>50000</v>
      </c>
      <c r="BC279" t="s">
        <v>2392</v>
      </c>
      <c r="BD279" t="s">
        <v>1195</v>
      </c>
      <c r="BE279" t="str">
        <f t="shared" si="123"/>
        <v>피****아</v>
      </c>
      <c r="BF279" t="str">
        <f t="shared" si="124"/>
        <v>***-****-6097</v>
      </c>
      <c r="BG279" t="str">
        <f t="shared" si="125"/>
        <v>***-****-7488</v>
      </c>
      <c r="BH279" t="s">
        <v>453</v>
      </c>
      <c r="BI279" t="s">
        <v>454</v>
      </c>
      <c r="BJ279" t="s">
        <v>2550</v>
      </c>
      <c r="BK279" t="s">
        <v>456</v>
      </c>
      <c r="BL279">
        <v>19571</v>
      </c>
      <c r="BM279" t="str">
        <f>"19571"</f>
        <v>19571</v>
      </c>
      <c r="BN279" t="str">
        <f>"20180118-0000048"</f>
        <v>20180118-0000048</v>
      </c>
      <c r="BQ279" t="s">
        <v>373</v>
      </c>
      <c r="BU279">
        <v>194</v>
      </c>
      <c r="BV279" t="s">
        <v>2551</v>
      </c>
      <c r="BW279" t="s">
        <v>2546</v>
      </c>
      <c r="BX279" t="s">
        <v>107</v>
      </c>
      <c r="BY279">
        <v>0</v>
      </c>
      <c r="BZ279">
        <v>8801042792142</v>
      </c>
      <c r="CA279" t="s">
        <v>2552</v>
      </c>
      <c r="CF279" t="s">
        <v>2546</v>
      </c>
      <c r="CG279" t="s">
        <v>376</v>
      </c>
      <c r="CH279" t="s">
        <v>377</v>
      </c>
      <c r="CI279" t="s">
        <v>2545</v>
      </c>
      <c r="CJ279">
        <v>35000</v>
      </c>
      <c r="CK279">
        <v>35000</v>
      </c>
      <c r="CL279" t="s">
        <v>631</v>
      </c>
      <c r="CN279">
        <v>1</v>
      </c>
      <c r="CO279">
        <v>50401</v>
      </c>
      <c r="CP279">
        <v>50401</v>
      </c>
      <c r="CQ279" t="s">
        <v>379</v>
      </c>
      <c r="CS279">
        <v>0</v>
      </c>
    </row>
    <row r="280" spans="1:97" x14ac:dyDescent="0.4">
      <c r="A280" s="10">
        <v>43119</v>
      </c>
      <c r="B280" t="s">
        <v>226</v>
      </c>
      <c r="C280" t="s">
        <v>851</v>
      </c>
      <c r="D280" t="s">
        <v>359</v>
      </c>
      <c r="E280" t="s">
        <v>2387</v>
      </c>
      <c r="F280" t="str">
        <f>"20180118-0000048"</f>
        <v>20180118-0000048</v>
      </c>
      <c r="G280">
        <v>1031892</v>
      </c>
      <c r="H280">
        <v>1</v>
      </c>
      <c r="I280" t="s">
        <v>852</v>
      </c>
      <c r="J280">
        <v>9880</v>
      </c>
      <c r="L280">
        <v>0</v>
      </c>
      <c r="M280">
        <v>1</v>
      </c>
      <c r="O280" t="s">
        <v>361</v>
      </c>
      <c r="P280" t="s">
        <v>1200</v>
      </c>
      <c r="S280" t="s">
        <v>2553</v>
      </c>
      <c r="T280" t="s">
        <v>364</v>
      </c>
      <c r="X280" t="s">
        <v>852</v>
      </c>
      <c r="AA280">
        <v>27131</v>
      </c>
      <c r="AB280">
        <v>20.25</v>
      </c>
      <c r="AC280" t="s">
        <v>854</v>
      </c>
      <c r="AD280">
        <v>22.07</v>
      </c>
      <c r="AE280">
        <v>22.68</v>
      </c>
      <c r="AF280" t="s">
        <v>855</v>
      </c>
      <c r="AG280">
        <v>6500</v>
      </c>
      <c r="AH280">
        <v>437</v>
      </c>
      <c r="AI280">
        <v>6500</v>
      </c>
      <c r="AK280">
        <v>368</v>
      </c>
      <c r="AL280" t="s">
        <v>852</v>
      </c>
      <c r="AQ280">
        <v>9880</v>
      </c>
      <c r="AR280" t="s">
        <v>368</v>
      </c>
      <c r="AS280">
        <v>613594389945</v>
      </c>
      <c r="AT280" t="str">
        <f t="shared" si="118"/>
        <v>피****아①</v>
      </c>
      <c r="AU280" t="str">
        <f t="shared" si="119"/>
        <v xml:space="preserve"> 1****0</v>
      </c>
      <c r="AV280" t="str">
        <f t="shared" si="120"/>
        <v>***-****-1406</v>
      </c>
      <c r="AW280" t="str">
        <f t="shared" si="121"/>
        <v xml:space="preserve"> 서* 강*구 방*동 5****5 2* 김****님</v>
      </c>
      <c r="AY280" t="str">
        <f t="shared" si="122"/>
        <v>***-****-0388</v>
      </c>
      <c r="AZ280">
        <v>4791</v>
      </c>
      <c r="BA280">
        <v>1031910</v>
      </c>
      <c r="BB280">
        <v>19000</v>
      </c>
      <c r="BC280" t="s">
        <v>2392</v>
      </c>
      <c r="BD280" t="s">
        <v>1195</v>
      </c>
      <c r="BE280" t="str">
        <f t="shared" si="123"/>
        <v>피****아</v>
      </c>
      <c r="BF280" t="str">
        <f t="shared" si="124"/>
        <v>***-****-6097</v>
      </c>
      <c r="BG280" t="str">
        <f t="shared" si="125"/>
        <v>***-****-7488</v>
      </c>
      <c r="BH280" t="s">
        <v>453</v>
      </c>
      <c r="BI280" t="s">
        <v>454</v>
      </c>
      <c r="BJ280" t="s">
        <v>2554</v>
      </c>
      <c r="BK280" t="s">
        <v>456</v>
      </c>
      <c r="BL280">
        <v>12615</v>
      </c>
      <c r="BM280" t="str">
        <f>"12615"</f>
        <v>12615</v>
      </c>
      <c r="BN280" t="str">
        <f>"20180118-0000048"</f>
        <v>20180118-0000048</v>
      </c>
      <c r="BQ280" t="s">
        <v>373</v>
      </c>
      <c r="BV280" t="s">
        <v>857</v>
      </c>
      <c r="BW280" t="s">
        <v>852</v>
      </c>
      <c r="BX280" t="s">
        <v>226</v>
      </c>
      <c r="BZ280">
        <v>8809221273703</v>
      </c>
      <c r="CA280" t="s">
        <v>858</v>
      </c>
      <c r="CF280" t="s">
        <v>852</v>
      </c>
      <c r="CG280" t="s">
        <v>859</v>
      </c>
      <c r="CH280" t="s">
        <v>377</v>
      </c>
      <c r="CI280" t="s">
        <v>851</v>
      </c>
      <c r="CJ280">
        <v>9880</v>
      </c>
      <c r="CK280">
        <v>9880</v>
      </c>
      <c r="CL280" t="s">
        <v>860</v>
      </c>
      <c r="CN280">
        <v>1</v>
      </c>
      <c r="CO280">
        <v>27131</v>
      </c>
      <c r="CP280">
        <v>27131</v>
      </c>
      <c r="CQ280" t="s">
        <v>379</v>
      </c>
      <c r="CS280">
        <v>0</v>
      </c>
    </row>
    <row r="281" spans="1:97" x14ac:dyDescent="0.4">
      <c r="A281" s="10">
        <v>43119</v>
      </c>
      <c r="B281" t="s">
        <v>187</v>
      </c>
      <c r="C281" t="s">
        <v>869</v>
      </c>
      <c r="D281" t="s">
        <v>359</v>
      </c>
      <c r="E281" t="s">
        <v>2387</v>
      </c>
      <c r="F281" t="str">
        <f>"20180118-0000048"</f>
        <v>20180118-0000048</v>
      </c>
      <c r="G281">
        <v>1031892</v>
      </c>
      <c r="H281">
        <v>1</v>
      </c>
      <c r="I281" t="s">
        <v>870</v>
      </c>
      <c r="J281">
        <v>20500</v>
      </c>
      <c r="L281">
        <v>0</v>
      </c>
      <c r="M281">
        <v>1</v>
      </c>
      <c r="O281" t="s">
        <v>361</v>
      </c>
      <c r="P281" t="s">
        <v>1200</v>
      </c>
      <c r="S281" t="s">
        <v>2555</v>
      </c>
      <c r="T281" t="s">
        <v>364</v>
      </c>
      <c r="X281" t="s">
        <v>870</v>
      </c>
      <c r="AA281">
        <v>27950</v>
      </c>
      <c r="AB281">
        <v>29.89</v>
      </c>
      <c r="AC281" t="s">
        <v>872</v>
      </c>
      <c r="AD281">
        <v>32.58</v>
      </c>
      <c r="AE281">
        <v>33.47</v>
      </c>
      <c r="AF281" t="s">
        <v>873</v>
      </c>
      <c r="AG281">
        <v>6500</v>
      </c>
      <c r="AK281">
        <v>279</v>
      </c>
      <c r="AL281" t="s">
        <v>870</v>
      </c>
      <c r="AQ281">
        <v>20000</v>
      </c>
      <c r="AR281" t="s">
        <v>368</v>
      </c>
      <c r="AS281">
        <v>613594389945</v>
      </c>
      <c r="AT281" t="str">
        <f t="shared" si="118"/>
        <v>피****아①</v>
      </c>
      <c r="AU281" t="str">
        <f t="shared" si="119"/>
        <v xml:space="preserve"> 1****0</v>
      </c>
      <c r="AV281" t="str">
        <f t="shared" si="120"/>
        <v>***-****-1406</v>
      </c>
      <c r="AW281" t="str">
        <f t="shared" si="121"/>
        <v xml:space="preserve"> 서* 강*구 방*동 5****5 2* 김****님</v>
      </c>
      <c r="AY281" t="str">
        <f t="shared" si="122"/>
        <v>***-****-0388</v>
      </c>
      <c r="AZ281">
        <v>11550</v>
      </c>
      <c r="BA281">
        <v>1031918</v>
      </c>
      <c r="BB281">
        <v>25000</v>
      </c>
      <c r="BC281" t="s">
        <v>2392</v>
      </c>
      <c r="BD281" t="s">
        <v>1195</v>
      </c>
      <c r="BE281" t="str">
        <f t="shared" si="123"/>
        <v>피****아</v>
      </c>
      <c r="BF281" t="str">
        <f t="shared" si="124"/>
        <v>***-****-6097</v>
      </c>
      <c r="BG281" t="str">
        <f t="shared" si="125"/>
        <v>***-****-7488</v>
      </c>
      <c r="BH281" t="s">
        <v>453</v>
      </c>
      <c r="BI281" t="s">
        <v>454</v>
      </c>
      <c r="BJ281" t="s">
        <v>2556</v>
      </c>
      <c r="BK281" t="s">
        <v>456</v>
      </c>
      <c r="BL281">
        <v>14329</v>
      </c>
      <c r="BM281" t="str">
        <f>"14329"</f>
        <v>14329</v>
      </c>
      <c r="BN281" t="str">
        <f>"20180118-0000048"</f>
        <v>20180118-0000048</v>
      </c>
      <c r="BQ281" t="s">
        <v>373</v>
      </c>
      <c r="BV281" t="s">
        <v>875</v>
      </c>
      <c r="BW281" t="s">
        <v>870</v>
      </c>
      <c r="BX281" t="s">
        <v>187</v>
      </c>
      <c r="BZ281">
        <v>8801051178449</v>
      </c>
      <c r="CA281" t="s">
        <v>876</v>
      </c>
      <c r="CF281" t="s">
        <v>870</v>
      </c>
      <c r="CG281" t="s">
        <v>877</v>
      </c>
      <c r="CH281" t="s">
        <v>377</v>
      </c>
      <c r="CI281" t="s">
        <v>869</v>
      </c>
      <c r="CJ281">
        <v>20000</v>
      </c>
      <c r="CK281">
        <v>20000</v>
      </c>
      <c r="CL281" t="s">
        <v>878</v>
      </c>
      <c r="CN281">
        <v>1</v>
      </c>
      <c r="CO281">
        <v>27950</v>
      </c>
      <c r="CP281">
        <v>27950</v>
      </c>
      <c r="CQ281" t="s">
        <v>379</v>
      </c>
      <c r="CS281">
        <v>0</v>
      </c>
    </row>
    <row r="282" spans="1:97" x14ac:dyDescent="0.4">
      <c r="A282" s="10">
        <v>43119</v>
      </c>
      <c r="B282" t="s">
        <v>191</v>
      </c>
      <c r="C282" t="s">
        <v>1475</v>
      </c>
      <c r="D282" t="s">
        <v>359</v>
      </c>
      <c r="E282" t="s">
        <v>2387</v>
      </c>
      <c r="F282" t="str">
        <f>"20180118-0000048"</f>
        <v>20180118-0000048</v>
      </c>
      <c r="G282">
        <v>1031892</v>
      </c>
      <c r="H282">
        <v>2</v>
      </c>
      <c r="I282" t="s">
        <v>1476</v>
      </c>
      <c r="J282">
        <v>2680</v>
      </c>
      <c r="L282">
        <v>0</v>
      </c>
      <c r="M282">
        <v>1</v>
      </c>
      <c r="O282" t="s">
        <v>361</v>
      </c>
      <c r="P282" t="s">
        <v>1200</v>
      </c>
      <c r="S282" t="s">
        <v>2557</v>
      </c>
      <c r="T282" t="s">
        <v>364</v>
      </c>
      <c r="X282" t="s">
        <v>1476</v>
      </c>
      <c r="AA282">
        <v>5724</v>
      </c>
      <c r="AB282">
        <v>3.97</v>
      </c>
      <c r="AC282" t="s">
        <v>1478</v>
      </c>
      <c r="AD282">
        <v>4.33</v>
      </c>
      <c r="AE282">
        <v>4.45</v>
      </c>
      <c r="AF282" t="s">
        <v>998</v>
      </c>
      <c r="AG282">
        <v>1880</v>
      </c>
      <c r="AK282">
        <v>6</v>
      </c>
      <c r="AL282" t="s">
        <v>1476</v>
      </c>
      <c r="AN282" t="s">
        <v>1479</v>
      </c>
      <c r="AQ282">
        <v>1300</v>
      </c>
      <c r="AR282" t="s">
        <v>368</v>
      </c>
      <c r="AS282">
        <v>613594389945</v>
      </c>
      <c r="AT282" t="str">
        <f t="shared" si="118"/>
        <v>피****아①</v>
      </c>
      <c r="AU282" t="str">
        <f t="shared" si="119"/>
        <v xml:space="preserve"> 1****0</v>
      </c>
      <c r="AV282" t="str">
        <f t="shared" si="120"/>
        <v>***-****-1406</v>
      </c>
      <c r="AW282" t="str">
        <f t="shared" si="121"/>
        <v xml:space="preserve"> 서* 강*구 방*동 5****5 2* 김****님</v>
      </c>
      <c r="AY282" t="str">
        <f t="shared" si="122"/>
        <v>***-****-0388</v>
      </c>
      <c r="AZ282">
        <v>28433</v>
      </c>
      <c r="BA282">
        <v>1031920</v>
      </c>
      <c r="BB282">
        <v>4000</v>
      </c>
      <c r="BC282" t="s">
        <v>2392</v>
      </c>
      <c r="BD282" t="s">
        <v>1195</v>
      </c>
      <c r="BE282" t="str">
        <f t="shared" si="123"/>
        <v>피****아</v>
      </c>
      <c r="BF282" t="str">
        <f t="shared" si="124"/>
        <v>***-****-6097</v>
      </c>
      <c r="BG282" t="str">
        <f t="shared" si="125"/>
        <v>***-****-7488</v>
      </c>
      <c r="BH282" t="s">
        <v>453</v>
      </c>
      <c r="BI282" t="s">
        <v>454</v>
      </c>
      <c r="BJ282" t="s">
        <v>2558</v>
      </c>
      <c r="BK282" t="s">
        <v>456</v>
      </c>
      <c r="BL282">
        <v>19333</v>
      </c>
      <c r="BM282" t="str">
        <f>"19333"</f>
        <v>19333</v>
      </c>
      <c r="BN282" t="str">
        <f>"20180118-0000048"</f>
        <v>20180118-0000048</v>
      </c>
      <c r="BQ282" t="s">
        <v>373</v>
      </c>
      <c r="BV282" t="s">
        <v>1481</v>
      </c>
      <c r="BW282" t="s">
        <v>1476</v>
      </c>
      <c r="BX282" t="s">
        <v>191</v>
      </c>
      <c r="BY282">
        <v>0</v>
      </c>
      <c r="BZ282">
        <v>8806364060023</v>
      </c>
      <c r="CA282" t="s">
        <v>1482</v>
      </c>
      <c r="CF282" t="s">
        <v>1476</v>
      </c>
      <c r="CG282" t="s">
        <v>1003</v>
      </c>
      <c r="CH282" t="s">
        <v>377</v>
      </c>
      <c r="CI282" t="s">
        <v>1475</v>
      </c>
      <c r="CJ282">
        <v>1300</v>
      </c>
      <c r="CK282">
        <v>2600</v>
      </c>
      <c r="CL282" t="s">
        <v>1483</v>
      </c>
      <c r="CN282">
        <v>2</v>
      </c>
      <c r="CO282">
        <v>5724</v>
      </c>
      <c r="CP282">
        <v>11448</v>
      </c>
      <c r="CQ282" t="s">
        <v>379</v>
      </c>
      <c r="CS282">
        <v>0</v>
      </c>
    </row>
    <row r="283" spans="1:97" x14ac:dyDescent="0.4">
      <c r="A283" s="10">
        <v>43119</v>
      </c>
      <c r="B283" t="s">
        <v>198</v>
      </c>
      <c r="C283" t="s">
        <v>2559</v>
      </c>
      <c r="D283" t="s">
        <v>359</v>
      </c>
      <c r="E283" t="s">
        <v>2387</v>
      </c>
      <c r="F283" t="str">
        <f>"20180118-0000048"</f>
        <v>20180118-0000048</v>
      </c>
      <c r="G283">
        <v>1031892</v>
      </c>
      <c r="H283">
        <v>1</v>
      </c>
      <c r="I283" t="s">
        <v>2560</v>
      </c>
      <c r="J283">
        <v>9000</v>
      </c>
      <c r="L283">
        <v>0</v>
      </c>
      <c r="M283">
        <v>1</v>
      </c>
      <c r="O283" t="s">
        <v>361</v>
      </c>
      <c r="P283" t="s">
        <v>1200</v>
      </c>
      <c r="S283" t="s">
        <v>2561</v>
      </c>
      <c r="T283" t="s">
        <v>364</v>
      </c>
      <c r="X283" t="s">
        <v>2562</v>
      </c>
      <c r="AA283">
        <v>19292</v>
      </c>
      <c r="AB283">
        <v>10.9</v>
      </c>
      <c r="AC283" t="s">
        <v>2563</v>
      </c>
      <c r="AD283">
        <v>17.79</v>
      </c>
      <c r="AE283">
        <v>18.28</v>
      </c>
      <c r="AF283" t="s">
        <v>2539</v>
      </c>
      <c r="AG283">
        <v>5380</v>
      </c>
      <c r="AL283" t="s">
        <v>2560</v>
      </c>
      <c r="AN283" t="s">
        <v>2564</v>
      </c>
      <c r="AQ283">
        <v>8400</v>
      </c>
      <c r="AR283" t="s">
        <v>368</v>
      </c>
      <c r="AS283">
        <v>613594389945</v>
      </c>
      <c r="AT283" t="str">
        <f t="shared" si="118"/>
        <v>피****아①</v>
      </c>
      <c r="AU283" t="str">
        <f t="shared" si="119"/>
        <v xml:space="preserve"> 1****0</v>
      </c>
      <c r="AV283" t="str">
        <f t="shared" si="120"/>
        <v>***-****-1406</v>
      </c>
      <c r="AW283" t="str">
        <f t="shared" si="121"/>
        <v xml:space="preserve"> 서* 강*구 방*동 5****5 2* 김****님</v>
      </c>
      <c r="AY283" t="str">
        <f t="shared" si="122"/>
        <v>***-****-0388</v>
      </c>
      <c r="AZ283">
        <v>28055</v>
      </c>
      <c r="BA283">
        <v>1031915</v>
      </c>
      <c r="BB283">
        <v>12000</v>
      </c>
      <c r="BC283" t="s">
        <v>2392</v>
      </c>
      <c r="BD283" t="s">
        <v>1195</v>
      </c>
      <c r="BE283" t="str">
        <f t="shared" si="123"/>
        <v>피****아</v>
      </c>
      <c r="BF283" t="str">
        <f t="shared" si="124"/>
        <v>***-****-6097</v>
      </c>
      <c r="BG283" t="str">
        <f t="shared" si="125"/>
        <v>***-****-7488</v>
      </c>
      <c r="BH283" t="s">
        <v>453</v>
      </c>
      <c r="BI283" t="s">
        <v>454</v>
      </c>
      <c r="BJ283" t="s">
        <v>2565</v>
      </c>
      <c r="BK283" t="s">
        <v>456</v>
      </c>
      <c r="BL283">
        <v>21251</v>
      </c>
      <c r="BM283" t="str">
        <f>"21251"</f>
        <v>21251</v>
      </c>
      <c r="BN283" t="str">
        <f>"20180118-0000048"</f>
        <v>20180118-0000048</v>
      </c>
      <c r="BQ283" t="s">
        <v>373</v>
      </c>
      <c r="BU283">
        <v>261</v>
      </c>
      <c r="BV283" t="s">
        <v>2566</v>
      </c>
      <c r="BW283" t="s">
        <v>2560</v>
      </c>
      <c r="BX283" t="s">
        <v>198</v>
      </c>
      <c r="BY283">
        <v>0</v>
      </c>
      <c r="BZ283">
        <v>8806173443253</v>
      </c>
      <c r="CA283" t="s">
        <v>2567</v>
      </c>
      <c r="CF283" t="s">
        <v>2562</v>
      </c>
      <c r="CG283" t="s">
        <v>1908</v>
      </c>
      <c r="CH283" t="s">
        <v>377</v>
      </c>
      <c r="CI283" t="s">
        <v>2559</v>
      </c>
      <c r="CJ283">
        <v>8400</v>
      </c>
      <c r="CK283">
        <v>8400</v>
      </c>
      <c r="CL283" t="s">
        <v>2568</v>
      </c>
      <c r="CN283">
        <v>1</v>
      </c>
      <c r="CO283">
        <v>19292</v>
      </c>
      <c r="CP283">
        <v>19292</v>
      </c>
      <c r="CQ283" t="s">
        <v>379</v>
      </c>
      <c r="CS283">
        <v>0</v>
      </c>
    </row>
    <row r="284" spans="1:97" x14ac:dyDescent="0.4">
      <c r="A284" s="10">
        <v>43119</v>
      </c>
      <c r="B284" t="s">
        <v>107</v>
      </c>
      <c r="C284" t="s">
        <v>792</v>
      </c>
      <c r="D284" t="s">
        <v>359</v>
      </c>
      <c r="E284" t="s">
        <v>2387</v>
      </c>
      <c r="F284" t="str">
        <f t="shared" ref="F284:F297" si="129">"20180118-0000051"</f>
        <v>20180118-0000051</v>
      </c>
      <c r="G284">
        <v>1031892</v>
      </c>
      <c r="H284">
        <v>7</v>
      </c>
      <c r="I284" t="s">
        <v>793</v>
      </c>
      <c r="J284">
        <v>191520</v>
      </c>
      <c r="L284">
        <v>0</v>
      </c>
      <c r="M284">
        <v>1</v>
      </c>
      <c r="O284" t="s">
        <v>361</v>
      </c>
      <c r="P284" t="s">
        <v>1869</v>
      </c>
      <c r="S284" t="s">
        <v>2569</v>
      </c>
      <c r="T284" t="s">
        <v>364</v>
      </c>
      <c r="X284" t="s">
        <v>795</v>
      </c>
      <c r="AA284">
        <v>38948</v>
      </c>
      <c r="AB284">
        <v>34.61</v>
      </c>
      <c r="AC284" t="s">
        <v>796</v>
      </c>
      <c r="AD284">
        <v>37.729999999999997</v>
      </c>
      <c r="AE284">
        <v>38.770000000000003</v>
      </c>
      <c r="AF284" t="s">
        <v>486</v>
      </c>
      <c r="AG284">
        <v>3360</v>
      </c>
      <c r="AL284" t="s">
        <v>793</v>
      </c>
      <c r="AQ284">
        <v>26600</v>
      </c>
      <c r="AR284" t="s">
        <v>368</v>
      </c>
      <c r="AS284">
        <v>613594389945</v>
      </c>
      <c r="AT284" t="str">
        <f t="shared" si="118"/>
        <v>피****아①</v>
      </c>
      <c r="AU284" t="str">
        <f t="shared" si="119"/>
        <v xml:space="preserve"> 1****0</v>
      </c>
      <c r="AV284" t="str">
        <f t="shared" si="120"/>
        <v>***-****-1406</v>
      </c>
      <c r="AW284" t="str">
        <f t="shared" si="121"/>
        <v xml:space="preserve"> 서* 강*구 방*동 5****5 2* 김****님</v>
      </c>
      <c r="AY284" t="str">
        <f t="shared" si="122"/>
        <v>***-****-0388</v>
      </c>
      <c r="AZ284">
        <v>28112</v>
      </c>
      <c r="BA284">
        <v>1031894</v>
      </c>
      <c r="BB284">
        <v>266000</v>
      </c>
      <c r="BC284" t="s">
        <v>2392</v>
      </c>
      <c r="BD284" t="s">
        <v>1195</v>
      </c>
      <c r="BE284" t="str">
        <f t="shared" si="123"/>
        <v>피****아</v>
      </c>
      <c r="BF284" t="str">
        <f t="shared" si="124"/>
        <v>***-****-6097</v>
      </c>
      <c r="BG284" t="str">
        <f t="shared" si="125"/>
        <v>***-****-7488</v>
      </c>
      <c r="BH284" t="s">
        <v>453</v>
      </c>
      <c r="BI284" t="s">
        <v>454</v>
      </c>
      <c r="BJ284" t="s">
        <v>2570</v>
      </c>
      <c r="BK284" t="s">
        <v>456</v>
      </c>
      <c r="BL284">
        <v>20779</v>
      </c>
      <c r="BM284" t="str">
        <f>"20779"</f>
        <v>20779</v>
      </c>
      <c r="BN284" t="str">
        <f t="shared" ref="BN284:BN297" si="130">"20180118-0000051"</f>
        <v>20180118-0000051</v>
      </c>
      <c r="BQ284" t="s">
        <v>373</v>
      </c>
      <c r="BV284" t="s">
        <v>798</v>
      </c>
      <c r="BW284" t="s">
        <v>793</v>
      </c>
      <c r="BX284" t="s">
        <v>107</v>
      </c>
      <c r="BY284">
        <v>0</v>
      </c>
      <c r="BZ284">
        <v>8806390505789</v>
      </c>
      <c r="CA284" t="s">
        <v>799</v>
      </c>
      <c r="CF284" t="s">
        <v>795</v>
      </c>
      <c r="CG284" t="s">
        <v>489</v>
      </c>
      <c r="CH284" t="s">
        <v>377</v>
      </c>
      <c r="CI284" t="s">
        <v>792</v>
      </c>
      <c r="CJ284">
        <v>26600</v>
      </c>
      <c r="CK284">
        <v>186200</v>
      </c>
      <c r="CL284" t="s">
        <v>800</v>
      </c>
      <c r="CN284">
        <v>7</v>
      </c>
      <c r="CO284">
        <v>38948</v>
      </c>
      <c r="CP284">
        <v>272636</v>
      </c>
      <c r="CQ284" t="s">
        <v>379</v>
      </c>
      <c r="CS284">
        <v>12</v>
      </c>
    </row>
    <row r="285" spans="1:97" x14ac:dyDescent="0.4">
      <c r="A285" s="10">
        <v>43119</v>
      </c>
      <c r="B285" t="s">
        <v>212</v>
      </c>
      <c r="C285" t="s">
        <v>2571</v>
      </c>
      <c r="D285" t="s">
        <v>359</v>
      </c>
      <c r="E285" t="s">
        <v>2387</v>
      </c>
      <c r="F285" t="str">
        <f t="shared" si="129"/>
        <v>20180118-0000051</v>
      </c>
      <c r="G285">
        <v>1031892</v>
      </c>
      <c r="H285">
        <v>1</v>
      </c>
      <c r="I285" t="s">
        <v>2572</v>
      </c>
      <c r="J285">
        <v>19200</v>
      </c>
      <c r="L285">
        <v>0</v>
      </c>
      <c r="M285">
        <v>1</v>
      </c>
      <c r="O285" t="s">
        <v>361</v>
      </c>
      <c r="P285" t="s">
        <v>1869</v>
      </c>
      <c r="S285" t="s">
        <v>2573</v>
      </c>
      <c r="T285" t="s">
        <v>364</v>
      </c>
      <c r="X285" t="s">
        <v>2572</v>
      </c>
      <c r="AA285">
        <v>32981</v>
      </c>
      <c r="AB285">
        <v>27.73</v>
      </c>
      <c r="AC285" t="s">
        <v>2574</v>
      </c>
      <c r="AD285">
        <v>30.23</v>
      </c>
      <c r="AE285">
        <v>31.06</v>
      </c>
      <c r="AF285" t="s">
        <v>726</v>
      </c>
      <c r="AG285">
        <v>3770</v>
      </c>
      <c r="AL285" t="s">
        <v>2572</v>
      </c>
      <c r="AN285" t="s">
        <v>2575</v>
      </c>
      <c r="AQ285">
        <v>19500</v>
      </c>
      <c r="AR285" t="s">
        <v>368</v>
      </c>
      <c r="AS285">
        <v>613594389945</v>
      </c>
      <c r="AT285" t="str">
        <f t="shared" si="118"/>
        <v>피****아①</v>
      </c>
      <c r="AU285" t="str">
        <f t="shared" si="119"/>
        <v xml:space="preserve"> 1****0</v>
      </c>
      <c r="AV285" t="str">
        <f t="shared" si="120"/>
        <v>***-****-1406</v>
      </c>
      <c r="AW285" t="str">
        <f t="shared" si="121"/>
        <v xml:space="preserve"> 서* 강*구 방*동 5****5 2* 김****님</v>
      </c>
      <c r="AY285" t="str">
        <f t="shared" si="122"/>
        <v>***-****-0388</v>
      </c>
      <c r="AZ285">
        <v>27864</v>
      </c>
      <c r="BA285">
        <v>1031909</v>
      </c>
      <c r="BB285">
        <v>30000</v>
      </c>
      <c r="BC285" t="s">
        <v>2392</v>
      </c>
      <c r="BD285" t="s">
        <v>1195</v>
      </c>
      <c r="BE285" t="str">
        <f t="shared" si="123"/>
        <v>피****아</v>
      </c>
      <c r="BF285" t="str">
        <f t="shared" si="124"/>
        <v>***-****-6097</v>
      </c>
      <c r="BG285" t="str">
        <f t="shared" si="125"/>
        <v>***-****-7488</v>
      </c>
      <c r="BH285" t="s">
        <v>453</v>
      </c>
      <c r="BI285" t="s">
        <v>454</v>
      </c>
      <c r="BJ285" t="s">
        <v>2576</v>
      </c>
      <c r="BK285" t="s">
        <v>456</v>
      </c>
      <c r="BL285">
        <v>13735</v>
      </c>
      <c r="BM285" t="str">
        <f>"13735"</f>
        <v>13735</v>
      </c>
      <c r="BN285" t="str">
        <f t="shared" si="130"/>
        <v>20180118-0000051</v>
      </c>
      <c r="BQ285" t="s">
        <v>373</v>
      </c>
      <c r="BU285">
        <v>171</v>
      </c>
      <c r="BV285" t="s">
        <v>2572</v>
      </c>
      <c r="BW285" t="s">
        <v>2572</v>
      </c>
      <c r="BX285" t="s">
        <v>212</v>
      </c>
      <c r="BZ285">
        <v>8801042689909</v>
      </c>
      <c r="CA285" t="s">
        <v>2577</v>
      </c>
      <c r="CF285" t="s">
        <v>2572</v>
      </c>
      <c r="CG285" t="s">
        <v>730</v>
      </c>
      <c r="CH285" t="s">
        <v>377</v>
      </c>
      <c r="CI285" t="s">
        <v>2571</v>
      </c>
      <c r="CJ285">
        <v>19500</v>
      </c>
      <c r="CK285">
        <v>19500</v>
      </c>
      <c r="CL285" t="s">
        <v>2307</v>
      </c>
      <c r="CN285">
        <v>1</v>
      </c>
      <c r="CO285">
        <v>32981</v>
      </c>
      <c r="CP285">
        <v>32981</v>
      </c>
      <c r="CQ285" t="s">
        <v>379</v>
      </c>
      <c r="CS285">
        <v>0</v>
      </c>
    </row>
    <row r="286" spans="1:97" x14ac:dyDescent="0.4">
      <c r="A286" s="10">
        <v>43119</v>
      </c>
      <c r="B286" t="s">
        <v>135</v>
      </c>
      <c r="C286" t="s">
        <v>2578</v>
      </c>
      <c r="D286" t="s">
        <v>359</v>
      </c>
      <c r="E286" t="s">
        <v>2387</v>
      </c>
      <c r="F286" t="str">
        <f t="shared" si="129"/>
        <v>20180118-0000051</v>
      </c>
      <c r="G286">
        <v>1031892</v>
      </c>
      <c r="H286">
        <v>1</v>
      </c>
      <c r="I286" t="s">
        <v>2579</v>
      </c>
      <c r="J286">
        <v>5590</v>
      </c>
      <c r="L286">
        <v>0</v>
      </c>
      <c r="M286">
        <v>1</v>
      </c>
      <c r="O286" t="s">
        <v>361</v>
      </c>
      <c r="P286" t="s">
        <v>1869</v>
      </c>
      <c r="S286" t="s">
        <v>2580</v>
      </c>
      <c r="T286" t="s">
        <v>364</v>
      </c>
      <c r="X286" t="s">
        <v>2579</v>
      </c>
      <c r="AA286">
        <v>15960</v>
      </c>
      <c r="AB286">
        <v>13.38</v>
      </c>
      <c r="AC286" t="s">
        <v>2581</v>
      </c>
      <c r="AD286">
        <v>14.58</v>
      </c>
      <c r="AE286">
        <v>14.98</v>
      </c>
      <c r="AF286" t="s">
        <v>441</v>
      </c>
      <c r="AG286">
        <v>6500</v>
      </c>
      <c r="AK286">
        <v>240</v>
      </c>
      <c r="AL286" t="s">
        <v>2579</v>
      </c>
      <c r="AQ286">
        <v>5390</v>
      </c>
      <c r="AR286" t="s">
        <v>368</v>
      </c>
      <c r="AS286">
        <v>613594389945</v>
      </c>
      <c r="AT286" t="str">
        <f t="shared" si="118"/>
        <v>피****아①</v>
      </c>
      <c r="AU286" t="str">
        <f t="shared" si="119"/>
        <v xml:space="preserve"> 1****0</v>
      </c>
      <c r="AV286" t="str">
        <f t="shared" si="120"/>
        <v>***-****-1406</v>
      </c>
      <c r="AW286" t="str">
        <f t="shared" si="121"/>
        <v xml:space="preserve"> 서* 강*구 방*동 5****5 2* 김****님</v>
      </c>
      <c r="AY286" t="str">
        <f t="shared" si="122"/>
        <v>***-****-0388</v>
      </c>
      <c r="AZ286">
        <v>19512</v>
      </c>
      <c r="BA286">
        <v>1031903</v>
      </c>
      <c r="BB286">
        <v>9800</v>
      </c>
      <c r="BC286" t="s">
        <v>2392</v>
      </c>
      <c r="BD286" t="s">
        <v>1195</v>
      </c>
      <c r="BE286" t="str">
        <f t="shared" si="123"/>
        <v>피****아</v>
      </c>
      <c r="BF286" t="str">
        <f t="shared" si="124"/>
        <v>***-****-6097</v>
      </c>
      <c r="BG286" t="str">
        <f t="shared" si="125"/>
        <v>***-****-7488</v>
      </c>
      <c r="BH286" t="s">
        <v>453</v>
      </c>
      <c r="BI286" t="s">
        <v>454</v>
      </c>
      <c r="BJ286" t="s">
        <v>2582</v>
      </c>
      <c r="BK286" t="s">
        <v>456</v>
      </c>
      <c r="BL286">
        <v>18771</v>
      </c>
      <c r="BM286" t="str">
        <f>"18771"</f>
        <v>18771</v>
      </c>
      <c r="BN286" t="str">
        <f t="shared" si="130"/>
        <v>20180118-0000051</v>
      </c>
      <c r="BQ286" t="s">
        <v>373</v>
      </c>
      <c r="BU286">
        <v>379</v>
      </c>
      <c r="BV286" t="s">
        <v>2583</v>
      </c>
      <c r="BW286" t="s">
        <v>2579</v>
      </c>
      <c r="BX286" t="s">
        <v>135</v>
      </c>
      <c r="BY286">
        <v>0</v>
      </c>
      <c r="BZ286">
        <v>8806358568405</v>
      </c>
      <c r="CA286" t="s">
        <v>2584</v>
      </c>
      <c r="CF286" t="s">
        <v>2579</v>
      </c>
      <c r="CG286" t="s">
        <v>1256</v>
      </c>
      <c r="CH286" t="s">
        <v>377</v>
      </c>
      <c r="CI286" t="s">
        <v>2578</v>
      </c>
      <c r="CJ286">
        <v>5390</v>
      </c>
      <c r="CK286">
        <v>5390</v>
      </c>
      <c r="CL286" t="s">
        <v>2585</v>
      </c>
      <c r="CN286">
        <v>1</v>
      </c>
      <c r="CO286">
        <v>15960</v>
      </c>
      <c r="CP286">
        <v>15960</v>
      </c>
      <c r="CQ286" t="s">
        <v>379</v>
      </c>
      <c r="CS286">
        <v>0</v>
      </c>
    </row>
    <row r="287" spans="1:97" x14ac:dyDescent="0.4">
      <c r="A287" s="10">
        <v>43119</v>
      </c>
      <c r="B287" t="s">
        <v>123</v>
      </c>
      <c r="C287" t="s">
        <v>2586</v>
      </c>
      <c r="D287" t="s">
        <v>359</v>
      </c>
      <c r="E287" t="s">
        <v>2387</v>
      </c>
      <c r="F287" t="str">
        <f t="shared" si="129"/>
        <v>20180118-0000051</v>
      </c>
      <c r="G287">
        <v>1031892</v>
      </c>
      <c r="H287">
        <v>1</v>
      </c>
      <c r="I287" t="s">
        <v>2587</v>
      </c>
      <c r="J287">
        <v>2880</v>
      </c>
      <c r="L287">
        <v>0</v>
      </c>
      <c r="M287">
        <v>1</v>
      </c>
      <c r="O287" t="s">
        <v>361</v>
      </c>
      <c r="P287" t="s">
        <v>1869</v>
      </c>
      <c r="S287" t="s">
        <v>2588</v>
      </c>
      <c r="T287" t="s">
        <v>364</v>
      </c>
      <c r="X287" t="s">
        <v>2587</v>
      </c>
      <c r="AA287">
        <v>15296</v>
      </c>
      <c r="AB287">
        <v>9.1999999999999993</v>
      </c>
      <c r="AC287" t="s">
        <v>2589</v>
      </c>
      <c r="AD287">
        <v>10.029999999999999</v>
      </c>
      <c r="AE287">
        <v>10.31</v>
      </c>
      <c r="AF287" t="s">
        <v>467</v>
      </c>
      <c r="AG287">
        <v>6500</v>
      </c>
      <c r="AK287">
        <v>284</v>
      </c>
      <c r="AL287" t="s">
        <v>2587</v>
      </c>
      <c r="AN287" t="s">
        <v>2590</v>
      </c>
      <c r="AQ287">
        <v>3060</v>
      </c>
      <c r="AR287" t="s">
        <v>368</v>
      </c>
      <c r="AS287">
        <v>613594389945</v>
      </c>
      <c r="AT287" t="str">
        <f t="shared" si="118"/>
        <v>피****아①</v>
      </c>
      <c r="AU287" t="str">
        <f t="shared" si="119"/>
        <v xml:space="preserve"> 1****0</v>
      </c>
      <c r="AV287" t="str">
        <f t="shared" si="120"/>
        <v>***-****-1406</v>
      </c>
      <c r="AW287" t="str">
        <f t="shared" si="121"/>
        <v xml:space="preserve"> 서* 강*구 방*동 5****5 2* 김****님</v>
      </c>
      <c r="AY287" t="str">
        <f t="shared" si="122"/>
        <v>***-****-0388</v>
      </c>
      <c r="AZ287">
        <v>28263</v>
      </c>
      <c r="BA287">
        <v>1031898</v>
      </c>
      <c r="BB287">
        <v>6000</v>
      </c>
      <c r="BC287" t="s">
        <v>2392</v>
      </c>
      <c r="BD287" t="s">
        <v>1195</v>
      </c>
      <c r="BE287" t="str">
        <f t="shared" si="123"/>
        <v>피****아</v>
      </c>
      <c r="BF287" t="str">
        <f t="shared" si="124"/>
        <v>***-****-6097</v>
      </c>
      <c r="BG287" t="str">
        <f t="shared" si="125"/>
        <v>***-****-7488</v>
      </c>
      <c r="BH287" t="s">
        <v>453</v>
      </c>
      <c r="BI287" t="s">
        <v>454</v>
      </c>
      <c r="BJ287" t="s">
        <v>2591</v>
      </c>
      <c r="BK287" t="s">
        <v>456</v>
      </c>
      <c r="BL287">
        <v>18351</v>
      </c>
      <c r="BM287" t="str">
        <f>"18351"</f>
        <v>18351</v>
      </c>
      <c r="BN287" t="str">
        <f t="shared" si="130"/>
        <v>20180118-0000051</v>
      </c>
      <c r="BQ287" t="s">
        <v>373</v>
      </c>
      <c r="BV287" t="s">
        <v>2592</v>
      </c>
      <c r="BW287" t="s">
        <v>2587</v>
      </c>
      <c r="BX287" t="s">
        <v>123</v>
      </c>
      <c r="BY287">
        <v>0</v>
      </c>
      <c r="BZ287">
        <v>8809454022888</v>
      </c>
      <c r="CA287" t="s">
        <v>2593</v>
      </c>
      <c r="CF287" t="s">
        <v>2587</v>
      </c>
      <c r="CH287" t="s">
        <v>377</v>
      </c>
      <c r="CI287" t="s">
        <v>2586</v>
      </c>
      <c r="CJ287">
        <v>3060</v>
      </c>
      <c r="CK287">
        <v>3060</v>
      </c>
      <c r="CL287" t="s">
        <v>1808</v>
      </c>
      <c r="CN287">
        <v>1</v>
      </c>
      <c r="CO287">
        <v>15296</v>
      </c>
      <c r="CP287">
        <v>15296</v>
      </c>
      <c r="CQ287" t="s">
        <v>379</v>
      </c>
      <c r="CS287">
        <v>0</v>
      </c>
    </row>
    <row r="288" spans="1:97" x14ac:dyDescent="0.4">
      <c r="A288" s="10">
        <v>43119</v>
      </c>
      <c r="B288" t="s">
        <v>123</v>
      </c>
      <c r="C288" t="s">
        <v>2594</v>
      </c>
      <c r="D288" t="s">
        <v>359</v>
      </c>
      <c r="E288" t="s">
        <v>2387</v>
      </c>
      <c r="F288" t="str">
        <f t="shared" si="129"/>
        <v>20180118-0000051</v>
      </c>
      <c r="G288">
        <v>1031892</v>
      </c>
      <c r="H288">
        <v>1</v>
      </c>
      <c r="I288" t="s">
        <v>2595</v>
      </c>
      <c r="J288">
        <v>2880</v>
      </c>
      <c r="L288">
        <v>0</v>
      </c>
      <c r="M288">
        <v>1</v>
      </c>
      <c r="O288" t="s">
        <v>361</v>
      </c>
      <c r="P288" t="s">
        <v>1869</v>
      </c>
      <c r="S288" t="s">
        <v>2596</v>
      </c>
      <c r="T288" t="s">
        <v>364</v>
      </c>
      <c r="X288" t="s">
        <v>2595</v>
      </c>
      <c r="AA288">
        <v>15296</v>
      </c>
      <c r="AB288">
        <v>9.1999999999999993</v>
      </c>
      <c r="AC288" t="s">
        <v>2597</v>
      </c>
      <c r="AD288">
        <v>10.029999999999999</v>
      </c>
      <c r="AE288">
        <v>10.31</v>
      </c>
      <c r="AF288" t="s">
        <v>467</v>
      </c>
      <c r="AG288">
        <v>6500</v>
      </c>
      <c r="AK288">
        <v>284</v>
      </c>
      <c r="AL288" t="s">
        <v>2595</v>
      </c>
      <c r="AN288" t="s">
        <v>2598</v>
      </c>
      <c r="AQ288">
        <v>3060</v>
      </c>
      <c r="AR288" t="s">
        <v>368</v>
      </c>
      <c r="AS288">
        <v>613594389945</v>
      </c>
      <c r="AT288" t="str">
        <f t="shared" si="118"/>
        <v>피****아①</v>
      </c>
      <c r="AU288" t="str">
        <f t="shared" si="119"/>
        <v xml:space="preserve"> 1****0</v>
      </c>
      <c r="AV288" t="str">
        <f t="shared" si="120"/>
        <v>***-****-1406</v>
      </c>
      <c r="AW288" t="str">
        <f t="shared" si="121"/>
        <v xml:space="preserve"> 서* 강*구 방*동 5****5 2* 김****님</v>
      </c>
      <c r="AY288" t="str">
        <f t="shared" si="122"/>
        <v>***-****-0388</v>
      </c>
      <c r="AZ288">
        <v>28264</v>
      </c>
      <c r="BA288">
        <v>1031899</v>
      </c>
      <c r="BB288">
        <v>6000</v>
      </c>
      <c r="BC288" t="s">
        <v>2392</v>
      </c>
      <c r="BD288" t="s">
        <v>1195</v>
      </c>
      <c r="BE288" t="str">
        <f t="shared" si="123"/>
        <v>피****아</v>
      </c>
      <c r="BF288" t="str">
        <f t="shared" si="124"/>
        <v>***-****-6097</v>
      </c>
      <c r="BG288" t="str">
        <f t="shared" si="125"/>
        <v>***-****-7488</v>
      </c>
      <c r="BH288" t="s">
        <v>453</v>
      </c>
      <c r="BI288" t="s">
        <v>454</v>
      </c>
      <c r="BJ288" t="s">
        <v>2599</v>
      </c>
      <c r="BK288" t="s">
        <v>456</v>
      </c>
      <c r="BL288">
        <v>18351</v>
      </c>
      <c r="BM288" t="str">
        <f>"18351"</f>
        <v>18351</v>
      </c>
      <c r="BN288" t="str">
        <f t="shared" si="130"/>
        <v>20180118-0000051</v>
      </c>
      <c r="BQ288" t="s">
        <v>373</v>
      </c>
      <c r="BV288" t="s">
        <v>2600</v>
      </c>
      <c r="BW288" t="s">
        <v>2595</v>
      </c>
      <c r="BX288" t="s">
        <v>123</v>
      </c>
      <c r="BY288">
        <v>0</v>
      </c>
      <c r="BZ288">
        <v>8809454022901</v>
      </c>
      <c r="CA288" t="s">
        <v>2601</v>
      </c>
      <c r="CF288" t="s">
        <v>2595</v>
      </c>
      <c r="CH288" t="s">
        <v>377</v>
      </c>
      <c r="CI288" t="s">
        <v>2594</v>
      </c>
      <c r="CJ288">
        <v>3060</v>
      </c>
      <c r="CK288">
        <v>3060</v>
      </c>
      <c r="CL288" t="s">
        <v>2602</v>
      </c>
      <c r="CN288">
        <v>1</v>
      </c>
      <c r="CO288">
        <v>15296</v>
      </c>
      <c r="CP288">
        <v>15296</v>
      </c>
      <c r="CQ288" t="s">
        <v>379</v>
      </c>
      <c r="CS288">
        <v>0</v>
      </c>
    </row>
    <row r="289" spans="1:97" x14ac:dyDescent="0.4">
      <c r="A289" s="10">
        <v>43119</v>
      </c>
      <c r="B289" t="s">
        <v>215</v>
      </c>
      <c r="C289" t="s">
        <v>2398</v>
      </c>
      <c r="D289" t="s">
        <v>359</v>
      </c>
      <c r="E289" t="s">
        <v>2387</v>
      </c>
      <c r="F289" t="str">
        <f t="shared" si="129"/>
        <v>20180118-0000051</v>
      </c>
      <c r="G289">
        <v>1031892</v>
      </c>
      <c r="H289">
        <v>1</v>
      </c>
      <c r="I289" t="s">
        <v>2399</v>
      </c>
      <c r="J289">
        <v>3100</v>
      </c>
      <c r="L289">
        <v>0</v>
      </c>
      <c r="M289">
        <v>1</v>
      </c>
      <c r="O289" t="s">
        <v>361</v>
      </c>
      <c r="P289" t="s">
        <v>1869</v>
      </c>
      <c r="S289" t="s">
        <v>2603</v>
      </c>
      <c r="T289" t="s">
        <v>364</v>
      </c>
      <c r="X289" t="s">
        <v>2399</v>
      </c>
      <c r="AA289">
        <v>11072</v>
      </c>
      <c r="AB289">
        <v>5.96</v>
      </c>
      <c r="AC289" t="s">
        <v>2401</v>
      </c>
      <c r="AD289">
        <v>6.49</v>
      </c>
      <c r="AE289">
        <v>6.67</v>
      </c>
      <c r="AF289" t="s">
        <v>826</v>
      </c>
      <c r="AG289">
        <v>1880</v>
      </c>
      <c r="AH289">
        <v>82</v>
      </c>
      <c r="AI289">
        <v>1880</v>
      </c>
      <c r="AK289">
        <v>16</v>
      </c>
      <c r="AL289" t="s">
        <v>2399</v>
      </c>
      <c r="AQ289">
        <v>2790</v>
      </c>
      <c r="AR289" t="s">
        <v>368</v>
      </c>
      <c r="AS289">
        <v>613594389945</v>
      </c>
      <c r="AT289" t="str">
        <f t="shared" si="118"/>
        <v>피****아①</v>
      </c>
      <c r="AU289" t="str">
        <f t="shared" si="119"/>
        <v xml:space="preserve"> 1****0</v>
      </c>
      <c r="AV289" t="str">
        <f t="shared" si="120"/>
        <v>***-****-1406</v>
      </c>
      <c r="AW289" t="str">
        <f t="shared" si="121"/>
        <v xml:space="preserve"> 서* 강*구 방*동 5****5 2* 김****님</v>
      </c>
      <c r="AY289" t="str">
        <f t="shared" si="122"/>
        <v>***-****-0388</v>
      </c>
      <c r="AZ289">
        <v>1134</v>
      </c>
      <c r="BA289">
        <v>1031906</v>
      </c>
      <c r="BB289">
        <v>5000</v>
      </c>
      <c r="BC289" t="s">
        <v>2392</v>
      </c>
      <c r="BD289" t="s">
        <v>1195</v>
      </c>
      <c r="BE289" t="str">
        <f t="shared" si="123"/>
        <v>피****아</v>
      </c>
      <c r="BF289" t="str">
        <f t="shared" si="124"/>
        <v>***-****-6097</v>
      </c>
      <c r="BG289" t="str">
        <f t="shared" si="125"/>
        <v>***-****-7488</v>
      </c>
      <c r="BH289" t="s">
        <v>453</v>
      </c>
      <c r="BI289" t="s">
        <v>454</v>
      </c>
      <c r="BJ289" t="s">
        <v>2604</v>
      </c>
      <c r="BK289" t="s">
        <v>456</v>
      </c>
      <c r="BL289">
        <v>11425</v>
      </c>
      <c r="BM289" t="str">
        <f>"11425"</f>
        <v>11425</v>
      </c>
      <c r="BN289" t="str">
        <f t="shared" si="130"/>
        <v>20180118-0000051</v>
      </c>
      <c r="BQ289" t="s">
        <v>373</v>
      </c>
      <c r="BV289" t="s">
        <v>2403</v>
      </c>
      <c r="BW289" t="s">
        <v>2399</v>
      </c>
      <c r="BX289" t="s">
        <v>215</v>
      </c>
      <c r="BY289">
        <v>0</v>
      </c>
      <c r="BZ289">
        <v>8806179484458</v>
      </c>
      <c r="CA289" t="s">
        <v>2404</v>
      </c>
      <c r="CF289" t="s">
        <v>2399</v>
      </c>
      <c r="CG289" t="s">
        <v>1102</v>
      </c>
      <c r="CH289" t="s">
        <v>377</v>
      </c>
      <c r="CI289" t="s">
        <v>2398</v>
      </c>
      <c r="CJ289">
        <v>2790</v>
      </c>
      <c r="CK289">
        <v>2790</v>
      </c>
      <c r="CL289" t="s">
        <v>2405</v>
      </c>
      <c r="CN289">
        <v>1</v>
      </c>
      <c r="CO289">
        <v>11072</v>
      </c>
      <c r="CP289">
        <v>11072</v>
      </c>
      <c r="CQ289" t="s">
        <v>379</v>
      </c>
      <c r="CS289">
        <v>0</v>
      </c>
    </row>
    <row r="290" spans="1:97" x14ac:dyDescent="0.4">
      <c r="A290" s="10">
        <v>43119</v>
      </c>
      <c r="B290" t="s">
        <v>97</v>
      </c>
      <c r="C290" t="s">
        <v>861</v>
      </c>
      <c r="D290" t="s">
        <v>359</v>
      </c>
      <c r="E290" t="s">
        <v>2387</v>
      </c>
      <c r="F290" t="str">
        <f t="shared" si="129"/>
        <v>20180118-0000051</v>
      </c>
      <c r="G290">
        <v>1031892</v>
      </c>
      <c r="H290">
        <v>5</v>
      </c>
      <c r="I290" t="s">
        <v>862</v>
      </c>
      <c r="J290">
        <v>756000</v>
      </c>
      <c r="L290">
        <v>0</v>
      </c>
      <c r="M290">
        <v>1</v>
      </c>
      <c r="O290" t="s">
        <v>361</v>
      </c>
      <c r="P290" t="s">
        <v>1869</v>
      </c>
      <c r="S290" t="s">
        <v>2605</v>
      </c>
      <c r="T290" t="s">
        <v>364</v>
      </c>
      <c r="X290" t="s">
        <v>862</v>
      </c>
      <c r="AA290">
        <v>196001</v>
      </c>
      <c r="AB290">
        <v>161.91999999999999</v>
      </c>
      <c r="AC290" t="s">
        <v>864</v>
      </c>
      <c r="AD290">
        <v>176.5</v>
      </c>
      <c r="AE290">
        <v>181.35</v>
      </c>
      <c r="AF290" t="s">
        <v>486</v>
      </c>
      <c r="AG290">
        <v>6500</v>
      </c>
      <c r="AH290">
        <v>273</v>
      </c>
      <c r="AI290">
        <v>6500</v>
      </c>
      <c r="AK290">
        <v>211</v>
      </c>
      <c r="AL290" t="s">
        <v>862</v>
      </c>
      <c r="AQ290">
        <v>147000</v>
      </c>
      <c r="AR290" t="s">
        <v>368</v>
      </c>
      <c r="AS290">
        <v>613594389945</v>
      </c>
      <c r="AT290" t="str">
        <f t="shared" si="118"/>
        <v>피****아①</v>
      </c>
      <c r="AU290" t="str">
        <f t="shared" si="119"/>
        <v xml:space="preserve"> 1****0</v>
      </c>
      <c r="AV290" t="str">
        <f t="shared" si="120"/>
        <v>***-****-1406</v>
      </c>
      <c r="AW290" t="str">
        <f t="shared" si="121"/>
        <v xml:space="preserve"> 서* 강*구 방*동 5****5 2* 김****님</v>
      </c>
      <c r="AY290" t="str">
        <f t="shared" si="122"/>
        <v>***-****-0388</v>
      </c>
      <c r="AZ290">
        <v>12972</v>
      </c>
      <c r="BA290">
        <v>1031892</v>
      </c>
      <c r="BB290">
        <v>1050000</v>
      </c>
      <c r="BC290" t="s">
        <v>2392</v>
      </c>
      <c r="BD290" t="s">
        <v>1195</v>
      </c>
      <c r="BE290" t="str">
        <f t="shared" si="123"/>
        <v>피****아</v>
      </c>
      <c r="BF290" t="str">
        <f t="shared" si="124"/>
        <v>***-****-6097</v>
      </c>
      <c r="BG290" t="str">
        <f t="shared" si="125"/>
        <v>***-****-7488</v>
      </c>
      <c r="BH290" t="s">
        <v>453</v>
      </c>
      <c r="BI290" t="s">
        <v>454</v>
      </c>
      <c r="BJ290" t="s">
        <v>2606</v>
      </c>
      <c r="BK290" t="s">
        <v>456</v>
      </c>
      <c r="BL290">
        <v>19386</v>
      </c>
      <c r="BM290" t="str">
        <f>"19386"</f>
        <v>19386</v>
      </c>
      <c r="BN290" t="str">
        <f t="shared" si="130"/>
        <v>20180118-0000051</v>
      </c>
      <c r="BQ290" t="s">
        <v>373</v>
      </c>
      <c r="BV290" t="s">
        <v>866</v>
      </c>
      <c r="BW290" t="s">
        <v>862</v>
      </c>
      <c r="BX290" t="s">
        <v>97</v>
      </c>
      <c r="BY290">
        <v>0</v>
      </c>
      <c r="BZ290">
        <v>8806390509176</v>
      </c>
      <c r="CA290" t="s">
        <v>867</v>
      </c>
      <c r="CF290" t="s">
        <v>862</v>
      </c>
      <c r="CG290" t="s">
        <v>638</v>
      </c>
      <c r="CH290" t="s">
        <v>377</v>
      </c>
      <c r="CI290" t="s">
        <v>861</v>
      </c>
      <c r="CJ290">
        <v>147000</v>
      </c>
      <c r="CK290">
        <v>735000</v>
      </c>
      <c r="CL290" t="s">
        <v>868</v>
      </c>
      <c r="CN290">
        <v>5</v>
      </c>
      <c r="CO290">
        <v>0</v>
      </c>
      <c r="CP290">
        <v>0</v>
      </c>
      <c r="CQ290" t="s">
        <v>379</v>
      </c>
      <c r="CS290">
        <v>36</v>
      </c>
    </row>
    <row r="291" spans="1:97" x14ac:dyDescent="0.4">
      <c r="A291" s="10">
        <v>43119</v>
      </c>
      <c r="B291" t="s">
        <v>187</v>
      </c>
      <c r="C291" t="s">
        <v>1371</v>
      </c>
      <c r="D291" t="s">
        <v>359</v>
      </c>
      <c r="E291" t="s">
        <v>2387</v>
      </c>
      <c r="F291" t="str">
        <f t="shared" si="129"/>
        <v>20180118-0000051</v>
      </c>
      <c r="G291">
        <v>1031892</v>
      </c>
      <c r="H291">
        <v>2</v>
      </c>
      <c r="I291" t="s">
        <v>1372</v>
      </c>
      <c r="J291">
        <v>21650</v>
      </c>
      <c r="L291">
        <v>0</v>
      </c>
      <c r="M291">
        <v>1</v>
      </c>
      <c r="O291" t="s">
        <v>361</v>
      </c>
      <c r="P291" t="s">
        <v>1869</v>
      </c>
      <c r="S291" t="s">
        <v>2607</v>
      </c>
      <c r="T291" t="s">
        <v>364</v>
      </c>
      <c r="X291" t="s">
        <v>1372</v>
      </c>
      <c r="AA291">
        <v>20188</v>
      </c>
      <c r="AB291">
        <v>18.2</v>
      </c>
      <c r="AC291" t="s">
        <v>1374</v>
      </c>
      <c r="AD291">
        <v>19.84</v>
      </c>
      <c r="AE291">
        <v>20.38</v>
      </c>
      <c r="AF291" t="s">
        <v>467</v>
      </c>
      <c r="AG291">
        <v>6500</v>
      </c>
      <c r="AK291">
        <v>299</v>
      </c>
      <c r="AL291" t="s">
        <v>1372</v>
      </c>
      <c r="AQ291">
        <v>10560</v>
      </c>
      <c r="AR291" t="s">
        <v>368</v>
      </c>
      <c r="AS291">
        <v>613594389945</v>
      </c>
      <c r="AT291" t="str">
        <f t="shared" si="118"/>
        <v>피****아①</v>
      </c>
      <c r="AU291" t="str">
        <f t="shared" si="119"/>
        <v xml:space="preserve"> 1****0</v>
      </c>
      <c r="AV291" t="str">
        <f t="shared" si="120"/>
        <v>***-****-1406</v>
      </c>
      <c r="AW291" t="str">
        <f t="shared" si="121"/>
        <v xml:space="preserve"> 서* 강*구 방*동 5****5 2* 김****님</v>
      </c>
      <c r="AY291" t="str">
        <f t="shared" si="122"/>
        <v>***-****-0388</v>
      </c>
      <c r="AZ291">
        <v>12721</v>
      </c>
      <c r="BA291">
        <v>1031897</v>
      </c>
      <c r="BB291">
        <v>26400</v>
      </c>
      <c r="BC291" t="s">
        <v>2392</v>
      </c>
      <c r="BD291" t="s">
        <v>1195</v>
      </c>
      <c r="BE291" t="str">
        <f t="shared" si="123"/>
        <v>피****아</v>
      </c>
      <c r="BF291" t="str">
        <f t="shared" si="124"/>
        <v>***-****-6097</v>
      </c>
      <c r="BG291" t="str">
        <f t="shared" si="125"/>
        <v>***-****-7488</v>
      </c>
      <c r="BH291" t="s">
        <v>453</v>
      </c>
      <c r="BI291" t="s">
        <v>454</v>
      </c>
      <c r="BJ291" t="s">
        <v>2608</v>
      </c>
      <c r="BK291" t="s">
        <v>456</v>
      </c>
      <c r="BL291">
        <v>14410</v>
      </c>
      <c r="BM291" t="str">
        <f>"14410"</f>
        <v>14410</v>
      </c>
      <c r="BN291" t="str">
        <f t="shared" si="130"/>
        <v>20180118-0000051</v>
      </c>
      <c r="BQ291" t="s">
        <v>373</v>
      </c>
      <c r="BV291" t="s">
        <v>1376</v>
      </c>
      <c r="BW291" t="s">
        <v>1372</v>
      </c>
      <c r="BX291" t="s">
        <v>187</v>
      </c>
      <c r="BY291">
        <v>0</v>
      </c>
      <c r="BZ291">
        <v>8801051914986</v>
      </c>
      <c r="CA291" t="s">
        <v>1377</v>
      </c>
      <c r="CF291" t="s">
        <v>1372</v>
      </c>
      <c r="CG291" t="s">
        <v>583</v>
      </c>
      <c r="CH291" t="s">
        <v>377</v>
      </c>
      <c r="CI291" t="s">
        <v>1371</v>
      </c>
      <c r="CJ291">
        <v>10560</v>
      </c>
      <c r="CK291">
        <v>21120</v>
      </c>
      <c r="CL291" t="s">
        <v>1378</v>
      </c>
      <c r="CN291">
        <v>2</v>
      </c>
      <c r="CO291">
        <v>20188</v>
      </c>
      <c r="CP291">
        <v>40376</v>
      </c>
      <c r="CQ291" t="s">
        <v>820</v>
      </c>
      <c r="CR291" t="s">
        <v>1379</v>
      </c>
      <c r="CS291">
        <v>0</v>
      </c>
    </row>
    <row r="292" spans="1:97" x14ac:dyDescent="0.4">
      <c r="A292" s="10">
        <v>43119</v>
      </c>
      <c r="B292" t="s">
        <v>187</v>
      </c>
      <c r="C292" t="s">
        <v>2609</v>
      </c>
      <c r="D292" t="s">
        <v>359</v>
      </c>
      <c r="E292" t="s">
        <v>2387</v>
      </c>
      <c r="F292" t="str">
        <f t="shared" si="129"/>
        <v>20180118-0000051</v>
      </c>
      <c r="G292">
        <v>1031892</v>
      </c>
      <c r="H292">
        <v>1</v>
      </c>
      <c r="I292" t="s">
        <v>2610</v>
      </c>
      <c r="J292">
        <v>22960</v>
      </c>
      <c r="L292">
        <v>0</v>
      </c>
      <c r="M292">
        <v>1</v>
      </c>
      <c r="O292" t="s">
        <v>361</v>
      </c>
      <c r="P292" t="s">
        <v>1869</v>
      </c>
      <c r="S292" t="s">
        <v>2611</v>
      </c>
      <c r="T292" t="s">
        <v>364</v>
      </c>
      <c r="X292" t="s">
        <v>2610</v>
      </c>
      <c r="AA292">
        <v>26838</v>
      </c>
      <c r="AB292">
        <v>30.04</v>
      </c>
      <c r="AC292" t="s">
        <v>2612</v>
      </c>
      <c r="AD292">
        <v>32.75</v>
      </c>
      <c r="AE292">
        <v>33.65</v>
      </c>
      <c r="AF292" t="s">
        <v>826</v>
      </c>
      <c r="AG292">
        <v>3770</v>
      </c>
      <c r="AL292" t="s">
        <v>2610</v>
      </c>
      <c r="AN292" t="s">
        <v>2613</v>
      </c>
      <c r="AQ292">
        <v>22400</v>
      </c>
      <c r="AR292" t="s">
        <v>368</v>
      </c>
      <c r="AS292">
        <v>613594389945</v>
      </c>
      <c r="AT292" t="str">
        <f t="shared" si="118"/>
        <v>피****아①</v>
      </c>
      <c r="AU292" t="str">
        <f t="shared" si="119"/>
        <v xml:space="preserve"> 1****0</v>
      </c>
      <c r="AV292" t="str">
        <f t="shared" si="120"/>
        <v>***-****-1406</v>
      </c>
      <c r="AW292" t="str">
        <f t="shared" si="121"/>
        <v xml:space="preserve"> 서* 강*구 방*동 5****5 2* 김****님</v>
      </c>
      <c r="AY292" t="str">
        <f t="shared" si="122"/>
        <v>***-****-0388</v>
      </c>
      <c r="AZ292">
        <v>28438</v>
      </c>
      <c r="BA292">
        <v>1031902</v>
      </c>
      <c r="BB292">
        <v>28000</v>
      </c>
      <c r="BC292" t="s">
        <v>2392</v>
      </c>
      <c r="BD292" t="s">
        <v>1195</v>
      </c>
      <c r="BE292" t="str">
        <f t="shared" si="123"/>
        <v>피****아</v>
      </c>
      <c r="BF292" t="str">
        <f t="shared" si="124"/>
        <v>***-****-6097</v>
      </c>
      <c r="BG292" t="str">
        <f t="shared" si="125"/>
        <v>***-****-7488</v>
      </c>
      <c r="BH292" t="s">
        <v>453</v>
      </c>
      <c r="BI292" t="s">
        <v>454</v>
      </c>
      <c r="BJ292" t="s">
        <v>2614</v>
      </c>
      <c r="BK292" t="s">
        <v>456</v>
      </c>
      <c r="BL292">
        <v>18988</v>
      </c>
      <c r="BM292" t="str">
        <f>"18988"</f>
        <v>18988</v>
      </c>
      <c r="BN292" t="str">
        <f t="shared" si="130"/>
        <v>20180118-0000051</v>
      </c>
      <c r="BQ292" t="s">
        <v>373</v>
      </c>
      <c r="BU292">
        <v>222</v>
      </c>
      <c r="BV292" t="s">
        <v>2615</v>
      </c>
      <c r="BW292" t="s">
        <v>2610</v>
      </c>
      <c r="BX292" t="s">
        <v>187</v>
      </c>
      <c r="BY292">
        <v>0</v>
      </c>
      <c r="BZ292">
        <v>8801051945706</v>
      </c>
      <c r="CA292" t="s">
        <v>2616</v>
      </c>
      <c r="CF292" t="s">
        <v>2610</v>
      </c>
      <c r="CG292" t="s">
        <v>376</v>
      </c>
      <c r="CH292" t="s">
        <v>377</v>
      </c>
      <c r="CI292" t="s">
        <v>2609</v>
      </c>
      <c r="CJ292">
        <v>22400</v>
      </c>
      <c r="CK292">
        <v>22400</v>
      </c>
      <c r="CL292" t="s">
        <v>2617</v>
      </c>
      <c r="CN292">
        <v>1</v>
      </c>
      <c r="CO292">
        <v>26838</v>
      </c>
      <c r="CP292">
        <v>26838</v>
      </c>
      <c r="CQ292" t="s">
        <v>379</v>
      </c>
      <c r="CS292">
        <v>0</v>
      </c>
    </row>
    <row r="293" spans="1:97" x14ac:dyDescent="0.4">
      <c r="A293" s="10">
        <v>43119</v>
      </c>
      <c r="B293" t="s">
        <v>213</v>
      </c>
      <c r="C293" t="s">
        <v>1399</v>
      </c>
      <c r="D293" t="s">
        <v>359</v>
      </c>
      <c r="E293" t="s">
        <v>2387</v>
      </c>
      <c r="F293" t="str">
        <f t="shared" si="129"/>
        <v>20180118-0000051</v>
      </c>
      <c r="G293">
        <v>1031892</v>
      </c>
      <c r="H293">
        <v>4</v>
      </c>
      <c r="I293" t="s">
        <v>1400</v>
      </c>
      <c r="J293">
        <v>38400</v>
      </c>
      <c r="L293">
        <v>0</v>
      </c>
      <c r="M293">
        <v>1</v>
      </c>
      <c r="O293" t="s">
        <v>361</v>
      </c>
      <c r="P293" t="s">
        <v>1869</v>
      </c>
      <c r="S293" t="s">
        <v>2618</v>
      </c>
      <c r="T293" t="s">
        <v>364</v>
      </c>
      <c r="X293" t="s">
        <v>1400</v>
      </c>
      <c r="AA293">
        <v>16282</v>
      </c>
      <c r="AB293">
        <v>18.12</v>
      </c>
      <c r="AC293" t="s">
        <v>1402</v>
      </c>
      <c r="AD293">
        <v>19.75</v>
      </c>
      <c r="AE293">
        <v>20.3</v>
      </c>
      <c r="AF293" t="s">
        <v>467</v>
      </c>
      <c r="AG293">
        <v>6500</v>
      </c>
      <c r="AH293">
        <v>359</v>
      </c>
      <c r="AI293">
        <v>6500</v>
      </c>
      <c r="AK293">
        <v>292</v>
      </c>
      <c r="AL293" t="s">
        <v>1400</v>
      </c>
      <c r="AQ293">
        <v>9750</v>
      </c>
      <c r="AR293" t="s">
        <v>368</v>
      </c>
      <c r="AS293">
        <v>613594389945</v>
      </c>
      <c r="AT293" t="str">
        <f t="shared" si="118"/>
        <v>피****아①</v>
      </c>
      <c r="AU293" t="str">
        <f t="shared" si="119"/>
        <v xml:space="preserve"> 1****0</v>
      </c>
      <c r="AV293" t="str">
        <f t="shared" si="120"/>
        <v>***-****-1406</v>
      </c>
      <c r="AW293" t="str">
        <f t="shared" si="121"/>
        <v xml:space="preserve"> 서* 강*구 방*동 5****5 2* 김****님</v>
      </c>
      <c r="AY293" t="str">
        <f t="shared" si="122"/>
        <v>***-****-0388</v>
      </c>
      <c r="AZ293">
        <v>9634</v>
      </c>
      <c r="BA293">
        <v>1031901</v>
      </c>
      <c r="BB293">
        <v>60000</v>
      </c>
      <c r="BC293" t="s">
        <v>2392</v>
      </c>
      <c r="BD293" t="s">
        <v>1195</v>
      </c>
      <c r="BE293" t="str">
        <f t="shared" si="123"/>
        <v>피****아</v>
      </c>
      <c r="BF293" t="str">
        <f t="shared" si="124"/>
        <v>***-****-6097</v>
      </c>
      <c r="BG293" t="str">
        <f t="shared" si="125"/>
        <v>***-****-7488</v>
      </c>
      <c r="BH293" t="s">
        <v>453</v>
      </c>
      <c r="BI293" t="s">
        <v>454</v>
      </c>
      <c r="BJ293" t="s">
        <v>2619</v>
      </c>
      <c r="BK293" t="s">
        <v>456</v>
      </c>
      <c r="BL293">
        <v>14817</v>
      </c>
      <c r="BM293" t="str">
        <f>"14817"</f>
        <v>14817</v>
      </c>
      <c r="BN293" t="str">
        <f t="shared" si="130"/>
        <v>20180118-0000051</v>
      </c>
      <c r="BQ293" t="s">
        <v>373</v>
      </c>
      <c r="BV293" t="s">
        <v>1404</v>
      </c>
      <c r="BW293" t="s">
        <v>1400</v>
      </c>
      <c r="BX293" t="s">
        <v>213</v>
      </c>
      <c r="BY293">
        <v>0</v>
      </c>
      <c r="BZ293">
        <v>8801042802919</v>
      </c>
      <c r="CA293" t="s">
        <v>1405</v>
      </c>
      <c r="CF293" t="s">
        <v>1400</v>
      </c>
      <c r="CG293" t="s">
        <v>444</v>
      </c>
      <c r="CH293" t="s">
        <v>377</v>
      </c>
      <c r="CI293" t="s">
        <v>1399</v>
      </c>
      <c r="CJ293">
        <v>9750</v>
      </c>
      <c r="CK293">
        <v>39000</v>
      </c>
      <c r="CL293" t="s">
        <v>535</v>
      </c>
      <c r="CN293">
        <v>4</v>
      </c>
      <c r="CO293">
        <v>16282</v>
      </c>
      <c r="CP293">
        <v>65128</v>
      </c>
      <c r="CQ293" t="s">
        <v>379</v>
      </c>
      <c r="CS293">
        <v>0</v>
      </c>
    </row>
    <row r="294" spans="1:97" x14ac:dyDescent="0.4">
      <c r="A294" s="10">
        <v>43119</v>
      </c>
      <c r="B294" t="s">
        <v>191</v>
      </c>
      <c r="C294" t="s">
        <v>753</v>
      </c>
      <c r="D294" t="s">
        <v>359</v>
      </c>
      <c r="E294" t="s">
        <v>2387</v>
      </c>
      <c r="F294" t="str">
        <f t="shared" si="129"/>
        <v>20180118-0000051</v>
      </c>
      <c r="G294">
        <v>1031892</v>
      </c>
      <c r="H294">
        <v>3</v>
      </c>
      <c r="I294" t="s">
        <v>754</v>
      </c>
      <c r="J294">
        <v>50250</v>
      </c>
      <c r="L294">
        <v>0</v>
      </c>
      <c r="M294">
        <v>1</v>
      </c>
      <c r="O294" t="s">
        <v>361</v>
      </c>
      <c r="P294" t="s">
        <v>1869</v>
      </c>
      <c r="S294" t="s">
        <v>2620</v>
      </c>
      <c r="T294" t="s">
        <v>364</v>
      </c>
      <c r="X294" t="s">
        <v>754</v>
      </c>
      <c r="AA294">
        <v>26026</v>
      </c>
      <c r="AB294">
        <v>23.71</v>
      </c>
      <c r="AC294" t="s">
        <v>756</v>
      </c>
      <c r="AD294">
        <v>25.84</v>
      </c>
      <c r="AE294">
        <v>26.55</v>
      </c>
      <c r="AF294" t="s">
        <v>486</v>
      </c>
      <c r="AG294">
        <v>3770</v>
      </c>
      <c r="AK294">
        <v>201</v>
      </c>
      <c r="AL294" t="s">
        <v>754</v>
      </c>
      <c r="AQ294">
        <v>16250</v>
      </c>
      <c r="AR294" t="s">
        <v>368</v>
      </c>
      <c r="AS294">
        <v>613594389945</v>
      </c>
      <c r="AT294" t="str">
        <f t="shared" si="118"/>
        <v>피****아①</v>
      </c>
      <c r="AU294" t="str">
        <f t="shared" si="119"/>
        <v xml:space="preserve"> 1****0</v>
      </c>
      <c r="AV294" t="str">
        <f t="shared" si="120"/>
        <v>***-****-1406</v>
      </c>
      <c r="AW294" t="str">
        <f t="shared" si="121"/>
        <v xml:space="preserve"> 서* 강*구 방*동 5****5 2* 김****님</v>
      </c>
      <c r="AY294" t="str">
        <f t="shared" si="122"/>
        <v>***-****-0388</v>
      </c>
      <c r="AZ294">
        <v>20871</v>
      </c>
      <c r="BA294">
        <v>1031900</v>
      </c>
      <c r="BB294">
        <v>75000</v>
      </c>
      <c r="BC294" t="s">
        <v>2392</v>
      </c>
      <c r="BD294" t="s">
        <v>1195</v>
      </c>
      <c r="BE294" t="str">
        <f t="shared" si="123"/>
        <v>피****아</v>
      </c>
      <c r="BF294" t="str">
        <f t="shared" si="124"/>
        <v>***-****-6097</v>
      </c>
      <c r="BG294" t="str">
        <f t="shared" si="125"/>
        <v>***-****-7488</v>
      </c>
      <c r="BH294" t="s">
        <v>453</v>
      </c>
      <c r="BI294" t="s">
        <v>454</v>
      </c>
      <c r="BJ294" t="s">
        <v>2621</v>
      </c>
      <c r="BK294" t="s">
        <v>456</v>
      </c>
      <c r="BL294">
        <v>19695</v>
      </c>
      <c r="BM294" t="str">
        <f>"19695"</f>
        <v>19695</v>
      </c>
      <c r="BN294" t="str">
        <f t="shared" si="130"/>
        <v>20180118-0000051</v>
      </c>
      <c r="BQ294" t="s">
        <v>373</v>
      </c>
      <c r="BU294">
        <v>247</v>
      </c>
      <c r="BV294" t="s">
        <v>758</v>
      </c>
      <c r="BW294" t="s">
        <v>754</v>
      </c>
      <c r="BX294" t="s">
        <v>191</v>
      </c>
      <c r="BY294">
        <v>0</v>
      </c>
      <c r="BZ294">
        <v>8806182529276</v>
      </c>
      <c r="CA294" t="s">
        <v>759</v>
      </c>
      <c r="CF294" t="s">
        <v>754</v>
      </c>
      <c r="CG294" t="s">
        <v>534</v>
      </c>
      <c r="CH294" t="s">
        <v>377</v>
      </c>
      <c r="CI294" t="s">
        <v>753</v>
      </c>
      <c r="CJ294">
        <v>16250</v>
      </c>
      <c r="CK294">
        <v>48750</v>
      </c>
      <c r="CL294" t="s">
        <v>760</v>
      </c>
      <c r="CN294">
        <v>3</v>
      </c>
      <c r="CO294">
        <v>26026</v>
      </c>
      <c r="CP294">
        <v>78078</v>
      </c>
      <c r="CQ294" t="s">
        <v>379</v>
      </c>
      <c r="CS294">
        <v>0</v>
      </c>
    </row>
    <row r="295" spans="1:97" x14ac:dyDescent="0.4">
      <c r="A295" s="10">
        <v>43119</v>
      </c>
      <c r="B295" t="s">
        <v>191</v>
      </c>
      <c r="C295" t="s">
        <v>2353</v>
      </c>
      <c r="D295" t="s">
        <v>359</v>
      </c>
      <c r="E295" t="s">
        <v>2387</v>
      </c>
      <c r="F295" t="str">
        <f t="shared" si="129"/>
        <v>20180118-0000051</v>
      </c>
      <c r="G295">
        <v>1031892</v>
      </c>
      <c r="H295">
        <v>15</v>
      </c>
      <c r="I295" t="s">
        <v>2354</v>
      </c>
      <c r="J295">
        <v>30150</v>
      </c>
      <c r="L295">
        <v>0</v>
      </c>
      <c r="M295">
        <v>1</v>
      </c>
      <c r="O295" t="s">
        <v>361</v>
      </c>
      <c r="P295" t="s">
        <v>1869</v>
      </c>
      <c r="S295" t="s">
        <v>2622</v>
      </c>
      <c r="T295" t="s">
        <v>364</v>
      </c>
      <c r="X295" t="s">
        <v>2354</v>
      </c>
      <c r="AA295">
        <v>6894</v>
      </c>
      <c r="AB295">
        <v>5.8</v>
      </c>
      <c r="AC295" t="s">
        <v>2356</v>
      </c>
      <c r="AD295">
        <v>6.32</v>
      </c>
      <c r="AE295">
        <v>6.5</v>
      </c>
      <c r="AF295" t="s">
        <v>2357</v>
      </c>
      <c r="AG295">
        <v>3770</v>
      </c>
      <c r="AK295">
        <v>92</v>
      </c>
      <c r="AL295" t="s">
        <v>2354</v>
      </c>
      <c r="AQ295">
        <v>1950</v>
      </c>
      <c r="AR295" t="s">
        <v>368</v>
      </c>
      <c r="AS295">
        <v>613594389945</v>
      </c>
      <c r="AT295" t="str">
        <f t="shared" si="118"/>
        <v>피****아①</v>
      </c>
      <c r="AU295" t="str">
        <f t="shared" si="119"/>
        <v xml:space="preserve"> 1****0</v>
      </c>
      <c r="AV295" t="str">
        <f t="shared" si="120"/>
        <v>***-****-1406</v>
      </c>
      <c r="AW295" t="str">
        <f t="shared" si="121"/>
        <v xml:space="preserve"> 서* 강*구 방*동 5****5 2* 김****님</v>
      </c>
      <c r="AY295" t="str">
        <f t="shared" si="122"/>
        <v>***-****-0388</v>
      </c>
      <c r="AZ295">
        <v>5408</v>
      </c>
      <c r="BA295">
        <v>1031895</v>
      </c>
      <c r="BB295">
        <v>45000</v>
      </c>
      <c r="BC295" t="s">
        <v>2392</v>
      </c>
      <c r="BD295" t="s">
        <v>1195</v>
      </c>
      <c r="BE295" t="str">
        <f t="shared" si="123"/>
        <v>피****아</v>
      </c>
      <c r="BF295" t="str">
        <f t="shared" si="124"/>
        <v>***-****-6097</v>
      </c>
      <c r="BG295" t="str">
        <f t="shared" si="125"/>
        <v>***-****-7488</v>
      </c>
      <c r="BH295" t="s">
        <v>453</v>
      </c>
      <c r="BI295" t="s">
        <v>454</v>
      </c>
      <c r="BJ295" t="s">
        <v>2623</v>
      </c>
      <c r="BK295" t="s">
        <v>456</v>
      </c>
      <c r="BL295">
        <v>12837</v>
      </c>
      <c r="BM295" t="str">
        <f>"12837"</f>
        <v>12837</v>
      </c>
      <c r="BN295" t="str">
        <f t="shared" si="130"/>
        <v>20180118-0000051</v>
      </c>
      <c r="BQ295" t="s">
        <v>373</v>
      </c>
      <c r="BV295" t="s">
        <v>2359</v>
      </c>
      <c r="BW295" t="s">
        <v>2354</v>
      </c>
      <c r="BX295" t="s">
        <v>191</v>
      </c>
      <c r="BY295">
        <v>0</v>
      </c>
      <c r="BZ295">
        <v>8806364007219</v>
      </c>
      <c r="CA295" t="s">
        <v>2360</v>
      </c>
      <c r="CF295" t="s">
        <v>2354</v>
      </c>
      <c r="CG295" t="s">
        <v>2361</v>
      </c>
      <c r="CH295" t="s">
        <v>377</v>
      </c>
      <c r="CI295" t="s">
        <v>2353</v>
      </c>
      <c r="CJ295">
        <v>1950</v>
      </c>
      <c r="CK295">
        <v>29250</v>
      </c>
      <c r="CL295" t="s">
        <v>2362</v>
      </c>
      <c r="CN295">
        <v>15</v>
      </c>
      <c r="CO295">
        <v>6894</v>
      </c>
      <c r="CP295">
        <v>103410</v>
      </c>
      <c r="CQ295" t="s">
        <v>379</v>
      </c>
      <c r="CS295">
        <v>0</v>
      </c>
    </row>
    <row r="296" spans="1:97" x14ac:dyDescent="0.4">
      <c r="A296" s="10">
        <v>43119</v>
      </c>
      <c r="B296" t="s">
        <v>191</v>
      </c>
      <c r="C296" t="s">
        <v>994</v>
      </c>
      <c r="D296" t="s">
        <v>359</v>
      </c>
      <c r="E296" t="s">
        <v>2387</v>
      </c>
      <c r="F296" t="str">
        <f t="shared" si="129"/>
        <v>20180118-0000051</v>
      </c>
      <c r="G296">
        <v>1031892</v>
      </c>
      <c r="H296">
        <v>1</v>
      </c>
      <c r="I296" t="s">
        <v>995</v>
      </c>
      <c r="J296">
        <v>1340</v>
      </c>
      <c r="L296">
        <v>0</v>
      </c>
      <c r="M296">
        <v>1</v>
      </c>
      <c r="O296" t="s">
        <v>361</v>
      </c>
      <c r="P296" t="s">
        <v>1869</v>
      </c>
      <c r="S296" t="s">
        <v>2624</v>
      </c>
      <c r="T296" t="s">
        <v>364</v>
      </c>
      <c r="X296" t="s">
        <v>995</v>
      </c>
      <c r="AA296">
        <v>5724</v>
      </c>
      <c r="AB296">
        <v>3.97</v>
      </c>
      <c r="AC296" t="s">
        <v>997</v>
      </c>
      <c r="AD296">
        <v>4.33</v>
      </c>
      <c r="AE296">
        <v>4.45</v>
      </c>
      <c r="AF296" t="s">
        <v>998</v>
      </c>
      <c r="AG296">
        <v>1880</v>
      </c>
      <c r="AK296">
        <v>6</v>
      </c>
      <c r="AL296" t="s">
        <v>995</v>
      </c>
      <c r="AN296" t="s">
        <v>999</v>
      </c>
      <c r="AQ296">
        <v>1300</v>
      </c>
      <c r="AR296" t="s">
        <v>368</v>
      </c>
      <c r="AS296">
        <v>613594389945</v>
      </c>
      <c r="AT296" t="str">
        <f t="shared" si="118"/>
        <v>피****아①</v>
      </c>
      <c r="AU296" t="str">
        <f t="shared" si="119"/>
        <v xml:space="preserve"> 1****0</v>
      </c>
      <c r="AV296" t="str">
        <f t="shared" si="120"/>
        <v>***-****-1406</v>
      </c>
      <c r="AW296" t="str">
        <f t="shared" si="121"/>
        <v xml:space="preserve"> 서* 강*구 방*동 5****5 2* 김****님</v>
      </c>
      <c r="AY296" t="str">
        <f t="shared" si="122"/>
        <v>***-****-0388</v>
      </c>
      <c r="AZ296">
        <v>28000</v>
      </c>
      <c r="BA296">
        <v>1031908</v>
      </c>
      <c r="BB296">
        <v>2000</v>
      </c>
      <c r="BC296" t="s">
        <v>2392</v>
      </c>
      <c r="BD296" t="s">
        <v>1195</v>
      </c>
      <c r="BE296" t="str">
        <f t="shared" si="123"/>
        <v>피****아</v>
      </c>
      <c r="BF296" t="str">
        <f t="shared" si="124"/>
        <v>***-****-6097</v>
      </c>
      <c r="BG296" t="str">
        <f t="shared" si="125"/>
        <v>***-****-7488</v>
      </c>
      <c r="BH296" t="s">
        <v>453</v>
      </c>
      <c r="BI296" t="s">
        <v>454</v>
      </c>
      <c r="BJ296" t="s">
        <v>2625</v>
      </c>
      <c r="BK296" t="s">
        <v>456</v>
      </c>
      <c r="BL296">
        <v>19333</v>
      </c>
      <c r="BM296" t="str">
        <f>"19333"</f>
        <v>19333</v>
      </c>
      <c r="BN296" t="str">
        <f t="shared" si="130"/>
        <v>20180118-0000051</v>
      </c>
      <c r="BQ296" t="s">
        <v>373</v>
      </c>
      <c r="BV296" t="s">
        <v>1001</v>
      </c>
      <c r="BW296" t="s">
        <v>995</v>
      </c>
      <c r="BX296" t="s">
        <v>191</v>
      </c>
      <c r="BY296">
        <v>0</v>
      </c>
      <c r="BZ296">
        <v>8806364060030</v>
      </c>
      <c r="CA296" t="s">
        <v>1002</v>
      </c>
      <c r="CF296" t="s">
        <v>995</v>
      </c>
      <c r="CG296" t="s">
        <v>1003</v>
      </c>
      <c r="CH296" t="s">
        <v>377</v>
      </c>
      <c r="CI296" t="s">
        <v>994</v>
      </c>
      <c r="CJ296">
        <v>1300</v>
      </c>
      <c r="CK296">
        <v>1300</v>
      </c>
      <c r="CL296" t="s">
        <v>1004</v>
      </c>
      <c r="CN296">
        <v>1</v>
      </c>
      <c r="CO296">
        <v>5724</v>
      </c>
      <c r="CP296">
        <v>5724</v>
      </c>
      <c r="CQ296" t="s">
        <v>379</v>
      </c>
      <c r="CS296">
        <v>0</v>
      </c>
    </row>
    <row r="297" spans="1:97" x14ac:dyDescent="0.4">
      <c r="A297" s="10">
        <v>43119</v>
      </c>
      <c r="B297" t="s">
        <v>146</v>
      </c>
      <c r="C297" t="s">
        <v>2626</v>
      </c>
      <c r="D297" t="s">
        <v>359</v>
      </c>
      <c r="E297" t="s">
        <v>2387</v>
      </c>
      <c r="F297" t="str">
        <f t="shared" si="129"/>
        <v>20180118-0000051</v>
      </c>
      <c r="G297">
        <v>1031892</v>
      </c>
      <c r="H297">
        <v>4</v>
      </c>
      <c r="I297" t="s">
        <v>2627</v>
      </c>
      <c r="J297">
        <v>40280</v>
      </c>
      <c r="L297">
        <v>0</v>
      </c>
      <c r="M297">
        <v>1</v>
      </c>
      <c r="O297" t="s">
        <v>361</v>
      </c>
      <c r="P297" t="s">
        <v>1869</v>
      </c>
      <c r="S297" t="s">
        <v>2628</v>
      </c>
      <c r="T297" t="s">
        <v>364</v>
      </c>
      <c r="X297" t="s">
        <v>2627</v>
      </c>
      <c r="AA297">
        <v>27720</v>
      </c>
      <c r="AB297">
        <v>18.059999999999999</v>
      </c>
      <c r="AC297" t="s">
        <v>2629</v>
      </c>
      <c r="AD297">
        <v>19.690000000000001</v>
      </c>
      <c r="AE297">
        <v>20.23</v>
      </c>
      <c r="AF297" t="s">
        <v>2630</v>
      </c>
      <c r="AG297">
        <v>6500</v>
      </c>
      <c r="AK297">
        <v>274</v>
      </c>
      <c r="AL297" t="s">
        <v>2627</v>
      </c>
      <c r="AQ297">
        <v>10450</v>
      </c>
      <c r="AR297" t="s">
        <v>368</v>
      </c>
      <c r="AS297">
        <v>613594389945</v>
      </c>
      <c r="AT297" t="str">
        <f t="shared" si="118"/>
        <v>피****아①</v>
      </c>
      <c r="AU297" t="str">
        <f t="shared" si="119"/>
        <v xml:space="preserve"> 1****0</v>
      </c>
      <c r="AV297" t="str">
        <f t="shared" si="120"/>
        <v>***-****-1406</v>
      </c>
      <c r="AW297" t="str">
        <f t="shared" si="121"/>
        <v xml:space="preserve"> 서* 강*구 방*동 5****5 2* 김****님</v>
      </c>
      <c r="AY297" t="str">
        <f t="shared" si="122"/>
        <v>***-****-0388</v>
      </c>
      <c r="AZ297">
        <v>16254</v>
      </c>
      <c r="BA297">
        <v>1031905</v>
      </c>
      <c r="BB297">
        <v>76000</v>
      </c>
      <c r="BC297" t="s">
        <v>2392</v>
      </c>
      <c r="BD297" t="s">
        <v>1195</v>
      </c>
      <c r="BE297" t="str">
        <f t="shared" si="123"/>
        <v>피****아</v>
      </c>
      <c r="BF297" t="str">
        <f t="shared" si="124"/>
        <v>***-****-6097</v>
      </c>
      <c r="BG297" t="str">
        <f t="shared" si="125"/>
        <v>***-****-7488</v>
      </c>
      <c r="BH297" t="s">
        <v>453</v>
      </c>
      <c r="BI297" t="s">
        <v>454</v>
      </c>
      <c r="BJ297" t="s">
        <v>2631</v>
      </c>
      <c r="BK297" t="s">
        <v>456</v>
      </c>
      <c r="BL297">
        <v>16665</v>
      </c>
      <c r="BM297" t="str">
        <f>"16665"</f>
        <v>16665</v>
      </c>
      <c r="BN297" t="str">
        <f t="shared" si="130"/>
        <v>20180118-0000051</v>
      </c>
      <c r="BQ297" t="s">
        <v>373</v>
      </c>
      <c r="BV297" t="s">
        <v>2632</v>
      </c>
      <c r="BW297" t="s">
        <v>2627</v>
      </c>
      <c r="BX297" t="s">
        <v>146</v>
      </c>
      <c r="BY297">
        <v>0</v>
      </c>
      <c r="BZ297">
        <v>8806164128169</v>
      </c>
      <c r="CA297" t="s">
        <v>2633</v>
      </c>
      <c r="CF297" t="s">
        <v>2627</v>
      </c>
      <c r="CG297" t="s">
        <v>2461</v>
      </c>
      <c r="CH297" t="s">
        <v>377</v>
      </c>
      <c r="CI297" t="s">
        <v>2626</v>
      </c>
      <c r="CJ297">
        <v>10450</v>
      </c>
      <c r="CK297">
        <v>41800</v>
      </c>
      <c r="CL297" t="s">
        <v>2634</v>
      </c>
      <c r="CN297">
        <v>4</v>
      </c>
      <c r="CO297">
        <v>27720</v>
      </c>
      <c r="CP297">
        <v>110880</v>
      </c>
      <c r="CQ297" t="s">
        <v>379</v>
      </c>
      <c r="CS297">
        <v>0</v>
      </c>
    </row>
    <row r="298" spans="1:97" x14ac:dyDescent="0.4">
      <c r="A298" s="10">
        <v>43119</v>
      </c>
      <c r="B298" t="s">
        <v>117</v>
      </c>
      <c r="C298" t="s">
        <v>2635</v>
      </c>
      <c r="D298" t="s">
        <v>359</v>
      </c>
      <c r="E298" t="s">
        <v>2636</v>
      </c>
      <c r="F298" t="str">
        <f t="shared" ref="F298:F304" si="131">"20180118-0000063"</f>
        <v>20180118-0000063</v>
      </c>
      <c r="G298">
        <v>1031880</v>
      </c>
      <c r="H298">
        <v>1</v>
      </c>
      <c r="I298" t="s">
        <v>2637</v>
      </c>
      <c r="J298">
        <v>9000</v>
      </c>
      <c r="L298">
        <v>0</v>
      </c>
      <c r="M298">
        <v>1</v>
      </c>
      <c r="O298" t="s">
        <v>361</v>
      </c>
      <c r="P298" t="s">
        <v>2376</v>
      </c>
      <c r="S298" t="s">
        <v>2638</v>
      </c>
      <c r="T298" t="s">
        <v>364</v>
      </c>
      <c r="X298" t="s">
        <v>2639</v>
      </c>
      <c r="Y298" t="s">
        <v>2378</v>
      </c>
      <c r="AA298">
        <v>14392</v>
      </c>
      <c r="AB298">
        <v>12.32</v>
      </c>
      <c r="AC298" t="s">
        <v>2640</v>
      </c>
      <c r="AD298">
        <v>13.43</v>
      </c>
      <c r="AE298">
        <v>13.8</v>
      </c>
      <c r="AF298" t="s">
        <v>476</v>
      </c>
      <c r="AG298">
        <v>1880</v>
      </c>
      <c r="AK298">
        <v>20</v>
      </c>
      <c r="AL298" t="s">
        <v>2637</v>
      </c>
      <c r="AN298" t="s">
        <v>2641</v>
      </c>
      <c r="AQ298">
        <v>7560</v>
      </c>
      <c r="AR298" t="s">
        <v>368</v>
      </c>
      <c r="AS298">
        <v>613594389956</v>
      </c>
      <c r="AT298" t="str">
        <f t="shared" ref="AT298:AT304" si="132">"강*현①"</f>
        <v>강*현①</v>
      </c>
      <c r="AU298" t="str">
        <f t="shared" ref="AU298:AU304" si="133">" 1***1"</f>
        <v xml:space="preserve"> 1***1</v>
      </c>
      <c r="AV298" t="str">
        <f t="shared" ref="AV298:AV304" si="134">"***-****-0441"</f>
        <v>***-****-0441</v>
      </c>
      <c r="AW298" t="str">
        <f t="shared" ref="AW298:AW304" si="135">" 경* 파*시 송*로 1* (***) 팜*****트 1**동 4**호"</f>
        <v xml:space="preserve"> 경* 파*시 송*로 1* (***) 팜*****트 1**동 4**호</v>
      </c>
      <c r="AY298" t="str">
        <f t="shared" ref="AY298:AY304" si="136">"***-****-0444"</f>
        <v>***-****-0444</v>
      </c>
      <c r="AZ298">
        <v>29286</v>
      </c>
      <c r="BA298">
        <v>1031889</v>
      </c>
      <c r="BB298">
        <v>12000</v>
      </c>
      <c r="BC298" t="s">
        <v>2642</v>
      </c>
      <c r="BD298" t="s">
        <v>1195</v>
      </c>
      <c r="BE298" t="str">
        <f t="shared" ref="BE298:BE304" si="137">"강*현"</f>
        <v>강*현</v>
      </c>
      <c r="BF298" t="str">
        <f t="shared" ref="BF298:BF304" si="138">"***-****-0441"</f>
        <v>***-****-0441</v>
      </c>
      <c r="BG298" t="str">
        <f t="shared" ref="BG298:BG304" si="139">"***-****-0444"</f>
        <v>***-****-0444</v>
      </c>
      <c r="BH298" t="s">
        <v>453</v>
      </c>
      <c r="BI298" t="s">
        <v>454</v>
      </c>
      <c r="BJ298" t="s">
        <v>2643</v>
      </c>
      <c r="BK298" t="s">
        <v>456</v>
      </c>
      <c r="BL298">
        <v>18594</v>
      </c>
      <c r="BM298" t="str">
        <f>"18594"</f>
        <v>18594</v>
      </c>
      <c r="BN298" t="str">
        <f t="shared" ref="BN298:BN304" si="140">"20180118-0000063"</f>
        <v>20180118-0000063</v>
      </c>
      <c r="BQ298" t="s">
        <v>373</v>
      </c>
      <c r="BU298">
        <v>37</v>
      </c>
      <c r="BV298" t="s">
        <v>2644</v>
      </c>
      <c r="BW298" t="s">
        <v>2637</v>
      </c>
      <c r="BX298" t="s">
        <v>117</v>
      </c>
      <c r="BY298">
        <v>0</v>
      </c>
      <c r="BZ298">
        <v>8806173537662</v>
      </c>
      <c r="CA298" t="s">
        <v>2645</v>
      </c>
      <c r="CF298" t="s">
        <v>2639</v>
      </c>
      <c r="CG298" t="s">
        <v>480</v>
      </c>
      <c r="CH298" t="s">
        <v>377</v>
      </c>
      <c r="CI298" t="s">
        <v>2635</v>
      </c>
      <c r="CJ298">
        <v>7560</v>
      </c>
      <c r="CK298">
        <v>7560</v>
      </c>
      <c r="CL298" t="s">
        <v>2646</v>
      </c>
      <c r="CN298">
        <v>1</v>
      </c>
      <c r="CO298">
        <v>14392</v>
      </c>
      <c r="CP298">
        <v>14392</v>
      </c>
      <c r="CQ298" t="s">
        <v>379</v>
      </c>
      <c r="CS298">
        <v>0</v>
      </c>
    </row>
    <row r="299" spans="1:97" x14ac:dyDescent="0.4">
      <c r="A299" s="10">
        <v>43119</v>
      </c>
      <c r="B299" t="s">
        <v>226</v>
      </c>
      <c r="C299" t="s">
        <v>2647</v>
      </c>
      <c r="D299" t="s">
        <v>359</v>
      </c>
      <c r="E299" t="s">
        <v>2636</v>
      </c>
      <c r="F299" t="str">
        <f t="shared" si="131"/>
        <v>20180118-0000063</v>
      </c>
      <c r="G299">
        <v>1031880</v>
      </c>
      <c r="H299">
        <v>1</v>
      </c>
      <c r="I299" t="s">
        <v>2648</v>
      </c>
      <c r="J299">
        <v>6230</v>
      </c>
      <c r="L299">
        <v>0</v>
      </c>
      <c r="M299">
        <v>1</v>
      </c>
      <c r="O299" t="s">
        <v>361</v>
      </c>
      <c r="P299" t="s">
        <v>2376</v>
      </c>
      <c r="S299" t="s">
        <v>2649</v>
      </c>
      <c r="T299" t="s">
        <v>364</v>
      </c>
      <c r="X299" t="s">
        <v>2648</v>
      </c>
      <c r="Y299" t="s">
        <v>2378</v>
      </c>
      <c r="AA299">
        <v>13437</v>
      </c>
      <c r="AB299">
        <v>9.76</v>
      </c>
      <c r="AC299" t="s">
        <v>2650</v>
      </c>
      <c r="AD299">
        <v>10.64</v>
      </c>
      <c r="AE299">
        <v>10.93</v>
      </c>
      <c r="AF299" t="s">
        <v>777</v>
      </c>
      <c r="AG299">
        <v>3770</v>
      </c>
      <c r="AK299">
        <v>63</v>
      </c>
      <c r="AL299" t="s">
        <v>2648</v>
      </c>
      <c r="AN299" t="s">
        <v>2651</v>
      </c>
      <c r="AQ299">
        <v>4628</v>
      </c>
      <c r="AR299" t="s">
        <v>368</v>
      </c>
      <c r="AS299">
        <v>613594389956</v>
      </c>
      <c r="AT299" t="str">
        <f t="shared" si="132"/>
        <v>강*현①</v>
      </c>
      <c r="AU299" t="str">
        <f t="shared" si="133"/>
        <v xml:space="preserve"> 1***1</v>
      </c>
      <c r="AV299" t="str">
        <f t="shared" si="134"/>
        <v>***-****-0441</v>
      </c>
      <c r="AW299" t="str">
        <f t="shared" si="135"/>
        <v xml:space="preserve"> 경* 파*시 송*로 1* (***) 팜*****트 1**동 4**호</v>
      </c>
      <c r="AY299" t="str">
        <f t="shared" si="136"/>
        <v>***-****-0444</v>
      </c>
      <c r="AZ299">
        <v>28080</v>
      </c>
      <c r="BA299">
        <v>1031890</v>
      </c>
      <c r="BB299">
        <v>8900</v>
      </c>
      <c r="BC299" t="s">
        <v>2642</v>
      </c>
      <c r="BD299" t="s">
        <v>1195</v>
      </c>
      <c r="BE299" t="str">
        <f t="shared" si="137"/>
        <v>강*현</v>
      </c>
      <c r="BF299" t="str">
        <f t="shared" si="138"/>
        <v>***-****-0441</v>
      </c>
      <c r="BG299" t="str">
        <f t="shared" si="139"/>
        <v>***-****-0444</v>
      </c>
      <c r="BH299" t="s">
        <v>453</v>
      </c>
      <c r="BI299" t="s">
        <v>454</v>
      </c>
      <c r="BJ299" t="s">
        <v>2652</v>
      </c>
      <c r="BK299" t="s">
        <v>456</v>
      </c>
      <c r="BL299">
        <v>20238</v>
      </c>
      <c r="BM299" t="str">
        <f>"20238"</f>
        <v>20238</v>
      </c>
      <c r="BN299" t="str">
        <f t="shared" si="140"/>
        <v>20180118-0000063</v>
      </c>
      <c r="BQ299" t="s">
        <v>373</v>
      </c>
      <c r="BU299">
        <v>223</v>
      </c>
      <c r="BV299" t="s">
        <v>2653</v>
      </c>
      <c r="BW299" t="s">
        <v>2648</v>
      </c>
      <c r="BX299" t="s">
        <v>226</v>
      </c>
      <c r="BY299">
        <v>0</v>
      </c>
      <c r="BZ299">
        <v>8809511273703</v>
      </c>
      <c r="CA299" t="s">
        <v>2654</v>
      </c>
      <c r="CF299" t="s">
        <v>2648</v>
      </c>
      <c r="CG299" t="s">
        <v>376</v>
      </c>
      <c r="CH299" t="s">
        <v>377</v>
      </c>
      <c r="CI299" t="s">
        <v>2647</v>
      </c>
      <c r="CJ299">
        <v>4628</v>
      </c>
      <c r="CK299">
        <v>4628</v>
      </c>
      <c r="CL299" t="s">
        <v>2655</v>
      </c>
      <c r="CN299">
        <v>1</v>
      </c>
      <c r="CO299">
        <v>13437</v>
      </c>
      <c r="CP299">
        <v>13437</v>
      </c>
      <c r="CQ299" t="s">
        <v>379</v>
      </c>
      <c r="CS299">
        <v>0</v>
      </c>
    </row>
    <row r="300" spans="1:97" x14ac:dyDescent="0.4">
      <c r="A300" s="10">
        <v>43119</v>
      </c>
      <c r="B300" t="s">
        <v>226</v>
      </c>
      <c r="C300" t="s">
        <v>2656</v>
      </c>
      <c r="D300" t="s">
        <v>359</v>
      </c>
      <c r="E300" t="s">
        <v>2636</v>
      </c>
      <c r="F300" t="str">
        <f t="shared" si="131"/>
        <v>20180118-0000063</v>
      </c>
      <c r="G300">
        <v>1031880</v>
      </c>
      <c r="H300">
        <v>1</v>
      </c>
      <c r="I300" t="s">
        <v>2657</v>
      </c>
      <c r="J300">
        <v>8400</v>
      </c>
      <c r="L300">
        <v>0</v>
      </c>
      <c r="M300">
        <v>1</v>
      </c>
      <c r="O300" t="s">
        <v>361</v>
      </c>
      <c r="P300" t="s">
        <v>2376</v>
      </c>
      <c r="S300" t="s">
        <v>2658</v>
      </c>
      <c r="T300" t="s">
        <v>364</v>
      </c>
      <c r="X300" t="s">
        <v>2657</v>
      </c>
      <c r="Y300" t="s">
        <v>2378</v>
      </c>
      <c r="AA300">
        <v>18172</v>
      </c>
      <c r="AB300">
        <v>13.44</v>
      </c>
      <c r="AC300" t="s">
        <v>2659</v>
      </c>
      <c r="AD300">
        <v>14.65</v>
      </c>
      <c r="AE300">
        <v>15.06</v>
      </c>
      <c r="AF300" t="s">
        <v>873</v>
      </c>
      <c r="AG300">
        <v>6500</v>
      </c>
      <c r="AK300">
        <v>285</v>
      </c>
      <c r="AL300" t="s">
        <v>2657</v>
      </c>
      <c r="AQ300">
        <v>6240</v>
      </c>
      <c r="AR300" t="s">
        <v>368</v>
      </c>
      <c r="AS300">
        <v>613594389956</v>
      </c>
      <c r="AT300" t="str">
        <f t="shared" si="132"/>
        <v>강*현①</v>
      </c>
      <c r="AU300" t="str">
        <f t="shared" si="133"/>
        <v xml:space="preserve"> 1***1</v>
      </c>
      <c r="AV300" t="str">
        <f t="shared" si="134"/>
        <v>***-****-0441</v>
      </c>
      <c r="AW300" t="str">
        <f t="shared" si="135"/>
        <v xml:space="preserve"> 경* 파*시 송*로 1* (***) 팜*****트 1**동 4**호</v>
      </c>
      <c r="AY300" t="str">
        <f t="shared" si="136"/>
        <v>***-****-0444</v>
      </c>
      <c r="AZ300">
        <v>18987</v>
      </c>
      <c r="BA300">
        <v>1031884</v>
      </c>
      <c r="BB300">
        <v>12000</v>
      </c>
      <c r="BC300" t="s">
        <v>2642</v>
      </c>
      <c r="BD300" t="s">
        <v>1195</v>
      </c>
      <c r="BE300" t="str">
        <f t="shared" si="137"/>
        <v>강*현</v>
      </c>
      <c r="BF300" t="str">
        <f t="shared" si="138"/>
        <v>***-****-0441</v>
      </c>
      <c r="BG300" t="str">
        <f t="shared" si="139"/>
        <v>***-****-0444</v>
      </c>
      <c r="BH300" t="s">
        <v>453</v>
      </c>
      <c r="BI300" t="s">
        <v>454</v>
      </c>
      <c r="BJ300" t="s">
        <v>2660</v>
      </c>
      <c r="BK300" t="s">
        <v>456</v>
      </c>
      <c r="BL300">
        <v>18807</v>
      </c>
      <c r="BM300" t="str">
        <f>"18807"</f>
        <v>18807</v>
      </c>
      <c r="BN300" t="str">
        <f t="shared" si="140"/>
        <v>20180118-0000063</v>
      </c>
      <c r="BQ300" t="s">
        <v>373</v>
      </c>
      <c r="BV300" t="s">
        <v>2661</v>
      </c>
      <c r="BW300" t="s">
        <v>2657</v>
      </c>
      <c r="BX300" t="s">
        <v>226</v>
      </c>
      <c r="BY300">
        <v>0</v>
      </c>
      <c r="BZ300">
        <v>8809427869359</v>
      </c>
      <c r="CA300" t="s">
        <v>2662</v>
      </c>
      <c r="CF300" t="s">
        <v>2657</v>
      </c>
      <c r="CG300" t="s">
        <v>877</v>
      </c>
      <c r="CH300" t="s">
        <v>377</v>
      </c>
      <c r="CI300" t="s">
        <v>2656</v>
      </c>
      <c r="CJ300">
        <v>6240</v>
      </c>
      <c r="CK300">
        <v>6240</v>
      </c>
      <c r="CL300" t="s">
        <v>2568</v>
      </c>
      <c r="CN300">
        <v>1</v>
      </c>
      <c r="CO300">
        <v>18172</v>
      </c>
      <c r="CP300">
        <v>18172</v>
      </c>
      <c r="CQ300" t="s">
        <v>379</v>
      </c>
      <c r="CS300">
        <v>0</v>
      </c>
    </row>
    <row r="301" spans="1:97" x14ac:dyDescent="0.4">
      <c r="A301" s="10">
        <v>43119</v>
      </c>
      <c r="B301" t="s">
        <v>200</v>
      </c>
      <c r="C301" t="s">
        <v>2663</v>
      </c>
      <c r="D301" t="s">
        <v>359</v>
      </c>
      <c r="E301" t="s">
        <v>2636</v>
      </c>
      <c r="F301" t="str">
        <f t="shared" si="131"/>
        <v>20180118-0000063</v>
      </c>
      <c r="G301">
        <v>1031880</v>
      </c>
      <c r="H301">
        <v>1</v>
      </c>
      <c r="I301" t="s">
        <v>2664</v>
      </c>
      <c r="J301">
        <v>2680</v>
      </c>
      <c r="L301">
        <v>0</v>
      </c>
      <c r="M301">
        <v>1</v>
      </c>
      <c r="O301" t="s">
        <v>361</v>
      </c>
      <c r="P301" t="s">
        <v>2376</v>
      </c>
      <c r="S301" t="s">
        <v>2665</v>
      </c>
      <c r="T301" t="s">
        <v>364</v>
      </c>
      <c r="X301" t="s">
        <v>2664</v>
      </c>
      <c r="Y301" t="s">
        <v>2378</v>
      </c>
      <c r="AA301">
        <v>14688</v>
      </c>
      <c r="AB301">
        <v>6.13</v>
      </c>
      <c r="AC301" t="s">
        <v>2666</v>
      </c>
      <c r="AD301">
        <v>6.69</v>
      </c>
      <c r="AE301">
        <v>6.87</v>
      </c>
      <c r="AF301" t="s">
        <v>1160</v>
      </c>
      <c r="AG301">
        <v>6500</v>
      </c>
      <c r="AK301">
        <v>121</v>
      </c>
      <c r="AL301" t="s">
        <v>2664</v>
      </c>
      <c r="AQ301">
        <v>2200</v>
      </c>
      <c r="AR301" t="s">
        <v>368</v>
      </c>
      <c r="AS301">
        <v>613594389956</v>
      </c>
      <c r="AT301" t="str">
        <f t="shared" si="132"/>
        <v>강*현①</v>
      </c>
      <c r="AU301" t="str">
        <f t="shared" si="133"/>
        <v xml:space="preserve"> 1***1</v>
      </c>
      <c r="AV301" t="str">
        <f t="shared" si="134"/>
        <v>***-****-0441</v>
      </c>
      <c r="AW301" t="str">
        <f t="shared" si="135"/>
        <v xml:space="preserve"> 경* 파*시 송*로 1* (***) 팜*****트 1**동 4**호</v>
      </c>
      <c r="AY301" t="str">
        <f t="shared" si="136"/>
        <v>***-****-0444</v>
      </c>
      <c r="AZ301">
        <v>20074</v>
      </c>
      <c r="BA301">
        <v>1031882</v>
      </c>
      <c r="BB301">
        <v>4000</v>
      </c>
      <c r="BC301" t="s">
        <v>2642</v>
      </c>
      <c r="BD301" t="s">
        <v>1195</v>
      </c>
      <c r="BE301" t="str">
        <f t="shared" si="137"/>
        <v>강*현</v>
      </c>
      <c r="BF301" t="str">
        <f t="shared" si="138"/>
        <v>***-****-0441</v>
      </c>
      <c r="BG301" t="str">
        <f t="shared" si="139"/>
        <v>***-****-0444</v>
      </c>
      <c r="BH301" t="s">
        <v>453</v>
      </c>
      <c r="BI301" t="s">
        <v>454</v>
      </c>
      <c r="BJ301" t="s">
        <v>2667</v>
      </c>
      <c r="BK301" t="s">
        <v>456</v>
      </c>
      <c r="BL301">
        <v>19272</v>
      </c>
      <c r="BM301" t="str">
        <f>"19272"</f>
        <v>19272</v>
      </c>
      <c r="BN301" t="str">
        <f t="shared" si="140"/>
        <v>20180118-0000063</v>
      </c>
      <c r="BQ301" t="s">
        <v>373</v>
      </c>
      <c r="BV301" t="s">
        <v>2668</v>
      </c>
      <c r="BW301" t="s">
        <v>2664</v>
      </c>
      <c r="BX301" t="s">
        <v>200</v>
      </c>
      <c r="BY301">
        <v>0</v>
      </c>
      <c r="BZ301">
        <v>8806185795258</v>
      </c>
      <c r="CA301" t="s">
        <v>2669</v>
      </c>
      <c r="CF301" t="s">
        <v>2664</v>
      </c>
      <c r="CG301" t="s">
        <v>2670</v>
      </c>
      <c r="CH301" t="s">
        <v>377</v>
      </c>
      <c r="CI301" t="s">
        <v>2663</v>
      </c>
      <c r="CJ301">
        <v>2200</v>
      </c>
      <c r="CK301">
        <v>2200</v>
      </c>
      <c r="CL301" t="s">
        <v>2671</v>
      </c>
      <c r="CN301">
        <v>1</v>
      </c>
      <c r="CO301">
        <v>14688</v>
      </c>
      <c r="CP301">
        <v>14688</v>
      </c>
      <c r="CQ301" t="s">
        <v>379</v>
      </c>
      <c r="CS301">
        <v>0</v>
      </c>
    </row>
    <row r="302" spans="1:97" x14ac:dyDescent="0.4">
      <c r="A302" s="10">
        <v>43119</v>
      </c>
      <c r="B302" t="s">
        <v>213</v>
      </c>
      <c r="C302" t="s">
        <v>1156</v>
      </c>
      <c r="D302" t="s">
        <v>359</v>
      </c>
      <c r="E302" t="s">
        <v>2636</v>
      </c>
      <c r="F302" t="str">
        <f t="shared" si="131"/>
        <v>20180118-0000063</v>
      </c>
      <c r="G302">
        <v>1031880</v>
      </c>
      <c r="H302">
        <v>1</v>
      </c>
      <c r="I302" t="s">
        <v>1157</v>
      </c>
      <c r="J302">
        <v>7200</v>
      </c>
      <c r="L302">
        <v>0</v>
      </c>
      <c r="M302">
        <v>1</v>
      </c>
      <c r="O302" t="s">
        <v>361</v>
      </c>
      <c r="P302" t="s">
        <v>2376</v>
      </c>
      <c r="S302" t="s">
        <v>2672</v>
      </c>
      <c r="T302" t="s">
        <v>364</v>
      </c>
      <c r="X302" t="s">
        <v>1157</v>
      </c>
      <c r="Y302" t="s">
        <v>2378</v>
      </c>
      <c r="AA302">
        <v>15078</v>
      </c>
      <c r="AB302">
        <v>11.87</v>
      </c>
      <c r="AC302" t="s">
        <v>1159</v>
      </c>
      <c r="AD302">
        <v>12.93</v>
      </c>
      <c r="AE302">
        <v>13.29</v>
      </c>
      <c r="AF302" t="s">
        <v>1160</v>
      </c>
      <c r="AG302">
        <v>3770</v>
      </c>
      <c r="AK302">
        <v>126</v>
      </c>
      <c r="AL302" t="s">
        <v>1157</v>
      </c>
      <c r="AQ302">
        <v>6500</v>
      </c>
      <c r="AR302" t="s">
        <v>368</v>
      </c>
      <c r="AS302">
        <v>613594389956</v>
      </c>
      <c r="AT302" t="str">
        <f t="shared" si="132"/>
        <v>강*현①</v>
      </c>
      <c r="AU302" t="str">
        <f t="shared" si="133"/>
        <v xml:space="preserve"> 1***1</v>
      </c>
      <c r="AV302" t="str">
        <f t="shared" si="134"/>
        <v>***-****-0441</v>
      </c>
      <c r="AW302" t="str">
        <f t="shared" si="135"/>
        <v xml:space="preserve"> 경* 파*시 송*로 1* (***) 팜*****트 1**동 4**호</v>
      </c>
      <c r="AY302" t="str">
        <f t="shared" si="136"/>
        <v>***-****-0444</v>
      </c>
      <c r="AZ302">
        <v>17762</v>
      </c>
      <c r="BA302">
        <v>1031883</v>
      </c>
      <c r="BB302">
        <v>10000</v>
      </c>
      <c r="BC302" t="s">
        <v>2642</v>
      </c>
      <c r="BD302" t="s">
        <v>1195</v>
      </c>
      <c r="BE302" t="str">
        <f t="shared" si="137"/>
        <v>강*현</v>
      </c>
      <c r="BF302" t="str">
        <f t="shared" si="138"/>
        <v>***-****-0441</v>
      </c>
      <c r="BG302" t="str">
        <f t="shared" si="139"/>
        <v>***-****-0444</v>
      </c>
      <c r="BH302" t="s">
        <v>453</v>
      </c>
      <c r="BI302" t="s">
        <v>454</v>
      </c>
      <c r="BJ302" t="s">
        <v>2673</v>
      </c>
      <c r="BK302" t="s">
        <v>456</v>
      </c>
      <c r="BL302">
        <v>18367</v>
      </c>
      <c r="BM302" t="str">
        <f>"18367"</f>
        <v>18367</v>
      </c>
      <c r="BN302" t="str">
        <f t="shared" si="140"/>
        <v>20180118-0000063</v>
      </c>
      <c r="BQ302" t="s">
        <v>373</v>
      </c>
      <c r="BV302" t="s">
        <v>1162</v>
      </c>
      <c r="BW302" t="s">
        <v>1157</v>
      </c>
      <c r="BX302" t="s">
        <v>213</v>
      </c>
      <c r="BY302">
        <v>0</v>
      </c>
      <c r="BZ302">
        <v>8806390547765</v>
      </c>
      <c r="CA302" t="s">
        <v>1163</v>
      </c>
      <c r="CF302" t="s">
        <v>1157</v>
      </c>
      <c r="CG302" t="s">
        <v>1164</v>
      </c>
      <c r="CH302" t="s">
        <v>377</v>
      </c>
      <c r="CI302" t="s">
        <v>1156</v>
      </c>
      <c r="CJ302">
        <v>6500</v>
      </c>
      <c r="CK302">
        <v>6500</v>
      </c>
      <c r="CL302" t="s">
        <v>1165</v>
      </c>
      <c r="CN302">
        <v>1</v>
      </c>
      <c r="CO302">
        <v>15078</v>
      </c>
      <c r="CP302">
        <v>15078</v>
      </c>
      <c r="CQ302" t="s">
        <v>379</v>
      </c>
      <c r="CS302">
        <v>0</v>
      </c>
    </row>
    <row r="303" spans="1:97" x14ac:dyDescent="0.4">
      <c r="A303" s="10">
        <v>43119</v>
      </c>
      <c r="B303" t="s">
        <v>198</v>
      </c>
      <c r="C303" t="s">
        <v>2674</v>
      </c>
      <c r="D303" t="s">
        <v>359</v>
      </c>
      <c r="E303" t="s">
        <v>2636</v>
      </c>
      <c r="F303" t="str">
        <f t="shared" si="131"/>
        <v>20180118-0000063</v>
      </c>
      <c r="G303">
        <v>1031880</v>
      </c>
      <c r="H303">
        <v>1</v>
      </c>
      <c r="I303" t="s">
        <v>2675</v>
      </c>
      <c r="J303">
        <v>6160</v>
      </c>
      <c r="L303">
        <v>0</v>
      </c>
      <c r="M303">
        <v>1</v>
      </c>
      <c r="O303" t="s">
        <v>361</v>
      </c>
      <c r="P303" t="s">
        <v>2376</v>
      </c>
      <c r="S303" t="s">
        <v>2676</v>
      </c>
      <c r="T303" t="s">
        <v>364</v>
      </c>
      <c r="X303" t="s">
        <v>2675</v>
      </c>
      <c r="Y303" t="s">
        <v>2378</v>
      </c>
      <c r="AA303">
        <v>13424</v>
      </c>
      <c r="AB303">
        <v>9.42</v>
      </c>
      <c r="AC303" t="s">
        <v>2677</v>
      </c>
      <c r="AD303">
        <v>10.27</v>
      </c>
      <c r="AE303">
        <v>10.56</v>
      </c>
      <c r="AF303" t="s">
        <v>496</v>
      </c>
      <c r="AG303">
        <v>3770</v>
      </c>
      <c r="AK303">
        <v>25</v>
      </c>
      <c r="AL303" t="s">
        <v>2675</v>
      </c>
      <c r="AN303" t="s">
        <v>2678</v>
      </c>
      <c r="AQ303">
        <v>5390</v>
      </c>
      <c r="AR303" t="s">
        <v>368</v>
      </c>
      <c r="AS303">
        <v>613594389956</v>
      </c>
      <c r="AT303" t="str">
        <f t="shared" si="132"/>
        <v>강*현①</v>
      </c>
      <c r="AU303" t="str">
        <f t="shared" si="133"/>
        <v xml:space="preserve"> 1***1</v>
      </c>
      <c r="AV303" t="str">
        <f t="shared" si="134"/>
        <v>***-****-0441</v>
      </c>
      <c r="AW303" t="str">
        <f t="shared" si="135"/>
        <v xml:space="preserve"> 경* 파*시 송*로 1* (***) 팜*****트 1**동 4**호</v>
      </c>
      <c r="AY303" t="str">
        <f t="shared" si="136"/>
        <v>***-****-0444</v>
      </c>
      <c r="AZ303">
        <v>26853</v>
      </c>
      <c r="BA303">
        <v>1031885</v>
      </c>
      <c r="BB303">
        <v>7700</v>
      </c>
      <c r="BC303" t="s">
        <v>2642</v>
      </c>
      <c r="BD303" t="s">
        <v>1195</v>
      </c>
      <c r="BE303" t="str">
        <f t="shared" si="137"/>
        <v>강*현</v>
      </c>
      <c r="BF303" t="str">
        <f t="shared" si="138"/>
        <v>***-****-0441</v>
      </c>
      <c r="BG303" t="str">
        <f t="shared" si="139"/>
        <v>***-****-0444</v>
      </c>
      <c r="BH303" t="s">
        <v>453</v>
      </c>
      <c r="BI303" t="s">
        <v>454</v>
      </c>
      <c r="BJ303" t="s">
        <v>2679</v>
      </c>
      <c r="BK303" t="s">
        <v>456</v>
      </c>
      <c r="BL303">
        <v>20201</v>
      </c>
      <c r="BM303" t="str">
        <f>"20201"</f>
        <v>20201</v>
      </c>
      <c r="BN303" t="str">
        <f t="shared" si="140"/>
        <v>20180118-0000063</v>
      </c>
      <c r="BQ303" t="s">
        <v>373</v>
      </c>
      <c r="BV303" t="s">
        <v>2680</v>
      </c>
      <c r="BW303" t="s">
        <v>2675</v>
      </c>
      <c r="BX303" t="s">
        <v>198</v>
      </c>
      <c r="BY303">
        <v>0</v>
      </c>
      <c r="BZ303">
        <v>8806173439607</v>
      </c>
      <c r="CA303" t="s">
        <v>2681</v>
      </c>
      <c r="CF303" t="s">
        <v>2675</v>
      </c>
      <c r="CG303" t="s">
        <v>406</v>
      </c>
      <c r="CH303" t="s">
        <v>377</v>
      </c>
      <c r="CI303" t="s">
        <v>2674</v>
      </c>
      <c r="CJ303">
        <v>5390</v>
      </c>
      <c r="CK303">
        <v>5390</v>
      </c>
      <c r="CL303" t="s">
        <v>2682</v>
      </c>
      <c r="CN303">
        <v>1</v>
      </c>
      <c r="CO303">
        <v>13424</v>
      </c>
      <c r="CP303">
        <v>13424</v>
      </c>
      <c r="CQ303" t="s">
        <v>379</v>
      </c>
      <c r="CS303">
        <v>0</v>
      </c>
    </row>
    <row r="304" spans="1:97" x14ac:dyDescent="0.4">
      <c r="A304" s="10">
        <v>43119</v>
      </c>
      <c r="B304" t="s">
        <v>198</v>
      </c>
      <c r="C304" t="s">
        <v>2683</v>
      </c>
      <c r="D304" t="s">
        <v>359</v>
      </c>
      <c r="E304" t="s">
        <v>2636</v>
      </c>
      <c r="F304" t="str">
        <f t="shared" si="131"/>
        <v>20180118-0000063</v>
      </c>
      <c r="G304">
        <v>1031880</v>
      </c>
      <c r="H304">
        <v>1</v>
      </c>
      <c r="I304" t="s">
        <v>2684</v>
      </c>
      <c r="J304">
        <v>9600</v>
      </c>
      <c r="L304">
        <v>0</v>
      </c>
      <c r="M304">
        <v>1</v>
      </c>
      <c r="O304" t="s">
        <v>361</v>
      </c>
      <c r="P304" t="s">
        <v>2376</v>
      </c>
      <c r="S304" t="s">
        <v>2685</v>
      </c>
      <c r="T304" t="s">
        <v>364</v>
      </c>
      <c r="X304" t="s">
        <v>2684</v>
      </c>
      <c r="Y304" t="s">
        <v>2378</v>
      </c>
      <c r="AA304">
        <v>14528</v>
      </c>
      <c r="AB304">
        <v>13.44</v>
      </c>
      <c r="AC304" t="s">
        <v>2686</v>
      </c>
      <c r="AD304">
        <v>14.65</v>
      </c>
      <c r="AE304">
        <v>15.05</v>
      </c>
      <c r="AF304" t="s">
        <v>1621</v>
      </c>
      <c r="AG304">
        <v>1880</v>
      </c>
      <c r="AK304">
        <v>35</v>
      </c>
      <c r="AL304" t="s">
        <v>2684</v>
      </c>
      <c r="AN304" t="s">
        <v>2687</v>
      </c>
      <c r="AQ304">
        <v>8400</v>
      </c>
      <c r="AR304" t="s">
        <v>368</v>
      </c>
      <c r="AS304">
        <v>613594389956</v>
      </c>
      <c r="AT304" t="str">
        <f t="shared" si="132"/>
        <v>강*현①</v>
      </c>
      <c r="AU304" t="str">
        <f t="shared" si="133"/>
        <v xml:space="preserve"> 1***1</v>
      </c>
      <c r="AV304" t="str">
        <f t="shared" si="134"/>
        <v>***-****-0441</v>
      </c>
      <c r="AW304" t="str">
        <f t="shared" si="135"/>
        <v xml:space="preserve"> 경* 파*시 송*로 1* (***) 팜*****트 1**동 4**호</v>
      </c>
      <c r="AY304" t="str">
        <f t="shared" si="136"/>
        <v>***-****-0444</v>
      </c>
      <c r="AZ304">
        <v>29283</v>
      </c>
      <c r="BA304">
        <v>1031880</v>
      </c>
      <c r="BB304">
        <v>12000</v>
      </c>
      <c r="BC304" t="s">
        <v>2642</v>
      </c>
      <c r="BD304" t="s">
        <v>1195</v>
      </c>
      <c r="BE304" t="str">
        <f t="shared" si="137"/>
        <v>강*현</v>
      </c>
      <c r="BF304" t="str">
        <f t="shared" si="138"/>
        <v>***-****-0441</v>
      </c>
      <c r="BG304" t="str">
        <f t="shared" si="139"/>
        <v>***-****-0444</v>
      </c>
      <c r="BH304" t="s">
        <v>453</v>
      </c>
      <c r="BI304" t="s">
        <v>454</v>
      </c>
      <c r="BJ304" t="s">
        <v>2688</v>
      </c>
      <c r="BK304" t="s">
        <v>456</v>
      </c>
      <c r="BL304">
        <v>19301</v>
      </c>
      <c r="BM304" t="str">
        <f>"19301"</f>
        <v>19301</v>
      </c>
      <c r="BN304" t="str">
        <f t="shared" si="140"/>
        <v>20180118-0000063</v>
      </c>
      <c r="BQ304" t="s">
        <v>373</v>
      </c>
      <c r="BV304" t="s">
        <v>2689</v>
      </c>
      <c r="BW304" t="s">
        <v>2684</v>
      </c>
      <c r="BX304" t="s">
        <v>198</v>
      </c>
      <c r="BY304">
        <v>0</v>
      </c>
      <c r="BZ304">
        <v>8806173434817</v>
      </c>
      <c r="CA304" t="s">
        <v>2690</v>
      </c>
      <c r="CF304" t="s">
        <v>2684</v>
      </c>
      <c r="CG304" t="s">
        <v>376</v>
      </c>
      <c r="CH304" t="s">
        <v>377</v>
      </c>
      <c r="CI304" t="s">
        <v>2683</v>
      </c>
      <c r="CJ304">
        <v>8400</v>
      </c>
      <c r="CK304">
        <v>8400</v>
      </c>
      <c r="CL304" t="s">
        <v>2691</v>
      </c>
      <c r="CN304">
        <v>1</v>
      </c>
      <c r="CO304">
        <v>14528</v>
      </c>
      <c r="CP304">
        <v>14528</v>
      </c>
      <c r="CQ304" t="s">
        <v>379</v>
      </c>
      <c r="CS30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D909"/>
  <sheetViews>
    <sheetView topLeftCell="G1" zoomScale="55" zoomScaleNormal="55" workbookViewId="0">
      <pane ySplit="1" topLeftCell="A2" activePane="bottomLeft" state="frozen"/>
      <selection activeCell="J1" sqref="J1"/>
      <selection pane="bottomLeft" activeCell="G3" sqref="G3"/>
    </sheetView>
  </sheetViews>
  <sheetFormatPr defaultColWidth="11.69921875" defaultRowHeight="17.399999999999999" x14ac:dyDescent="0.4"/>
  <cols>
    <col min="1" max="1" width="22.09765625" style="40" bestFit="1" customWidth="1"/>
    <col min="2" max="2" width="10.59765625" style="41" customWidth="1"/>
    <col min="3" max="3" width="15" style="40" bestFit="1" customWidth="1"/>
    <col min="4" max="4" width="14.19921875" style="1" bestFit="1" customWidth="1"/>
    <col min="5" max="6" width="14.19921875" style="1" customWidth="1"/>
    <col min="7" max="7" width="85.09765625" style="1" bestFit="1" customWidth="1"/>
    <col min="8" max="8" width="15.5" style="1" bestFit="1" customWidth="1"/>
    <col min="9" max="9" width="14.19921875" style="1" customWidth="1"/>
    <col min="10" max="10" width="11" style="1" customWidth="1"/>
    <col min="11" max="11" width="10.3984375" style="1" customWidth="1"/>
    <col min="12" max="12" width="10.3984375" style="7" customWidth="1"/>
    <col min="13" max="13" width="8.59765625" style="9" customWidth="1"/>
    <col min="14" max="14" width="17.5" style="1" customWidth="1"/>
    <col min="15" max="15" width="17.5" style="7" customWidth="1"/>
    <col min="16" max="16" width="17.5" style="42" customWidth="1"/>
    <col min="17" max="17" width="17.5" style="7" customWidth="1"/>
    <col min="18" max="18" width="20" style="1" customWidth="1"/>
    <col min="19" max="19" width="20.09765625" style="1" hidden="1" customWidth="1"/>
    <col min="20" max="20" width="14.59765625" style="1" hidden="1" customWidth="1"/>
    <col min="21" max="21" width="18.09765625" style="43" customWidth="1"/>
    <col min="22" max="23" width="11.69921875" style="1"/>
    <col min="24" max="24" width="11.69921875" style="43"/>
    <col min="25" max="25" width="15.3984375" style="1" bestFit="1" customWidth="1"/>
    <col min="26" max="26" width="15.3984375" style="43" bestFit="1" customWidth="1"/>
    <col min="27" max="16384" width="11.69921875" style="1"/>
  </cols>
  <sheetData>
    <row r="1" spans="1:30" x14ac:dyDescent="0.4">
      <c r="A1" s="20" t="s">
        <v>3518</v>
      </c>
      <c r="B1" s="21" t="s">
        <v>3519</v>
      </c>
      <c r="C1" s="22" t="s">
        <v>3520</v>
      </c>
      <c r="D1" s="23" t="s">
        <v>3521</v>
      </c>
      <c r="E1" s="23" t="s">
        <v>3522</v>
      </c>
      <c r="F1" s="23" t="s">
        <v>263</v>
      </c>
      <c r="G1" s="23" t="s">
        <v>3523</v>
      </c>
      <c r="H1" s="23" t="s">
        <v>3524</v>
      </c>
      <c r="I1" s="23" t="s">
        <v>3525</v>
      </c>
      <c r="J1" s="23" t="s">
        <v>3526</v>
      </c>
      <c r="K1" s="23" t="s">
        <v>3527</v>
      </c>
      <c r="L1" s="23" t="s">
        <v>3528</v>
      </c>
      <c r="M1" s="23" t="s">
        <v>2692</v>
      </c>
      <c r="N1" s="23" t="s">
        <v>3529</v>
      </c>
      <c r="O1" s="24" t="s">
        <v>3530</v>
      </c>
      <c r="P1" s="25" t="s">
        <v>1</v>
      </c>
      <c r="Q1" s="24" t="s">
        <v>15</v>
      </c>
      <c r="R1" s="26" t="s">
        <v>7</v>
      </c>
      <c r="S1" s="27" t="s">
        <v>3531</v>
      </c>
      <c r="T1" s="28" t="s">
        <v>3532</v>
      </c>
      <c r="U1" s="29" t="s">
        <v>3533</v>
      </c>
      <c r="V1" s="30" t="s">
        <v>3534</v>
      </c>
      <c r="W1" s="31" t="s">
        <v>3535</v>
      </c>
      <c r="X1" s="30" t="s">
        <v>3536</v>
      </c>
      <c r="Y1" s="31" t="s">
        <v>3537</v>
      </c>
      <c r="Z1" s="30" t="s">
        <v>3538</v>
      </c>
      <c r="AA1" s="31" t="s">
        <v>3535</v>
      </c>
      <c r="AB1" s="31" t="s">
        <v>3539</v>
      </c>
      <c r="AC1" s="1" t="s">
        <v>3540</v>
      </c>
      <c r="AD1" s="15"/>
    </row>
    <row r="2" spans="1:30" x14ac:dyDescent="0.4">
      <c r="A2" t="s">
        <v>3541</v>
      </c>
      <c r="B2">
        <v>20180119</v>
      </c>
      <c r="C2">
        <v>8806164135037</v>
      </c>
      <c r="D2" t="s">
        <v>3542</v>
      </c>
      <c r="E2"/>
      <c r="F2" t="s">
        <v>146</v>
      </c>
      <c r="G2" s="32" t="s">
        <v>3543</v>
      </c>
      <c r="H2">
        <v>0</v>
      </c>
      <c r="I2" t="s">
        <v>623</v>
      </c>
      <c r="J2">
        <v>2000</v>
      </c>
      <c r="K2">
        <v>1</v>
      </c>
      <c r="L2">
        <v>0</v>
      </c>
      <c r="M2">
        <v>1</v>
      </c>
      <c r="N2"/>
      <c r="O2" t="s">
        <v>3544</v>
      </c>
      <c r="P2" s="33">
        <v>0.5</v>
      </c>
      <c r="Q2">
        <v>1000</v>
      </c>
      <c r="R2" t="s">
        <v>147</v>
      </c>
      <c r="S2">
        <v>0</v>
      </c>
      <c r="T2"/>
      <c r="U2" s="10"/>
      <c r="V2"/>
      <c r="W2"/>
      <c r="X2" s="10"/>
      <c r="Y2"/>
      <c r="Z2" s="10"/>
      <c r="AA2"/>
      <c r="AB2"/>
      <c r="AC2"/>
      <c r="AD2"/>
    </row>
    <row r="3" spans="1:30" x14ac:dyDescent="0.4">
      <c r="A3" t="s">
        <v>3545</v>
      </c>
      <c r="B3">
        <v>20180119</v>
      </c>
      <c r="C3">
        <v>8806164150474</v>
      </c>
      <c r="D3" t="s">
        <v>3434</v>
      </c>
      <c r="E3" t="s">
        <v>3546</v>
      </c>
      <c r="F3" t="s">
        <v>146</v>
      </c>
      <c r="G3" s="32" t="s">
        <v>3435</v>
      </c>
      <c r="H3">
        <v>0</v>
      </c>
      <c r="I3" t="s">
        <v>623</v>
      </c>
      <c r="J3">
        <v>2800</v>
      </c>
      <c r="K3">
        <v>2</v>
      </c>
      <c r="L3">
        <v>0</v>
      </c>
      <c r="M3">
        <v>0</v>
      </c>
      <c r="N3"/>
      <c r="O3" t="s">
        <v>3544</v>
      </c>
      <c r="P3" s="33">
        <v>0.5</v>
      </c>
      <c r="Q3">
        <v>1400</v>
      </c>
      <c r="R3" t="s">
        <v>147</v>
      </c>
      <c r="S3">
        <v>0</v>
      </c>
      <c r="T3"/>
      <c r="U3" s="10">
        <v>43115</v>
      </c>
      <c r="V3" t="s">
        <v>623</v>
      </c>
      <c r="W3"/>
      <c r="X3" s="10"/>
      <c r="Y3"/>
      <c r="Z3" s="10"/>
      <c r="AA3"/>
      <c r="AB3" t="s">
        <v>3260</v>
      </c>
      <c r="AC3" t="s">
        <v>3547</v>
      </c>
      <c r="AD3"/>
    </row>
    <row r="4" spans="1:30" x14ac:dyDescent="0.4">
      <c r="A4" t="s">
        <v>3548</v>
      </c>
      <c r="B4">
        <v>20180119</v>
      </c>
      <c r="C4">
        <v>8806164121269</v>
      </c>
      <c r="D4" t="s">
        <v>3139</v>
      </c>
      <c r="E4" t="s">
        <v>3549</v>
      </c>
      <c r="F4" t="s">
        <v>146</v>
      </c>
      <c r="G4" s="32" t="s">
        <v>3140</v>
      </c>
      <c r="H4">
        <v>13</v>
      </c>
      <c r="I4" t="s">
        <v>623</v>
      </c>
      <c r="J4">
        <v>5000</v>
      </c>
      <c r="K4" s="34">
        <v>36</v>
      </c>
      <c r="L4">
        <v>0</v>
      </c>
      <c r="M4">
        <v>36</v>
      </c>
      <c r="N4"/>
      <c r="O4" s="35" t="s">
        <v>3550</v>
      </c>
      <c r="P4" s="33">
        <v>0.5</v>
      </c>
      <c r="Q4">
        <v>2500</v>
      </c>
      <c r="R4" t="s">
        <v>147</v>
      </c>
      <c r="S4">
        <v>0</v>
      </c>
      <c r="T4">
        <v>0</v>
      </c>
      <c r="U4" s="10"/>
      <c r="V4"/>
      <c r="W4"/>
      <c r="X4" s="10"/>
      <c r="Y4"/>
      <c r="Z4" s="10"/>
      <c r="AA4"/>
      <c r="AB4"/>
      <c r="AC4"/>
      <c r="AD4"/>
    </row>
    <row r="5" spans="1:30" x14ac:dyDescent="0.4">
      <c r="A5" t="s">
        <v>3551</v>
      </c>
      <c r="B5">
        <v>20180119</v>
      </c>
      <c r="C5">
        <v>8806164132654</v>
      </c>
      <c r="D5" t="s">
        <v>3552</v>
      </c>
      <c r="E5" t="s">
        <v>3553</v>
      </c>
      <c r="F5" t="s">
        <v>146</v>
      </c>
      <c r="G5" s="32" t="s">
        <v>3554</v>
      </c>
      <c r="H5">
        <v>0</v>
      </c>
      <c r="I5" t="s">
        <v>623</v>
      </c>
      <c r="J5">
        <v>9000</v>
      </c>
      <c r="K5">
        <v>2</v>
      </c>
      <c r="L5">
        <v>0</v>
      </c>
      <c r="M5">
        <v>2</v>
      </c>
      <c r="N5"/>
      <c r="O5" t="s">
        <v>3544</v>
      </c>
      <c r="P5" s="33">
        <v>0.5</v>
      </c>
      <c r="Q5">
        <v>4500</v>
      </c>
      <c r="R5" t="s">
        <v>147</v>
      </c>
      <c r="S5">
        <v>0</v>
      </c>
      <c r="T5"/>
      <c r="U5" s="10"/>
      <c r="V5"/>
      <c r="W5"/>
      <c r="X5" s="10"/>
      <c r="Y5"/>
      <c r="Z5" s="10"/>
      <c r="AA5"/>
      <c r="AB5"/>
      <c r="AC5"/>
      <c r="AD5"/>
    </row>
    <row r="6" spans="1:30" x14ac:dyDescent="0.4">
      <c r="A6" t="s">
        <v>3555</v>
      </c>
      <c r="B6">
        <v>20180119</v>
      </c>
      <c r="C6">
        <v>8809247957090</v>
      </c>
      <c r="D6" t="s">
        <v>3176</v>
      </c>
      <c r="E6" t="s">
        <v>3556</v>
      </c>
      <c r="F6" t="s">
        <v>180</v>
      </c>
      <c r="G6" s="32" t="s">
        <v>3177</v>
      </c>
      <c r="H6">
        <v>0</v>
      </c>
      <c r="I6" t="s">
        <v>623</v>
      </c>
      <c r="J6">
        <v>25000</v>
      </c>
      <c r="K6">
        <v>1</v>
      </c>
      <c r="L6">
        <v>0</v>
      </c>
      <c r="M6">
        <v>0</v>
      </c>
      <c r="N6"/>
      <c r="O6" t="s">
        <v>3544</v>
      </c>
      <c r="P6" s="33">
        <v>0.43</v>
      </c>
      <c r="Q6">
        <v>10750</v>
      </c>
      <c r="R6" t="s">
        <v>180</v>
      </c>
      <c r="S6">
        <v>1</v>
      </c>
      <c r="T6">
        <v>1</v>
      </c>
      <c r="U6"/>
      <c r="V6"/>
      <c r="W6"/>
      <c r="X6"/>
      <c r="Y6"/>
      <c r="Z6"/>
      <c r="AA6"/>
      <c r="AB6"/>
      <c r="AC6"/>
      <c r="AD6"/>
    </row>
    <row r="7" spans="1:30" x14ac:dyDescent="0.4">
      <c r="A7" t="s">
        <v>3557</v>
      </c>
      <c r="B7">
        <v>20180119</v>
      </c>
      <c r="C7">
        <v>8801042634329</v>
      </c>
      <c r="D7" t="s">
        <v>3558</v>
      </c>
      <c r="E7"/>
      <c r="F7" t="s">
        <v>213</v>
      </c>
      <c r="G7" s="32" t="s">
        <v>3559</v>
      </c>
      <c r="H7">
        <v>0</v>
      </c>
      <c r="I7" t="s">
        <v>623</v>
      </c>
      <c r="J7">
        <v>13000</v>
      </c>
      <c r="K7">
        <v>1</v>
      </c>
      <c r="L7">
        <v>0</v>
      </c>
      <c r="M7">
        <v>1</v>
      </c>
      <c r="N7"/>
      <c r="O7" t="s">
        <v>3544</v>
      </c>
      <c r="P7" s="33">
        <v>0.62</v>
      </c>
      <c r="Q7">
        <v>8060</v>
      </c>
      <c r="R7" t="s">
        <v>206</v>
      </c>
      <c r="S7">
        <v>0</v>
      </c>
      <c r="T7"/>
      <c r="U7" s="10"/>
      <c r="V7"/>
      <c r="W7"/>
      <c r="X7" s="10"/>
      <c r="Y7"/>
      <c r="Z7" s="10"/>
      <c r="AA7"/>
      <c r="AB7"/>
      <c r="AC7"/>
      <c r="AD7"/>
    </row>
    <row r="8" spans="1:30" x14ac:dyDescent="0.4">
      <c r="A8" t="s">
        <v>3560</v>
      </c>
      <c r="B8">
        <v>20180119</v>
      </c>
      <c r="C8" s="36">
        <v>13513820000</v>
      </c>
      <c r="D8" t="s">
        <v>3561</v>
      </c>
      <c r="E8"/>
      <c r="F8" t="s">
        <v>213</v>
      </c>
      <c r="G8" s="32" t="s">
        <v>3562</v>
      </c>
      <c r="H8">
        <v>0</v>
      </c>
      <c r="I8" t="s">
        <v>623</v>
      </c>
      <c r="J8">
        <v>13000</v>
      </c>
      <c r="K8">
        <v>1</v>
      </c>
      <c r="L8">
        <v>0</v>
      </c>
      <c r="M8">
        <v>1</v>
      </c>
      <c r="N8"/>
      <c r="O8" t="s">
        <v>3544</v>
      </c>
      <c r="P8" s="33">
        <v>0.62</v>
      </c>
      <c r="Q8">
        <v>8060</v>
      </c>
      <c r="R8" t="s">
        <v>206</v>
      </c>
      <c r="S8">
        <v>0</v>
      </c>
      <c r="T8"/>
      <c r="U8" s="10"/>
      <c r="V8"/>
      <c r="W8"/>
      <c r="X8" s="10"/>
      <c r="Y8"/>
      <c r="Z8" s="10"/>
      <c r="AA8"/>
      <c r="AB8"/>
      <c r="AC8"/>
      <c r="AD8"/>
    </row>
    <row r="9" spans="1:30" x14ac:dyDescent="0.4">
      <c r="A9" t="s">
        <v>3563</v>
      </c>
      <c r="B9">
        <v>20180119</v>
      </c>
      <c r="C9">
        <v>8809270490151</v>
      </c>
      <c r="D9" t="s">
        <v>3564</v>
      </c>
      <c r="E9" t="s">
        <v>3565</v>
      </c>
      <c r="F9" t="s">
        <v>220</v>
      </c>
      <c r="G9" s="32" t="s">
        <v>3566</v>
      </c>
      <c r="H9">
        <v>0</v>
      </c>
      <c r="I9" t="s">
        <v>623</v>
      </c>
      <c r="J9">
        <v>16800</v>
      </c>
      <c r="K9">
        <v>1</v>
      </c>
      <c r="L9">
        <v>0</v>
      </c>
      <c r="M9">
        <v>1</v>
      </c>
      <c r="N9"/>
      <c r="O9" t="s">
        <v>3544</v>
      </c>
      <c r="P9" s="33" t="s">
        <v>3567</v>
      </c>
      <c r="Q9" s="37">
        <v>8800</v>
      </c>
      <c r="R9" t="s">
        <v>220</v>
      </c>
      <c r="S9">
        <v>0</v>
      </c>
      <c r="T9"/>
      <c r="U9" s="10"/>
      <c r="V9"/>
      <c r="W9"/>
      <c r="X9" s="10"/>
      <c r="Y9"/>
      <c r="Z9" s="10"/>
      <c r="AA9"/>
      <c r="AB9"/>
      <c r="AC9"/>
      <c r="AD9"/>
    </row>
    <row r="10" spans="1:30" x14ac:dyDescent="0.4">
      <c r="A10" t="s">
        <v>3568</v>
      </c>
      <c r="B10">
        <v>20180119</v>
      </c>
      <c r="C10">
        <v>8806199475801</v>
      </c>
      <c r="D10" t="s">
        <v>2937</v>
      </c>
      <c r="E10"/>
      <c r="F10" t="s">
        <v>215</v>
      </c>
      <c r="G10" s="32" t="s">
        <v>2938</v>
      </c>
      <c r="H10">
        <v>0</v>
      </c>
      <c r="I10" t="s">
        <v>623</v>
      </c>
      <c r="J10">
        <v>12000</v>
      </c>
      <c r="K10">
        <v>1</v>
      </c>
      <c r="L10">
        <v>0</v>
      </c>
      <c r="M10">
        <v>0</v>
      </c>
      <c r="N10"/>
      <c r="O10" t="s">
        <v>3544</v>
      </c>
      <c r="P10" s="33">
        <v>0.6</v>
      </c>
      <c r="Q10">
        <v>7200</v>
      </c>
      <c r="R10" t="s">
        <v>216</v>
      </c>
      <c r="S10">
        <v>0</v>
      </c>
      <c r="T10">
        <v>0</v>
      </c>
      <c r="U10" s="10">
        <v>43118</v>
      </c>
      <c r="V10" t="s">
        <v>623</v>
      </c>
      <c r="W10"/>
      <c r="X10" s="10"/>
      <c r="Y10"/>
      <c r="Z10" s="10"/>
      <c r="AA10"/>
      <c r="AB10"/>
      <c r="AC10" t="s">
        <v>3547</v>
      </c>
      <c r="AD10"/>
    </row>
    <row r="11" spans="1:30" x14ac:dyDescent="0.4">
      <c r="A11" t="s">
        <v>3569</v>
      </c>
      <c r="B11">
        <v>20180119</v>
      </c>
      <c r="C11">
        <v>8806179431612</v>
      </c>
      <c r="D11" t="s">
        <v>3353</v>
      </c>
      <c r="E11" t="s">
        <v>3570</v>
      </c>
      <c r="F11" t="s">
        <v>215</v>
      </c>
      <c r="G11" s="32" t="s">
        <v>3354</v>
      </c>
      <c r="H11">
        <v>0</v>
      </c>
      <c r="I11" t="s">
        <v>623</v>
      </c>
      <c r="J11">
        <v>10000</v>
      </c>
      <c r="K11">
        <v>1</v>
      </c>
      <c r="L11">
        <v>0</v>
      </c>
      <c r="M11">
        <v>0</v>
      </c>
      <c r="N11"/>
      <c r="O11" t="s">
        <v>3544</v>
      </c>
      <c r="P11" s="33">
        <v>0.6</v>
      </c>
      <c r="Q11">
        <v>6000</v>
      </c>
      <c r="R11" t="s">
        <v>216</v>
      </c>
      <c r="S11">
        <v>0</v>
      </c>
      <c r="T11"/>
      <c r="U11" s="10">
        <v>43116</v>
      </c>
      <c r="V11" t="s">
        <v>623</v>
      </c>
      <c r="W11"/>
      <c r="X11" s="10"/>
      <c r="Y11"/>
      <c r="Z11" s="10"/>
      <c r="AA11"/>
      <c r="AB11"/>
      <c r="AC11" t="s">
        <v>3547</v>
      </c>
      <c r="AD11"/>
    </row>
    <row r="12" spans="1:30" x14ac:dyDescent="0.4">
      <c r="A12" t="s">
        <v>3571</v>
      </c>
      <c r="B12">
        <v>20180119</v>
      </c>
      <c r="C12">
        <v>8806173582754</v>
      </c>
      <c r="D12" t="s">
        <v>3572</v>
      </c>
      <c r="E12" t="s">
        <v>3573</v>
      </c>
      <c r="F12" t="s">
        <v>117</v>
      </c>
      <c r="G12" s="32" t="s">
        <v>3574</v>
      </c>
      <c r="H12">
        <v>0</v>
      </c>
      <c r="I12" t="s">
        <v>623</v>
      </c>
      <c r="J12">
        <v>28000</v>
      </c>
      <c r="K12">
        <v>1</v>
      </c>
      <c r="L12">
        <v>0</v>
      </c>
      <c r="M12">
        <v>1</v>
      </c>
      <c r="N12"/>
      <c r="O12" t="s">
        <v>3544</v>
      </c>
      <c r="P12" s="33">
        <v>0.55000000000000004</v>
      </c>
      <c r="Q12">
        <v>15400</v>
      </c>
      <c r="R12" t="s">
        <v>118</v>
      </c>
      <c r="S12">
        <v>0</v>
      </c>
      <c r="T12"/>
      <c r="U12" s="10"/>
      <c r="V12"/>
      <c r="W12"/>
      <c r="X12" s="10"/>
      <c r="Y12"/>
      <c r="Z12" s="10"/>
      <c r="AA12"/>
      <c r="AB12"/>
      <c r="AC12"/>
      <c r="AD12"/>
    </row>
    <row r="13" spans="1:30" x14ac:dyDescent="0.4">
      <c r="A13" t="s">
        <v>3575</v>
      </c>
      <c r="B13">
        <v>20180119</v>
      </c>
      <c r="C13">
        <v>8806173584741</v>
      </c>
      <c r="D13" t="s">
        <v>3021</v>
      </c>
      <c r="E13" t="s">
        <v>3576</v>
      </c>
      <c r="F13" t="s">
        <v>117</v>
      </c>
      <c r="G13" s="32" t="s">
        <v>3022</v>
      </c>
      <c r="H13">
        <v>3</v>
      </c>
      <c r="I13" t="s">
        <v>623</v>
      </c>
      <c r="J13">
        <v>25000</v>
      </c>
      <c r="K13" s="34">
        <v>42</v>
      </c>
      <c r="L13">
        <v>1</v>
      </c>
      <c r="M13">
        <v>41</v>
      </c>
      <c r="N13"/>
      <c r="O13" s="35" t="s">
        <v>3550</v>
      </c>
      <c r="P13" s="33">
        <v>0.55000000000000004</v>
      </c>
      <c r="Q13">
        <v>13750</v>
      </c>
      <c r="R13" t="s">
        <v>118</v>
      </c>
      <c r="S13">
        <v>1</v>
      </c>
      <c r="T13">
        <v>0</v>
      </c>
      <c r="U13" s="10">
        <v>43118</v>
      </c>
      <c r="V13" t="s">
        <v>3289</v>
      </c>
      <c r="W13">
        <v>11</v>
      </c>
      <c r="X13" s="10">
        <v>43119</v>
      </c>
      <c r="Y13"/>
      <c r="Z13" s="10"/>
      <c r="AA13"/>
      <c r="AB13"/>
      <c r="AC13"/>
      <c r="AD13"/>
    </row>
    <row r="14" spans="1:30" x14ac:dyDescent="0.4">
      <c r="A14" t="s">
        <v>3577</v>
      </c>
      <c r="B14">
        <v>20180119</v>
      </c>
      <c r="C14">
        <v>8806173585533</v>
      </c>
      <c r="D14" t="s">
        <v>3578</v>
      </c>
      <c r="E14" t="s">
        <v>3579</v>
      </c>
      <c r="F14" t="s">
        <v>117</v>
      </c>
      <c r="G14" s="32" t="s">
        <v>3580</v>
      </c>
      <c r="H14">
        <v>1</v>
      </c>
      <c r="I14" t="s">
        <v>623</v>
      </c>
      <c r="J14">
        <v>28000</v>
      </c>
      <c r="K14">
        <v>3</v>
      </c>
      <c r="L14">
        <v>0</v>
      </c>
      <c r="M14">
        <v>3</v>
      </c>
      <c r="N14"/>
      <c r="O14" t="s">
        <v>3544</v>
      </c>
      <c r="P14" s="33">
        <v>0.55000000000000004</v>
      </c>
      <c r="Q14">
        <v>15400</v>
      </c>
      <c r="R14" t="s">
        <v>118</v>
      </c>
      <c r="S14">
        <v>0</v>
      </c>
      <c r="T14"/>
      <c r="U14" s="10"/>
      <c r="V14"/>
      <c r="W14"/>
      <c r="X14" s="10"/>
      <c r="Y14"/>
      <c r="Z14" s="10"/>
      <c r="AA14"/>
      <c r="AB14"/>
      <c r="AC14"/>
      <c r="AD14"/>
    </row>
    <row r="15" spans="1:30" x14ac:dyDescent="0.4">
      <c r="A15" t="s">
        <v>3581</v>
      </c>
      <c r="B15">
        <v>20180119</v>
      </c>
      <c r="C15" s="36">
        <v>16981920000</v>
      </c>
      <c r="D15" t="s">
        <v>2704</v>
      </c>
      <c r="E15"/>
      <c r="F15" t="s">
        <v>3582</v>
      </c>
      <c r="G15" s="38" t="s">
        <v>2705</v>
      </c>
      <c r="H15">
        <v>0</v>
      </c>
      <c r="I15" t="s">
        <v>820</v>
      </c>
      <c r="J15">
        <v>15000</v>
      </c>
      <c r="K15">
        <v>1</v>
      </c>
      <c r="L15">
        <v>0</v>
      </c>
      <c r="M15">
        <v>0</v>
      </c>
      <c r="N15"/>
      <c r="O15" t="s">
        <v>3544</v>
      </c>
      <c r="P15" s="33"/>
      <c r="Q15">
        <v>0</v>
      </c>
      <c r="R15" s="39" t="s">
        <v>16</v>
      </c>
      <c r="S15">
        <v>0</v>
      </c>
      <c r="T15">
        <v>0</v>
      </c>
      <c r="U15" s="10">
        <v>43118</v>
      </c>
      <c r="V15" t="s">
        <v>820</v>
      </c>
      <c r="W15"/>
      <c r="X15" s="10"/>
      <c r="Y15"/>
      <c r="Z15" s="10"/>
      <c r="AA15"/>
      <c r="AB15"/>
      <c r="AC15" t="s">
        <v>3547</v>
      </c>
      <c r="AD15"/>
    </row>
    <row r="16" spans="1:30" x14ac:dyDescent="0.4">
      <c r="A16" t="s">
        <v>3583</v>
      </c>
      <c r="B16">
        <v>20180119</v>
      </c>
      <c r="C16">
        <v>8809381442483</v>
      </c>
      <c r="D16" t="s">
        <v>3584</v>
      </c>
      <c r="E16" t="s">
        <v>3585</v>
      </c>
      <c r="F16" t="s">
        <v>49</v>
      </c>
      <c r="G16" s="38" t="s">
        <v>3586</v>
      </c>
      <c r="H16">
        <v>6</v>
      </c>
      <c r="I16" t="s">
        <v>820</v>
      </c>
      <c r="J16">
        <v>15900</v>
      </c>
      <c r="K16">
        <v>6</v>
      </c>
      <c r="L16">
        <v>3</v>
      </c>
      <c r="M16">
        <v>3</v>
      </c>
      <c r="N16"/>
      <c r="O16" s="35" t="s">
        <v>3550</v>
      </c>
      <c r="P16" s="33" t="s">
        <v>3567</v>
      </c>
      <c r="Q16" s="37">
        <v>8510</v>
      </c>
      <c r="R16" t="s">
        <v>261</v>
      </c>
      <c r="S16">
        <v>3</v>
      </c>
      <c r="T16"/>
      <c r="U16" s="10"/>
      <c r="V16"/>
      <c r="W16"/>
      <c r="X16" s="10"/>
      <c r="Y16"/>
      <c r="Z16" s="10"/>
      <c r="AA16"/>
      <c r="AB16"/>
      <c r="AC16"/>
      <c r="AD16"/>
    </row>
    <row r="17" spans="1:30" x14ac:dyDescent="0.4">
      <c r="A17" t="s">
        <v>3587</v>
      </c>
      <c r="B17">
        <v>20180119</v>
      </c>
      <c r="C17">
        <v>8806173431458</v>
      </c>
      <c r="D17" t="s">
        <v>3588</v>
      </c>
      <c r="E17" t="s">
        <v>1093</v>
      </c>
      <c r="F17" t="s">
        <v>198</v>
      </c>
      <c r="G17" s="38" t="s">
        <v>3589</v>
      </c>
      <c r="H17">
        <v>0</v>
      </c>
      <c r="I17" t="s">
        <v>820</v>
      </c>
      <c r="J17">
        <v>900</v>
      </c>
      <c r="K17" s="34">
        <v>10</v>
      </c>
      <c r="L17">
        <v>0</v>
      </c>
      <c r="M17">
        <v>10</v>
      </c>
      <c r="N17"/>
      <c r="O17" t="s">
        <v>3544</v>
      </c>
      <c r="P17" s="33">
        <v>0.7</v>
      </c>
      <c r="Q17">
        <v>630</v>
      </c>
      <c r="R17" t="s">
        <v>199</v>
      </c>
      <c r="S17">
        <v>0</v>
      </c>
      <c r="T17"/>
      <c r="U17" s="10"/>
      <c r="V17"/>
      <c r="W17"/>
      <c r="X17" s="10"/>
      <c r="Y17"/>
      <c r="Z17" s="10"/>
      <c r="AA17"/>
      <c r="AB17"/>
      <c r="AC17"/>
      <c r="AD17"/>
    </row>
    <row r="18" spans="1:30" x14ac:dyDescent="0.4">
      <c r="A18" t="s">
        <v>3590</v>
      </c>
      <c r="B18">
        <v>20180119</v>
      </c>
      <c r="C18">
        <v>8806390561228</v>
      </c>
      <c r="D18" t="s">
        <v>2848</v>
      </c>
      <c r="E18" t="s">
        <v>3591</v>
      </c>
      <c r="F18" t="s">
        <v>205</v>
      </c>
      <c r="G18" s="38" t="s">
        <v>2849</v>
      </c>
      <c r="H18">
        <v>13</v>
      </c>
      <c r="I18" t="s">
        <v>820</v>
      </c>
      <c r="J18">
        <v>0</v>
      </c>
      <c r="K18" s="34">
        <v>10</v>
      </c>
      <c r="L18">
        <v>0</v>
      </c>
      <c r="M18">
        <v>0</v>
      </c>
      <c r="N18"/>
      <c r="O18" s="35" t="s">
        <v>3550</v>
      </c>
      <c r="P18" s="33">
        <v>0.62</v>
      </c>
      <c r="Q18">
        <v>0</v>
      </c>
      <c r="R18" t="s">
        <v>206</v>
      </c>
      <c r="S18">
        <v>10</v>
      </c>
      <c r="T18">
        <v>10</v>
      </c>
      <c r="U18"/>
      <c r="V18"/>
      <c r="W18"/>
      <c r="X18"/>
      <c r="Y18"/>
      <c r="Z18"/>
      <c r="AA18"/>
      <c r="AB18"/>
      <c r="AC18"/>
      <c r="AD18"/>
    </row>
    <row r="19" spans="1:30" x14ac:dyDescent="0.4">
      <c r="A19" t="s">
        <v>3592</v>
      </c>
      <c r="B19">
        <v>20180119</v>
      </c>
      <c r="C19">
        <v>8806185796262</v>
      </c>
      <c r="D19" t="s">
        <v>3486</v>
      </c>
      <c r="E19" t="s">
        <v>3593</v>
      </c>
      <c r="F19" t="s">
        <v>200</v>
      </c>
      <c r="G19" s="38" t="s">
        <v>3487</v>
      </c>
      <c r="H19">
        <v>0</v>
      </c>
      <c r="I19" t="s">
        <v>820</v>
      </c>
      <c r="J19">
        <v>14800</v>
      </c>
      <c r="K19">
        <v>3</v>
      </c>
      <c r="L19">
        <v>0</v>
      </c>
      <c r="M19">
        <v>0</v>
      </c>
      <c r="N19"/>
      <c r="O19" t="s">
        <v>3544</v>
      </c>
      <c r="P19" s="33">
        <v>0.47</v>
      </c>
      <c r="Q19">
        <v>6956</v>
      </c>
      <c r="R19" t="s">
        <v>201</v>
      </c>
      <c r="S19">
        <v>0</v>
      </c>
      <c r="T19"/>
      <c r="U19" s="10">
        <v>43115</v>
      </c>
      <c r="V19" t="s">
        <v>820</v>
      </c>
      <c r="W19"/>
      <c r="X19" s="10"/>
      <c r="Y19"/>
      <c r="Z19" s="10"/>
      <c r="AA19"/>
      <c r="AB19"/>
      <c r="AC19" t="s">
        <v>3547</v>
      </c>
      <c r="AD19"/>
    </row>
    <row r="20" spans="1:30" x14ac:dyDescent="0.4">
      <c r="A20" t="s">
        <v>3594</v>
      </c>
      <c r="B20">
        <v>20180119</v>
      </c>
      <c r="C20">
        <v>8806185757096</v>
      </c>
      <c r="D20" t="s">
        <v>3595</v>
      </c>
      <c r="E20" t="s">
        <v>3596</v>
      </c>
      <c r="F20" t="s">
        <v>200</v>
      </c>
      <c r="G20" s="38" t="s">
        <v>3597</v>
      </c>
      <c r="H20">
        <v>0</v>
      </c>
      <c r="I20" t="s">
        <v>820</v>
      </c>
      <c r="J20">
        <v>7000</v>
      </c>
      <c r="K20">
        <v>2</v>
      </c>
      <c r="L20">
        <v>0</v>
      </c>
      <c r="M20">
        <v>2</v>
      </c>
      <c r="N20"/>
      <c r="O20" t="s">
        <v>3544</v>
      </c>
      <c r="P20" s="33">
        <v>0.47</v>
      </c>
      <c r="Q20">
        <v>3290</v>
      </c>
      <c r="R20" t="s">
        <v>201</v>
      </c>
      <c r="S20">
        <v>0</v>
      </c>
      <c r="T20"/>
      <c r="U20" s="10"/>
      <c r="V20"/>
      <c r="W20"/>
      <c r="X20" s="10"/>
      <c r="Y20"/>
      <c r="Z20" s="10"/>
      <c r="AA20"/>
      <c r="AB20"/>
      <c r="AC20"/>
      <c r="AD20"/>
    </row>
    <row r="21" spans="1:30" x14ac:dyDescent="0.4">
      <c r="A21" t="s">
        <v>3598</v>
      </c>
      <c r="B21">
        <v>20180119</v>
      </c>
      <c r="C21">
        <v>8806185752237</v>
      </c>
      <c r="D21" t="s">
        <v>3384</v>
      </c>
      <c r="E21" t="s">
        <v>3599</v>
      </c>
      <c r="F21" t="s">
        <v>200</v>
      </c>
      <c r="G21" s="38" t="s">
        <v>3385</v>
      </c>
      <c r="H21">
        <v>56</v>
      </c>
      <c r="I21" t="s">
        <v>820</v>
      </c>
      <c r="J21">
        <v>0</v>
      </c>
      <c r="K21" s="34">
        <v>60</v>
      </c>
      <c r="L21">
        <v>0</v>
      </c>
      <c r="M21">
        <v>0</v>
      </c>
      <c r="N21"/>
      <c r="O21" s="35" t="s">
        <v>3550</v>
      </c>
      <c r="P21" s="33">
        <v>0.47</v>
      </c>
      <c r="Q21">
        <v>0</v>
      </c>
      <c r="R21" t="s">
        <v>201</v>
      </c>
      <c r="S21">
        <v>0</v>
      </c>
      <c r="T21"/>
      <c r="U21" s="10">
        <v>43115</v>
      </c>
      <c r="V21" t="s">
        <v>820</v>
      </c>
      <c r="W21"/>
      <c r="X21" s="10"/>
      <c r="Y21"/>
      <c r="Z21" s="10"/>
      <c r="AA21"/>
      <c r="AB21"/>
      <c r="AC21" t="s">
        <v>3547</v>
      </c>
      <c r="AD21"/>
    </row>
    <row r="22" spans="1:30" x14ac:dyDescent="0.4">
      <c r="A22" t="s">
        <v>3600</v>
      </c>
      <c r="B22">
        <v>20180119</v>
      </c>
      <c r="C22" s="36">
        <v>14495820000</v>
      </c>
      <c r="D22" t="s">
        <v>3001</v>
      </c>
      <c r="E22" t="s">
        <v>3601</v>
      </c>
      <c r="F22" t="s">
        <v>97</v>
      </c>
      <c r="G22" s="38" t="s">
        <v>3002</v>
      </c>
      <c r="H22">
        <v>6</v>
      </c>
      <c r="I22" t="s">
        <v>820</v>
      </c>
      <c r="J22">
        <v>0</v>
      </c>
      <c r="K22" s="34">
        <v>50</v>
      </c>
      <c r="L22">
        <v>40</v>
      </c>
      <c r="M22">
        <v>-20</v>
      </c>
      <c r="N22"/>
      <c r="O22" s="35" t="s">
        <v>3550</v>
      </c>
      <c r="P22" s="33">
        <v>0.65</v>
      </c>
      <c r="Q22">
        <v>0</v>
      </c>
      <c r="R22" t="s">
        <v>77</v>
      </c>
      <c r="S22">
        <v>70</v>
      </c>
      <c r="T22">
        <v>30</v>
      </c>
      <c r="U22"/>
      <c r="V22"/>
      <c r="W22"/>
      <c r="X22"/>
      <c r="Y22"/>
      <c r="Z22"/>
      <c r="AA22"/>
      <c r="AB22"/>
      <c r="AC22"/>
      <c r="AD22"/>
    </row>
    <row r="23" spans="1:30" x14ac:dyDescent="0.4">
      <c r="A23" t="s">
        <v>3602</v>
      </c>
      <c r="B23">
        <v>20180119</v>
      </c>
      <c r="C23">
        <v>8809221271723</v>
      </c>
      <c r="D23" t="s">
        <v>3230</v>
      </c>
      <c r="E23" t="s">
        <v>3603</v>
      </c>
      <c r="F23" t="s">
        <v>226</v>
      </c>
      <c r="G23" s="38" t="s">
        <v>3231</v>
      </c>
      <c r="H23">
        <v>2</v>
      </c>
      <c r="I23" t="s">
        <v>820</v>
      </c>
      <c r="J23">
        <v>7900</v>
      </c>
      <c r="K23">
        <v>5</v>
      </c>
      <c r="L23">
        <v>4</v>
      </c>
      <c r="M23">
        <v>0</v>
      </c>
      <c r="N23"/>
      <c r="O23" s="35" t="s">
        <v>3550</v>
      </c>
      <c r="P23" s="33">
        <v>0.48</v>
      </c>
      <c r="Q23">
        <v>3792</v>
      </c>
      <c r="R23" t="s">
        <v>227</v>
      </c>
      <c r="S23">
        <v>4</v>
      </c>
      <c r="T23">
        <v>0</v>
      </c>
      <c r="U23" s="10">
        <v>43118</v>
      </c>
      <c r="V23" t="s">
        <v>820</v>
      </c>
      <c r="W23">
        <v>1</v>
      </c>
      <c r="X23" s="10">
        <v>43120</v>
      </c>
      <c r="Y23"/>
      <c r="Z23" s="10"/>
      <c r="AA23"/>
      <c r="AB23"/>
      <c r="AC23" t="s">
        <v>3547</v>
      </c>
      <c r="AD23"/>
    </row>
    <row r="24" spans="1:30" x14ac:dyDescent="0.4">
      <c r="A24" t="s">
        <v>3604</v>
      </c>
      <c r="B24">
        <v>20180119</v>
      </c>
      <c r="C24">
        <v>8809305996689</v>
      </c>
      <c r="D24" t="s">
        <v>3605</v>
      </c>
      <c r="E24"/>
      <c r="F24" t="s">
        <v>222</v>
      </c>
      <c r="G24" s="38" t="s">
        <v>3606</v>
      </c>
      <c r="H24">
        <v>0</v>
      </c>
      <c r="I24" t="s">
        <v>820</v>
      </c>
      <c r="J24">
        <v>1000</v>
      </c>
      <c r="K24">
        <v>2</v>
      </c>
      <c r="L24">
        <v>0</v>
      </c>
      <c r="M24">
        <v>2</v>
      </c>
      <c r="N24"/>
      <c r="O24" t="s">
        <v>3544</v>
      </c>
      <c r="P24" s="33" t="s">
        <v>3567</v>
      </c>
      <c r="Q24" s="37">
        <v>350</v>
      </c>
      <c r="R24" t="s">
        <v>261</v>
      </c>
      <c r="S24">
        <v>0</v>
      </c>
      <c r="T24"/>
      <c r="U24" s="10"/>
      <c r="V24"/>
      <c r="W24"/>
      <c r="X24" s="10"/>
      <c r="Y24"/>
      <c r="Z24" s="10"/>
      <c r="AA24"/>
      <c r="AB24"/>
      <c r="AC24"/>
      <c r="AD24"/>
    </row>
    <row r="25" spans="1:30" x14ac:dyDescent="0.4">
      <c r="A25" t="s">
        <v>3607</v>
      </c>
      <c r="B25">
        <v>20180119</v>
      </c>
      <c r="C25">
        <v>8809305996696</v>
      </c>
      <c r="D25" t="s">
        <v>3608</v>
      </c>
      <c r="E25"/>
      <c r="F25" t="s">
        <v>222</v>
      </c>
      <c r="G25" s="38" t="s">
        <v>3609</v>
      </c>
      <c r="H25">
        <v>0</v>
      </c>
      <c r="I25" t="s">
        <v>820</v>
      </c>
      <c r="J25">
        <v>1000</v>
      </c>
      <c r="K25">
        <v>3</v>
      </c>
      <c r="L25">
        <v>0</v>
      </c>
      <c r="M25">
        <v>3</v>
      </c>
      <c r="N25"/>
      <c r="O25" t="s">
        <v>3544</v>
      </c>
      <c r="P25" s="33" t="s">
        <v>3567</v>
      </c>
      <c r="Q25" s="37">
        <v>350</v>
      </c>
      <c r="R25" t="s">
        <v>261</v>
      </c>
      <c r="S25">
        <v>0</v>
      </c>
      <c r="T25"/>
      <c r="U25" s="10"/>
      <c r="V25"/>
      <c r="W25"/>
      <c r="X25" s="10"/>
      <c r="Y25"/>
      <c r="Z25" s="10"/>
      <c r="AA25"/>
      <c r="AB25"/>
      <c r="AC25"/>
      <c r="AD25"/>
    </row>
    <row r="26" spans="1:30" x14ac:dyDescent="0.4">
      <c r="A26" t="s">
        <v>3610</v>
      </c>
      <c r="B26">
        <v>20180119</v>
      </c>
      <c r="C26">
        <v>8809305996672</v>
      </c>
      <c r="D26" t="s">
        <v>3611</v>
      </c>
      <c r="E26"/>
      <c r="F26" t="s">
        <v>222</v>
      </c>
      <c r="G26" s="38" t="s">
        <v>3612</v>
      </c>
      <c r="H26">
        <v>0</v>
      </c>
      <c r="I26" t="s">
        <v>820</v>
      </c>
      <c r="J26">
        <v>1000</v>
      </c>
      <c r="K26">
        <v>5</v>
      </c>
      <c r="L26">
        <v>0</v>
      </c>
      <c r="M26">
        <v>5</v>
      </c>
      <c r="N26"/>
      <c r="O26" t="s">
        <v>3544</v>
      </c>
      <c r="P26" s="33" t="s">
        <v>3567</v>
      </c>
      <c r="Q26" s="37">
        <v>350</v>
      </c>
      <c r="R26" t="s">
        <v>261</v>
      </c>
      <c r="S26">
        <v>0</v>
      </c>
      <c r="T26"/>
      <c r="U26" s="10"/>
      <c r="V26"/>
      <c r="W26"/>
      <c r="X26" s="10"/>
      <c r="Y26"/>
      <c r="Z26" s="10"/>
      <c r="AA26"/>
      <c r="AB26"/>
      <c r="AC26"/>
      <c r="AD26"/>
    </row>
    <row r="27" spans="1:30" x14ac:dyDescent="0.4">
      <c r="A27" t="s">
        <v>3613</v>
      </c>
      <c r="B27">
        <v>20180119</v>
      </c>
      <c r="C27">
        <v>8809305996702</v>
      </c>
      <c r="D27" t="s">
        <v>3614</v>
      </c>
      <c r="E27"/>
      <c r="F27" t="s">
        <v>222</v>
      </c>
      <c r="G27" s="38" t="s">
        <v>3615</v>
      </c>
      <c r="H27">
        <v>0</v>
      </c>
      <c r="I27" t="s">
        <v>820</v>
      </c>
      <c r="J27">
        <v>1000</v>
      </c>
      <c r="K27">
        <v>1</v>
      </c>
      <c r="L27">
        <v>0</v>
      </c>
      <c r="M27">
        <v>1</v>
      </c>
      <c r="N27"/>
      <c r="O27" t="s">
        <v>3544</v>
      </c>
      <c r="P27" s="33" t="s">
        <v>3567</v>
      </c>
      <c r="Q27" s="37">
        <v>350</v>
      </c>
      <c r="R27" t="s">
        <v>261</v>
      </c>
      <c r="S27">
        <v>0</v>
      </c>
      <c r="T27"/>
      <c r="U27" s="10"/>
      <c r="V27"/>
      <c r="W27"/>
      <c r="X27" s="10"/>
      <c r="Y27"/>
      <c r="Z27" s="10"/>
      <c r="AA27"/>
      <c r="AB27"/>
      <c r="AC27"/>
      <c r="AD27"/>
    </row>
    <row r="28" spans="1:30" x14ac:dyDescent="0.4">
      <c r="A28" t="s">
        <v>3616</v>
      </c>
      <c r="B28">
        <v>20180119</v>
      </c>
      <c r="C28">
        <v>8809305996733</v>
      </c>
      <c r="D28" t="s">
        <v>3617</v>
      </c>
      <c r="E28"/>
      <c r="F28" t="s">
        <v>222</v>
      </c>
      <c r="G28" s="38" t="s">
        <v>3618</v>
      </c>
      <c r="H28">
        <v>0</v>
      </c>
      <c r="I28" t="s">
        <v>820</v>
      </c>
      <c r="J28">
        <v>1000</v>
      </c>
      <c r="K28">
        <v>3</v>
      </c>
      <c r="L28">
        <v>0</v>
      </c>
      <c r="M28">
        <v>3</v>
      </c>
      <c r="N28"/>
      <c r="O28" t="s">
        <v>3544</v>
      </c>
      <c r="P28" s="33" t="s">
        <v>3567</v>
      </c>
      <c r="Q28" s="37">
        <v>350</v>
      </c>
      <c r="R28" t="s">
        <v>261</v>
      </c>
      <c r="S28">
        <v>0</v>
      </c>
      <c r="T28"/>
      <c r="U28" s="10"/>
      <c r="V28"/>
      <c r="W28"/>
      <c r="X28" s="10"/>
      <c r="Y28"/>
      <c r="Z28" s="10"/>
      <c r="AA28"/>
      <c r="AB28"/>
      <c r="AC28"/>
      <c r="AD28"/>
    </row>
    <row r="29" spans="1:30" x14ac:dyDescent="0.4">
      <c r="A29" t="s">
        <v>3619</v>
      </c>
      <c r="B29">
        <v>20180119</v>
      </c>
      <c r="C29">
        <v>8809305994678</v>
      </c>
      <c r="D29" t="s">
        <v>3620</v>
      </c>
      <c r="E29"/>
      <c r="F29" t="s">
        <v>222</v>
      </c>
      <c r="G29" s="38" t="s">
        <v>3621</v>
      </c>
      <c r="H29">
        <v>0</v>
      </c>
      <c r="I29" t="s">
        <v>820</v>
      </c>
      <c r="J29">
        <v>5000</v>
      </c>
      <c r="K29">
        <v>1</v>
      </c>
      <c r="L29">
        <v>0</v>
      </c>
      <c r="M29">
        <v>1</v>
      </c>
      <c r="N29"/>
      <c r="O29" t="s">
        <v>3544</v>
      </c>
      <c r="P29" s="33" t="s">
        <v>3567</v>
      </c>
      <c r="Q29" s="37">
        <v>1750</v>
      </c>
      <c r="R29" t="s">
        <v>261</v>
      </c>
      <c r="S29">
        <v>0</v>
      </c>
      <c r="T29"/>
      <c r="U29" s="10"/>
      <c r="V29"/>
      <c r="W29"/>
      <c r="X29" s="10"/>
      <c r="Y29"/>
      <c r="Z29" s="10"/>
      <c r="AA29"/>
      <c r="AB29"/>
      <c r="AC29"/>
      <c r="AD29"/>
    </row>
    <row r="30" spans="1:30" x14ac:dyDescent="0.4">
      <c r="A30" t="s">
        <v>3622</v>
      </c>
      <c r="B30">
        <v>20180119</v>
      </c>
      <c r="C30">
        <v>8806390554480</v>
      </c>
      <c r="D30" t="s">
        <v>2872</v>
      </c>
      <c r="E30" t="s">
        <v>3623</v>
      </c>
      <c r="F30" t="s">
        <v>210</v>
      </c>
      <c r="G30" s="38" t="s">
        <v>2873</v>
      </c>
      <c r="H30">
        <v>0</v>
      </c>
      <c r="I30" t="s">
        <v>820</v>
      </c>
      <c r="J30">
        <v>7500</v>
      </c>
      <c r="K30">
        <v>2</v>
      </c>
      <c r="L30">
        <v>0</v>
      </c>
      <c r="M30">
        <v>0</v>
      </c>
      <c r="N30"/>
      <c r="O30" t="s">
        <v>3544</v>
      </c>
      <c r="P30" s="33">
        <v>0.62</v>
      </c>
      <c r="Q30">
        <v>4650</v>
      </c>
      <c r="R30" t="s">
        <v>206</v>
      </c>
      <c r="S30">
        <v>2</v>
      </c>
      <c r="T30">
        <v>2</v>
      </c>
      <c r="U30">
        <v>43118</v>
      </c>
      <c r="V30" t="s">
        <v>820</v>
      </c>
      <c r="W30">
        <v>1</v>
      </c>
      <c r="X30"/>
      <c r="Y30"/>
      <c r="Z30"/>
      <c r="AA30"/>
      <c r="AB30"/>
      <c r="AC30"/>
      <c r="AD30"/>
    </row>
    <row r="31" spans="1:30" x14ac:dyDescent="0.4">
      <c r="A31" t="s">
        <v>3624</v>
      </c>
      <c r="B31">
        <v>20180119</v>
      </c>
      <c r="C31">
        <v>8806150629618</v>
      </c>
      <c r="D31" t="s">
        <v>2725</v>
      </c>
      <c r="E31" t="s">
        <v>3625</v>
      </c>
      <c r="F31" t="s">
        <v>194</v>
      </c>
      <c r="G31" s="38" t="s">
        <v>2726</v>
      </c>
      <c r="H31">
        <v>0</v>
      </c>
      <c r="I31" t="s">
        <v>820</v>
      </c>
      <c r="J31">
        <v>3000</v>
      </c>
      <c r="K31">
        <v>1</v>
      </c>
      <c r="L31">
        <v>0</v>
      </c>
      <c r="M31">
        <v>0</v>
      </c>
      <c r="N31"/>
      <c r="O31" t="s">
        <v>3544</v>
      </c>
      <c r="P31" s="33">
        <v>1</v>
      </c>
      <c r="Q31">
        <v>3000</v>
      </c>
      <c r="R31" t="s">
        <v>195</v>
      </c>
      <c r="S31">
        <v>1</v>
      </c>
      <c r="T31">
        <v>1</v>
      </c>
      <c r="U31"/>
      <c r="V31"/>
      <c r="W31"/>
      <c r="X31"/>
      <c r="Y31"/>
      <c r="Z31"/>
      <c r="AA31"/>
      <c r="AB31"/>
      <c r="AC31"/>
      <c r="AD31"/>
    </row>
    <row r="32" spans="1:30" x14ac:dyDescent="0.4">
      <c r="A32" t="s">
        <v>3626</v>
      </c>
      <c r="B32">
        <v>20180119</v>
      </c>
      <c r="C32">
        <v>8809530031841</v>
      </c>
      <c r="D32" t="s">
        <v>2727</v>
      </c>
      <c r="E32" t="s">
        <v>3627</v>
      </c>
      <c r="F32" t="s">
        <v>194</v>
      </c>
      <c r="G32" s="38" t="s">
        <v>2728</v>
      </c>
      <c r="H32">
        <v>0</v>
      </c>
      <c r="I32" t="s">
        <v>820</v>
      </c>
      <c r="J32">
        <v>1000</v>
      </c>
      <c r="K32">
        <v>3</v>
      </c>
      <c r="L32">
        <v>0</v>
      </c>
      <c r="M32">
        <v>0</v>
      </c>
      <c r="N32"/>
      <c r="O32" t="s">
        <v>3544</v>
      </c>
      <c r="P32" s="33">
        <v>1</v>
      </c>
      <c r="Q32">
        <v>1000</v>
      </c>
      <c r="R32" t="s">
        <v>195</v>
      </c>
      <c r="S32">
        <v>3</v>
      </c>
      <c r="T32">
        <v>3</v>
      </c>
      <c r="U32"/>
      <c r="V32"/>
      <c r="W32"/>
      <c r="X32"/>
      <c r="Y32"/>
      <c r="Z32"/>
      <c r="AA32"/>
      <c r="AB32"/>
      <c r="AC32"/>
      <c r="AD32"/>
    </row>
    <row r="33" spans="1:30" x14ac:dyDescent="0.4">
      <c r="A33" t="s">
        <v>3628</v>
      </c>
      <c r="B33">
        <v>20180119</v>
      </c>
      <c r="C33">
        <v>8806199429798</v>
      </c>
      <c r="D33" t="s">
        <v>3629</v>
      </c>
      <c r="E33" t="s">
        <v>3630</v>
      </c>
      <c r="F33" t="s">
        <v>215</v>
      </c>
      <c r="G33" s="38" t="s">
        <v>3631</v>
      </c>
      <c r="H33">
        <v>15</v>
      </c>
      <c r="I33" t="s">
        <v>820</v>
      </c>
      <c r="J33">
        <v>0</v>
      </c>
      <c r="K33" s="34">
        <v>20</v>
      </c>
      <c r="L33">
        <v>0</v>
      </c>
      <c r="M33">
        <v>20</v>
      </c>
      <c r="N33"/>
      <c r="O33" s="35" t="s">
        <v>3550</v>
      </c>
      <c r="P33" s="33">
        <v>0.6</v>
      </c>
      <c r="Q33">
        <v>0</v>
      </c>
      <c r="R33" t="s">
        <v>216</v>
      </c>
      <c r="S33">
        <v>0</v>
      </c>
      <c r="T33"/>
      <c r="U33" s="10"/>
      <c r="V33"/>
      <c r="W33"/>
      <c r="X33" s="10"/>
      <c r="Y33"/>
      <c r="Z33" s="10"/>
      <c r="AA33"/>
      <c r="AB33"/>
      <c r="AC33"/>
      <c r="AD33"/>
    </row>
    <row r="34" spans="1:30" x14ac:dyDescent="0.4">
      <c r="A34" t="s">
        <v>3632</v>
      </c>
      <c r="B34">
        <v>20180119</v>
      </c>
      <c r="C34">
        <v>8806199441547</v>
      </c>
      <c r="D34" t="s">
        <v>2941</v>
      </c>
      <c r="E34" t="s">
        <v>3633</v>
      </c>
      <c r="F34" t="s">
        <v>215</v>
      </c>
      <c r="G34" s="38" t="s">
        <v>2942</v>
      </c>
      <c r="H34">
        <v>0</v>
      </c>
      <c r="I34" t="s">
        <v>820</v>
      </c>
      <c r="J34">
        <v>12000</v>
      </c>
      <c r="K34">
        <v>2</v>
      </c>
      <c r="L34">
        <v>1</v>
      </c>
      <c r="M34">
        <v>0</v>
      </c>
      <c r="N34"/>
      <c r="O34" t="s">
        <v>3544</v>
      </c>
      <c r="P34" s="33">
        <v>0.6</v>
      </c>
      <c r="Q34">
        <v>7200</v>
      </c>
      <c r="R34" t="s">
        <v>216</v>
      </c>
      <c r="S34">
        <v>1</v>
      </c>
      <c r="T34">
        <v>0</v>
      </c>
      <c r="U34" s="10">
        <v>43118</v>
      </c>
      <c r="V34" t="s">
        <v>820</v>
      </c>
      <c r="W34"/>
      <c r="X34" s="10"/>
      <c r="Y34"/>
      <c r="Z34" s="10"/>
      <c r="AA34"/>
      <c r="AB34"/>
      <c r="AC34" t="s">
        <v>3547</v>
      </c>
      <c r="AD34"/>
    </row>
    <row r="35" spans="1:30" x14ac:dyDescent="0.4">
      <c r="A35" t="s">
        <v>3634</v>
      </c>
      <c r="B35">
        <v>20180119</v>
      </c>
      <c r="C35">
        <v>8806173590490</v>
      </c>
      <c r="D35" t="s">
        <v>3285</v>
      </c>
      <c r="E35" t="s">
        <v>3635</v>
      </c>
      <c r="F35" t="s">
        <v>117</v>
      </c>
      <c r="G35" s="38" t="s">
        <v>3286</v>
      </c>
      <c r="H35">
        <v>17</v>
      </c>
      <c r="I35" t="s">
        <v>820</v>
      </c>
      <c r="J35">
        <v>0</v>
      </c>
      <c r="K35" s="34">
        <v>10</v>
      </c>
      <c r="L35">
        <v>1</v>
      </c>
      <c r="M35">
        <v>0</v>
      </c>
      <c r="N35"/>
      <c r="O35" s="35" t="s">
        <v>3550</v>
      </c>
      <c r="P35" s="33">
        <v>0.55000000000000004</v>
      </c>
      <c r="Q35">
        <v>0</v>
      </c>
      <c r="R35" t="s">
        <v>118</v>
      </c>
      <c r="S35">
        <v>1</v>
      </c>
      <c r="T35"/>
      <c r="U35" s="10">
        <v>43117</v>
      </c>
      <c r="V35" t="s">
        <v>820</v>
      </c>
      <c r="W35"/>
      <c r="X35" s="10"/>
      <c r="Y35"/>
      <c r="Z35" s="10"/>
      <c r="AA35"/>
      <c r="AB35"/>
      <c r="AC35" t="s">
        <v>3547</v>
      </c>
      <c r="AD35"/>
    </row>
    <row r="36" spans="1:30" x14ac:dyDescent="0.4">
      <c r="A36" t="s">
        <v>3636</v>
      </c>
      <c r="B36">
        <v>20180119</v>
      </c>
      <c r="C36" s="36">
        <v>15870820000</v>
      </c>
      <c r="D36" t="s">
        <v>2989</v>
      </c>
      <c r="E36" t="s">
        <v>3637</v>
      </c>
      <c r="F36" t="s">
        <v>158</v>
      </c>
      <c r="G36" s="38" t="s">
        <v>2990</v>
      </c>
      <c r="H36">
        <v>44</v>
      </c>
      <c r="I36" t="s">
        <v>820</v>
      </c>
      <c r="J36">
        <v>0</v>
      </c>
      <c r="K36" s="34">
        <v>40</v>
      </c>
      <c r="L36">
        <v>2</v>
      </c>
      <c r="M36">
        <v>0</v>
      </c>
      <c r="N36"/>
      <c r="O36" s="35" t="s">
        <v>3550</v>
      </c>
      <c r="P36" s="33" t="s">
        <v>3567</v>
      </c>
      <c r="Q36" s="37">
        <v>110</v>
      </c>
      <c r="R36" t="s">
        <v>261</v>
      </c>
      <c r="S36">
        <v>2</v>
      </c>
      <c r="T36">
        <v>0</v>
      </c>
      <c r="U36" s="10">
        <v>43118</v>
      </c>
      <c r="V36" t="s">
        <v>820</v>
      </c>
      <c r="W36"/>
      <c r="X36" s="10"/>
      <c r="Y36"/>
      <c r="Z36" s="10"/>
      <c r="AA36"/>
      <c r="AB36"/>
      <c r="AC36" t="s">
        <v>3547</v>
      </c>
      <c r="AD36"/>
    </row>
    <row r="37" spans="1:30" x14ac:dyDescent="0.4">
      <c r="A37" t="s">
        <v>3638</v>
      </c>
      <c r="B37">
        <v>20180119</v>
      </c>
      <c r="C37" s="36">
        <v>15871420000</v>
      </c>
      <c r="D37" t="s">
        <v>3410</v>
      </c>
      <c r="E37" t="s">
        <v>3639</v>
      </c>
      <c r="F37" t="s">
        <v>158</v>
      </c>
      <c r="G37" s="38" t="s">
        <v>3411</v>
      </c>
      <c r="H37">
        <v>40</v>
      </c>
      <c r="I37" t="s">
        <v>820</v>
      </c>
      <c r="J37">
        <v>0</v>
      </c>
      <c r="K37" s="34">
        <v>30</v>
      </c>
      <c r="L37">
        <v>0</v>
      </c>
      <c r="M37">
        <v>0</v>
      </c>
      <c r="N37"/>
      <c r="O37" s="35" t="s">
        <v>3550</v>
      </c>
      <c r="P37" s="33" t="s">
        <v>3567</v>
      </c>
      <c r="Q37" s="37">
        <v>110</v>
      </c>
      <c r="R37" t="s">
        <v>261</v>
      </c>
      <c r="S37">
        <v>0</v>
      </c>
      <c r="T37"/>
      <c r="U37" s="10">
        <v>43115</v>
      </c>
      <c r="V37" t="s">
        <v>820</v>
      </c>
      <c r="W37"/>
      <c r="X37" s="10"/>
      <c r="Y37"/>
      <c r="Z37" s="10"/>
      <c r="AA37"/>
      <c r="AB37"/>
      <c r="AC37" t="s">
        <v>3547</v>
      </c>
      <c r="AD37"/>
    </row>
    <row r="38" spans="1:30" x14ac:dyDescent="0.4">
      <c r="A38" t="s">
        <v>3640</v>
      </c>
      <c r="B38">
        <v>20180119</v>
      </c>
      <c r="C38">
        <v>8806194015712</v>
      </c>
      <c r="D38" t="s">
        <v>3294</v>
      </c>
      <c r="E38" t="s">
        <v>3641</v>
      </c>
      <c r="F38" t="s">
        <v>135</v>
      </c>
      <c r="G38" s="38" t="s">
        <v>3295</v>
      </c>
      <c r="H38">
        <v>3</v>
      </c>
      <c r="I38" t="s">
        <v>820</v>
      </c>
      <c r="J38">
        <v>0</v>
      </c>
      <c r="K38" s="34">
        <v>30</v>
      </c>
      <c r="L38">
        <v>0</v>
      </c>
      <c r="M38">
        <v>0</v>
      </c>
      <c r="N38"/>
      <c r="O38" t="s">
        <v>3544</v>
      </c>
      <c r="P38" s="33">
        <v>0.55000000000000004</v>
      </c>
      <c r="Q38">
        <v>0</v>
      </c>
      <c r="R38" t="s">
        <v>136</v>
      </c>
      <c r="S38">
        <v>0</v>
      </c>
      <c r="T38"/>
      <c r="U38" s="10">
        <v>43118</v>
      </c>
      <c r="V38" t="s">
        <v>820</v>
      </c>
      <c r="W38"/>
      <c r="X38" s="10"/>
      <c r="Y38"/>
      <c r="Z38" s="10"/>
      <c r="AA38"/>
      <c r="AB38"/>
      <c r="AC38" t="s">
        <v>3547</v>
      </c>
      <c r="AD38"/>
    </row>
    <row r="39" spans="1:30" x14ac:dyDescent="0.4">
      <c r="A39" t="s">
        <v>3642</v>
      </c>
      <c r="B39">
        <v>20180119</v>
      </c>
      <c r="C39" s="36">
        <v>16788420000</v>
      </c>
      <c r="D39" t="s">
        <v>3643</v>
      </c>
      <c r="E39"/>
      <c r="F39" t="s">
        <v>135</v>
      </c>
      <c r="G39" s="38" t="s">
        <v>3644</v>
      </c>
      <c r="H39">
        <v>0</v>
      </c>
      <c r="I39" t="s">
        <v>820</v>
      </c>
      <c r="J39">
        <v>4500</v>
      </c>
      <c r="K39">
        <v>1</v>
      </c>
      <c r="L39">
        <v>0</v>
      </c>
      <c r="M39">
        <v>1</v>
      </c>
      <c r="N39"/>
      <c r="O39" t="s">
        <v>3544</v>
      </c>
      <c r="P39" s="33">
        <v>0.55000000000000004</v>
      </c>
      <c r="Q39">
        <v>2475</v>
      </c>
      <c r="R39" t="s">
        <v>136</v>
      </c>
      <c r="S39">
        <v>0</v>
      </c>
      <c r="T39"/>
      <c r="U39" s="10"/>
      <c r="V39"/>
      <c r="W39"/>
      <c r="X39" s="10"/>
      <c r="Y39"/>
      <c r="Z39" s="10"/>
      <c r="AA39"/>
      <c r="AB39"/>
      <c r="AC39"/>
      <c r="AD39"/>
    </row>
    <row r="40" spans="1:30" x14ac:dyDescent="0.4">
      <c r="A40" t="s">
        <v>3645</v>
      </c>
      <c r="B40">
        <v>20180119</v>
      </c>
      <c r="C40" s="36">
        <v>16788520000</v>
      </c>
      <c r="D40" t="s">
        <v>3646</v>
      </c>
      <c r="E40"/>
      <c r="F40" t="s">
        <v>135</v>
      </c>
      <c r="G40" s="38" t="s">
        <v>3647</v>
      </c>
      <c r="H40">
        <v>0</v>
      </c>
      <c r="I40" t="s">
        <v>820</v>
      </c>
      <c r="J40">
        <v>4500</v>
      </c>
      <c r="K40">
        <v>1</v>
      </c>
      <c r="L40">
        <v>0</v>
      </c>
      <c r="M40">
        <v>1</v>
      </c>
      <c r="N40"/>
      <c r="O40" t="s">
        <v>3544</v>
      </c>
      <c r="P40" s="33">
        <v>0.55000000000000004</v>
      </c>
      <c r="Q40">
        <v>2475</v>
      </c>
      <c r="R40" t="s">
        <v>136</v>
      </c>
      <c r="S40">
        <v>0</v>
      </c>
      <c r="T40"/>
      <c r="U40" s="10"/>
      <c r="V40"/>
      <c r="W40"/>
      <c r="X40" s="10"/>
      <c r="Y40"/>
      <c r="Z40" s="10"/>
      <c r="AA40"/>
      <c r="AB40"/>
      <c r="AC40"/>
      <c r="AD40"/>
    </row>
    <row r="41" spans="1:30" x14ac:dyDescent="0.4">
      <c r="A41" t="s">
        <v>3648</v>
      </c>
      <c r="B41">
        <v>20180119</v>
      </c>
      <c r="C41" s="36">
        <v>16789120000</v>
      </c>
      <c r="D41" t="s">
        <v>3426</v>
      </c>
      <c r="E41"/>
      <c r="F41" t="s">
        <v>135</v>
      </c>
      <c r="G41" s="38" t="s">
        <v>3427</v>
      </c>
      <c r="H41">
        <v>0</v>
      </c>
      <c r="I41" t="s">
        <v>820</v>
      </c>
      <c r="J41">
        <v>4500</v>
      </c>
      <c r="K41">
        <v>1</v>
      </c>
      <c r="L41">
        <v>0</v>
      </c>
      <c r="M41">
        <v>0</v>
      </c>
      <c r="N41"/>
      <c r="O41" t="s">
        <v>3544</v>
      </c>
      <c r="P41" s="33">
        <v>0.55000000000000004</v>
      </c>
      <c r="Q41">
        <v>2475</v>
      </c>
      <c r="R41" t="s">
        <v>136</v>
      </c>
      <c r="S41">
        <v>0</v>
      </c>
      <c r="T41"/>
      <c r="U41" s="10">
        <v>43115</v>
      </c>
      <c r="V41" t="s">
        <v>820</v>
      </c>
      <c r="W41"/>
      <c r="X41" s="10"/>
      <c r="Y41"/>
      <c r="Z41" s="10"/>
      <c r="AA41"/>
      <c r="AB41"/>
      <c r="AC41" t="s">
        <v>3547</v>
      </c>
      <c r="AD41"/>
    </row>
    <row r="42" spans="1:30" x14ac:dyDescent="0.4">
      <c r="A42" t="s">
        <v>3649</v>
      </c>
      <c r="B42">
        <v>20180119</v>
      </c>
      <c r="C42">
        <v>8809544393911</v>
      </c>
      <c r="D42" t="s">
        <v>3158</v>
      </c>
      <c r="E42" t="s">
        <v>3650</v>
      </c>
      <c r="F42" t="s">
        <v>177</v>
      </c>
      <c r="G42" t="s">
        <v>3159</v>
      </c>
      <c r="H42">
        <v>0</v>
      </c>
      <c r="I42" t="s">
        <v>379</v>
      </c>
      <c r="J42">
        <v>1000</v>
      </c>
      <c r="K42">
        <v>1</v>
      </c>
      <c r="L42">
        <v>0</v>
      </c>
      <c r="M42">
        <v>0</v>
      </c>
      <c r="N42"/>
      <c r="O42" t="s">
        <v>3544</v>
      </c>
      <c r="P42" s="33">
        <v>0.6</v>
      </c>
      <c r="Q42">
        <v>600</v>
      </c>
      <c r="R42" t="s">
        <v>172</v>
      </c>
      <c r="S42">
        <v>1</v>
      </c>
      <c r="T42">
        <v>1</v>
      </c>
      <c r="U42"/>
      <c r="V42"/>
      <c r="W42"/>
      <c r="X42"/>
      <c r="Y42"/>
      <c r="Z42"/>
      <c r="AA42"/>
      <c r="AB42"/>
      <c r="AC42"/>
      <c r="AD42"/>
    </row>
    <row r="43" spans="1:30" x14ac:dyDescent="0.4">
      <c r="A43" t="s">
        <v>3651</v>
      </c>
      <c r="B43">
        <v>20180119</v>
      </c>
      <c r="C43">
        <v>8809544393928</v>
      </c>
      <c r="D43" t="s">
        <v>3160</v>
      </c>
      <c r="E43" t="s">
        <v>3652</v>
      </c>
      <c r="F43" t="s">
        <v>177</v>
      </c>
      <c r="G43" t="s">
        <v>3161</v>
      </c>
      <c r="H43">
        <v>0</v>
      </c>
      <c r="I43" t="s">
        <v>379</v>
      </c>
      <c r="J43">
        <v>1000</v>
      </c>
      <c r="K43">
        <v>2</v>
      </c>
      <c r="L43">
        <v>0</v>
      </c>
      <c r="M43">
        <v>0</v>
      </c>
      <c r="N43"/>
      <c r="O43" t="s">
        <v>3544</v>
      </c>
      <c r="P43" s="33">
        <v>0.6</v>
      </c>
      <c r="Q43">
        <v>600</v>
      </c>
      <c r="R43" t="s">
        <v>172</v>
      </c>
      <c r="S43">
        <v>2</v>
      </c>
      <c r="T43">
        <v>2</v>
      </c>
      <c r="U43"/>
      <c r="V43"/>
      <c r="W43"/>
      <c r="X43"/>
      <c r="Y43"/>
      <c r="Z43"/>
      <c r="AA43"/>
      <c r="AB43"/>
      <c r="AC43"/>
      <c r="AD43"/>
    </row>
    <row r="44" spans="1:30" x14ac:dyDescent="0.4">
      <c r="A44" t="s">
        <v>3653</v>
      </c>
      <c r="B44">
        <v>20180119</v>
      </c>
      <c r="C44">
        <v>8809544393942</v>
      </c>
      <c r="D44" t="s">
        <v>3162</v>
      </c>
      <c r="E44" t="s">
        <v>3654</v>
      </c>
      <c r="F44" t="s">
        <v>177</v>
      </c>
      <c r="G44" t="s">
        <v>3163</v>
      </c>
      <c r="H44">
        <v>0</v>
      </c>
      <c r="I44" t="s">
        <v>379</v>
      </c>
      <c r="J44">
        <v>1000</v>
      </c>
      <c r="K44">
        <v>2</v>
      </c>
      <c r="L44">
        <v>0</v>
      </c>
      <c r="M44">
        <v>0</v>
      </c>
      <c r="N44"/>
      <c r="O44" t="s">
        <v>3544</v>
      </c>
      <c r="P44" s="33">
        <v>0.6</v>
      </c>
      <c r="Q44">
        <v>600</v>
      </c>
      <c r="R44" t="s">
        <v>172</v>
      </c>
      <c r="S44">
        <v>2</v>
      </c>
      <c r="T44">
        <v>2</v>
      </c>
      <c r="U44"/>
      <c r="V44"/>
      <c r="W44"/>
      <c r="X44"/>
      <c r="Y44"/>
      <c r="Z44"/>
      <c r="AA44"/>
      <c r="AB44"/>
      <c r="AC44"/>
      <c r="AD44"/>
    </row>
    <row r="45" spans="1:30" x14ac:dyDescent="0.4">
      <c r="A45" t="s">
        <v>3655</v>
      </c>
      <c r="B45">
        <v>20180119</v>
      </c>
      <c r="C45">
        <v>8806173443253</v>
      </c>
      <c r="D45" t="s">
        <v>2559</v>
      </c>
      <c r="E45" t="s">
        <v>2568</v>
      </c>
      <c r="F45" t="s">
        <v>198</v>
      </c>
      <c r="G45" t="s">
        <v>2560</v>
      </c>
      <c r="H45">
        <v>0</v>
      </c>
      <c r="I45" t="s">
        <v>379</v>
      </c>
      <c r="J45">
        <v>12000</v>
      </c>
      <c r="K45">
        <v>1</v>
      </c>
      <c r="L45">
        <v>0</v>
      </c>
      <c r="M45">
        <v>1</v>
      </c>
      <c r="N45"/>
      <c r="O45" t="s">
        <v>3544</v>
      </c>
      <c r="P45" s="33">
        <v>0.7</v>
      </c>
      <c r="Q45">
        <v>8400</v>
      </c>
      <c r="R45" t="s">
        <v>199</v>
      </c>
      <c r="S45">
        <v>0</v>
      </c>
      <c r="T45"/>
      <c r="U45" s="10"/>
      <c r="V45"/>
      <c r="W45"/>
      <c r="X45" s="10"/>
      <c r="Y45"/>
      <c r="Z45" s="10"/>
      <c r="AA45"/>
      <c r="AB45"/>
      <c r="AC45"/>
      <c r="AD45"/>
    </row>
    <row r="46" spans="1:30" x14ac:dyDescent="0.4">
      <c r="A46" t="s">
        <v>3656</v>
      </c>
      <c r="B46">
        <v>20180119</v>
      </c>
      <c r="C46">
        <v>8806173443246</v>
      </c>
      <c r="D46" t="s">
        <v>2534</v>
      </c>
      <c r="E46" t="s">
        <v>2544</v>
      </c>
      <c r="F46" t="s">
        <v>198</v>
      </c>
      <c r="G46" t="s">
        <v>2535</v>
      </c>
      <c r="H46">
        <v>0</v>
      </c>
      <c r="I46" t="s">
        <v>379</v>
      </c>
      <c r="J46">
        <v>12000</v>
      </c>
      <c r="K46">
        <v>1</v>
      </c>
      <c r="L46">
        <v>0</v>
      </c>
      <c r="M46">
        <v>1</v>
      </c>
      <c r="N46"/>
      <c r="O46" t="s">
        <v>3544</v>
      </c>
      <c r="P46" s="33">
        <v>0.7</v>
      </c>
      <c r="Q46">
        <v>8400</v>
      </c>
      <c r="R46" t="s">
        <v>199</v>
      </c>
      <c r="S46">
        <v>0</v>
      </c>
      <c r="T46"/>
      <c r="U46" s="10"/>
      <c r="V46"/>
      <c r="W46"/>
      <c r="X46" s="10"/>
      <c r="Y46"/>
      <c r="Z46" s="10"/>
      <c r="AA46"/>
      <c r="AB46"/>
      <c r="AC46"/>
      <c r="AD46"/>
    </row>
    <row r="47" spans="1:30" x14ac:dyDescent="0.4">
      <c r="A47" t="s">
        <v>3657</v>
      </c>
      <c r="B47">
        <v>20180119</v>
      </c>
      <c r="C47">
        <v>8806173434886</v>
      </c>
      <c r="D47" t="s">
        <v>3658</v>
      </c>
      <c r="E47" t="s">
        <v>3659</v>
      </c>
      <c r="F47" t="s">
        <v>198</v>
      </c>
      <c r="G47" t="s">
        <v>3660</v>
      </c>
      <c r="H47">
        <v>0</v>
      </c>
      <c r="I47" t="s">
        <v>379</v>
      </c>
      <c r="J47">
        <v>12000</v>
      </c>
      <c r="K47">
        <v>1</v>
      </c>
      <c r="L47">
        <v>0</v>
      </c>
      <c r="M47">
        <v>1</v>
      </c>
      <c r="N47"/>
      <c r="O47" t="s">
        <v>3544</v>
      </c>
      <c r="P47" s="33">
        <v>0.7</v>
      </c>
      <c r="Q47">
        <v>8400</v>
      </c>
      <c r="R47" t="s">
        <v>199</v>
      </c>
      <c r="S47">
        <v>0</v>
      </c>
      <c r="T47"/>
      <c r="U47" s="10"/>
      <c r="V47"/>
      <c r="W47"/>
      <c r="X47" s="10"/>
      <c r="Y47"/>
      <c r="Z47" s="10"/>
      <c r="AA47"/>
      <c r="AB47"/>
      <c r="AC47"/>
      <c r="AD47"/>
    </row>
    <row r="48" spans="1:30" x14ac:dyDescent="0.4">
      <c r="A48" t="s">
        <v>3661</v>
      </c>
      <c r="B48">
        <v>20180119</v>
      </c>
      <c r="C48">
        <v>8806173434817</v>
      </c>
      <c r="D48" t="s">
        <v>2683</v>
      </c>
      <c r="E48"/>
      <c r="F48" t="s">
        <v>198</v>
      </c>
      <c r="G48" t="s">
        <v>2684</v>
      </c>
      <c r="H48">
        <v>0</v>
      </c>
      <c r="I48" t="s">
        <v>379</v>
      </c>
      <c r="J48">
        <v>12000</v>
      </c>
      <c r="K48">
        <v>1</v>
      </c>
      <c r="L48">
        <v>0</v>
      </c>
      <c r="M48">
        <v>1</v>
      </c>
      <c r="N48"/>
      <c r="O48" t="s">
        <v>3544</v>
      </c>
      <c r="P48" s="33">
        <v>0.7</v>
      </c>
      <c r="Q48">
        <v>8400</v>
      </c>
      <c r="R48" t="s">
        <v>199</v>
      </c>
      <c r="S48">
        <v>0</v>
      </c>
      <c r="T48"/>
      <c r="U48" s="10"/>
      <c r="V48"/>
      <c r="W48"/>
      <c r="X48" s="10"/>
      <c r="Y48"/>
      <c r="Z48" s="10"/>
      <c r="AA48"/>
      <c r="AB48"/>
      <c r="AC48"/>
      <c r="AD48"/>
    </row>
    <row r="49" spans="1:30" x14ac:dyDescent="0.4">
      <c r="A49" t="s">
        <v>3662</v>
      </c>
      <c r="B49">
        <v>20180119</v>
      </c>
      <c r="C49">
        <v>8806173435753</v>
      </c>
      <c r="D49" t="s">
        <v>2755</v>
      </c>
      <c r="E49" t="s">
        <v>3663</v>
      </c>
      <c r="F49" t="s">
        <v>198</v>
      </c>
      <c r="G49" t="s">
        <v>2756</v>
      </c>
      <c r="H49">
        <v>0</v>
      </c>
      <c r="I49" t="s">
        <v>379</v>
      </c>
      <c r="J49">
        <v>10000</v>
      </c>
      <c r="K49">
        <v>1</v>
      </c>
      <c r="L49">
        <v>0</v>
      </c>
      <c r="M49">
        <v>0</v>
      </c>
      <c r="N49"/>
      <c r="O49" t="s">
        <v>3544</v>
      </c>
      <c r="P49" s="33">
        <v>0.7</v>
      </c>
      <c r="Q49">
        <v>7000</v>
      </c>
      <c r="R49" t="s">
        <v>199</v>
      </c>
      <c r="S49">
        <v>1</v>
      </c>
      <c r="T49">
        <v>1</v>
      </c>
      <c r="U49"/>
      <c r="V49"/>
      <c r="W49"/>
      <c r="X49"/>
      <c r="Y49"/>
      <c r="Z49"/>
      <c r="AA49"/>
      <c r="AB49"/>
      <c r="AC49"/>
      <c r="AD49"/>
    </row>
    <row r="50" spans="1:30" x14ac:dyDescent="0.4">
      <c r="A50" t="s">
        <v>3664</v>
      </c>
      <c r="B50">
        <v>20180119</v>
      </c>
      <c r="C50">
        <v>8806173439607</v>
      </c>
      <c r="D50" t="s">
        <v>2674</v>
      </c>
      <c r="E50" t="s">
        <v>2682</v>
      </c>
      <c r="F50" t="s">
        <v>198</v>
      </c>
      <c r="G50" t="s">
        <v>2675</v>
      </c>
      <c r="H50">
        <v>0</v>
      </c>
      <c r="I50" t="s">
        <v>379</v>
      </c>
      <c r="J50">
        <v>7700</v>
      </c>
      <c r="K50">
        <v>1</v>
      </c>
      <c r="L50">
        <v>0</v>
      </c>
      <c r="M50">
        <v>1</v>
      </c>
      <c r="N50"/>
      <c r="O50" t="s">
        <v>3544</v>
      </c>
      <c r="P50" s="33">
        <v>0.7</v>
      </c>
      <c r="Q50">
        <v>5390</v>
      </c>
      <c r="R50" t="s">
        <v>199</v>
      </c>
      <c r="S50">
        <v>0</v>
      </c>
      <c r="T50"/>
      <c r="U50" s="10"/>
      <c r="V50"/>
      <c r="W50"/>
      <c r="X50" s="10"/>
      <c r="Y50"/>
      <c r="Z50" s="10"/>
      <c r="AA50"/>
      <c r="AB50"/>
      <c r="AC50"/>
      <c r="AD50"/>
    </row>
    <row r="51" spans="1:30" x14ac:dyDescent="0.4">
      <c r="A51" t="s">
        <v>3665</v>
      </c>
      <c r="B51">
        <v>20180119</v>
      </c>
      <c r="C51">
        <v>8806173432356</v>
      </c>
      <c r="D51" t="s">
        <v>3666</v>
      </c>
      <c r="E51" t="s">
        <v>743</v>
      </c>
      <c r="F51" t="s">
        <v>198</v>
      </c>
      <c r="G51" t="s">
        <v>3667</v>
      </c>
      <c r="H51">
        <v>0</v>
      </c>
      <c r="I51" t="s">
        <v>379</v>
      </c>
      <c r="J51">
        <v>3500</v>
      </c>
      <c r="K51">
        <v>2</v>
      </c>
      <c r="L51">
        <v>1</v>
      </c>
      <c r="M51">
        <v>1</v>
      </c>
      <c r="N51"/>
      <c r="O51" t="s">
        <v>3544</v>
      </c>
      <c r="P51" s="33">
        <v>0.7</v>
      </c>
      <c r="Q51">
        <v>2450</v>
      </c>
      <c r="R51" t="s">
        <v>199</v>
      </c>
      <c r="S51">
        <v>1</v>
      </c>
      <c r="T51"/>
      <c r="U51" s="10"/>
      <c r="V51"/>
      <c r="W51"/>
      <c r="X51" s="10"/>
      <c r="Y51"/>
      <c r="Z51" s="10"/>
      <c r="AA51"/>
      <c r="AB51"/>
      <c r="AC51"/>
      <c r="AD51"/>
    </row>
    <row r="52" spans="1:30" x14ac:dyDescent="0.4">
      <c r="A52" t="s">
        <v>3668</v>
      </c>
      <c r="B52">
        <v>20180119</v>
      </c>
      <c r="C52">
        <v>8806173439102</v>
      </c>
      <c r="D52" t="s">
        <v>3669</v>
      </c>
      <c r="E52" t="s">
        <v>3670</v>
      </c>
      <c r="F52" t="s">
        <v>198</v>
      </c>
      <c r="G52" t="s">
        <v>3671</v>
      </c>
      <c r="H52">
        <v>0</v>
      </c>
      <c r="I52" t="s">
        <v>379</v>
      </c>
      <c r="J52">
        <v>4400</v>
      </c>
      <c r="K52">
        <v>5</v>
      </c>
      <c r="L52">
        <v>0</v>
      </c>
      <c r="M52">
        <v>5</v>
      </c>
      <c r="N52"/>
      <c r="O52" t="s">
        <v>3544</v>
      </c>
      <c r="P52" s="33">
        <v>0.7</v>
      </c>
      <c r="Q52">
        <v>3080</v>
      </c>
      <c r="R52" t="s">
        <v>199</v>
      </c>
      <c r="S52">
        <v>0</v>
      </c>
      <c r="T52"/>
      <c r="U52" s="10"/>
      <c r="V52"/>
      <c r="W52"/>
      <c r="X52" s="10"/>
      <c r="Y52"/>
      <c r="Z52" s="10"/>
      <c r="AA52"/>
      <c r="AB52"/>
      <c r="AC52"/>
      <c r="AD52"/>
    </row>
    <row r="53" spans="1:30" x14ac:dyDescent="0.4">
      <c r="A53" t="s">
        <v>3672</v>
      </c>
      <c r="B53">
        <v>20180119</v>
      </c>
      <c r="C53">
        <v>8806173440962</v>
      </c>
      <c r="D53" t="s">
        <v>3673</v>
      </c>
      <c r="E53" t="s">
        <v>3674</v>
      </c>
      <c r="F53" t="s">
        <v>198</v>
      </c>
      <c r="G53" t="s">
        <v>3675</v>
      </c>
      <c r="H53">
        <v>0</v>
      </c>
      <c r="I53" t="s">
        <v>379</v>
      </c>
      <c r="J53">
        <v>18000</v>
      </c>
      <c r="K53">
        <v>2</v>
      </c>
      <c r="L53">
        <v>0</v>
      </c>
      <c r="M53">
        <v>2</v>
      </c>
      <c r="N53"/>
      <c r="O53" t="s">
        <v>3544</v>
      </c>
      <c r="P53" s="33">
        <v>0.7</v>
      </c>
      <c r="Q53">
        <v>12600</v>
      </c>
      <c r="R53" t="s">
        <v>199</v>
      </c>
      <c r="S53">
        <v>0</v>
      </c>
      <c r="T53"/>
      <c r="U53" s="10"/>
      <c r="V53"/>
      <c r="W53"/>
      <c r="X53" s="10"/>
      <c r="Y53"/>
      <c r="Z53" s="10"/>
      <c r="AA53"/>
      <c r="AB53"/>
      <c r="AC53"/>
      <c r="AD53"/>
    </row>
    <row r="54" spans="1:30" x14ac:dyDescent="0.4">
      <c r="A54" t="s">
        <v>3676</v>
      </c>
      <c r="B54">
        <v>20180119</v>
      </c>
      <c r="C54">
        <v>8806173436538</v>
      </c>
      <c r="D54" t="s">
        <v>1484</v>
      </c>
      <c r="E54" t="s">
        <v>760</v>
      </c>
      <c r="F54" t="s">
        <v>198</v>
      </c>
      <c r="G54" t="s">
        <v>1485</v>
      </c>
      <c r="H54">
        <v>0</v>
      </c>
      <c r="I54" t="s">
        <v>379</v>
      </c>
      <c r="J54">
        <v>26900</v>
      </c>
      <c r="K54">
        <v>4</v>
      </c>
      <c r="L54">
        <v>1</v>
      </c>
      <c r="M54">
        <v>3</v>
      </c>
      <c r="N54"/>
      <c r="O54" t="s">
        <v>3544</v>
      </c>
      <c r="P54" s="33">
        <v>0.7</v>
      </c>
      <c r="Q54">
        <v>18830</v>
      </c>
      <c r="R54" t="s">
        <v>199</v>
      </c>
      <c r="S54">
        <v>1</v>
      </c>
      <c r="T54"/>
      <c r="U54" s="10"/>
      <c r="V54"/>
      <c r="W54"/>
      <c r="X54" s="10"/>
      <c r="Y54"/>
      <c r="Z54" s="10"/>
      <c r="AA54"/>
      <c r="AB54"/>
      <c r="AC54"/>
      <c r="AD54"/>
    </row>
    <row r="55" spans="1:30" x14ac:dyDescent="0.4">
      <c r="A55" t="s">
        <v>3677</v>
      </c>
      <c r="B55">
        <v>20180119</v>
      </c>
      <c r="C55">
        <v>8806173430277</v>
      </c>
      <c r="D55" t="s">
        <v>2759</v>
      </c>
      <c r="E55" t="s">
        <v>3678</v>
      </c>
      <c r="F55" t="s">
        <v>198</v>
      </c>
      <c r="G55" t="s">
        <v>2760</v>
      </c>
      <c r="H55">
        <v>0</v>
      </c>
      <c r="I55" t="s">
        <v>379</v>
      </c>
      <c r="J55">
        <v>9900</v>
      </c>
      <c r="K55">
        <v>1</v>
      </c>
      <c r="L55">
        <v>0</v>
      </c>
      <c r="M55">
        <v>0</v>
      </c>
      <c r="N55"/>
      <c r="O55" t="s">
        <v>3544</v>
      </c>
      <c r="P55" s="33">
        <v>0.7</v>
      </c>
      <c r="Q55">
        <v>6930</v>
      </c>
      <c r="R55" t="s">
        <v>199</v>
      </c>
      <c r="S55">
        <v>1</v>
      </c>
      <c r="T55">
        <v>1</v>
      </c>
      <c r="U55"/>
      <c r="V55"/>
      <c r="W55"/>
      <c r="X55"/>
      <c r="Y55"/>
      <c r="Z55"/>
      <c r="AA55"/>
      <c r="AB55"/>
      <c r="AC55"/>
      <c r="AD55"/>
    </row>
    <row r="56" spans="1:30" x14ac:dyDescent="0.4">
      <c r="A56" t="s">
        <v>3679</v>
      </c>
      <c r="B56">
        <v>20180119</v>
      </c>
      <c r="C56">
        <v>8806173443390</v>
      </c>
      <c r="D56" t="s">
        <v>3680</v>
      </c>
      <c r="E56"/>
      <c r="F56" t="s">
        <v>198</v>
      </c>
      <c r="G56" t="s">
        <v>3681</v>
      </c>
      <c r="H56">
        <v>0</v>
      </c>
      <c r="I56" t="s">
        <v>379</v>
      </c>
      <c r="J56">
        <v>12000</v>
      </c>
      <c r="K56">
        <v>1</v>
      </c>
      <c r="L56">
        <v>0</v>
      </c>
      <c r="M56">
        <v>1</v>
      </c>
      <c r="N56"/>
      <c r="O56" t="s">
        <v>3544</v>
      </c>
      <c r="P56" s="33">
        <v>0.7</v>
      </c>
      <c r="Q56">
        <v>8400</v>
      </c>
      <c r="R56" t="s">
        <v>199</v>
      </c>
      <c r="S56">
        <v>0</v>
      </c>
      <c r="T56"/>
      <c r="U56" s="10"/>
      <c r="V56"/>
      <c r="W56"/>
      <c r="X56" s="10"/>
      <c r="Y56"/>
      <c r="Z56" s="10"/>
      <c r="AA56"/>
      <c r="AB56"/>
      <c r="AC56"/>
      <c r="AD56"/>
    </row>
    <row r="57" spans="1:30" x14ac:dyDescent="0.4">
      <c r="A57" t="s">
        <v>3682</v>
      </c>
      <c r="B57">
        <v>20180119</v>
      </c>
      <c r="C57" s="36">
        <v>15894520000</v>
      </c>
      <c r="D57" t="s">
        <v>2761</v>
      </c>
      <c r="E57"/>
      <c r="F57" t="s">
        <v>198</v>
      </c>
      <c r="G57" t="s">
        <v>2762</v>
      </c>
      <c r="H57">
        <v>0</v>
      </c>
      <c r="I57" t="s">
        <v>379</v>
      </c>
      <c r="J57">
        <v>22900</v>
      </c>
      <c r="K57">
        <v>1</v>
      </c>
      <c r="L57">
        <v>0</v>
      </c>
      <c r="M57">
        <v>0</v>
      </c>
      <c r="N57"/>
      <c r="O57" t="s">
        <v>3544</v>
      </c>
      <c r="P57" s="33">
        <v>0.7</v>
      </c>
      <c r="Q57">
        <v>16030</v>
      </c>
      <c r="R57" t="s">
        <v>199</v>
      </c>
      <c r="S57">
        <v>1</v>
      </c>
      <c r="T57">
        <v>1</v>
      </c>
      <c r="U57"/>
      <c r="V57"/>
      <c r="W57"/>
      <c r="X57"/>
      <c r="Y57"/>
      <c r="Z57"/>
      <c r="AA57"/>
      <c r="AB57"/>
      <c r="AC57"/>
      <c r="AD57"/>
    </row>
    <row r="58" spans="1:30" x14ac:dyDescent="0.4">
      <c r="A58" t="s">
        <v>3683</v>
      </c>
      <c r="B58">
        <v>20180119</v>
      </c>
      <c r="C58">
        <v>8806173436699</v>
      </c>
      <c r="D58" t="s">
        <v>2763</v>
      </c>
      <c r="E58" t="s">
        <v>3684</v>
      </c>
      <c r="F58" t="s">
        <v>198</v>
      </c>
      <c r="G58" t="s">
        <v>2764</v>
      </c>
      <c r="H58">
        <v>0</v>
      </c>
      <c r="I58" t="s">
        <v>379</v>
      </c>
      <c r="J58">
        <v>26900</v>
      </c>
      <c r="K58">
        <v>3</v>
      </c>
      <c r="L58">
        <v>0</v>
      </c>
      <c r="M58">
        <v>0</v>
      </c>
      <c r="N58"/>
      <c r="O58" t="s">
        <v>3544</v>
      </c>
      <c r="P58" s="33">
        <v>0.7</v>
      </c>
      <c r="Q58">
        <v>18830</v>
      </c>
      <c r="R58" t="s">
        <v>199</v>
      </c>
      <c r="S58">
        <v>3</v>
      </c>
      <c r="T58">
        <v>3</v>
      </c>
      <c r="U58"/>
      <c r="V58"/>
      <c r="W58"/>
      <c r="X58"/>
      <c r="Y58"/>
      <c r="Z58"/>
      <c r="AA58"/>
      <c r="AB58"/>
      <c r="AC58"/>
      <c r="AD58"/>
    </row>
    <row r="59" spans="1:30" x14ac:dyDescent="0.4">
      <c r="A59" t="s">
        <v>3685</v>
      </c>
      <c r="B59">
        <v>20180119</v>
      </c>
      <c r="C59">
        <v>8809380645724</v>
      </c>
      <c r="D59" t="s">
        <v>2953</v>
      </c>
      <c r="E59" t="s">
        <v>622</v>
      </c>
      <c r="F59" t="s">
        <v>24</v>
      </c>
      <c r="G59" t="s">
        <v>2954</v>
      </c>
      <c r="H59">
        <v>0</v>
      </c>
      <c r="I59" t="s">
        <v>379</v>
      </c>
      <c r="J59">
        <v>25000</v>
      </c>
      <c r="K59">
        <v>1</v>
      </c>
      <c r="L59">
        <v>0</v>
      </c>
      <c r="M59">
        <v>1</v>
      </c>
      <c r="N59"/>
      <c r="O59" t="s">
        <v>3544</v>
      </c>
      <c r="P59" s="33" t="s">
        <v>3567</v>
      </c>
      <c r="Q59" s="37">
        <v>11250</v>
      </c>
      <c r="R59" t="s">
        <v>25</v>
      </c>
      <c r="S59">
        <v>0</v>
      </c>
      <c r="T59">
        <v>0</v>
      </c>
      <c r="U59" s="10"/>
      <c r="V59"/>
      <c r="W59"/>
      <c r="X59" s="10"/>
      <c r="Y59"/>
      <c r="Z59" s="10"/>
      <c r="AA59"/>
      <c r="AB59"/>
      <c r="AC59"/>
      <c r="AD59"/>
    </row>
    <row r="60" spans="1:30" x14ac:dyDescent="0.4">
      <c r="A60" t="s">
        <v>3686</v>
      </c>
      <c r="B60">
        <v>20180119</v>
      </c>
      <c r="C60">
        <v>8809380645854</v>
      </c>
      <c r="D60" t="s">
        <v>3687</v>
      </c>
      <c r="E60"/>
      <c r="F60" t="s">
        <v>24</v>
      </c>
      <c r="G60" t="s">
        <v>3688</v>
      </c>
      <c r="H60">
        <v>0</v>
      </c>
      <c r="I60" t="s">
        <v>379</v>
      </c>
      <c r="J60">
        <v>24000</v>
      </c>
      <c r="K60" s="34">
        <v>96</v>
      </c>
      <c r="L60">
        <v>0</v>
      </c>
      <c r="M60">
        <v>96</v>
      </c>
      <c r="N60"/>
      <c r="O60" t="s">
        <v>3544</v>
      </c>
      <c r="P60" s="33" t="s">
        <v>3567</v>
      </c>
      <c r="Q60" s="37">
        <v>11520</v>
      </c>
      <c r="R60" t="s">
        <v>25</v>
      </c>
      <c r="S60">
        <v>0</v>
      </c>
      <c r="T60"/>
      <c r="U60" s="10"/>
      <c r="V60"/>
      <c r="W60"/>
      <c r="X60" s="10"/>
      <c r="Y60"/>
      <c r="Z60" s="10"/>
      <c r="AA60"/>
      <c r="AB60"/>
      <c r="AC60"/>
      <c r="AD60"/>
    </row>
    <row r="61" spans="1:30" x14ac:dyDescent="0.4">
      <c r="A61" t="s">
        <v>3689</v>
      </c>
      <c r="B61">
        <v>20180119</v>
      </c>
      <c r="C61">
        <v>8806164139769</v>
      </c>
      <c r="D61" t="s">
        <v>3690</v>
      </c>
      <c r="E61" t="s">
        <v>3691</v>
      </c>
      <c r="F61" t="s">
        <v>146</v>
      </c>
      <c r="G61" t="s">
        <v>3692</v>
      </c>
      <c r="H61">
        <v>0</v>
      </c>
      <c r="I61" t="s">
        <v>379</v>
      </c>
      <c r="J61">
        <v>60000</v>
      </c>
      <c r="K61">
        <v>2</v>
      </c>
      <c r="L61">
        <v>0</v>
      </c>
      <c r="M61">
        <v>2</v>
      </c>
      <c r="N61"/>
      <c r="O61" t="s">
        <v>3544</v>
      </c>
      <c r="P61" s="33">
        <v>0.5</v>
      </c>
      <c r="Q61">
        <v>30000</v>
      </c>
      <c r="R61" t="s">
        <v>147</v>
      </c>
      <c r="S61">
        <v>0</v>
      </c>
      <c r="T61"/>
      <c r="U61" s="10"/>
      <c r="V61"/>
      <c r="W61"/>
      <c r="X61" s="10"/>
      <c r="Y61"/>
      <c r="Z61" s="10"/>
      <c r="AA61"/>
      <c r="AB61"/>
      <c r="AC61"/>
      <c r="AD61"/>
    </row>
    <row r="62" spans="1:30" x14ac:dyDescent="0.4">
      <c r="A62" t="s">
        <v>3693</v>
      </c>
      <c r="B62">
        <v>20180119</v>
      </c>
      <c r="C62">
        <v>8806164145104</v>
      </c>
      <c r="D62" t="s">
        <v>3694</v>
      </c>
      <c r="E62" t="s">
        <v>1199</v>
      </c>
      <c r="F62" t="s">
        <v>146</v>
      </c>
      <c r="G62" t="s">
        <v>3695</v>
      </c>
      <c r="H62">
        <v>0</v>
      </c>
      <c r="I62" t="s">
        <v>379</v>
      </c>
      <c r="J62">
        <v>12000</v>
      </c>
      <c r="K62">
        <v>1</v>
      </c>
      <c r="L62">
        <v>0</v>
      </c>
      <c r="M62">
        <v>1</v>
      </c>
      <c r="N62"/>
      <c r="O62" t="s">
        <v>3544</v>
      </c>
      <c r="P62" s="33">
        <v>0.5</v>
      </c>
      <c r="Q62">
        <v>6000</v>
      </c>
      <c r="R62" t="s">
        <v>147</v>
      </c>
      <c r="S62">
        <v>0</v>
      </c>
      <c r="T62"/>
      <c r="U62" s="10"/>
      <c r="V62"/>
      <c r="W62"/>
      <c r="X62" s="10"/>
      <c r="Y62"/>
      <c r="Z62" s="10"/>
      <c r="AA62"/>
      <c r="AB62"/>
      <c r="AC62"/>
      <c r="AD62"/>
    </row>
    <row r="63" spans="1:30" x14ac:dyDescent="0.4">
      <c r="A63" t="s">
        <v>3696</v>
      </c>
      <c r="B63">
        <v>20180119</v>
      </c>
      <c r="C63" s="36">
        <v>16495820000</v>
      </c>
      <c r="D63" t="s">
        <v>3697</v>
      </c>
      <c r="E63"/>
      <c r="F63" t="s">
        <v>146</v>
      </c>
      <c r="G63" t="s">
        <v>3698</v>
      </c>
      <c r="H63">
        <v>0</v>
      </c>
      <c r="I63" t="s">
        <v>379</v>
      </c>
      <c r="J63">
        <v>10000</v>
      </c>
      <c r="K63">
        <v>1</v>
      </c>
      <c r="L63">
        <v>0</v>
      </c>
      <c r="M63">
        <v>1</v>
      </c>
      <c r="N63"/>
      <c r="O63" t="s">
        <v>3544</v>
      </c>
      <c r="P63" s="33">
        <v>0.5</v>
      </c>
      <c r="Q63">
        <v>5000</v>
      </c>
      <c r="R63" t="s">
        <v>147</v>
      </c>
      <c r="S63">
        <v>0</v>
      </c>
      <c r="T63"/>
      <c r="U63" s="10"/>
      <c r="V63"/>
      <c r="W63"/>
      <c r="X63" s="10"/>
      <c r="Y63"/>
      <c r="Z63" s="10"/>
      <c r="AA63"/>
      <c r="AB63"/>
      <c r="AC63"/>
      <c r="AD63"/>
    </row>
    <row r="64" spans="1:30" x14ac:dyDescent="0.4">
      <c r="A64" t="s">
        <v>3699</v>
      </c>
      <c r="B64">
        <v>20180119</v>
      </c>
      <c r="C64">
        <v>8806164122976</v>
      </c>
      <c r="D64" t="s">
        <v>3700</v>
      </c>
      <c r="E64" t="s">
        <v>3701</v>
      </c>
      <c r="F64" t="s">
        <v>146</v>
      </c>
      <c r="G64" t="s">
        <v>3702</v>
      </c>
      <c r="H64">
        <v>0</v>
      </c>
      <c r="I64" t="s">
        <v>379</v>
      </c>
      <c r="J64">
        <v>22000</v>
      </c>
      <c r="K64">
        <v>1</v>
      </c>
      <c r="L64">
        <v>0</v>
      </c>
      <c r="M64">
        <v>1</v>
      </c>
      <c r="N64"/>
      <c r="O64" t="s">
        <v>3544</v>
      </c>
      <c r="P64" s="33">
        <v>0.5</v>
      </c>
      <c r="Q64">
        <v>11000</v>
      </c>
      <c r="R64" t="s">
        <v>147</v>
      </c>
      <c r="S64">
        <v>0</v>
      </c>
      <c r="T64"/>
      <c r="U64" s="10"/>
      <c r="V64"/>
      <c r="W64"/>
      <c r="X64" s="10"/>
      <c r="Y64"/>
      <c r="Z64" s="10"/>
      <c r="AA64"/>
      <c r="AB64"/>
      <c r="AC64"/>
      <c r="AD64"/>
    </row>
    <row r="65" spans="1:30" x14ac:dyDescent="0.4">
      <c r="A65" t="s">
        <v>3703</v>
      </c>
      <c r="B65">
        <v>20180119</v>
      </c>
      <c r="C65">
        <v>8806164147368</v>
      </c>
      <c r="D65" t="s">
        <v>3704</v>
      </c>
      <c r="E65"/>
      <c r="F65" t="s">
        <v>146</v>
      </c>
      <c r="G65" t="s">
        <v>3705</v>
      </c>
      <c r="H65">
        <v>0</v>
      </c>
      <c r="I65" t="s">
        <v>379</v>
      </c>
      <c r="J65">
        <v>19000</v>
      </c>
      <c r="K65">
        <v>1</v>
      </c>
      <c r="L65">
        <v>0</v>
      </c>
      <c r="M65">
        <v>1</v>
      </c>
      <c r="N65"/>
      <c r="O65" t="s">
        <v>3544</v>
      </c>
      <c r="P65" s="33">
        <v>0.5</v>
      </c>
      <c r="Q65">
        <v>9500</v>
      </c>
      <c r="R65" t="s">
        <v>147</v>
      </c>
      <c r="S65">
        <v>0</v>
      </c>
      <c r="T65"/>
      <c r="U65" s="10"/>
      <c r="V65"/>
      <c r="W65"/>
      <c r="X65" s="10"/>
      <c r="Y65"/>
      <c r="Z65" s="10"/>
      <c r="AA65"/>
      <c r="AB65"/>
      <c r="AC65"/>
      <c r="AD65"/>
    </row>
    <row r="66" spans="1:30" x14ac:dyDescent="0.4">
      <c r="A66" t="s">
        <v>3706</v>
      </c>
      <c r="B66">
        <v>20180119</v>
      </c>
      <c r="C66">
        <v>8806164128169</v>
      </c>
      <c r="D66" t="s">
        <v>2626</v>
      </c>
      <c r="E66" t="s">
        <v>2634</v>
      </c>
      <c r="F66" t="s">
        <v>146</v>
      </c>
      <c r="G66" t="s">
        <v>2627</v>
      </c>
      <c r="H66">
        <v>0</v>
      </c>
      <c r="I66" t="s">
        <v>379</v>
      </c>
      <c r="J66">
        <v>19000</v>
      </c>
      <c r="K66">
        <v>4</v>
      </c>
      <c r="L66">
        <v>0</v>
      </c>
      <c r="M66">
        <v>4</v>
      </c>
      <c r="N66"/>
      <c r="O66" t="s">
        <v>3544</v>
      </c>
      <c r="P66" s="33">
        <v>0.5</v>
      </c>
      <c r="Q66">
        <v>9500</v>
      </c>
      <c r="R66" t="s">
        <v>147</v>
      </c>
      <c r="S66">
        <v>0</v>
      </c>
      <c r="T66"/>
      <c r="U66" s="10"/>
      <c r="V66"/>
      <c r="W66"/>
      <c r="X66" s="10"/>
      <c r="Y66"/>
      <c r="Z66" s="10"/>
      <c r="AA66"/>
      <c r="AB66"/>
      <c r="AC66"/>
      <c r="AD66"/>
    </row>
    <row r="67" spans="1:30" x14ac:dyDescent="0.4">
      <c r="A67" t="s">
        <v>3707</v>
      </c>
      <c r="B67">
        <v>20180119</v>
      </c>
      <c r="C67">
        <v>8806164138212</v>
      </c>
      <c r="D67" t="s">
        <v>3141</v>
      </c>
      <c r="E67" t="s">
        <v>3708</v>
      </c>
      <c r="F67" t="s">
        <v>146</v>
      </c>
      <c r="G67" t="s">
        <v>3142</v>
      </c>
      <c r="H67">
        <v>0</v>
      </c>
      <c r="I67" t="s">
        <v>379</v>
      </c>
      <c r="J67">
        <v>7000</v>
      </c>
      <c r="K67">
        <v>1</v>
      </c>
      <c r="L67">
        <v>0</v>
      </c>
      <c r="M67">
        <v>0</v>
      </c>
      <c r="N67"/>
      <c r="O67" t="s">
        <v>3544</v>
      </c>
      <c r="P67" s="33">
        <v>0.5</v>
      </c>
      <c r="Q67">
        <v>3500</v>
      </c>
      <c r="R67" t="s">
        <v>147</v>
      </c>
      <c r="S67">
        <v>1</v>
      </c>
      <c r="T67">
        <v>1</v>
      </c>
      <c r="U67"/>
      <c r="V67"/>
      <c r="W67"/>
      <c r="X67"/>
      <c r="Y67"/>
      <c r="Z67"/>
      <c r="AA67"/>
      <c r="AB67"/>
      <c r="AC67"/>
      <c r="AD67"/>
    </row>
    <row r="68" spans="1:30" x14ac:dyDescent="0.4">
      <c r="A68" t="s">
        <v>3709</v>
      </c>
      <c r="B68">
        <v>20180119</v>
      </c>
      <c r="C68">
        <v>8806164136027</v>
      </c>
      <c r="D68" t="s">
        <v>3710</v>
      </c>
      <c r="E68"/>
      <c r="F68" t="s">
        <v>146</v>
      </c>
      <c r="G68" t="s">
        <v>3711</v>
      </c>
      <c r="H68">
        <v>0</v>
      </c>
      <c r="I68" t="s">
        <v>379</v>
      </c>
      <c r="J68">
        <v>8000</v>
      </c>
      <c r="K68">
        <v>1</v>
      </c>
      <c r="L68">
        <v>0</v>
      </c>
      <c r="M68">
        <v>1</v>
      </c>
      <c r="N68"/>
      <c r="O68" t="s">
        <v>3544</v>
      </c>
      <c r="P68" s="33">
        <v>0.5</v>
      </c>
      <c r="Q68">
        <v>4000</v>
      </c>
      <c r="R68" t="s">
        <v>147</v>
      </c>
      <c r="S68">
        <v>0</v>
      </c>
      <c r="T68"/>
      <c r="U68" s="10"/>
      <c r="V68"/>
      <c r="W68"/>
      <c r="X68" s="10"/>
      <c r="Y68"/>
      <c r="Z68" s="10"/>
      <c r="AA68"/>
      <c r="AB68"/>
      <c r="AC68"/>
      <c r="AD68"/>
    </row>
    <row r="69" spans="1:30" x14ac:dyDescent="0.4">
      <c r="A69" t="s">
        <v>3712</v>
      </c>
      <c r="B69">
        <v>20180119</v>
      </c>
      <c r="C69">
        <v>8806164114384</v>
      </c>
      <c r="D69" t="s">
        <v>3143</v>
      </c>
      <c r="E69"/>
      <c r="F69" t="s">
        <v>146</v>
      </c>
      <c r="G69" t="s">
        <v>3144</v>
      </c>
      <c r="H69">
        <v>0</v>
      </c>
      <c r="I69" t="s">
        <v>379</v>
      </c>
      <c r="J69">
        <v>5500</v>
      </c>
      <c r="K69">
        <v>1</v>
      </c>
      <c r="L69">
        <v>0</v>
      </c>
      <c r="M69">
        <v>0</v>
      </c>
      <c r="N69"/>
      <c r="O69" t="s">
        <v>3544</v>
      </c>
      <c r="P69" s="33">
        <v>0.5</v>
      </c>
      <c r="Q69">
        <v>2750</v>
      </c>
      <c r="R69" t="s">
        <v>147</v>
      </c>
      <c r="S69">
        <v>1</v>
      </c>
      <c r="T69">
        <v>1</v>
      </c>
      <c r="U69"/>
      <c r="V69"/>
      <c r="W69"/>
      <c r="X69"/>
      <c r="Y69"/>
      <c r="Z69"/>
      <c r="AA69"/>
      <c r="AB69"/>
      <c r="AC69"/>
      <c r="AD69"/>
    </row>
    <row r="70" spans="1:30" x14ac:dyDescent="0.4">
      <c r="A70" t="s">
        <v>3713</v>
      </c>
      <c r="B70">
        <v>20180119</v>
      </c>
      <c r="C70">
        <v>8806164132333</v>
      </c>
      <c r="D70" t="s">
        <v>3714</v>
      </c>
      <c r="E70" t="s">
        <v>3715</v>
      </c>
      <c r="F70" t="s">
        <v>146</v>
      </c>
      <c r="G70" t="s">
        <v>3716</v>
      </c>
      <c r="H70">
        <v>0</v>
      </c>
      <c r="I70" t="s">
        <v>379</v>
      </c>
      <c r="J70">
        <v>5500</v>
      </c>
      <c r="K70">
        <v>1</v>
      </c>
      <c r="L70">
        <v>0</v>
      </c>
      <c r="M70">
        <v>1</v>
      </c>
      <c r="N70"/>
      <c r="O70" t="s">
        <v>3544</v>
      </c>
      <c r="P70" s="33">
        <v>0.5</v>
      </c>
      <c r="Q70">
        <v>2750</v>
      </c>
      <c r="R70" t="s">
        <v>147</v>
      </c>
      <c r="S70">
        <v>0</v>
      </c>
      <c r="T70"/>
      <c r="U70" s="10"/>
      <c r="V70"/>
      <c r="W70"/>
      <c r="X70" s="10"/>
      <c r="Y70"/>
      <c r="Z70" s="10"/>
      <c r="AA70"/>
      <c r="AB70"/>
      <c r="AC70"/>
      <c r="AD70"/>
    </row>
    <row r="71" spans="1:30" x14ac:dyDescent="0.4">
      <c r="A71" t="s">
        <v>3717</v>
      </c>
      <c r="B71">
        <v>20180119</v>
      </c>
      <c r="C71">
        <v>8806164136690</v>
      </c>
      <c r="D71" t="s">
        <v>3145</v>
      </c>
      <c r="E71" t="s">
        <v>3718</v>
      </c>
      <c r="F71" t="s">
        <v>146</v>
      </c>
      <c r="G71" t="s">
        <v>3146</v>
      </c>
      <c r="H71">
        <v>0</v>
      </c>
      <c r="I71" t="s">
        <v>379</v>
      </c>
      <c r="J71">
        <v>2000</v>
      </c>
      <c r="K71">
        <v>1</v>
      </c>
      <c r="L71">
        <v>0</v>
      </c>
      <c r="M71">
        <v>0</v>
      </c>
      <c r="N71"/>
      <c r="O71" t="s">
        <v>3544</v>
      </c>
      <c r="P71" s="33">
        <v>0.5</v>
      </c>
      <c r="Q71">
        <v>1000</v>
      </c>
      <c r="R71" t="s">
        <v>147</v>
      </c>
      <c r="S71">
        <v>1</v>
      </c>
      <c r="T71">
        <v>1</v>
      </c>
      <c r="U71"/>
      <c r="V71"/>
      <c r="W71"/>
      <c r="X71"/>
      <c r="Y71"/>
      <c r="Z71"/>
      <c r="AA71"/>
      <c r="AB71"/>
      <c r="AC71"/>
      <c r="AD71"/>
    </row>
    <row r="72" spans="1:30" x14ac:dyDescent="0.4">
      <c r="A72" t="s">
        <v>3719</v>
      </c>
      <c r="B72">
        <v>20180119</v>
      </c>
      <c r="C72">
        <v>8806164147832</v>
      </c>
      <c r="D72" t="s">
        <v>3720</v>
      </c>
      <c r="E72" t="s">
        <v>984</v>
      </c>
      <c r="F72" t="s">
        <v>146</v>
      </c>
      <c r="G72" t="s">
        <v>3721</v>
      </c>
      <c r="H72">
        <v>0</v>
      </c>
      <c r="I72" t="s">
        <v>379</v>
      </c>
      <c r="J72">
        <v>17000</v>
      </c>
      <c r="K72">
        <v>1</v>
      </c>
      <c r="L72">
        <v>0</v>
      </c>
      <c r="M72">
        <v>1</v>
      </c>
      <c r="N72"/>
      <c r="O72" t="s">
        <v>3544</v>
      </c>
      <c r="P72" s="33">
        <v>0.5</v>
      </c>
      <c r="Q72">
        <v>8500</v>
      </c>
      <c r="R72" t="s">
        <v>147</v>
      </c>
      <c r="S72">
        <v>0</v>
      </c>
      <c r="T72"/>
      <c r="U72" s="10"/>
      <c r="V72"/>
      <c r="W72"/>
      <c r="X72" s="10"/>
      <c r="Y72"/>
      <c r="Z72" s="10"/>
      <c r="AA72"/>
      <c r="AB72"/>
      <c r="AC72"/>
      <c r="AD72"/>
    </row>
    <row r="73" spans="1:30" x14ac:dyDescent="0.4">
      <c r="A73" t="s">
        <v>3722</v>
      </c>
      <c r="B73">
        <v>20180119</v>
      </c>
      <c r="C73" s="36">
        <v>16636520000</v>
      </c>
      <c r="D73" t="s">
        <v>3723</v>
      </c>
      <c r="E73"/>
      <c r="F73" t="s">
        <v>146</v>
      </c>
      <c r="G73" t="s">
        <v>3724</v>
      </c>
      <c r="H73">
        <v>0</v>
      </c>
      <c r="I73" t="s">
        <v>379</v>
      </c>
      <c r="J73">
        <v>16000</v>
      </c>
      <c r="K73">
        <v>1</v>
      </c>
      <c r="L73">
        <v>0</v>
      </c>
      <c r="M73">
        <v>1</v>
      </c>
      <c r="N73"/>
      <c r="O73" t="s">
        <v>3544</v>
      </c>
      <c r="P73" s="33">
        <v>0.5</v>
      </c>
      <c r="Q73">
        <v>8000</v>
      </c>
      <c r="R73" t="s">
        <v>147</v>
      </c>
      <c r="S73">
        <v>0</v>
      </c>
      <c r="T73"/>
      <c r="U73" s="10"/>
      <c r="V73"/>
      <c r="W73"/>
      <c r="X73" s="10"/>
      <c r="Y73"/>
      <c r="Z73" s="10"/>
      <c r="AA73"/>
      <c r="AB73"/>
      <c r="AC73"/>
      <c r="AD73"/>
    </row>
    <row r="74" spans="1:30" x14ac:dyDescent="0.4">
      <c r="A74" t="s">
        <v>3725</v>
      </c>
      <c r="B74">
        <v>20180119</v>
      </c>
      <c r="C74">
        <v>8806164118115</v>
      </c>
      <c r="D74" t="s">
        <v>3150</v>
      </c>
      <c r="E74" t="s">
        <v>3726</v>
      </c>
      <c r="F74" t="s">
        <v>146</v>
      </c>
      <c r="G74" t="s">
        <v>3151</v>
      </c>
      <c r="H74">
        <v>0</v>
      </c>
      <c r="I74" t="s">
        <v>379</v>
      </c>
      <c r="J74">
        <v>6000</v>
      </c>
      <c r="K74">
        <v>5</v>
      </c>
      <c r="L74">
        <v>0</v>
      </c>
      <c r="M74">
        <v>5</v>
      </c>
      <c r="N74"/>
      <c r="O74" t="s">
        <v>3544</v>
      </c>
      <c r="P74" s="33">
        <v>0.5</v>
      </c>
      <c r="Q74">
        <v>3000</v>
      </c>
      <c r="R74" t="s">
        <v>147</v>
      </c>
      <c r="S74">
        <v>0</v>
      </c>
      <c r="T74">
        <v>0</v>
      </c>
      <c r="U74" s="10">
        <v>43118</v>
      </c>
      <c r="V74" t="s">
        <v>3289</v>
      </c>
      <c r="W74">
        <v>1</v>
      </c>
      <c r="X74" s="10">
        <v>43120</v>
      </c>
      <c r="Y74"/>
      <c r="Z74" s="10"/>
      <c r="AA74"/>
      <c r="AB74"/>
      <c r="AC74"/>
      <c r="AD74"/>
    </row>
    <row r="75" spans="1:30" x14ac:dyDescent="0.4">
      <c r="A75" t="s">
        <v>3727</v>
      </c>
      <c r="B75">
        <v>20180119</v>
      </c>
      <c r="C75">
        <v>8806164140765</v>
      </c>
      <c r="D75" t="s">
        <v>3728</v>
      </c>
      <c r="E75" t="s">
        <v>3729</v>
      </c>
      <c r="F75" t="s">
        <v>146</v>
      </c>
      <c r="G75" t="s">
        <v>3730</v>
      </c>
      <c r="H75">
        <v>0</v>
      </c>
      <c r="I75" t="s">
        <v>379</v>
      </c>
      <c r="J75">
        <v>15000</v>
      </c>
      <c r="K75">
        <v>1</v>
      </c>
      <c r="L75">
        <v>0</v>
      </c>
      <c r="M75">
        <v>1</v>
      </c>
      <c r="N75"/>
      <c r="O75" t="s">
        <v>3544</v>
      </c>
      <c r="P75" s="33">
        <v>0.5</v>
      </c>
      <c r="Q75">
        <v>7500</v>
      </c>
      <c r="R75" t="s">
        <v>147</v>
      </c>
      <c r="S75">
        <v>0</v>
      </c>
      <c r="T75"/>
      <c r="U75" s="10"/>
      <c r="V75"/>
      <c r="W75"/>
      <c r="X75" s="10"/>
      <c r="Y75"/>
      <c r="Z75" s="10"/>
      <c r="AA75"/>
      <c r="AB75"/>
      <c r="AC75"/>
      <c r="AD75"/>
    </row>
    <row r="76" spans="1:30" x14ac:dyDescent="0.4">
      <c r="A76" t="s">
        <v>3731</v>
      </c>
      <c r="B76">
        <v>20180119</v>
      </c>
      <c r="C76">
        <v>8806164136799</v>
      </c>
      <c r="D76" t="s">
        <v>3732</v>
      </c>
      <c r="E76" t="s">
        <v>3733</v>
      </c>
      <c r="F76" t="s">
        <v>146</v>
      </c>
      <c r="G76" t="s">
        <v>3734</v>
      </c>
      <c r="H76">
        <v>0</v>
      </c>
      <c r="I76" t="s">
        <v>379</v>
      </c>
      <c r="J76">
        <v>5000</v>
      </c>
      <c r="K76">
        <v>1</v>
      </c>
      <c r="L76">
        <v>0</v>
      </c>
      <c r="M76">
        <v>1</v>
      </c>
      <c r="N76"/>
      <c r="O76" t="s">
        <v>3544</v>
      </c>
      <c r="P76" s="33">
        <v>0.5</v>
      </c>
      <c r="Q76">
        <v>2500</v>
      </c>
      <c r="R76" t="s">
        <v>147</v>
      </c>
      <c r="S76">
        <v>0</v>
      </c>
      <c r="T76"/>
      <c r="U76" s="10"/>
      <c r="V76"/>
      <c r="W76"/>
      <c r="X76" s="10"/>
      <c r="Y76"/>
      <c r="Z76" s="10"/>
      <c r="AA76"/>
      <c r="AB76"/>
      <c r="AC76"/>
      <c r="AD76"/>
    </row>
    <row r="77" spans="1:30" x14ac:dyDescent="0.4">
      <c r="A77" t="s">
        <v>3735</v>
      </c>
      <c r="B77">
        <v>20180119</v>
      </c>
      <c r="C77">
        <v>8806164118108</v>
      </c>
      <c r="D77" t="s">
        <v>3152</v>
      </c>
      <c r="E77" t="s">
        <v>3736</v>
      </c>
      <c r="F77" t="s">
        <v>146</v>
      </c>
      <c r="G77" t="s">
        <v>3153</v>
      </c>
      <c r="H77">
        <v>0</v>
      </c>
      <c r="I77" t="s">
        <v>379</v>
      </c>
      <c r="J77">
        <v>5000</v>
      </c>
      <c r="K77">
        <v>1</v>
      </c>
      <c r="L77">
        <v>0</v>
      </c>
      <c r="M77">
        <v>0</v>
      </c>
      <c r="N77"/>
      <c r="O77" t="s">
        <v>3544</v>
      </c>
      <c r="P77" s="33">
        <v>0.5</v>
      </c>
      <c r="Q77">
        <v>2500</v>
      </c>
      <c r="R77" t="s">
        <v>147</v>
      </c>
      <c r="S77">
        <v>1</v>
      </c>
      <c r="T77">
        <v>1</v>
      </c>
      <c r="U77"/>
      <c r="V77"/>
      <c r="W77"/>
      <c r="X77"/>
      <c r="Y77"/>
      <c r="Z77"/>
      <c r="AA77"/>
      <c r="AB77"/>
      <c r="AC77"/>
      <c r="AD77"/>
    </row>
    <row r="78" spans="1:30" x14ac:dyDescent="0.4">
      <c r="A78" t="s">
        <v>3737</v>
      </c>
      <c r="B78">
        <v>20180119</v>
      </c>
      <c r="C78">
        <v>8806164135198</v>
      </c>
      <c r="D78" t="s">
        <v>3738</v>
      </c>
      <c r="E78"/>
      <c r="F78" t="s">
        <v>146</v>
      </c>
      <c r="G78" t="s">
        <v>3739</v>
      </c>
      <c r="H78">
        <v>0</v>
      </c>
      <c r="I78" t="s">
        <v>379</v>
      </c>
      <c r="J78">
        <v>8000</v>
      </c>
      <c r="K78">
        <v>1</v>
      </c>
      <c r="L78">
        <v>0</v>
      </c>
      <c r="M78">
        <v>1</v>
      </c>
      <c r="N78"/>
      <c r="O78" t="s">
        <v>3544</v>
      </c>
      <c r="P78" s="33">
        <v>0.5</v>
      </c>
      <c r="Q78">
        <v>4000</v>
      </c>
      <c r="R78" t="s">
        <v>147</v>
      </c>
      <c r="S78">
        <v>0</v>
      </c>
      <c r="T78"/>
      <c r="U78" s="10"/>
      <c r="V78"/>
      <c r="W78"/>
      <c r="X78" s="10"/>
      <c r="Y78"/>
      <c r="Z78" s="10"/>
      <c r="AA78"/>
      <c r="AB78"/>
      <c r="AC78"/>
      <c r="AD78"/>
    </row>
    <row r="79" spans="1:30" x14ac:dyDescent="0.4">
      <c r="A79" t="s">
        <v>3740</v>
      </c>
      <c r="B79">
        <v>20180119</v>
      </c>
      <c r="C79">
        <v>8806182551420</v>
      </c>
      <c r="D79" t="s">
        <v>2289</v>
      </c>
      <c r="E79" t="s">
        <v>2296</v>
      </c>
      <c r="F79" t="s">
        <v>191</v>
      </c>
      <c r="G79" t="s">
        <v>2290</v>
      </c>
      <c r="H79">
        <v>1</v>
      </c>
      <c r="I79" t="s">
        <v>379</v>
      </c>
      <c r="J79">
        <v>2500</v>
      </c>
      <c r="K79" s="34">
        <v>12</v>
      </c>
      <c r="L79">
        <v>0</v>
      </c>
      <c r="M79">
        <v>12</v>
      </c>
      <c r="N79"/>
      <c r="O79" t="s">
        <v>3544</v>
      </c>
      <c r="P79" s="33">
        <v>0.65</v>
      </c>
      <c r="Q79">
        <v>1625</v>
      </c>
      <c r="R79" t="s">
        <v>192</v>
      </c>
      <c r="S79">
        <v>0</v>
      </c>
      <c r="T79"/>
      <c r="U79" s="10"/>
      <c r="V79"/>
      <c r="W79"/>
      <c r="X79" s="10"/>
      <c r="Y79"/>
      <c r="Z79" s="10"/>
      <c r="AA79"/>
      <c r="AB79"/>
      <c r="AC79"/>
      <c r="AD79"/>
    </row>
    <row r="80" spans="1:30" x14ac:dyDescent="0.4">
      <c r="A80" t="s">
        <v>3741</v>
      </c>
      <c r="B80">
        <v>20180119</v>
      </c>
      <c r="C80">
        <v>8806182555787</v>
      </c>
      <c r="D80" t="s">
        <v>3742</v>
      </c>
      <c r="E80" t="s">
        <v>1707</v>
      </c>
      <c r="F80" t="s">
        <v>191</v>
      </c>
      <c r="G80" t="s">
        <v>3743</v>
      </c>
      <c r="H80">
        <v>0</v>
      </c>
      <c r="I80" t="s">
        <v>379</v>
      </c>
      <c r="J80">
        <v>35000</v>
      </c>
      <c r="K80">
        <v>1</v>
      </c>
      <c r="L80">
        <v>0</v>
      </c>
      <c r="M80">
        <v>1</v>
      </c>
      <c r="N80"/>
      <c r="O80" t="s">
        <v>3544</v>
      </c>
      <c r="P80" s="33">
        <v>0.65</v>
      </c>
      <c r="Q80">
        <v>22750</v>
      </c>
      <c r="R80" t="s">
        <v>192</v>
      </c>
      <c r="S80">
        <v>0</v>
      </c>
      <c r="T80"/>
      <c r="U80" s="10"/>
      <c r="V80"/>
      <c r="W80"/>
      <c r="X80" s="10"/>
      <c r="Y80"/>
      <c r="Z80" s="10"/>
      <c r="AA80"/>
      <c r="AB80"/>
      <c r="AC80"/>
      <c r="AD80"/>
    </row>
    <row r="81" spans="1:30" x14ac:dyDescent="0.4">
      <c r="A81" t="s">
        <v>3744</v>
      </c>
      <c r="B81">
        <v>20180119</v>
      </c>
      <c r="C81">
        <v>8806364060023</v>
      </c>
      <c r="D81" t="s">
        <v>1475</v>
      </c>
      <c r="E81" t="s">
        <v>1483</v>
      </c>
      <c r="F81" t="s">
        <v>191</v>
      </c>
      <c r="G81" t="s">
        <v>1476</v>
      </c>
      <c r="H81">
        <v>0</v>
      </c>
      <c r="I81" t="s">
        <v>379</v>
      </c>
      <c r="J81">
        <v>2000</v>
      </c>
      <c r="K81">
        <v>5</v>
      </c>
      <c r="L81">
        <v>3</v>
      </c>
      <c r="M81">
        <v>2</v>
      </c>
      <c r="N81"/>
      <c r="O81" t="s">
        <v>3544</v>
      </c>
      <c r="P81" s="33">
        <v>0.65</v>
      </c>
      <c r="Q81">
        <v>1300</v>
      </c>
      <c r="R81" t="s">
        <v>192</v>
      </c>
      <c r="S81">
        <v>3</v>
      </c>
      <c r="T81"/>
      <c r="U81" s="10"/>
      <c r="V81"/>
      <c r="W81"/>
      <c r="X81" s="10"/>
      <c r="Y81"/>
      <c r="Z81" s="10"/>
      <c r="AA81"/>
      <c r="AB81"/>
      <c r="AC81"/>
      <c r="AD81"/>
    </row>
    <row r="82" spans="1:30" x14ac:dyDescent="0.4">
      <c r="A82" t="s">
        <v>3745</v>
      </c>
      <c r="B82">
        <v>20180119</v>
      </c>
      <c r="C82">
        <v>8806364060030</v>
      </c>
      <c r="D82" t="s">
        <v>994</v>
      </c>
      <c r="E82" t="s">
        <v>1004</v>
      </c>
      <c r="F82" t="s">
        <v>191</v>
      </c>
      <c r="G82" t="s">
        <v>995</v>
      </c>
      <c r="H82">
        <v>0</v>
      </c>
      <c r="I82" t="s">
        <v>379</v>
      </c>
      <c r="J82">
        <v>2000</v>
      </c>
      <c r="K82">
        <v>1</v>
      </c>
      <c r="L82">
        <v>0</v>
      </c>
      <c r="M82">
        <v>1</v>
      </c>
      <c r="N82"/>
      <c r="O82" t="s">
        <v>3544</v>
      </c>
      <c r="P82" s="33">
        <v>0.65</v>
      </c>
      <c r="Q82">
        <v>1300</v>
      </c>
      <c r="R82" t="s">
        <v>192</v>
      </c>
      <c r="S82">
        <v>0</v>
      </c>
      <c r="T82"/>
      <c r="U82" s="10"/>
      <c r="V82"/>
      <c r="W82"/>
      <c r="X82" s="10"/>
      <c r="Y82"/>
      <c r="Z82" s="10"/>
      <c r="AA82"/>
      <c r="AB82"/>
      <c r="AC82"/>
      <c r="AD82"/>
    </row>
    <row r="83" spans="1:30" x14ac:dyDescent="0.4">
      <c r="A83" t="s">
        <v>3746</v>
      </c>
      <c r="B83">
        <v>20180119</v>
      </c>
      <c r="C83">
        <v>8806182522307</v>
      </c>
      <c r="D83" t="s">
        <v>976</v>
      </c>
      <c r="E83" t="s">
        <v>984</v>
      </c>
      <c r="F83" t="s">
        <v>191</v>
      </c>
      <c r="G83" t="s">
        <v>977</v>
      </c>
      <c r="H83">
        <v>0</v>
      </c>
      <c r="I83" t="s">
        <v>379</v>
      </c>
      <c r="J83">
        <v>18000</v>
      </c>
      <c r="K83">
        <v>1</v>
      </c>
      <c r="L83">
        <v>0</v>
      </c>
      <c r="M83">
        <v>1</v>
      </c>
      <c r="N83"/>
      <c r="O83" t="s">
        <v>3544</v>
      </c>
      <c r="P83" s="33">
        <v>0.65</v>
      </c>
      <c r="Q83">
        <v>11700</v>
      </c>
      <c r="R83" t="s">
        <v>192</v>
      </c>
      <c r="S83">
        <v>0</v>
      </c>
      <c r="T83"/>
      <c r="U83" s="10"/>
      <c r="V83"/>
      <c r="W83"/>
      <c r="X83" s="10"/>
      <c r="Y83"/>
      <c r="Z83" s="10"/>
      <c r="AA83"/>
      <c r="AB83"/>
      <c r="AC83"/>
      <c r="AD83"/>
    </row>
    <row r="84" spans="1:30" x14ac:dyDescent="0.4">
      <c r="A84" t="s">
        <v>3747</v>
      </c>
      <c r="B84">
        <v>20180119</v>
      </c>
      <c r="C84">
        <v>8806182545054</v>
      </c>
      <c r="D84" t="s">
        <v>2521</v>
      </c>
      <c r="E84" t="s">
        <v>2529</v>
      </c>
      <c r="F84" t="s">
        <v>191</v>
      </c>
      <c r="G84" t="s">
        <v>2522</v>
      </c>
      <c r="H84">
        <v>0</v>
      </c>
      <c r="I84" t="s">
        <v>379</v>
      </c>
      <c r="J84">
        <v>12000</v>
      </c>
      <c r="K84">
        <v>1</v>
      </c>
      <c r="L84">
        <v>0</v>
      </c>
      <c r="M84">
        <v>1</v>
      </c>
      <c r="N84"/>
      <c r="O84" t="s">
        <v>3544</v>
      </c>
      <c r="P84" s="33">
        <v>0.65</v>
      </c>
      <c r="Q84">
        <v>7800</v>
      </c>
      <c r="R84" t="s">
        <v>192</v>
      </c>
      <c r="S84">
        <v>0</v>
      </c>
      <c r="T84"/>
      <c r="U84" s="10"/>
      <c r="V84"/>
      <c r="W84"/>
      <c r="X84" s="10"/>
      <c r="Y84"/>
      <c r="Z84" s="10"/>
      <c r="AA84"/>
      <c r="AB84"/>
      <c r="AC84"/>
      <c r="AD84"/>
    </row>
    <row r="85" spans="1:30" x14ac:dyDescent="0.4">
      <c r="A85" t="s">
        <v>3748</v>
      </c>
      <c r="B85">
        <v>20180119</v>
      </c>
      <c r="C85">
        <v>8806182545108</v>
      </c>
      <c r="D85" t="s">
        <v>2512</v>
      </c>
      <c r="E85"/>
      <c r="F85" t="s">
        <v>191</v>
      </c>
      <c r="G85" t="s">
        <v>2513</v>
      </c>
      <c r="H85">
        <v>0</v>
      </c>
      <c r="I85" t="s">
        <v>379</v>
      </c>
      <c r="J85">
        <v>12000</v>
      </c>
      <c r="K85">
        <v>1</v>
      </c>
      <c r="L85">
        <v>0</v>
      </c>
      <c r="M85">
        <v>1</v>
      </c>
      <c r="N85"/>
      <c r="O85" t="s">
        <v>3544</v>
      </c>
      <c r="P85" s="33">
        <v>0.65</v>
      </c>
      <c r="Q85">
        <v>7800</v>
      </c>
      <c r="R85" t="s">
        <v>192</v>
      </c>
      <c r="S85">
        <v>0</v>
      </c>
      <c r="T85"/>
      <c r="U85" s="10"/>
      <c r="V85"/>
      <c r="W85"/>
      <c r="X85" s="10"/>
      <c r="Y85"/>
      <c r="Z85" s="10"/>
      <c r="AA85"/>
      <c r="AB85"/>
      <c r="AC85"/>
      <c r="AD85"/>
    </row>
    <row r="86" spans="1:30" x14ac:dyDescent="0.4">
      <c r="A86" t="s">
        <v>3749</v>
      </c>
      <c r="B86">
        <v>20180119</v>
      </c>
      <c r="C86">
        <v>8806182538377</v>
      </c>
      <c r="D86" t="s">
        <v>2712</v>
      </c>
      <c r="E86" t="s">
        <v>3750</v>
      </c>
      <c r="F86" t="s">
        <v>191</v>
      </c>
      <c r="G86" t="s">
        <v>2713</v>
      </c>
      <c r="H86">
        <v>0</v>
      </c>
      <c r="I86" t="s">
        <v>379</v>
      </c>
      <c r="J86">
        <v>18000</v>
      </c>
      <c r="K86">
        <v>1</v>
      </c>
      <c r="L86">
        <v>0</v>
      </c>
      <c r="M86">
        <v>0</v>
      </c>
      <c r="N86"/>
      <c r="O86" t="s">
        <v>3544</v>
      </c>
      <c r="P86" s="33">
        <v>0.65</v>
      </c>
      <c r="Q86">
        <v>11700</v>
      </c>
      <c r="R86" t="s">
        <v>192</v>
      </c>
      <c r="S86">
        <v>1</v>
      </c>
      <c r="T86">
        <v>1</v>
      </c>
      <c r="U86"/>
      <c r="V86"/>
      <c r="W86"/>
      <c r="X86"/>
      <c r="Y86"/>
      <c r="Z86"/>
      <c r="AA86"/>
      <c r="AB86"/>
      <c r="AC86"/>
      <c r="AD86"/>
    </row>
    <row r="87" spans="1:30" x14ac:dyDescent="0.4">
      <c r="A87" t="s">
        <v>3751</v>
      </c>
      <c r="B87">
        <v>20180119</v>
      </c>
      <c r="C87">
        <v>8806182531514</v>
      </c>
      <c r="D87" t="s">
        <v>3752</v>
      </c>
      <c r="E87" t="s">
        <v>3753</v>
      </c>
      <c r="F87" t="s">
        <v>191</v>
      </c>
      <c r="G87" t="s">
        <v>3754</v>
      </c>
      <c r="H87">
        <v>0</v>
      </c>
      <c r="I87" t="s">
        <v>379</v>
      </c>
      <c r="J87">
        <v>7000</v>
      </c>
      <c r="K87">
        <v>1</v>
      </c>
      <c r="L87">
        <v>0</v>
      </c>
      <c r="M87">
        <v>1</v>
      </c>
      <c r="N87"/>
      <c r="O87" t="s">
        <v>3544</v>
      </c>
      <c r="P87" s="33">
        <v>0.65</v>
      </c>
      <c r="Q87">
        <v>4550</v>
      </c>
      <c r="R87" t="s">
        <v>192</v>
      </c>
      <c r="S87">
        <v>0</v>
      </c>
      <c r="T87"/>
      <c r="U87" s="10"/>
      <c r="V87"/>
      <c r="W87"/>
      <c r="X87" s="10"/>
      <c r="Y87"/>
      <c r="Z87" s="10"/>
      <c r="AA87"/>
      <c r="AB87"/>
      <c r="AC87"/>
      <c r="AD87"/>
    </row>
    <row r="88" spans="1:30" x14ac:dyDescent="0.4">
      <c r="A88" t="s">
        <v>3755</v>
      </c>
      <c r="B88">
        <v>20180119</v>
      </c>
      <c r="C88">
        <v>8806182527289</v>
      </c>
      <c r="D88" t="s">
        <v>2714</v>
      </c>
      <c r="E88" t="s">
        <v>3756</v>
      </c>
      <c r="F88" t="s">
        <v>191</v>
      </c>
      <c r="G88" t="s">
        <v>2715</v>
      </c>
      <c r="H88">
        <v>0</v>
      </c>
      <c r="I88" t="s">
        <v>379</v>
      </c>
      <c r="J88">
        <v>9000</v>
      </c>
      <c r="K88">
        <v>2</v>
      </c>
      <c r="L88">
        <v>0</v>
      </c>
      <c r="M88">
        <v>0</v>
      </c>
      <c r="N88"/>
      <c r="O88" t="s">
        <v>3544</v>
      </c>
      <c r="P88" s="33">
        <v>0.65</v>
      </c>
      <c r="Q88">
        <v>5850</v>
      </c>
      <c r="R88" t="s">
        <v>192</v>
      </c>
      <c r="S88">
        <v>2</v>
      </c>
      <c r="T88">
        <v>2</v>
      </c>
      <c r="U88"/>
      <c r="V88"/>
      <c r="W88"/>
      <c r="X88"/>
      <c r="Y88"/>
      <c r="Z88"/>
      <c r="AA88"/>
      <c r="AB88"/>
      <c r="AC88"/>
      <c r="AD88"/>
    </row>
    <row r="89" spans="1:30" x14ac:dyDescent="0.4">
      <c r="A89" t="s">
        <v>3757</v>
      </c>
      <c r="B89">
        <v>20180119</v>
      </c>
      <c r="C89">
        <v>8806182549854</v>
      </c>
      <c r="D89" t="s">
        <v>2716</v>
      </c>
      <c r="E89" t="s">
        <v>3758</v>
      </c>
      <c r="F89" t="s">
        <v>191</v>
      </c>
      <c r="G89" t="s">
        <v>2717</v>
      </c>
      <c r="H89">
        <v>0</v>
      </c>
      <c r="I89" t="s">
        <v>379</v>
      </c>
      <c r="J89">
        <v>18000</v>
      </c>
      <c r="K89">
        <v>1</v>
      </c>
      <c r="L89">
        <v>0</v>
      </c>
      <c r="M89">
        <v>0</v>
      </c>
      <c r="N89"/>
      <c r="O89" t="s">
        <v>3544</v>
      </c>
      <c r="P89" s="33">
        <v>0.65</v>
      </c>
      <c r="Q89">
        <v>11700</v>
      </c>
      <c r="R89" t="s">
        <v>192</v>
      </c>
      <c r="S89">
        <v>1</v>
      </c>
      <c r="T89">
        <v>1</v>
      </c>
      <c r="U89"/>
      <c r="V89"/>
      <c r="W89"/>
      <c r="X89"/>
      <c r="Y89"/>
      <c r="Z89"/>
      <c r="AA89"/>
      <c r="AB89"/>
      <c r="AC89"/>
      <c r="AD89"/>
    </row>
    <row r="90" spans="1:30" x14ac:dyDescent="0.4">
      <c r="A90" t="s">
        <v>3759</v>
      </c>
      <c r="B90">
        <v>20180119</v>
      </c>
      <c r="C90">
        <v>8806182528088</v>
      </c>
      <c r="D90" t="s">
        <v>3760</v>
      </c>
      <c r="E90" t="s">
        <v>3585</v>
      </c>
      <c r="F90" t="s">
        <v>191</v>
      </c>
      <c r="G90" t="s">
        <v>3761</v>
      </c>
      <c r="H90">
        <v>3</v>
      </c>
      <c r="I90" t="s">
        <v>379</v>
      </c>
      <c r="J90">
        <v>4500</v>
      </c>
      <c r="K90">
        <v>4</v>
      </c>
      <c r="L90">
        <v>0</v>
      </c>
      <c r="M90">
        <v>4</v>
      </c>
      <c r="N90"/>
      <c r="O90" s="35" t="s">
        <v>3550</v>
      </c>
      <c r="P90" s="33">
        <v>0.65</v>
      </c>
      <c r="Q90">
        <v>2925</v>
      </c>
      <c r="R90" t="s">
        <v>192</v>
      </c>
      <c r="S90">
        <v>0</v>
      </c>
      <c r="T90"/>
      <c r="U90" s="10"/>
      <c r="V90"/>
      <c r="W90"/>
      <c r="X90" s="10"/>
      <c r="Y90"/>
      <c r="Z90" s="10"/>
      <c r="AA90"/>
      <c r="AB90"/>
      <c r="AC90"/>
      <c r="AD90"/>
    </row>
    <row r="91" spans="1:30" x14ac:dyDescent="0.4">
      <c r="A91" t="s">
        <v>3762</v>
      </c>
      <c r="B91">
        <v>20180119</v>
      </c>
      <c r="C91" s="36">
        <v>16162120000</v>
      </c>
      <c r="D91" t="s">
        <v>2128</v>
      </c>
      <c r="E91"/>
      <c r="F91" t="s">
        <v>191</v>
      </c>
      <c r="G91" t="s">
        <v>2129</v>
      </c>
      <c r="H91">
        <v>0</v>
      </c>
      <c r="I91" t="s">
        <v>379</v>
      </c>
      <c r="J91">
        <v>3000</v>
      </c>
      <c r="K91">
        <v>1</v>
      </c>
      <c r="L91">
        <v>0</v>
      </c>
      <c r="M91">
        <v>0</v>
      </c>
      <c r="N91"/>
      <c r="O91" t="s">
        <v>3544</v>
      </c>
      <c r="P91" s="33">
        <v>0.65</v>
      </c>
      <c r="Q91">
        <v>1950</v>
      </c>
      <c r="R91" t="s">
        <v>192</v>
      </c>
      <c r="S91">
        <v>1</v>
      </c>
      <c r="T91">
        <v>1</v>
      </c>
      <c r="U91"/>
      <c r="V91"/>
      <c r="W91"/>
      <c r="X91"/>
      <c r="Y91"/>
      <c r="Z91"/>
      <c r="AA91"/>
      <c r="AB91"/>
      <c r="AC91"/>
      <c r="AD91"/>
    </row>
    <row r="92" spans="1:30" x14ac:dyDescent="0.4">
      <c r="A92" t="s">
        <v>3763</v>
      </c>
      <c r="B92">
        <v>20180119</v>
      </c>
      <c r="C92">
        <v>8806182548741</v>
      </c>
      <c r="D92" t="s">
        <v>2118</v>
      </c>
      <c r="E92"/>
      <c r="F92" t="s">
        <v>191</v>
      </c>
      <c r="G92" t="s">
        <v>2119</v>
      </c>
      <c r="H92">
        <v>0</v>
      </c>
      <c r="I92" t="s">
        <v>379</v>
      </c>
      <c r="J92">
        <v>3000</v>
      </c>
      <c r="K92">
        <v>1</v>
      </c>
      <c r="L92">
        <v>0</v>
      </c>
      <c r="M92">
        <v>0</v>
      </c>
      <c r="N92"/>
      <c r="O92" t="s">
        <v>3544</v>
      </c>
      <c r="P92" s="33">
        <v>0.65</v>
      </c>
      <c r="Q92">
        <v>1950</v>
      </c>
      <c r="R92" t="s">
        <v>192</v>
      </c>
      <c r="S92">
        <v>1</v>
      </c>
      <c r="T92">
        <v>1</v>
      </c>
      <c r="U92"/>
      <c r="V92"/>
      <c r="W92"/>
      <c r="X92"/>
      <c r="Y92"/>
      <c r="Z92"/>
      <c r="AA92"/>
      <c r="AB92"/>
      <c r="AC92"/>
      <c r="AD92"/>
    </row>
    <row r="93" spans="1:30" x14ac:dyDescent="0.4">
      <c r="A93" t="s">
        <v>3764</v>
      </c>
      <c r="B93">
        <v>20180119</v>
      </c>
      <c r="C93">
        <v>8806182528392</v>
      </c>
      <c r="D93" t="s">
        <v>2718</v>
      </c>
      <c r="E93" t="s">
        <v>889</v>
      </c>
      <c r="F93" t="s">
        <v>191</v>
      </c>
      <c r="G93" t="s">
        <v>2719</v>
      </c>
      <c r="H93">
        <v>0</v>
      </c>
      <c r="I93" t="s">
        <v>379</v>
      </c>
      <c r="J93">
        <v>19000</v>
      </c>
      <c r="K93">
        <v>1</v>
      </c>
      <c r="L93">
        <v>0</v>
      </c>
      <c r="M93">
        <v>0</v>
      </c>
      <c r="N93"/>
      <c r="O93" t="s">
        <v>3544</v>
      </c>
      <c r="P93" s="33">
        <v>0.65</v>
      </c>
      <c r="Q93">
        <v>12350</v>
      </c>
      <c r="R93" t="s">
        <v>192</v>
      </c>
      <c r="S93">
        <v>1</v>
      </c>
      <c r="T93">
        <v>1</v>
      </c>
      <c r="U93"/>
      <c r="V93"/>
      <c r="W93"/>
      <c r="X93"/>
      <c r="Y93"/>
      <c r="Z93"/>
      <c r="AA93"/>
      <c r="AB93"/>
      <c r="AC93"/>
      <c r="AD93"/>
    </row>
    <row r="94" spans="1:30" x14ac:dyDescent="0.4">
      <c r="A94" t="s">
        <v>3765</v>
      </c>
      <c r="B94">
        <v>20180119</v>
      </c>
      <c r="C94">
        <v>8806182556067</v>
      </c>
      <c r="D94" t="s">
        <v>3766</v>
      </c>
      <c r="E94" t="s">
        <v>3767</v>
      </c>
      <c r="F94" t="s">
        <v>191</v>
      </c>
      <c r="G94" t="s">
        <v>3768</v>
      </c>
      <c r="H94">
        <v>0</v>
      </c>
      <c r="I94" t="s">
        <v>379</v>
      </c>
      <c r="J94">
        <v>2500</v>
      </c>
      <c r="K94">
        <v>1</v>
      </c>
      <c r="L94">
        <v>0</v>
      </c>
      <c r="M94">
        <v>1</v>
      </c>
      <c r="N94"/>
      <c r="O94" t="s">
        <v>3544</v>
      </c>
      <c r="P94" s="33">
        <v>0.65</v>
      </c>
      <c r="Q94">
        <v>1625</v>
      </c>
      <c r="R94" t="s">
        <v>192</v>
      </c>
      <c r="S94">
        <v>0</v>
      </c>
      <c r="T94"/>
      <c r="U94" s="10"/>
      <c r="V94"/>
      <c r="W94"/>
      <c r="X94" s="10"/>
      <c r="Y94"/>
      <c r="Z94" s="10"/>
      <c r="AA94"/>
      <c r="AB94"/>
      <c r="AC94"/>
      <c r="AD94"/>
    </row>
    <row r="95" spans="1:30" x14ac:dyDescent="0.4">
      <c r="A95" t="s">
        <v>3769</v>
      </c>
      <c r="B95">
        <v>20180119</v>
      </c>
      <c r="C95">
        <v>8806182535871</v>
      </c>
      <c r="D95" t="s">
        <v>3770</v>
      </c>
      <c r="E95" t="s">
        <v>3771</v>
      </c>
      <c r="F95" t="s">
        <v>191</v>
      </c>
      <c r="G95" t="s">
        <v>3772</v>
      </c>
      <c r="H95">
        <v>0</v>
      </c>
      <c r="I95" t="s">
        <v>379</v>
      </c>
      <c r="J95">
        <v>11000</v>
      </c>
      <c r="K95">
        <v>2</v>
      </c>
      <c r="L95">
        <v>0</v>
      </c>
      <c r="M95">
        <v>2</v>
      </c>
      <c r="N95"/>
      <c r="O95" t="s">
        <v>3544</v>
      </c>
      <c r="P95" s="33">
        <v>0.65</v>
      </c>
      <c r="Q95">
        <v>7150</v>
      </c>
      <c r="R95" t="s">
        <v>192</v>
      </c>
      <c r="S95">
        <v>0</v>
      </c>
      <c r="T95"/>
      <c r="U95" s="10"/>
      <c r="V95"/>
      <c r="W95"/>
      <c r="X95" s="10"/>
      <c r="Y95"/>
      <c r="Z95" s="10"/>
      <c r="AA95"/>
      <c r="AB95"/>
      <c r="AC95"/>
      <c r="AD95"/>
    </row>
    <row r="96" spans="1:30" x14ac:dyDescent="0.4">
      <c r="A96" t="s">
        <v>3773</v>
      </c>
      <c r="B96">
        <v>20180119</v>
      </c>
      <c r="C96">
        <v>8806182550836</v>
      </c>
      <c r="D96" t="s">
        <v>763</v>
      </c>
      <c r="E96" t="s">
        <v>771</v>
      </c>
      <c r="F96" t="s">
        <v>191</v>
      </c>
      <c r="G96" t="s">
        <v>764</v>
      </c>
      <c r="H96">
        <v>0</v>
      </c>
      <c r="I96" t="s">
        <v>379</v>
      </c>
      <c r="J96">
        <v>13000</v>
      </c>
      <c r="K96">
        <v>3</v>
      </c>
      <c r="L96">
        <v>0</v>
      </c>
      <c r="M96">
        <v>3</v>
      </c>
      <c r="N96"/>
      <c r="O96" t="s">
        <v>3544</v>
      </c>
      <c r="P96" s="33">
        <v>0.65</v>
      </c>
      <c r="Q96">
        <v>8450</v>
      </c>
      <c r="R96" t="s">
        <v>192</v>
      </c>
      <c r="S96">
        <v>0</v>
      </c>
      <c r="T96"/>
      <c r="U96" s="10"/>
      <c r="V96"/>
      <c r="W96"/>
      <c r="X96" s="10"/>
      <c r="Y96"/>
      <c r="Z96" s="10"/>
      <c r="AA96"/>
      <c r="AB96"/>
      <c r="AC96"/>
      <c r="AD96"/>
    </row>
    <row r="97" spans="1:30" x14ac:dyDescent="0.4">
      <c r="A97" t="s">
        <v>3774</v>
      </c>
      <c r="B97">
        <v>20180119</v>
      </c>
      <c r="C97">
        <v>8806364007219</v>
      </c>
      <c r="D97" t="s">
        <v>2353</v>
      </c>
      <c r="E97" t="s">
        <v>3775</v>
      </c>
      <c r="F97" t="s">
        <v>191</v>
      </c>
      <c r="G97" t="s">
        <v>2354</v>
      </c>
      <c r="H97">
        <v>0</v>
      </c>
      <c r="I97" t="s">
        <v>379</v>
      </c>
      <c r="J97">
        <v>3000</v>
      </c>
      <c r="K97" s="34">
        <v>16</v>
      </c>
      <c r="L97">
        <v>0</v>
      </c>
      <c r="M97">
        <v>16</v>
      </c>
      <c r="N97"/>
      <c r="O97" t="s">
        <v>3544</v>
      </c>
      <c r="P97" s="33">
        <v>0.65</v>
      </c>
      <c r="Q97">
        <v>1950</v>
      </c>
      <c r="R97" t="s">
        <v>192</v>
      </c>
      <c r="S97">
        <v>0</v>
      </c>
      <c r="T97"/>
      <c r="U97" s="10"/>
      <c r="V97"/>
      <c r="W97"/>
      <c r="X97" s="10"/>
      <c r="Y97"/>
      <c r="Z97" s="10"/>
      <c r="AA97"/>
      <c r="AB97"/>
      <c r="AC97"/>
      <c r="AD97"/>
    </row>
    <row r="98" spans="1:30" x14ac:dyDescent="0.4">
      <c r="A98" t="s">
        <v>3776</v>
      </c>
      <c r="B98">
        <v>20180119</v>
      </c>
      <c r="C98">
        <v>8806182529276</v>
      </c>
      <c r="D98" t="s">
        <v>753</v>
      </c>
      <c r="E98" t="s">
        <v>760</v>
      </c>
      <c r="F98" t="s">
        <v>191</v>
      </c>
      <c r="G98" t="s">
        <v>754</v>
      </c>
      <c r="H98">
        <v>0</v>
      </c>
      <c r="I98" t="s">
        <v>379</v>
      </c>
      <c r="J98">
        <v>25000</v>
      </c>
      <c r="K98">
        <v>3</v>
      </c>
      <c r="L98">
        <v>0</v>
      </c>
      <c r="M98">
        <v>3</v>
      </c>
      <c r="N98"/>
      <c r="O98" t="s">
        <v>3544</v>
      </c>
      <c r="P98" s="33">
        <v>0.65</v>
      </c>
      <c r="Q98">
        <v>16250</v>
      </c>
      <c r="R98" t="s">
        <v>192</v>
      </c>
      <c r="S98">
        <v>0</v>
      </c>
      <c r="T98"/>
      <c r="U98" s="10"/>
      <c r="V98"/>
      <c r="W98"/>
      <c r="X98" s="10"/>
      <c r="Y98"/>
      <c r="Z98" s="10"/>
      <c r="AA98"/>
      <c r="AB98"/>
      <c r="AC98"/>
      <c r="AD98"/>
    </row>
    <row r="99" spans="1:30" x14ac:dyDescent="0.4">
      <c r="A99" t="s">
        <v>3777</v>
      </c>
      <c r="B99">
        <v>20180119</v>
      </c>
      <c r="C99">
        <v>8806182545238</v>
      </c>
      <c r="D99" t="s">
        <v>3778</v>
      </c>
      <c r="E99" t="s">
        <v>3729</v>
      </c>
      <c r="F99" t="s">
        <v>191</v>
      </c>
      <c r="G99" t="s">
        <v>3779</v>
      </c>
      <c r="H99">
        <v>0</v>
      </c>
      <c r="I99" t="s">
        <v>379</v>
      </c>
      <c r="J99">
        <v>20000</v>
      </c>
      <c r="K99">
        <v>1</v>
      </c>
      <c r="L99">
        <v>0</v>
      </c>
      <c r="M99">
        <v>1</v>
      </c>
      <c r="N99"/>
      <c r="O99" t="s">
        <v>3544</v>
      </c>
      <c r="P99" s="33">
        <v>0.65</v>
      </c>
      <c r="Q99">
        <v>13000</v>
      </c>
      <c r="R99" t="s">
        <v>192</v>
      </c>
      <c r="S99">
        <v>0</v>
      </c>
      <c r="T99"/>
      <c r="U99" s="10"/>
      <c r="V99"/>
      <c r="W99"/>
      <c r="X99" s="10"/>
      <c r="Y99"/>
      <c r="Z99" s="10"/>
      <c r="AA99"/>
      <c r="AB99"/>
      <c r="AC99"/>
      <c r="AD99"/>
    </row>
    <row r="100" spans="1:30" x14ac:dyDescent="0.4">
      <c r="A100" t="s">
        <v>3780</v>
      </c>
      <c r="B100">
        <v>20180119</v>
      </c>
      <c r="C100">
        <v>8806182545290</v>
      </c>
      <c r="D100" t="s">
        <v>2723</v>
      </c>
      <c r="E100"/>
      <c r="F100" t="s">
        <v>191</v>
      </c>
      <c r="G100" t="s">
        <v>2724</v>
      </c>
      <c r="H100">
        <v>0</v>
      </c>
      <c r="I100" t="s">
        <v>379</v>
      </c>
      <c r="J100">
        <v>12000</v>
      </c>
      <c r="K100">
        <v>2</v>
      </c>
      <c r="L100">
        <v>0</v>
      </c>
      <c r="M100">
        <v>0</v>
      </c>
      <c r="N100"/>
      <c r="O100" t="s">
        <v>3544</v>
      </c>
      <c r="P100" s="33">
        <v>0.65</v>
      </c>
      <c r="Q100">
        <v>7800</v>
      </c>
      <c r="R100" t="s">
        <v>192</v>
      </c>
      <c r="S100">
        <v>2</v>
      </c>
      <c r="T100">
        <v>2</v>
      </c>
      <c r="U100"/>
      <c r="V100"/>
      <c r="W100"/>
      <c r="X100"/>
      <c r="Y100"/>
      <c r="Z100"/>
      <c r="AA100"/>
      <c r="AB100"/>
      <c r="AC100"/>
      <c r="AD100"/>
    </row>
    <row r="101" spans="1:30" x14ac:dyDescent="0.4">
      <c r="A101" t="s">
        <v>3781</v>
      </c>
      <c r="B101">
        <v>20180119</v>
      </c>
      <c r="C101">
        <v>8806182545306</v>
      </c>
      <c r="D101" t="s">
        <v>1872</v>
      </c>
      <c r="E101"/>
      <c r="F101" t="s">
        <v>191</v>
      </c>
      <c r="G101" t="s">
        <v>1873</v>
      </c>
      <c r="H101">
        <v>0</v>
      </c>
      <c r="I101" t="s">
        <v>379</v>
      </c>
      <c r="J101">
        <v>12000</v>
      </c>
      <c r="K101">
        <v>1</v>
      </c>
      <c r="L101">
        <v>0</v>
      </c>
      <c r="M101">
        <v>0</v>
      </c>
      <c r="N101"/>
      <c r="O101" t="s">
        <v>3544</v>
      </c>
      <c r="P101" s="33">
        <v>0.65</v>
      </c>
      <c r="Q101">
        <v>7800</v>
      </c>
      <c r="R101" t="s">
        <v>192</v>
      </c>
      <c r="S101">
        <v>1</v>
      </c>
      <c r="T101">
        <v>1</v>
      </c>
      <c r="U101"/>
      <c r="V101"/>
      <c r="W101"/>
      <c r="X101"/>
      <c r="Y101"/>
      <c r="Z101"/>
      <c r="AA101"/>
      <c r="AB101"/>
      <c r="AC101"/>
      <c r="AD101"/>
    </row>
    <row r="102" spans="1:30" x14ac:dyDescent="0.4">
      <c r="A102" t="s">
        <v>3782</v>
      </c>
      <c r="B102">
        <v>20180119</v>
      </c>
      <c r="C102">
        <v>8806403258787</v>
      </c>
      <c r="D102" t="s">
        <v>446</v>
      </c>
      <c r="E102"/>
      <c r="F102" t="s">
        <v>205</v>
      </c>
      <c r="G102" t="s">
        <v>448</v>
      </c>
      <c r="H102">
        <v>0</v>
      </c>
      <c r="I102" t="s">
        <v>379</v>
      </c>
      <c r="J102">
        <v>23000</v>
      </c>
      <c r="K102">
        <v>2</v>
      </c>
      <c r="L102">
        <v>0</v>
      </c>
      <c r="M102">
        <v>2</v>
      </c>
      <c r="N102"/>
      <c r="O102" t="s">
        <v>3544</v>
      </c>
      <c r="P102" s="33">
        <v>0.62</v>
      </c>
      <c r="Q102">
        <v>14260</v>
      </c>
      <c r="R102" t="s">
        <v>206</v>
      </c>
      <c r="S102">
        <v>0</v>
      </c>
      <c r="T102"/>
      <c r="U102" s="10"/>
      <c r="V102"/>
      <c r="W102"/>
      <c r="X102" s="10"/>
      <c r="Y102"/>
      <c r="Z102" s="10"/>
      <c r="AA102"/>
      <c r="AB102"/>
      <c r="AC102"/>
      <c r="AD102"/>
    </row>
    <row r="103" spans="1:30" x14ac:dyDescent="0.4">
      <c r="A103" t="s">
        <v>3783</v>
      </c>
      <c r="B103">
        <v>20180119</v>
      </c>
      <c r="C103">
        <v>8806403176111</v>
      </c>
      <c r="D103" t="s">
        <v>2850</v>
      </c>
      <c r="E103" t="s">
        <v>3784</v>
      </c>
      <c r="F103" t="s">
        <v>205</v>
      </c>
      <c r="G103" t="s">
        <v>2851</v>
      </c>
      <c r="H103">
        <v>0</v>
      </c>
      <c r="I103" t="s">
        <v>379</v>
      </c>
      <c r="J103">
        <v>17000</v>
      </c>
      <c r="K103">
        <v>5</v>
      </c>
      <c r="L103">
        <v>4</v>
      </c>
      <c r="M103">
        <v>-1</v>
      </c>
      <c r="N103"/>
      <c r="O103" t="s">
        <v>3544</v>
      </c>
      <c r="P103" s="33">
        <v>0.62</v>
      </c>
      <c r="Q103">
        <v>10540</v>
      </c>
      <c r="R103" t="s">
        <v>206</v>
      </c>
      <c r="S103">
        <v>6</v>
      </c>
      <c r="T103">
        <v>2</v>
      </c>
      <c r="U103"/>
      <c r="V103"/>
      <c r="W103"/>
      <c r="X103"/>
      <c r="Y103"/>
      <c r="Z103"/>
      <c r="AA103"/>
      <c r="AB103"/>
      <c r="AC103"/>
      <c r="AD103"/>
    </row>
    <row r="104" spans="1:30" x14ac:dyDescent="0.4">
      <c r="A104" t="s">
        <v>3785</v>
      </c>
      <c r="B104">
        <v>20180119</v>
      </c>
      <c r="C104">
        <v>8809516825297</v>
      </c>
      <c r="D104" t="s">
        <v>2852</v>
      </c>
      <c r="E104" t="s">
        <v>3786</v>
      </c>
      <c r="F104" t="s">
        <v>205</v>
      </c>
      <c r="G104" t="s">
        <v>2853</v>
      </c>
      <c r="H104">
        <v>0</v>
      </c>
      <c r="I104" t="s">
        <v>379</v>
      </c>
      <c r="J104">
        <v>32000</v>
      </c>
      <c r="K104" s="34">
        <v>12</v>
      </c>
      <c r="L104">
        <v>9</v>
      </c>
      <c r="M104">
        <v>-1</v>
      </c>
      <c r="N104"/>
      <c r="O104" t="s">
        <v>3544</v>
      </c>
      <c r="P104" s="33">
        <v>0.62</v>
      </c>
      <c r="Q104">
        <v>19840</v>
      </c>
      <c r="R104" t="s">
        <v>206</v>
      </c>
      <c r="S104">
        <v>13</v>
      </c>
      <c r="T104">
        <v>4</v>
      </c>
      <c r="U104"/>
      <c r="V104"/>
      <c r="W104"/>
      <c r="X104"/>
      <c r="Y104"/>
      <c r="Z104"/>
      <c r="AA104"/>
      <c r="AB104"/>
      <c r="AC104"/>
      <c r="AD104"/>
    </row>
    <row r="105" spans="1:30" x14ac:dyDescent="0.4">
      <c r="A105" t="s">
        <v>3787</v>
      </c>
      <c r="B105">
        <v>20180119</v>
      </c>
      <c r="C105">
        <v>8809516534090</v>
      </c>
      <c r="D105" t="s">
        <v>3788</v>
      </c>
      <c r="E105"/>
      <c r="F105" t="s">
        <v>205</v>
      </c>
      <c r="G105" t="s">
        <v>3789</v>
      </c>
      <c r="H105">
        <v>0</v>
      </c>
      <c r="I105" t="s">
        <v>379</v>
      </c>
      <c r="J105">
        <v>38000</v>
      </c>
      <c r="K105">
        <v>1</v>
      </c>
      <c r="L105">
        <v>0</v>
      </c>
      <c r="M105">
        <v>1</v>
      </c>
      <c r="N105"/>
      <c r="O105" t="s">
        <v>3544</v>
      </c>
      <c r="P105" s="33">
        <v>0.62</v>
      </c>
      <c r="Q105">
        <v>23560</v>
      </c>
      <c r="R105" t="s">
        <v>206</v>
      </c>
      <c r="S105">
        <v>0</v>
      </c>
      <c r="T105"/>
      <c r="U105" s="10"/>
      <c r="V105"/>
      <c r="W105"/>
      <c r="X105" s="10"/>
      <c r="Y105"/>
      <c r="Z105" s="10"/>
      <c r="AA105"/>
      <c r="AB105"/>
      <c r="AC105"/>
      <c r="AD105"/>
    </row>
    <row r="106" spans="1:30" x14ac:dyDescent="0.4">
      <c r="A106" t="s">
        <v>3790</v>
      </c>
      <c r="B106">
        <v>20180119</v>
      </c>
      <c r="C106">
        <v>8809516530733</v>
      </c>
      <c r="D106" t="s">
        <v>3791</v>
      </c>
      <c r="E106" t="s">
        <v>3792</v>
      </c>
      <c r="F106" t="s">
        <v>205</v>
      </c>
      <c r="G106" t="s">
        <v>3793</v>
      </c>
      <c r="H106">
        <v>0</v>
      </c>
      <c r="I106" t="s">
        <v>379</v>
      </c>
      <c r="J106">
        <v>23000</v>
      </c>
      <c r="K106">
        <v>1</v>
      </c>
      <c r="L106">
        <v>0</v>
      </c>
      <c r="M106">
        <v>1</v>
      </c>
      <c r="N106"/>
      <c r="O106" s="35" t="s">
        <v>3550</v>
      </c>
      <c r="P106" s="33">
        <v>0.62</v>
      </c>
      <c r="Q106">
        <v>14260</v>
      </c>
      <c r="R106" t="s">
        <v>206</v>
      </c>
      <c r="S106">
        <v>0</v>
      </c>
      <c r="T106"/>
      <c r="U106" s="10"/>
      <c r="V106"/>
      <c r="W106"/>
      <c r="X106" s="10"/>
      <c r="Y106"/>
      <c r="Z106" s="10"/>
      <c r="AA106"/>
      <c r="AB106"/>
      <c r="AC106"/>
      <c r="AD106"/>
    </row>
    <row r="107" spans="1:30" x14ac:dyDescent="0.4">
      <c r="A107" t="s">
        <v>3794</v>
      </c>
      <c r="B107">
        <v>20180119</v>
      </c>
      <c r="C107">
        <v>8809438533348</v>
      </c>
      <c r="D107" t="s">
        <v>2964</v>
      </c>
      <c r="E107" t="s">
        <v>3795</v>
      </c>
      <c r="F107" t="s">
        <v>3796</v>
      </c>
      <c r="G107" t="s">
        <v>2965</v>
      </c>
      <c r="H107">
        <v>0</v>
      </c>
      <c r="I107" t="s">
        <v>379</v>
      </c>
      <c r="J107">
        <v>12000</v>
      </c>
      <c r="K107">
        <v>1</v>
      </c>
      <c r="L107">
        <v>0</v>
      </c>
      <c r="M107">
        <v>1</v>
      </c>
      <c r="N107"/>
      <c r="O107" t="s">
        <v>3544</v>
      </c>
      <c r="P107" s="33" t="s">
        <v>3567</v>
      </c>
      <c r="Q107" s="37">
        <v>6600</v>
      </c>
      <c r="R107" t="s">
        <v>261</v>
      </c>
      <c r="S107">
        <v>0</v>
      </c>
      <c r="T107">
        <v>0</v>
      </c>
      <c r="U107" s="10">
        <v>43118</v>
      </c>
      <c r="V107" t="s">
        <v>3797</v>
      </c>
      <c r="W107">
        <v>1</v>
      </c>
      <c r="X107" s="10">
        <v>43119</v>
      </c>
      <c r="Y107"/>
      <c r="Z107" s="10"/>
      <c r="AA107"/>
      <c r="AB107"/>
      <c r="AC107"/>
      <c r="AD107"/>
    </row>
    <row r="108" spans="1:30" x14ac:dyDescent="0.4">
      <c r="A108" t="s">
        <v>3798</v>
      </c>
      <c r="B108">
        <v>20180119</v>
      </c>
      <c r="C108">
        <v>8809438533324</v>
      </c>
      <c r="D108" t="s">
        <v>2967</v>
      </c>
      <c r="E108" t="s">
        <v>1292</v>
      </c>
      <c r="F108" t="s">
        <v>3796</v>
      </c>
      <c r="G108" t="s">
        <v>2968</v>
      </c>
      <c r="H108">
        <v>0</v>
      </c>
      <c r="I108" t="s">
        <v>379</v>
      </c>
      <c r="J108">
        <v>12000</v>
      </c>
      <c r="K108">
        <v>2</v>
      </c>
      <c r="L108">
        <v>1</v>
      </c>
      <c r="M108">
        <v>1</v>
      </c>
      <c r="N108"/>
      <c r="O108" t="s">
        <v>3544</v>
      </c>
      <c r="P108" s="33" t="s">
        <v>3567</v>
      </c>
      <c r="Q108" s="37">
        <v>6600</v>
      </c>
      <c r="R108" t="s">
        <v>261</v>
      </c>
      <c r="S108">
        <v>1</v>
      </c>
      <c r="T108">
        <v>0</v>
      </c>
      <c r="U108" s="10">
        <v>43118</v>
      </c>
      <c r="V108" t="s">
        <v>3797</v>
      </c>
      <c r="W108">
        <v>1</v>
      </c>
      <c r="X108" s="10">
        <v>43119</v>
      </c>
      <c r="Y108"/>
      <c r="Z108" s="10"/>
      <c r="AA108"/>
      <c r="AB108"/>
      <c r="AC108"/>
      <c r="AD108"/>
    </row>
    <row r="109" spans="1:30" x14ac:dyDescent="0.4">
      <c r="A109" t="s">
        <v>3799</v>
      </c>
      <c r="B109">
        <v>20180119</v>
      </c>
      <c r="C109">
        <v>8809438535588</v>
      </c>
      <c r="D109" t="s">
        <v>2969</v>
      </c>
      <c r="E109" t="s">
        <v>3800</v>
      </c>
      <c r="F109" t="s">
        <v>3796</v>
      </c>
      <c r="G109" t="s">
        <v>2970</v>
      </c>
      <c r="H109">
        <v>0</v>
      </c>
      <c r="I109" t="s">
        <v>379</v>
      </c>
      <c r="J109">
        <v>16000</v>
      </c>
      <c r="K109">
        <v>1</v>
      </c>
      <c r="L109">
        <v>0</v>
      </c>
      <c r="M109">
        <v>1</v>
      </c>
      <c r="N109"/>
      <c r="O109" t="s">
        <v>3544</v>
      </c>
      <c r="P109" s="33" t="s">
        <v>3567</v>
      </c>
      <c r="Q109" s="37">
        <v>8800</v>
      </c>
      <c r="R109" t="s">
        <v>261</v>
      </c>
      <c r="S109">
        <v>0</v>
      </c>
      <c r="T109">
        <v>0</v>
      </c>
      <c r="U109" s="10">
        <v>43118</v>
      </c>
      <c r="V109" t="s">
        <v>3797</v>
      </c>
      <c r="W109">
        <v>1</v>
      </c>
      <c r="X109" s="10">
        <v>43119</v>
      </c>
      <c r="Y109"/>
      <c r="Z109" s="10"/>
      <c r="AA109"/>
      <c r="AB109"/>
      <c r="AC109"/>
      <c r="AD109"/>
    </row>
    <row r="110" spans="1:30" x14ac:dyDescent="0.4">
      <c r="A110" t="s">
        <v>3801</v>
      </c>
      <c r="B110">
        <v>20180119</v>
      </c>
      <c r="C110">
        <v>8809270472072</v>
      </c>
      <c r="D110" t="s">
        <v>3180</v>
      </c>
      <c r="E110"/>
      <c r="F110" t="s">
        <v>182</v>
      </c>
      <c r="G110" t="s">
        <v>3181</v>
      </c>
      <c r="H110">
        <v>0</v>
      </c>
      <c r="I110" t="s">
        <v>379</v>
      </c>
      <c r="J110">
        <v>16000</v>
      </c>
      <c r="K110">
        <v>1</v>
      </c>
      <c r="L110">
        <v>0</v>
      </c>
      <c r="M110">
        <v>0</v>
      </c>
      <c r="N110"/>
      <c r="O110" t="s">
        <v>3544</v>
      </c>
      <c r="P110" s="33" t="s">
        <v>3567</v>
      </c>
      <c r="Q110" s="37">
        <v>6400</v>
      </c>
      <c r="R110" t="s">
        <v>183</v>
      </c>
      <c r="S110">
        <v>1</v>
      </c>
      <c r="T110">
        <v>1</v>
      </c>
      <c r="U110"/>
      <c r="V110"/>
      <c r="W110"/>
      <c r="X110"/>
      <c r="Y110"/>
      <c r="Z110"/>
      <c r="AA110"/>
      <c r="AB110"/>
      <c r="AC110"/>
      <c r="AD110"/>
    </row>
    <row r="111" spans="1:30" x14ac:dyDescent="0.4">
      <c r="A111" t="s">
        <v>3802</v>
      </c>
      <c r="B111">
        <v>20180119</v>
      </c>
      <c r="C111">
        <v>8806390571647</v>
      </c>
      <c r="D111" t="s">
        <v>3803</v>
      </c>
      <c r="E111"/>
      <c r="F111" t="s">
        <v>213</v>
      </c>
      <c r="G111" t="s">
        <v>3804</v>
      </c>
      <c r="H111">
        <v>0</v>
      </c>
      <c r="I111" t="s">
        <v>379</v>
      </c>
      <c r="J111">
        <v>13000</v>
      </c>
      <c r="K111">
        <v>1</v>
      </c>
      <c r="L111">
        <v>0</v>
      </c>
      <c r="M111">
        <v>1</v>
      </c>
      <c r="N111"/>
      <c r="O111" t="s">
        <v>3544</v>
      </c>
      <c r="P111" s="33">
        <v>0.62</v>
      </c>
      <c r="Q111">
        <v>8060</v>
      </c>
      <c r="R111" t="s">
        <v>206</v>
      </c>
      <c r="S111">
        <v>0</v>
      </c>
      <c r="T111"/>
      <c r="U111" s="10"/>
      <c r="V111"/>
      <c r="W111"/>
      <c r="X111" s="10"/>
      <c r="Y111"/>
      <c r="Z111" s="10"/>
      <c r="AA111"/>
      <c r="AB111"/>
      <c r="AC111"/>
      <c r="AD111"/>
    </row>
    <row r="112" spans="1:30" x14ac:dyDescent="0.4">
      <c r="A112" t="s">
        <v>3805</v>
      </c>
      <c r="B112">
        <v>20180119</v>
      </c>
      <c r="C112">
        <v>8801042802919</v>
      </c>
      <c r="D112" t="s">
        <v>1399</v>
      </c>
      <c r="E112" t="s">
        <v>3806</v>
      </c>
      <c r="F112" t="s">
        <v>213</v>
      </c>
      <c r="G112" t="s">
        <v>1400</v>
      </c>
      <c r="H112">
        <v>0</v>
      </c>
      <c r="I112" t="s">
        <v>379</v>
      </c>
      <c r="J112">
        <v>15000</v>
      </c>
      <c r="K112">
        <v>4</v>
      </c>
      <c r="L112">
        <v>0</v>
      </c>
      <c r="M112">
        <v>4</v>
      </c>
      <c r="N112"/>
      <c r="O112" t="s">
        <v>3544</v>
      </c>
      <c r="P112" s="33">
        <v>0.62</v>
      </c>
      <c r="Q112">
        <v>9300</v>
      </c>
      <c r="R112" t="s">
        <v>206</v>
      </c>
      <c r="S112">
        <v>0</v>
      </c>
      <c r="T112"/>
      <c r="U112" s="10"/>
      <c r="V112"/>
      <c r="W112"/>
      <c r="X112" s="10"/>
      <c r="Y112"/>
      <c r="Z112" s="10"/>
      <c r="AA112"/>
      <c r="AB112"/>
      <c r="AC112"/>
      <c r="AD112"/>
    </row>
    <row r="113" spans="1:30" x14ac:dyDescent="0.4">
      <c r="A113" t="s">
        <v>3807</v>
      </c>
      <c r="B113">
        <v>20180119</v>
      </c>
      <c r="C113">
        <v>8806390573658</v>
      </c>
      <c r="D113" t="s">
        <v>2428</v>
      </c>
      <c r="E113" t="s">
        <v>2436</v>
      </c>
      <c r="F113" t="s">
        <v>213</v>
      </c>
      <c r="G113" t="s">
        <v>2429</v>
      </c>
      <c r="H113">
        <v>0</v>
      </c>
      <c r="I113" t="s">
        <v>379</v>
      </c>
      <c r="J113">
        <v>12000</v>
      </c>
      <c r="K113">
        <v>1</v>
      </c>
      <c r="L113">
        <v>0</v>
      </c>
      <c r="M113">
        <v>1</v>
      </c>
      <c r="N113"/>
      <c r="O113" t="s">
        <v>3544</v>
      </c>
      <c r="P113" s="33">
        <v>0.62</v>
      </c>
      <c r="Q113">
        <v>7440</v>
      </c>
      <c r="R113" t="s">
        <v>206</v>
      </c>
      <c r="S113">
        <v>0</v>
      </c>
      <c r="T113"/>
      <c r="U113" s="10"/>
      <c r="V113"/>
      <c r="W113"/>
      <c r="X113" s="10"/>
      <c r="Y113"/>
      <c r="Z113" s="10"/>
      <c r="AA113"/>
      <c r="AB113"/>
      <c r="AC113"/>
      <c r="AD113"/>
    </row>
    <row r="114" spans="1:30" x14ac:dyDescent="0.4">
      <c r="A114" t="s">
        <v>3808</v>
      </c>
      <c r="B114">
        <v>20180119</v>
      </c>
      <c r="C114">
        <v>8806390573702</v>
      </c>
      <c r="D114" t="s">
        <v>2503</v>
      </c>
      <c r="E114" t="s">
        <v>2511</v>
      </c>
      <c r="F114" t="s">
        <v>213</v>
      </c>
      <c r="G114" t="s">
        <v>2504</v>
      </c>
      <c r="H114">
        <v>0</v>
      </c>
      <c r="I114" t="s">
        <v>379</v>
      </c>
      <c r="J114">
        <v>12000</v>
      </c>
      <c r="K114">
        <v>1</v>
      </c>
      <c r="L114">
        <v>0</v>
      </c>
      <c r="M114">
        <v>1</v>
      </c>
      <c r="N114"/>
      <c r="O114" t="s">
        <v>3544</v>
      </c>
      <c r="P114" s="33">
        <v>0.62</v>
      </c>
      <c r="Q114">
        <v>7440</v>
      </c>
      <c r="R114" t="s">
        <v>206</v>
      </c>
      <c r="S114">
        <v>0</v>
      </c>
      <c r="T114"/>
      <c r="U114" s="10"/>
      <c r="V114"/>
      <c r="W114"/>
      <c r="X114" s="10"/>
      <c r="Y114"/>
      <c r="Z114" s="10"/>
      <c r="AA114"/>
      <c r="AB114"/>
      <c r="AC114"/>
      <c r="AD114"/>
    </row>
    <row r="115" spans="1:30" x14ac:dyDescent="0.4">
      <c r="A115" t="s">
        <v>3809</v>
      </c>
      <c r="B115">
        <v>20180119</v>
      </c>
      <c r="C115">
        <v>8809516535837</v>
      </c>
      <c r="D115" t="s">
        <v>3810</v>
      </c>
      <c r="E115" t="s">
        <v>1625</v>
      </c>
      <c r="F115" t="s">
        <v>213</v>
      </c>
      <c r="G115" t="s">
        <v>3811</v>
      </c>
      <c r="H115">
        <v>0</v>
      </c>
      <c r="I115" t="s">
        <v>379</v>
      </c>
      <c r="J115">
        <v>12000</v>
      </c>
      <c r="K115">
        <v>1</v>
      </c>
      <c r="L115">
        <v>0</v>
      </c>
      <c r="M115">
        <v>1</v>
      </c>
      <c r="N115"/>
      <c r="O115" t="s">
        <v>3544</v>
      </c>
      <c r="P115" s="33">
        <v>0.62</v>
      </c>
      <c r="Q115">
        <v>7440</v>
      </c>
      <c r="R115" t="s">
        <v>206</v>
      </c>
      <c r="S115">
        <v>0</v>
      </c>
      <c r="T115"/>
      <c r="U115" s="10"/>
      <c r="V115"/>
      <c r="W115"/>
      <c r="X115" s="10"/>
      <c r="Y115"/>
      <c r="Z115" s="10"/>
      <c r="AA115"/>
      <c r="AB115"/>
      <c r="AC115"/>
      <c r="AD115"/>
    </row>
    <row r="116" spans="1:30" x14ac:dyDescent="0.4">
      <c r="A116" t="s">
        <v>3812</v>
      </c>
      <c r="B116">
        <v>20180119</v>
      </c>
      <c r="C116">
        <v>8809516533871</v>
      </c>
      <c r="D116" t="s">
        <v>3813</v>
      </c>
      <c r="E116" t="s">
        <v>3814</v>
      </c>
      <c r="F116" t="s">
        <v>213</v>
      </c>
      <c r="G116" t="s">
        <v>3815</v>
      </c>
      <c r="H116">
        <v>0</v>
      </c>
      <c r="I116" t="s">
        <v>379</v>
      </c>
      <c r="J116">
        <v>6500</v>
      </c>
      <c r="K116">
        <v>1</v>
      </c>
      <c r="L116">
        <v>0</v>
      </c>
      <c r="M116">
        <v>1</v>
      </c>
      <c r="N116"/>
      <c r="O116" t="s">
        <v>3544</v>
      </c>
      <c r="P116" s="33">
        <v>0.62</v>
      </c>
      <c r="Q116">
        <v>4030</v>
      </c>
      <c r="R116" t="s">
        <v>206</v>
      </c>
      <c r="S116">
        <v>0</v>
      </c>
      <c r="T116"/>
      <c r="U116" s="10"/>
      <c r="V116"/>
      <c r="W116"/>
      <c r="X116" s="10"/>
      <c r="Y116"/>
      <c r="Z116" s="10"/>
      <c r="AA116"/>
      <c r="AB116"/>
      <c r="AC116"/>
      <c r="AD116"/>
    </row>
    <row r="117" spans="1:30" x14ac:dyDescent="0.4">
      <c r="A117" t="s">
        <v>3816</v>
      </c>
      <c r="B117">
        <v>20180119</v>
      </c>
      <c r="C117">
        <v>8809516824405</v>
      </c>
      <c r="D117" t="s">
        <v>3817</v>
      </c>
      <c r="E117" t="s">
        <v>3818</v>
      </c>
      <c r="F117" t="s">
        <v>213</v>
      </c>
      <c r="G117" t="s">
        <v>3819</v>
      </c>
      <c r="H117">
        <v>0</v>
      </c>
      <c r="I117" t="s">
        <v>379</v>
      </c>
      <c r="J117">
        <v>9000</v>
      </c>
      <c r="K117">
        <v>2</v>
      </c>
      <c r="L117">
        <v>1</v>
      </c>
      <c r="M117">
        <v>1</v>
      </c>
      <c r="N117"/>
      <c r="O117" t="s">
        <v>3544</v>
      </c>
      <c r="P117" s="33">
        <v>0.62</v>
      </c>
      <c r="Q117">
        <v>5580</v>
      </c>
      <c r="R117" t="s">
        <v>206</v>
      </c>
      <c r="S117">
        <v>1</v>
      </c>
      <c r="T117"/>
      <c r="U117" s="10"/>
      <c r="V117"/>
      <c r="W117"/>
      <c r="X117" s="10"/>
      <c r="Y117"/>
      <c r="Z117" s="10"/>
      <c r="AA117"/>
      <c r="AB117"/>
      <c r="AC117"/>
      <c r="AD117"/>
    </row>
    <row r="118" spans="1:30" x14ac:dyDescent="0.4">
      <c r="A118" t="s">
        <v>3820</v>
      </c>
      <c r="B118">
        <v>20180119</v>
      </c>
      <c r="C118">
        <v>8809516824412</v>
      </c>
      <c r="D118" t="s">
        <v>2856</v>
      </c>
      <c r="E118" t="s">
        <v>3821</v>
      </c>
      <c r="F118" t="s">
        <v>213</v>
      </c>
      <c r="G118" t="s">
        <v>2857</v>
      </c>
      <c r="H118">
        <v>0</v>
      </c>
      <c r="I118" t="s">
        <v>379</v>
      </c>
      <c r="J118">
        <v>9000</v>
      </c>
      <c r="K118">
        <v>6</v>
      </c>
      <c r="L118">
        <v>1</v>
      </c>
      <c r="M118">
        <v>3</v>
      </c>
      <c r="N118"/>
      <c r="O118" t="s">
        <v>3544</v>
      </c>
      <c r="P118" s="33">
        <v>0.62</v>
      </c>
      <c r="Q118">
        <v>5580</v>
      </c>
      <c r="R118" t="s">
        <v>206</v>
      </c>
      <c r="S118">
        <v>3</v>
      </c>
      <c r="T118">
        <v>2</v>
      </c>
      <c r="U118" s="10"/>
      <c r="V118"/>
      <c r="W118"/>
      <c r="X118" s="10"/>
      <c r="Y118"/>
      <c r="Z118" s="10"/>
      <c r="AA118"/>
      <c r="AB118"/>
      <c r="AC118"/>
      <c r="AD118"/>
    </row>
    <row r="119" spans="1:30" x14ac:dyDescent="0.4">
      <c r="A119" t="s">
        <v>3822</v>
      </c>
      <c r="B119">
        <v>20180119</v>
      </c>
      <c r="C119">
        <v>8809516824436</v>
      </c>
      <c r="D119" t="s">
        <v>3823</v>
      </c>
      <c r="E119" t="s">
        <v>3824</v>
      </c>
      <c r="F119" t="s">
        <v>213</v>
      </c>
      <c r="G119" t="s">
        <v>3825</v>
      </c>
      <c r="H119">
        <v>0</v>
      </c>
      <c r="I119" t="s">
        <v>379</v>
      </c>
      <c r="J119">
        <v>9000</v>
      </c>
      <c r="K119">
        <v>1</v>
      </c>
      <c r="L119">
        <v>0</v>
      </c>
      <c r="M119">
        <v>1</v>
      </c>
      <c r="N119"/>
      <c r="O119" t="s">
        <v>3544</v>
      </c>
      <c r="P119" s="33">
        <v>0.62</v>
      </c>
      <c r="Q119">
        <v>5580</v>
      </c>
      <c r="R119" t="s">
        <v>206</v>
      </c>
      <c r="S119">
        <v>0</v>
      </c>
      <c r="T119"/>
      <c r="U119" s="10"/>
      <c r="V119"/>
      <c r="W119"/>
      <c r="X119" s="10"/>
      <c r="Y119"/>
      <c r="Z119" s="10"/>
      <c r="AA119"/>
      <c r="AB119"/>
      <c r="AC119"/>
      <c r="AD119"/>
    </row>
    <row r="120" spans="1:30" x14ac:dyDescent="0.4">
      <c r="A120" t="s">
        <v>3826</v>
      </c>
      <c r="B120">
        <v>20180119</v>
      </c>
      <c r="C120">
        <v>8809516824450</v>
      </c>
      <c r="D120" t="s">
        <v>3827</v>
      </c>
      <c r="E120" t="s">
        <v>3828</v>
      </c>
      <c r="F120" t="s">
        <v>213</v>
      </c>
      <c r="G120" t="s">
        <v>3829</v>
      </c>
      <c r="H120">
        <v>0</v>
      </c>
      <c r="I120" t="s">
        <v>379</v>
      </c>
      <c r="J120">
        <v>9000</v>
      </c>
      <c r="K120">
        <v>1</v>
      </c>
      <c r="L120">
        <v>0</v>
      </c>
      <c r="M120">
        <v>1</v>
      </c>
      <c r="N120"/>
      <c r="O120" t="s">
        <v>3544</v>
      </c>
      <c r="P120" s="33">
        <v>0.62</v>
      </c>
      <c r="Q120">
        <v>5580</v>
      </c>
      <c r="R120" t="s">
        <v>206</v>
      </c>
      <c r="S120">
        <v>0</v>
      </c>
      <c r="T120"/>
      <c r="U120" s="10"/>
      <c r="V120"/>
      <c r="W120"/>
      <c r="X120" s="10"/>
      <c r="Y120"/>
      <c r="Z120" s="10"/>
      <c r="AA120"/>
      <c r="AB120"/>
      <c r="AC120"/>
      <c r="AD120"/>
    </row>
    <row r="121" spans="1:30" x14ac:dyDescent="0.4">
      <c r="A121" t="s">
        <v>3830</v>
      </c>
      <c r="B121">
        <v>20180119</v>
      </c>
      <c r="C121">
        <v>8809516824467</v>
      </c>
      <c r="D121" t="s">
        <v>2858</v>
      </c>
      <c r="E121" t="s">
        <v>3831</v>
      </c>
      <c r="F121" t="s">
        <v>213</v>
      </c>
      <c r="G121" t="s">
        <v>2859</v>
      </c>
      <c r="H121">
        <v>0</v>
      </c>
      <c r="I121" t="s">
        <v>379</v>
      </c>
      <c r="J121">
        <v>9000</v>
      </c>
      <c r="K121">
        <v>2</v>
      </c>
      <c r="L121">
        <v>0</v>
      </c>
      <c r="M121">
        <v>1</v>
      </c>
      <c r="N121"/>
      <c r="O121" t="s">
        <v>3544</v>
      </c>
      <c r="P121" s="33">
        <v>0.62</v>
      </c>
      <c r="Q121">
        <v>5580</v>
      </c>
      <c r="R121" t="s">
        <v>206</v>
      </c>
      <c r="S121">
        <v>1</v>
      </c>
      <c r="T121">
        <v>1</v>
      </c>
      <c r="U121" s="10"/>
      <c r="V121"/>
      <c r="W121"/>
      <c r="X121" s="10"/>
      <c r="Y121"/>
      <c r="Z121" s="10"/>
      <c r="AA121"/>
      <c r="AB121"/>
      <c r="AC121"/>
      <c r="AD121"/>
    </row>
    <row r="122" spans="1:30" x14ac:dyDescent="0.4">
      <c r="A122" t="s">
        <v>3832</v>
      </c>
      <c r="B122">
        <v>20180119</v>
      </c>
      <c r="C122" s="36">
        <v>16240320000</v>
      </c>
      <c r="D122" t="s">
        <v>2860</v>
      </c>
      <c r="E122"/>
      <c r="F122" t="s">
        <v>213</v>
      </c>
      <c r="G122" t="s">
        <v>2861</v>
      </c>
      <c r="H122">
        <v>0</v>
      </c>
      <c r="I122" t="s">
        <v>379</v>
      </c>
      <c r="J122">
        <v>9000</v>
      </c>
      <c r="K122">
        <v>1</v>
      </c>
      <c r="L122">
        <v>0</v>
      </c>
      <c r="M122">
        <v>0</v>
      </c>
      <c r="N122"/>
      <c r="O122" t="s">
        <v>3544</v>
      </c>
      <c r="P122" s="33">
        <v>0.62</v>
      </c>
      <c r="Q122">
        <v>5580</v>
      </c>
      <c r="R122" t="s">
        <v>206</v>
      </c>
      <c r="S122">
        <v>1</v>
      </c>
      <c r="T122">
        <v>1</v>
      </c>
      <c r="U122"/>
      <c r="V122"/>
      <c r="W122"/>
      <c r="X122"/>
      <c r="Y122"/>
      <c r="Z122"/>
      <c r="AA122"/>
      <c r="AB122"/>
      <c r="AC122"/>
      <c r="AD122"/>
    </row>
    <row r="123" spans="1:30" x14ac:dyDescent="0.4">
      <c r="A123" t="s">
        <v>3833</v>
      </c>
      <c r="B123">
        <v>20180119</v>
      </c>
      <c r="C123">
        <v>8809516824313</v>
      </c>
      <c r="D123" t="s">
        <v>2862</v>
      </c>
      <c r="E123" t="s">
        <v>3834</v>
      </c>
      <c r="F123" t="s">
        <v>213</v>
      </c>
      <c r="G123" t="s">
        <v>2863</v>
      </c>
      <c r="H123">
        <v>0</v>
      </c>
      <c r="I123" t="s">
        <v>379</v>
      </c>
      <c r="J123">
        <v>9000</v>
      </c>
      <c r="K123">
        <v>1</v>
      </c>
      <c r="L123">
        <v>0</v>
      </c>
      <c r="M123">
        <v>0</v>
      </c>
      <c r="N123"/>
      <c r="O123" t="s">
        <v>3544</v>
      </c>
      <c r="P123" s="33">
        <v>0.62</v>
      </c>
      <c r="Q123">
        <v>5580</v>
      </c>
      <c r="R123" t="s">
        <v>206</v>
      </c>
      <c r="S123">
        <v>1</v>
      </c>
      <c r="T123">
        <v>1</v>
      </c>
      <c r="U123"/>
      <c r="V123"/>
      <c r="W123"/>
      <c r="X123"/>
      <c r="Y123"/>
      <c r="Z123"/>
      <c r="AA123"/>
      <c r="AB123"/>
      <c r="AC123"/>
      <c r="AD123"/>
    </row>
    <row r="124" spans="1:30" x14ac:dyDescent="0.4">
      <c r="A124" t="s">
        <v>3835</v>
      </c>
      <c r="B124">
        <v>20180119</v>
      </c>
      <c r="C124">
        <v>8809516824337</v>
      </c>
      <c r="D124" t="s">
        <v>3836</v>
      </c>
      <c r="E124" t="s">
        <v>3633</v>
      </c>
      <c r="F124" t="s">
        <v>213</v>
      </c>
      <c r="G124" t="s">
        <v>3837</v>
      </c>
      <c r="H124">
        <v>0</v>
      </c>
      <c r="I124" t="s">
        <v>379</v>
      </c>
      <c r="J124">
        <v>9000</v>
      </c>
      <c r="K124">
        <v>1</v>
      </c>
      <c r="L124">
        <v>0</v>
      </c>
      <c r="M124">
        <v>1</v>
      </c>
      <c r="N124"/>
      <c r="O124" t="s">
        <v>3544</v>
      </c>
      <c r="P124" s="33">
        <v>0.62</v>
      </c>
      <c r="Q124">
        <v>5580</v>
      </c>
      <c r="R124" t="s">
        <v>206</v>
      </c>
      <c r="S124">
        <v>0</v>
      </c>
      <c r="T124"/>
      <c r="U124" s="10"/>
      <c r="V124"/>
      <c r="W124"/>
      <c r="X124" s="10"/>
      <c r="Y124"/>
      <c r="Z124" s="10"/>
      <c r="AA124"/>
      <c r="AB124"/>
      <c r="AC124"/>
      <c r="AD124"/>
    </row>
    <row r="125" spans="1:30" x14ac:dyDescent="0.4">
      <c r="A125" t="s">
        <v>3838</v>
      </c>
      <c r="B125">
        <v>20180119</v>
      </c>
      <c r="C125">
        <v>8809516824351</v>
      </c>
      <c r="D125" t="s">
        <v>3839</v>
      </c>
      <c r="E125" t="s">
        <v>3840</v>
      </c>
      <c r="F125" t="s">
        <v>213</v>
      </c>
      <c r="G125" t="s">
        <v>3841</v>
      </c>
      <c r="H125">
        <v>0</v>
      </c>
      <c r="I125" t="s">
        <v>379</v>
      </c>
      <c r="J125">
        <v>9000</v>
      </c>
      <c r="K125">
        <v>1</v>
      </c>
      <c r="L125">
        <v>0</v>
      </c>
      <c r="M125">
        <v>1</v>
      </c>
      <c r="N125"/>
      <c r="O125" t="s">
        <v>3544</v>
      </c>
      <c r="P125" s="33">
        <v>0.62</v>
      </c>
      <c r="Q125">
        <v>5580</v>
      </c>
      <c r="R125" t="s">
        <v>206</v>
      </c>
      <c r="S125">
        <v>0</v>
      </c>
      <c r="T125"/>
      <c r="U125" s="10"/>
      <c r="V125"/>
      <c r="W125"/>
      <c r="X125" s="10"/>
      <c r="Y125"/>
      <c r="Z125" s="10"/>
      <c r="AA125"/>
      <c r="AB125"/>
      <c r="AC125"/>
      <c r="AD125"/>
    </row>
    <row r="126" spans="1:30" x14ac:dyDescent="0.4">
      <c r="A126" t="s">
        <v>3842</v>
      </c>
      <c r="B126">
        <v>20180119</v>
      </c>
      <c r="C126">
        <v>8809516824375</v>
      </c>
      <c r="D126" t="s">
        <v>3843</v>
      </c>
      <c r="E126" t="s">
        <v>3844</v>
      </c>
      <c r="F126" t="s">
        <v>213</v>
      </c>
      <c r="G126" t="s">
        <v>3845</v>
      </c>
      <c r="H126">
        <v>0</v>
      </c>
      <c r="I126" t="s">
        <v>379</v>
      </c>
      <c r="J126">
        <v>9000</v>
      </c>
      <c r="K126">
        <v>1</v>
      </c>
      <c r="L126">
        <v>0</v>
      </c>
      <c r="M126">
        <v>1</v>
      </c>
      <c r="N126"/>
      <c r="O126" t="s">
        <v>3544</v>
      </c>
      <c r="P126" s="33">
        <v>0.62</v>
      </c>
      <c r="Q126">
        <v>5580</v>
      </c>
      <c r="R126" t="s">
        <v>206</v>
      </c>
      <c r="S126">
        <v>0</v>
      </c>
      <c r="T126"/>
      <c r="U126" s="10"/>
      <c r="V126"/>
      <c r="W126"/>
      <c r="X126" s="10"/>
      <c r="Y126"/>
      <c r="Z126" s="10"/>
      <c r="AA126"/>
      <c r="AB126"/>
      <c r="AC126"/>
      <c r="AD126"/>
    </row>
    <row r="127" spans="1:30" x14ac:dyDescent="0.4">
      <c r="A127" t="s">
        <v>3846</v>
      </c>
      <c r="B127">
        <v>20180119</v>
      </c>
      <c r="C127">
        <v>8809539452173</v>
      </c>
      <c r="D127" t="s">
        <v>3847</v>
      </c>
      <c r="E127" t="s">
        <v>3848</v>
      </c>
      <c r="F127" t="s">
        <v>213</v>
      </c>
      <c r="G127" t="s">
        <v>3849</v>
      </c>
      <c r="H127">
        <v>0</v>
      </c>
      <c r="I127" t="s">
        <v>379</v>
      </c>
      <c r="J127">
        <v>18000</v>
      </c>
      <c r="K127">
        <v>1</v>
      </c>
      <c r="L127">
        <v>0</v>
      </c>
      <c r="M127">
        <v>1</v>
      </c>
      <c r="N127"/>
      <c r="O127" t="s">
        <v>3544</v>
      </c>
      <c r="P127" s="33">
        <v>0.62</v>
      </c>
      <c r="Q127">
        <v>11160</v>
      </c>
      <c r="R127" t="s">
        <v>206</v>
      </c>
      <c r="S127">
        <v>0</v>
      </c>
      <c r="T127"/>
      <c r="U127" s="10"/>
      <c r="V127"/>
      <c r="W127"/>
      <c r="X127" s="10"/>
      <c r="Y127"/>
      <c r="Z127" s="10"/>
      <c r="AA127"/>
      <c r="AB127"/>
      <c r="AC127"/>
      <c r="AD127"/>
    </row>
    <row r="128" spans="1:30" x14ac:dyDescent="0.4">
      <c r="A128" t="s">
        <v>3850</v>
      </c>
      <c r="B128">
        <v>20180119</v>
      </c>
      <c r="C128">
        <v>8806390547765</v>
      </c>
      <c r="D128" t="s">
        <v>1156</v>
      </c>
      <c r="E128" t="s">
        <v>1165</v>
      </c>
      <c r="F128" t="s">
        <v>213</v>
      </c>
      <c r="G128" t="s">
        <v>1157</v>
      </c>
      <c r="H128">
        <v>0</v>
      </c>
      <c r="I128" t="s">
        <v>379</v>
      </c>
      <c r="J128">
        <v>10000</v>
      </c>
      <c r="K128">
        <v>2</v>
      </c>
      <c r="L128">
        <v>0</v>
      </c>
      <c r="M128">
        <v>1</v>
      </c>
      <c r="N128"/>
      <c r="O128" t="s">
        <v>3544</v>
      </c>
      <c r="P128" s="33">
        <v>0.62</v>
      </c>
      <c r="Q128">
        <v>6200</v>
      </c>
      <c r="R128" t="s">
        <v>206</v>
      </c>
      <c r="S128">
        <v>1</v>
      </c>
      <c r="T128">
        <v>1</v>
      </c>
      <c r="U128" s="10"/>
      <c r="V128"/>
      <c r="W128"/>
      <c r="X128" s="10"/>
      <c r="Y128"/>
      <c r="Z128" s="10"/>
      <c r="AA128"/>
      <c r="AB128"/>
      <c r="AC128"/>
      <c r="AD128"/>
    </row>
    <row r="129" spans="1:30" x14ac:dyDescent="0.4">
      <c r="A129" t="s">
        <v>3851</v>
      </c>
      <c r="B129">
        <v>20180119</v>
      </c>
      <c r="C129">
        <v>8809516830802</v>
      </c>
      <c r="D129" t="s">
        <v>2864</v>
      </c>
      <c r="E129"/>
      <c r="F129" t="s">
        <v>213</v>
      </c>
      <c r="G129" t="s">
        <v>2865</v>
      </c>
      <c r="H129">
        <v>0</v>
      </c>
      <c r="I129" t="s">
        <v>379</v>
      </c>
      <c r="J129">
        <v>22000</v>
      </c>
      <c r="K129">
        <v>1</v>
      </c>
      <c r="L129">
        <v>0</v>
      </c>
      <c r="M129">
        <v>0</v>
      </c>
      <c r="N129"/>
      <c r="O129" t="s">
        <v>3544</v>
      </c>
      <c r="P129" s="33">
        <v>0.62</v>
      </c>
      <c r="Q129">
        <v>13640</v>
      </c>
      <c r="R129" t="s">
        <v>206</v>
      </c>
      <c r="S129">
        <v>1</v>
      </c>
      <c r="T129">
        <v>1</v>
      </c>
      <c r="U129"/>
      <c r="V129"/>
      <c r="W129"/>
      <c r="X129"/>
      <c r="Y129"/>
      <c r="Z129"/>
      <c r="AA129"/>
      <c r="AB129"/>
      <c r="AC129"/>
      <c r="AD129"/>
    </row>
    <row r="130" spans="1:30" x14ac:dyDescent="0.4">
      <c r="A130" t="s">
        <v>3852</v>
      </c>
      <c r="B130">
        <v>20180119</v>
      </c>
      <c r="C130">
        <v>8809261556361</v>
      </c>
      <c r="D130" t="s">
        <v>2956</v>
      </c>
      <c r="E130" t="s">
        <v>3853</v>
      </c>
      <c r="F130" t="s">
        <v>55</v>
      </c>
      <c r="G130" t="s">
        <v>2957</v>
      </c>
      <c r="H130">
        <v>0</v>
      </c>
      <c r="I130" t="s">
        <v>379</v>
      </c>
      <c r="J130">
        <v>40000</v>
      </c>
      <c r="K130">
        <v>1</v>
      </c>
      <c r="L130">
        <v>0</v>
      </c>
      <c r="M130">
        <v>1</v>
      </c>
      <c r="N130"/>
      <c r="O130" t="s">
        <v>3544</v>
      </c>
      <c r="P130" s="33" t="s">
        <v>3567</v>
      </c>
      <c r="Q130" s="37">
        <v>13600</v>
      </c>
      <c r="R130" t="s">
        <v>25</v>
      </c>
      <c r="S130">
        <v>0</v>
      </c>
      <c r="T130">
        <v>0</v>
      </c>
      <c r="U130" s="10">
        <v>43119</v>
      </c>
      <c r="V130"/>
      <c r="W130"/>
      <c r="X130" s="10"/>
      <c r="Y130"/>
      <c r="Z130" s="10"/>
      <c r="AA130"/>
      <c r="AB130"/>
      <c r="AC130"/>
      <c r="AD130"/>
    </row>
    <row r="131" spans="1:30" x14ac:dyDescent="0.4">
      <c r="A131" t="s">
        <v>3854</v>
      </c>
      <c r="B131">
        <v>20180119</v>
      </c>
      <c r="C131">
        <v>8806185728584</v>
      </c>
      <c r="D131" t="s">
        <v>154</v>
      </c>
      <c r="E131" t="s">
        <v>3855</v>
      </c>
      <c r="F131" t="s">
        <v>200</v>
      </c>
      <c r="G131" t="s">
        <v>155</v>
      </c>
      <c r="H131">
        <v>1</v>
      </c>
      <c r="I131" t="s">
        <v>379</v>
      </c>
      <c r="J131">
        <v>17000</v>
      </c>
      <c r="K131">
        <v>1</v>
      </c>
      <c r="L131">
        <v>0</v>
      </c>
      <c r="M131">
        <v>0</v>
      </c>
      <c r="N131"/>
      <c r="O131" s="35" t="s">
        <v>3550</v>
      </c>
      <c r="P131" s="33">
        <v>0.47</v>
      </c>
      <c r="Q131">
        <v>7990</v>
      </c>
      <c r="R131" t="s">
        <v>201</v>
      </c>
      <c r="S131">
        <v>1</v>
      </c>
      <c r="T131">
        <v>1</v>
      </c>
      <c r="U131">
        <v>43118</v>
      </c>
      <c r="V131"/>
      <c r="W131"/>
      <c r="X131"/>
      <c r="Y131"/>
      <c r="Z131"/>
      <c r="AA131"/>
      <c r="AB131"/>
      <c r="AC131"/>
      <c r="AD131"/>
    </row>
    <row r="132" spans="1:30" x14ac:dyDescent="0.4">
      <c r="A132" t="s">
        <v>3856</v>
      </c>
      <c r="B132">
        <v>20180119</v>
      </c>
      <c r="C132">
        <v>8806185724920</v>
      </c>
      <c r="D132" t="s">
        <v>159</v>
      </c>
      <c r="E132" t="s">
        <v>3857</v>
      </c>
      <c r="F132" t="s">
        <v>200</v>
      </c>
      <c r="G132" t="s">
        <v>160</v>
      </c>
      <c r="H132">
        <v>4</v>
      </c>
      <c r="I132" t="s">
        <v>379</v>
      </c>
      <c r="J132">
        <v>17000</v>
      </c>
      <c r="K132">
        <v>2</v>
      </c>
      <c r="L132">
        <v>1</v>
      </c>
      <c r="M132">
        <v>1</v>
      </c>
      <c r="N132"/>
      <c r="O132" s="35" t="s">
        <v>3550</v>
      </c>
      <c r="P132" s="33">
        <v>0.47</v>
      </c>
      <c r="Q132">
        <v>7990</v>
      </c>
      <c r="R132" t="s">
        <v>201</v>
      </c>
      <c r="S132">
        <v>1</v>
      </c>
      <c r="T132"/>
      <c r="U132" s="10"/>
      <c r="V132"/>
      <c r="W132"/>
      <c r="X132" s="10"/>
      <c r="Y132"/>
      <c r="Z132" s="10"/>
      <c r="AA132"/>
      <c r="AB132"/>
      <c r="AC132"/>
      <c r="AD132"/>
    </row>
    <row r="133" spans="1:30" x14ac:dyDescent="0.4">
      <c r="A133" t="s">
        <v>3858</v>
      </c>
      <c r="B133">
        <v>20180119</v>
      </c>
      <c r="C133">
        <v>8809530047842</v>
      </c>
      <c r="D133" t="s">
        <v>2420</v>
      </c>
      <c r="E133" t="s">
        <v>2427</v>
      </c>
      <c r="F133" t="s">
        <v>200</v>
      </c>
      <c r="G133" t="s">
        <v>2421</v>
      </c>
      <c r="H133">
        <v>0</v>
      </c>
      <c r="I133" t="s">
        <v>379</v>
      </c>
      <c r="J133">
        <v>15800</v>
      </c>
      <c r="K133">
        <v>1</v>
      </c>
      <c r="L133">
        <v>0</v>
      </c>
      <c r="M133">
        <v>1</v>
      </c>
      <c r="N133"/>
      <c r="O133" t="s">
        <v>3544</v>
      </c>
      <c r="P133" s="33">
        <v>0.47</v>
      </c>
      <c r="Q133">
        <v>7426</v>
      </c>
      <c r="R133" t="s">
        <v>201</v>
      </c>
      <c r="S133">
        <v>0</v>
      </c>
      <c r="T133"/>
      <c r="U133" s="10"/>
      <c r="V133"/>
      <c r="W133"/>
      <c r="X133" s="10"/>
      <c r="Y133"/>
      <c r="Z133" s="10"/>
      <c r="AA133"/>
      <c r="AB133"/>
      <c r="AC133"/>
      <c r="AD133"/>
    </row>
    <row r="134" spans="1:30" x14ac:dyDescent="0.4">
      <c r="A134" t="s">
        <v>3859</v>
      </c>
      <c r="B134">
        <v>20180119</v>
      </c>
      <c r="C134">
        <v>8806333339396</v>
      </c>
      <c r="D134" t="s">
        <v>2766</v>
      </c>
      <c r="E134" t="s">
        <v>3860</v>
      </c>
      <c r="F134" t="s">
        <v>200</v>
      </c>
      <c r="G134" t="s">
        <v>2767</v>
      </c>
      <c r="H134">
        <v>1</v>
      </c>
      <c r="I134" t="s">
        <v>379</v>
      </c>
      <c r="J134">
        <v>3300</v>
      </c>
      <c r="K134">
        <v>5</v>
      </c>
      <c r="L134">
        <v>0</v>
      </c>
      <c r="M134">
        <v>5</v>
      </c>
      <c r="N134"/>
      <c r="O134" t="s">
        <v>3544</v>
      </c>
      <c r="P134" s="33">
        <v>0.47</v>
      </c>
      <c r="Q134">
        <v>1551</v>
      </c>
      <c r="R134" t="s">
        <v>201</v>
      </c>
      <c r="S134">
        <v>0</v>
      </c>
      <c r="T134">
        <v>0</v>
      </c>
      <c r="U134" s="10">
        <v>43118</v>
      </c>
      <c r="V134" t="s">
        <v>3861</v>
      </c>
      <c r="W134"/>
      <c r="X134" s="10"/>
      <c r="Y134"/>
      <c r="Z134" s="10"/>
      <c r="AA134"/>
      <c r="AB134"/>
      <c r="AC134"/>
      <c r="AD134"/>
    </row>
    <row r="135" spans="1:30" x14ac:dyDescent="0.4">
      <c r="A135" t="s">
        <v>3862</v>
      </c>
      <c r="B135">
        <v>20180119</v>
      </c>
      <c r="C135">
        <v>8806333349784</v>
      </c>
      <c r="D135" t="s">
        <v>2769</v>
      </c>
      <c r="E135" t="s">
        <v>3863</v>
      </c>
      <c r="F135" t="s">
        <v>200</v>
      </c>
      <c r="G135" t="s">
        <v>2770</v>
      </c>
      <c r="H135">
        <v>0</v>
      </c>
      <c r="I135" t="s">
        <v>379</v>
      </c>
      <c r="J135">
        <v>3500</v>
      </c>
      <c r="K135">
        <v>1</v>
      </c>
      <c r="L135">
        <v>0</v>
      </c>
      <c r="M135">
        <v>0</v>
      </c>
      <c r="N135"/>
      <c r="O135" t="s">
        <v>3544</v>
      </c>
      <c r="P135" s="33">
        <v>0.47</v>
      </c>
      <c r="Q135">
        <v>1645</v>
      </c>
      <c r="R135" t="s">
        <v>201</v>
      </c>
      <c r="S135">
        <v>1</v>
      </c>
      <c r="T135">
        <v>1</v>
      </c>
      <c r="U135"/>
      <c r="V135"/>
      <c r="W135"/>
      <c r="X135"/>
      <c r="Y135"/>
      <c r="Z135"/>
      <c r="AA135"/>
      <c r="AB135"/>
      <c r="AC135"/>
      <c r="AD135"/>
    </row>
    <row r="136" spans="1:30" x14ac:dyDescent="0.4">
      <c r="A136" t="s">
        <v>3864</v>
      </c>
      <c r="B136">
        <v>20180119</v>
      </c>
      <c r="C136">
        <v>8806333338986</v>
      </c>
      <c r="D136" t="s">
        <v>2771</v>
      </c>
      <c r="E136" t="s">
        <v>3865</v>
      </c>
      <c r="F136" t="s">
        <v>200</v>
      </c>
      <c r="G136" t="s">
        <v>2772</v>
      </c>
      <c r="H136">
        <v>0</v>
      </c>
      <c r="I136" t="s">
        <v>379</v>
      </c>
      <c r="J136">
        <v>3300</v>
      </c>
      <c r="K136">
        <v>1</v>
      </c>
      <c r="L136">
        <v>0</v>
      </c>
      <c r="M136">
        <v>0</v>
      </c>
      <c r="N136"/>
      <c r="O136" s="35" t="s">
        <v>3550</v>
      </c>
      <c r="P136" s="33">
        <v>0.47</v>
      </c>
      <c r="Q136">
        <v>1551</v>
      </c>
      <c r="R136" t="s">
        <v>201</v>
      </c>
      <c r="S136">
        <v>1</v>
      </c>
      <c r="T136">
        <v>1</v>
      </c>
      <c r="U136"/>
      <c r="V136"/>
      <c r="W136"/>
      <c r="X136"/>
      <c r="Y136"/>
      <c r="Z136"/>
      <c r="AA136"/>
      <c r="AB136"/>
      <c r="AC136"/>
      <c r="AD136"/>
    </row>
    <row r="137" spans="1:30" x14ac:dyDescent="0.4">
      <c r="A137" t="s">
        <v>3866</v>
      </c>
      <c r="B137">
        <v>20180119</v>
      </c>
      <c r="C137">
        <v>8806185754521</v>
      </c>
      <c r="D137" t="s">
        <v>3867</v>
      </c>
      <c r="E137" t="s">
        <v>1155</v>
      </c>
      <c r="F137" t="s">
        <v>200</v>
      </c>
      <c r="G137" t="s">
        <v>3868</v>
      </c>
      <c r="H137">
        <v>0</v>
      </c>
      <c r="I137" t="s">
        <v>379</v>
      </c>
      <c r="J137">
        <v>7800</v>
      </c>
      <c r="K137">
        <v>1</v>
      </c>
      <c r="L137">
        <v>0</v>
      </c>
      <c r="M137">
        <v>1</v>
      </c>
      <c r="N137"/>
      <c r="O137" t="s">
        <v>3544</v>
      </c>
      <c r="P137" s="33">
        <v>0.47</v>
      </c>
      <c r="Q137">
        <v>3666</v>
      </c>
      <c r="R137" t="s">
        <v>201</v>
      </c>
      <c r="S137">
        <v>0</v>
      </c>
      <c r="T137"/>
      <c r="U137" s="10"/>
      <c r="V137"/>
      <c r="W137"/>
      <c r="X137" s="10"/>
      <c r="Y137"/>
      <c r="Z137" s="10"/>
      <c r="AA137"/>
      <c r="AB137"/>
      <c r="AC137"/>
      <c r="AD137"/>
    </row>
    <row r="138" spans="1:30" x14ac:dyDescent="0.4">
      <c r="A138" t="s">
        <v>3869</v>
      </c>
      <c r="B138">
        <v>20180119</v>
      </c>
      <c r="C138" s="36">
        <v>15459720000</v>
      </c>
      <c r="D138" t="s">
        <v>2773</v>
      </c>
      <c r="E138"/>
      <c r="F138" t="s">
        <v>200</v>
      </c>
      <c r="G138" t="s">
        <v>2774</v>
      </c>
      <c r="H138">
        <v>0</v>
      </c>
      <c r="I138" t="s">
        <v>379</v>
      </c>
      <c r="J138">
        <v>8800</v>
      </c>
      <c r="K138">
        <v>1</v>
      </c>
      <c r="L138">
        <v>0</v>
      </c>
      <c r="M138">
        <v>0</v>
      </c>
      <c r="N138"/>
      <c r="O138" t="s">
        <v>3544</v>
      </c>
      <c r="P138" s="33">
        <v>0.47</v>
      </c>
      <c r="Q138">
        <v>4136</v>
      </c>
      <c r="R138" t="s">
        <v>201</v>
      </c>
      <c r="S138">
        <v>1</v>
      </c>
      <c r="T138">
        <v>1</v>
      </c>
      <c r="U138"/>
      <c r="V138"/>
      <c r="W138"/>
      <c r="X138"/>
      <c r="Y138"/>
      <c r="Z138"/>
      <c r="AA138"/>
      <c r="AB138"/>
      <c r="AC138"/>
      <c r="AD138"/>
    </row>
    <row r="139" spans="1:30" x14ac:dyDescent="0.4">
      <c r="A139" t="s">
        <v>3870</v>
      </c>
      <c r="B139">
        <v>20180119</v>
      </c>
      <c r="C139">
        <v>8809530036426</v>
      </c>
      <c r="D139" t="s">
        <v>3871</v>
      </c>
      <c r="E139" t="s">
        <v>3872</v>
      </c>
      <c r="F139" t="s">
        <v>200</v>
      </c>
      <c r="G139" t="s">
        <v>3873</v>
      </c>
      <c r="H139">
        <v>0</v>
      </c>
      <c r="I139" t="s">
        <v>379</v>
      </c>
      <c r="J139">
        <v>3000</v>
      </c>
      <c r="K139">
        <v>1</v>
      </c>
      <c r="L139">
        <v>0</v>
      </c>
      <c r="M139">
        <v>1</v>
      </c>
      <c r="N139"/>
      <c r="O139" t="s">
        <v>3544</v>
      </c>
      <c r="P139" s="33">
        <v>0.47</v>
      </c>
      <c r="Q139">
        <v>1410</v>
      </c>
      <c r="R139" t="s">
        <v>201</v>
      </c>
      <c r="S139">
        <v>0</v>
      </c>
      <c r="T139"/>
      <c r="U139" s="10"/>
      <c r="V139"/>
      <c r="W139"/>
      <c r="X139" s="10"/>
      <c r="Y139"/>
      <c r="Z139" s="10"/>
      <c r="AA139"/>
      <c r="AB139"/>
      <c r="AC139"/>
      <c r="AD139"/>
    </row>
    <row r="140" spans="1:30" x14ac:dyDescent="0.4">
      <c r="A140" t="s">
        <v>3874</v>
      </c>
      <c r="B140">
        <v>20180119</v>
      </c>
      <c r="C140">
        <v>8806185728232</v>
      </c>
      <c r="D140" t="s">
        <v>2775</v>
      </c>
      <c r="E140" t="s">
        <v>3875</v>
      </c>
      <c r="F140" t="s">
        <v>200</v>
      </c>
      <c r="G140" t="s">
        <v>2776</v>
      </c>
      <c r="H140">
        <v>0</v>
      </c>
      <c r="I140" t="s">
        <v>379</v>
      </c>
      <c r="J140">
        <v>2000</v>
      </c>
      <c r="K140">
        <v>6</v>
      </c>
      <c r="L140">
        <v>1</v>
      </c>
      <c r="M140">
        <v>3</v>
      </c>
      <c r="N140"/>
      <c r="O140" t="s">
        <v>3544</v>
      </c>
      <c r="P140" s="33">
        <v>0.47</v>
      </c>
      <c r="Q140">
        <v>940</v>
      </c>
      <c r="R140" t="s">
        <v>201</v>
      </c>
      <c r="S140">
        <v>3</v>
      </c>
      <c r="T140">
        <v>2</v>
      </c>
      <c r="U140" s="10"/>
      <c r="V140"/>
      <c r="W140"/>
      <c r="X140" s="10"/>
      <c r="Y140"/>
      <c r="Z140" s="10"/>
      <c r="AA140"/>
      <c r="AB140"/>
      <c r="AC140"/>
      <c r="AD140"/>
    </row>
    <row r="141" spans="1:30" x14ac:dyDescent="0.4">
      <c r="A141" t="s">
        <v>3876</v>
      </c>
      <c r="B141">
        <v>20180119</v>
      </c>
      <c r="C141">
        <v>8806185728188</v>
      </c>
      <c r="D141" t="s">
        <v>3877</v>
      </c>
      <c r="E141" t="s">
        <v>3878</v>
      </c>
      <c r="F141" t="s">
        <v>200</v>
      </c>
      <c r="G141" t="s">
        <v>3879</v>
      </c>
      <c r="H141">
        <v>0</v>
      </c>
      <c r="I141" t="s">
        <v>379</v>
      </c>
      <c r="J141">
        <v>2000</v>
      </c>
      <c r="K141">
        <v>2</v>
      </c>
      <c r="L141">
        <v>1</v>
      </c>
      <c r="M141">
        <v>1</v>
      </c>
      <c r="N141"/>
      <c r="O141" t="s">
        <v>3544</v>
      </c>
      <c r="P141" s="33">
        <v>0.47</v>
      </c>
      <c r="Q141">
        <v>940</v>
      </c>
      <c r="R141" t="s">
        <v>201</v>
      </c>
      <c r="S141">
        <v>1</v>
      </c>
      <c r="T141"/>
      <c r="U141" s="10"/>
      <c r="V141"/>
      <c r="W141"/>
      <c r="X141" s="10"/>
      <c r="Y141"/>
      <c r="Z141" s="10"/>
      <c r="AA141"/>
      <c r="AB141"/>
      <c r="AC141"/>
      <c r="AD141"/>
    </row>
    <row r="142" spans="1:30" x14ac:dyDescent="0.4">
      <c r="A142" t="s">
        <v>3880</v>
      </c>
      <c r="B142">
        <v>20180119</v>
      </c>
      <c r="C142">
        <v>8806185728201</v>
      </c>
      <c r="D142" t="s">
        <v>3881</v>
      </c>
      <c r="E142" t="s">
        <v>889</v>
      </c>
      <c r="F142" t="s">
        <v>200</v>
      </c>
      <c r="G142" t="s">
        <v>3882</v>
      </c>
      <c r="H142">
        <v>0</v>
      </c>
      <c r="I142" t="s">
        <v>379</v>
      </c>
      <c r="J142">
        <v>2000</v>
      </c>
      <c r="K142">
        <v>2</v>
      </c>
      <c r="L142">
        <v>1</v>
      </c>
      <c r="M142">
        <v>1</v>
      </c>
      <c r="N142"/>
      <c r="O142" t="s">
        <v>3544</v>
      </c>
      <c r="P142" s="33">
        <v>0.47</v>
      </c>
      <c r="Q142">
        <v>940</v>
      </c>
      <c r="R142" t="s">
        <v>201</v>
      </c>
      <c r="S142">
        <v>1</v>
      </c>
      <c r="T142"/>
      <c r="U142" s="10"/>
      <c r="V142"/>
      <c r="W142"/>
      <c r="X142" s="10"/>
      <c r="Y142"/>
      <c r="Z142" s="10"/>
      <c r="AA142"/>
      <c r="AB142"/>
      <c r="AC142"/>
      <c r="AD142"/>
    </row>
    <row r="143" spans="1:30" x14ac:dyDescent="0.4">
      <c r="A143" t="s">
        <v>3883</v>
      </c>
      <c r="B143">
        <v>20180119</v>
      </c>
      <c r="C143">
        <v>8806185728607</v>
      </c>
      <c r="D143" t="s">
        <v>62</v>
      </c>
      <c r="E143" t="s">
        <v>3884</v>
      </c>
      <c r="F143" t="s">
        <v>200</v>
      </c>
      <c r="G143" t="s">
        <v>63</v>
      </c>
      <c r="H143">
        <v>0</v>
      </c>
      <c r="I143" t="s">
        <v>379</v>
      </c>
      <c r="J143">
        <v>6000</v>
      </c>
      <c r="K143">
        <v>4</v>
      </c>
      <c r="L143">
        <v>0</v>
      </c>
      <c r="M143">
        <v>0</v>
      </c>
      <c r="N143"/>
      <c r="O143" t="s">
        <v>3544</v>
      </c>
      <c r="P143" s="33">
        <v>0.47</v>
      </c>
      <c r="Q143">
        <v>2820</v>
      </c>
      <c r="R143" t="s">
        <v>201</v>
      </c>
      <c r="S143">
        <v>4</v>
      </c>
      <c r="T143">
        <v>4</v>
      </c>
      <c r="U143"/>
      <c r="V143"/>
      <c r="W143"/>
      <c r="X143"/>
      <c r="Y143"/>
      <c r="Z143"/>
      <c r="AA143"/>
      <c r="AB143"/>
      <c r="AC143"/>
      <c r="AD143"/>
    </row>
    <row r="144" spans="1:30" x14ac:dyDescent="0.4">
      <c r="A144" t="s">
        <v>3885</v>
      </c>
      <c r="B144">
        <v>20180119</v>
      </c>
      <c r="C144">
        <v>8806185786225</v>
      </c>
      <c r="D144" t="s">
        <v>2779</v>
      </c>
      <c r="E144" t="s">
        <v>3886</v>
      </c>
      <c r="F144" t="s">
        <v>200</v>
      </c>
      <c r="G144" t="s">
        <v>2780</v>
      </c>
      <c r="H144">
        <v>0</v>
      </c>
      <c r="I144" t="s">
        <v>379</v>
      </c>
      <c r="J144">
        <v>5000</v>
      </c>
      <c r="K144">
        <v>2</v>
      </c>
      <c r="L144">
        <v>0</v>
      </c>
      <c r="M144">
        <v>0</v>
      </c>
      <c r="N144"/>
      <c r="O144" t="s">
        <v>3544</v>
      </c>
      <c r="P144" s="33">
        <v>0.47</v>
      </c>
      <c r="Q144">
        <v>2350</v>
      </c>
      <c r="R144" t="s">
        <v>201</v>
      </c>
      <c r="S144">
        <v>2</v>
      </c>
      <c r="T144">
        <v>2</v>
      </c>
      <c r="U144"/>
      <c r="V144"/>
      <c r="W144"/>
      <c r="X144"/>
      <c r="Y144"/>
      <c r="Z144"/>
      <c r="AA144"/>
      <c r="AB144"/>
      <c r="AC144"/>
      <c r="AD144"/>
    </row>
    <row r="145" spans="1:30" x14ac:dyDescent="0.4">
      <c r="A145" t="s">
        <v>3887</v>
      </c>
      <c r="B145">
        <v>20180119</v>
      </c>
      <c r="C145">
        <v>8806185786294</v>
      </c>
      <c r="D145" t="s">
        <v>2781</v>
      </c>
      <c r="E145" t="s">
        <v>3888</v>
      </c>
      <c r="F145" t="s">
        <v>200</v>
      </c>
      <c r="G145" t="s">
        <v>2782</v>
      </c>
      <c r="H145">
        <v>0</v>
      </c>
      <c r="I145" t="s">
        <v>379</v>
      </c>
      <c r="J145">
        <v>9800</v>
      </c>
      <c r="K145">
        <v>4</v>
      </c>
      <c r="L145">
        <v>2</v>
      </c>
      <c r="M145">
        <v>1</v>
      </c>
      <c r="N145"/>
      <c r="O145" t="s">
        <v>3544</v>
      </c>
      <c r="P145" s="33">
        <v>0.47</v>
      </c>
      <c r="Q145">
        <v>4606</v>
      </c>
      <c r="R145" t="s">
        <v>201</v>
      </c>
      <c r="S145">
        <v>3</v>
      </c>
      <c r="T145">
        <v>1</v>
      </c>
      <c r="U145" s="10"/>
      <c r="V145"/>
      <c r="W145"/>
      <c r="X145" s="10"/>
      <c r="Y145"/>
      <c r="Z145" s="10"/>
      <c r="AA145"/>
      <c r="AB145"/>
      <c r="AC145"/>
      <c r="AD145"/>
    </row>
    <row r="146" spans="1:30" x14ac:dyDescent="0.4">
      <c r="A146" t="s">
        <v>3889</v>
      </c>
      <c r="B146">
        <v>20180119</v>
      </c>
      <c r="C146">
        <v>8809530046258</v>
      </c>
      <c r="D146" t="s">
        <v>3890</v>
      </c>
      <c r="E146" t="s">
        <v>3891</v>
      </c>
      <c r="F146" t="s">
        <v>200</v>
      </c>
      <c r="G146" t="s">
        <v>3892</v>
      </c>
      <c r="H146">
        <v>0</v>
      </c>
      <c r="I146" t="s">
        <v>379</v>
      </c>
      <c r="J146">
        <v>11000</v>
      </c>
      <c r="K146">
        <v>1</v>
      </c>
      <c r="L146">
        <v>0</v>
      </c>
      <c r="M146">
        <v>1</v>
      </c>
      <c r="N146"/>
      <c r="O146" t="s">
        <v>3544</v>
      </c>
      <c r="P146" s="33">
        <v>0.47</v>
      </c>
      <c r="Q146">
        <v>5170</v>
      </c>
      <c r="R146" t="s">
        <v>201</v>
      </c>
      <c r="S146">
        <v>0</v>
      </c>
      <c r="T146"/>
      <c r="U146" s="10"/>
      <c r="V146"/>
      <c r="W146"/>
      <c r="X146" s="10"/>
      <c r="Y146"/>
      <c r="Z146" s="10"/>
      <c r="AA146"/>
      <c r="AB146"/>
      <c r="AC146"/>
      <c r="AD146"/>
    </row>
    <row r="147" spans="1:30" x14ac:dyDescent="0.4">
      <c r="A147" t="s">
        <v>3893</v>
      </c>
      <c r="B147">
        <v>20180119</v>
      </c>
      <c r="C147">
        <v>8809530055540</v>
      </c>
      <c r="D147" t="s">
        <v>3894</v>
      </c>
      <c r="E147" t="s">
        <v>2220</v>
      </c>
      <c r="F147" t="s">
        <v>200</v>
      </c>
      <c r="G147" t="s">
        <v>3895</v>
      </c>
      <c r="H147">
        <v>0</v>
      </c>
      <c r="I147" t="s">
        <v>379</v>
      </c>
      <c r="J147">
        <v>1000</v>
      </c>
      <c r="K147">
        <v>3</v>
      </c>
      <c r="L147">
        <v>2</v>
      </c>
      <c r="M147">
        <v>1</v>
      </c>
      <c r="N147"/>
      <c r="O147" t="s">
        <v>3544</v>
      </c>
      <c r="P147" s="33">
        <v>0.47</v>
      </c>
      <c r="Q147">
        <v>470</v>
      </c>
      <c r="R147" t="s">
        <v>201</v>
      </c>
      <c r="S147">
        <v>2</v>
      </c>
      <c r="T147"/>
      <c r="U147" s="10"/>
      <c r="V147"/>
      <c r="W147"/>
      <c r="X147" s="10"/>
      <c r="Y147"/>
      <c r="Z147" s="10"/>
      <c r="AA147"/>
      <c r="AB147"/>
      <c r="AC147"/>
      <c r="AD147"/>
    </row>
    <row r="148" spans="1:30" x14ac:dyDescent="0.4">
      <c r="A148" t="s">
        <v>3896</v>
      </c>
      <c r="B148">
        <v>20180119</v>
      </c>
      <c r="C148">
        <v>8809530039458</v>
      </c>
      <c r="D148" t="s">
        <v>2785</v>
      </c>
      <c r="E148" t="s">
        <v>3897</v>
      </c>
      <c r="F148" t="s">
        <v>200</v>
      </c>
      <c r="G148" t="s">
        <v>2786</v>
      </c>
      <c r="H148">
        <v>0</v>
      </c>
      <c r="I148" t="s">
        <v>379</v>
      </c>
      <c r="J148">
        <v>2500</v>
      </c>
      <c r="K148">
        <v>3</v>
      </c>
      <c r="L148">
        <v>1</v>
      </c>
      <c r="M148">
        <v>0</v>
      </c>
      <c r="N148"/>
      <c r="O148" t="s">
        <v>3544</v>
      </c>
      <c r="P148" s="33">
        <v>0.47</v>
      </c>
      <c r="Q148">
        <v>1175</v>
      </c>
      <c r="R148" t="s">
        <v>201</v>
      </c>
      <c r="S148">
        <v>3</v>
      </c>
      <c r="T148">
        <v>2</v>
      </c>
      <c r="U148"/>
      <c r="V148"/>
      <c r="W148"/>
      <c r="X148"/>
      <c r="Y148"/>
      <c r="Z148"/>
      <c r="AA148"/>
      <c r="AB148"/>
      <c r="AC148"/>
      <c r="AD148"/>
    </row>
    <row r="149" spans="1:30" x14ac:dyDescent="0.4">
      <c r="A149" t="s">
        <v>3898</v>
      </c>
      <c r="B149">
        <v>20180119</v>
      </c>
      <c r="C149">
        <v>8809530043882</v>
      </c>
      <c r="D149" t="s">
        <v>2789</v>
      </c>
      <c r="E149" t="s">
        <v>3899</v>
      </c>
      <c r="F149" t="s">
        <v>200</v>
      </c>
      <c r="G149" t="s">
        <v>2790</v>
      </c>
      <c r="H149">
        <v>0</v>
      </c>
      <c r="I149" t="s">
        <v>379</v>
      </c>
      <c r="J149">
        <v>9800</v>
      </c>
      <c r="K149">
        <v>1</v>
      </c>
      <c r="L149">
        <v>0</v>
      </c>
      <c r="M149">
        <v>0</v>
      </c>
      <c r="N149"/>
      <c r="O149" t="s">
        <v>3544</v>
      </c>
      <c r="P149" s="33">
        <v>0.47</v>
      </c>
      <c r="Q149">
        <v>4606</v>
      </c>
      <c r="R149" t="s">
        <v>201</v>
      </c>
      <c r="S149">
        <v>1</v>
      </c>
      <c r="T149">
        <v>1</v>
      </c>
      <c r="U149"/>
      <c r="V149"/>
      <c r="W149"/>
      <c r="X149"/>
      <c r="Y149"/>
      <c r="Z149"/>
      <c r="AA149"/>
      <c r="AB149"/>
      <c r="AC149"/>
      <c r="AD149"/>
    </row>
    <row r="150" spans="1:30" x14ac:dyDescent="0.4">
      <c r="A150" t="s">
        <v>3900</v>
      </c>
      <c r="B150">
        <v>20180119</v>
      </c>
      <c r="C150">
        <v>8806185764438</v>
      </c>
      <c r="D150" t="s">
        <v>3901</v>
      </c>
      <c r="E150" t="s">
        <v>3902</v>
      </c>
      <c r="F150" t="s">
        <v>200</v>
      </c>
      <c r="G150" t="s">
        <v>3903</v>
      </c>
      <c r="H150">
        <v>1</v>
      </c>
      <c r="I150" t="s">
        <v>379</v>
      </c>
      <c r="J150">
        <v>1000</v>
      </c>
      <c r="K150">
        <v>3</v>
      </c>
      <c r="L150">
        <v>0</v>
      </c>
      <c r="M150">
        <v>3</v>
      </c>
      <c r="N150"/>
      <c r="O150" t="s">
        <v>3544</v>
      </c>
      <c r="P150" s="33">
        <v>0.47</v>
      </c>
      <c r="Q150">
        <v>470</v>
      </c>
      <c r="R150" t="s">
        <v>201</v>
      </c>
      <c r="S150">
        <v>0</v>
      </c>
      <c r="T150"/>
      <c r="U150" s="10"/>
      <c r="V150"/>
      <c r="W150"/>
      <c r="X150" s="10"/>
      <c r="Y150"/>
      <c r="Z150" s="10"/>
      <c r="AA150"/>
      <c r="AB150"/>
      <c r="AC150"/>
      <c r="AD150"/>
    </row>
    <row r="151" spans="1:30" x14ac:dyDescent="0.4">
      <c r="A151" t="s">
        <v>3904</v>
      </c>
      <c r="B151">
        <v>20180119</v>
      </c>
      <c r="C151">
        <v>8806185764506</v>
      </c>
      <c r="D151" t="s">
        <v>2793</v>
      </c>
      <c r="E151" t="s">
        <v>3905</v>
      </c>
      <c r="F151" t="s">
        <v>200</v>
      </c>
      <c r="G151" t="s">
        <v>2794</v>
      </c>
      <c r="H151">
        <v>0</v>
      </c>
      <c r="I151" t="s">
        <v>379</v>
      </c>
      <c r="J151">
        <v>2500</v>
      </c>
      <c r="K151">
        <v>5</v>
      </c>
      <c r="L151">
        <v>0</v>
      </c>
      <c r="M151">
        <v>0</v>
      </c>
      <c r="N151"/>
      <c r="O151" s="35" t="s">
        <v>3550</v>
      </c>
      <c r="P151" s="33">
        <v>0.47</v>
      </c>
      <c r="Q151">
        <v>1175</v>
      </c>
      <c r="R151" t="s">
        <v>201</v>
      </c>
      <c r="S151">
        <v>5</v>
      </c>
      <c r="T151">
        <v>5</v>
      </c>
      <c r="U151"/>
      <c r="V151"/>
      <c r="W151"/>
      <c r="X151"/>
      <c r="Y151"/>
      <c r="Z151"/>
      <c r="AA151"/>
      <c r="AB151"/>
      <c r="AC151"/>
      <c r="AD151"/>
    </row>
    <row r="152" spans="1:30" x14ac:dyDescent="0.4">
      <c r="A152" t="s">
        <v>3906</v>
      </c>
      <c r="B152">
        <v>20180119</v>
      </c>
      <c r="C152">
        <v>8806185782678</v>
      </c>
      <c r="D152" t="s">
        <v>2795</v>
      </c>
      <c r="E152"/>
      <c r="F152" t="s">
        <v>200</v>
      </c>
      <c r="G152" t="s">
        <v>2796</v>
      </c>
      <c r="H152">
        <v>0</v>
      </c>
      <c r="I152" t="s">
        <v>379</v>
      </c>
      <c r="J152">
        <v>16800</v>
      </c>
      <c r="K152">
        <v>1</v>
      </c>
      <c r="L152">
        <v>0</v>
      </c>
      <c r="M152">
        <v>0</v>
      </c>
      <c r="N152"/>
      <c r="O152" t="s">
        <v>3544</v>
      </c>
      <c r="P152" s="33">
        <v>0.47</v>
      </c>
      <c r="Q152">
        <v>7896</v>
      </c>
      <c r="R152" t="s">
        <v>201</v>
      </c>
      <c r="S152">
        <v>1</v>
      </c>
      <c r="T152">
        <v>1</v>
      </c>
      <c r="U152"/>
      <c r="V152"/>
      <c r="W152"/>
      <c r="X152"/>
      <c r="Y152"/>
      <c r="Z152"/>
      <c r="AA152"/>
      <c r="AB152"/>
      <c r="AC152"/>
      <c r="AD152"/>
    </row>
    <row r="153" spans="1:30" x14ac:dyDescent="0.4">
      <c r="A153" t="s">
        <v>3907</v>
      </c>
      <c r="B153">
        <v>20180119</v>
      </c>
      <c r="C153">
        <v>8809530030059</v>
      </c>
      <c r="D153" t="s">
        <v>3908</v>
      </c>
      <c r="E153" t="s">
        <v>3909</v>
      </c>
      <c r="F153" t="s">
        <v>200</v>
      </c>
      <c r="G153" t="s">
        <v>3910</v>
      </c>
      <c r="H153">
        <v>0</v>
      </c>
      <c r="I153" t="s">
        <v>379</v>
      </c>
      <c r="J153">
        <v>2500</v>
      </c>
      <c r="K153">
        <v>7</v>
      </c>
      <c r="L153">
        <v>0</v>
      </c>
      <c r="M153">
        <v>7</v>
      </c>
      <c r="N153"/>
      <c r="O153" t="s">
        <v>3544</v>
      </c>
      <c r="P153" s="33">
        <v>0.47</v>
      </c>
      <c r="Q153">
        <v>1175</v>
      </c>
      <c r="R153" t="s">
        <v>201</v>
      </c>
      <c r="S153">
        <v>0</v>
      </c>
      <c r="T153"/>
      <c r="U153" s="10"/>
      <c r="V153"/>
      <c r="W153"/>
      <c r="X153" s="10"/>
      <c r="Y153"/>
      <c r="Z153" s="10"/>
      <c r="AA153"/>
      <c r="AB153"/>
      <c r="AC153"/>
      <c r="AD153"/>
    </row>
    <row r="154" spans="1:30" x14ac:dyDescent="0.4">
      <c r="A154" t="s">
        <v>3911</v>
      </c>
      <c r="B154">
        <v>20180119</v>
      </c>
      <c r="C154">
        <v>8809530030073</v>
      </c>
      <c r="D154" t="s">
        <v>3912</v>
      </c>
      <c r="E154" t="s">
        <v>3913</v>
      </c>
      <c r="F154" t="s">
        <v>200</v>
      </c>
      <c r="G154" t="s">
        <v>3914</v>
      </c>
      <c r="H154">
        <v>0</v>
      </c>
      <c r="I154" t="s">
        <v>379</v>
      </c>
      <c r="J154">
        <v>2500</v>
      </c>
      <c r="K154">
        <v>3</v>
      </c>
      <c r="L154">
        <v>1</v>
      </c>
      <c r="M154">
        <v>2</v>
      </c>
      <c r="N154"/>
      <c r="O154" t="s">
        <v>3544</v>
      </c>
      <c r="P154" s="33">
        <v>0.47</v>
      </c>
      <c r="Q154">
        <v>1175</v>
      </c>
      <c r="R154" t="s">
        <v>201</v>
      </c>
      <c r="S154">
        <v>1</v>
      </c>
      <c r="T154"/>
      <c r="U154" s="10"/>
      <c r="V154"/>
      <c r="W154"/>
      <c r="X154" s="10"/>
      <c r="Y154"/>
      <c r="Z154" s="10"/>
      <c r="AA154"/>
      <c r="AB154"/>
      <c r="AC154"/>
      <c r="AD154"/>
    </row>
    <row r="155" spans="1:30" x14ac:dyDescent="0.4">
      <c r="A155" t="s">
        <v>3915</v>
      </c>
      <c r="B155">
        <v>20180119</v>
      </c>
      <c r="C155">
        <v>8809530052723</v>
      </c>
      <c r="D155" t="s">
        <v>2797</v>
      </c>
      <c r="E155" t="s">
        <v>3701</v>
      </c>
      <c r="F155" t="s">
        <v>200</v>
      </c>
      <c r="G155" t="s">
        <v>2798</v>
      </c>
      <c r="H155">
        <v>0</v>
      </c>
      <c r="I155" t="s">
        <v>379</v>
      </c>
      <c r="J155">
        <v>4000</v>
      </c>
      <c r="K155">
        <v>1</v>
      </c>
      <c r="L155">
        <v>0</v>
      </c>
      <c r="M155">
        <v>0</v>
      </c>
      <c r="N155"/>
      <c r="O155" t="s">
        <v>3544</v>
      </c>
      <c r="P155" s="33">
        <v>0.47</v>
      </c>
      <c r="Q155">
        <v>1880</v>
      </c>
      <c r="R155" t="s">
        <v>201</v>
      </c>
      <c r="S155">
        <v>1</v>
      </c>
      <c r="T155">
        <v>1</v>
      </c>
      <c r="U155"/>
      <c r="V155"/>
      <c r="W155"/>
      <c r="X155"/>
      <c r="Y155"/>
      <c r="Z155"/>
      <c r="AA155"/>
      <c r="AB155"/>
      <c r="AC155"/>
      <c r="AD155"/>
    </row>
    <row r="156" spans="1:30" x14ac:dyDescent="0.4">
      <c r="A156" t="s">
        <v>3916</v>
      </c>
      <c r="B156">
        <v>20180119</v>
      </c>
      <c r="C156">
        <v>8806185758161</v>
      </c>
      <c r="D156" t="s">
        <v>1112</v>
      </c>
      <c r="E156"/>
      <c r="F156" t="s">
        <v>200</v>
      </c>
      <c r="G156" t="s">
        <v>1113</v>
      </c>
      <c r="H156">
        <v>0</v>
      </c>
      <c r="I156" t="s">
        <v>379</v>
      </c>
      <c r="J156">
        <v>12800</v>
      </c>
      <c r="K156">
        <v>1</v>
      </c>
      <c r="L156">
        <v>0</v>
      </c>
      <c r="M156">
        <v>0</v>
      </c>
      <c r="N156"/>
      <c r="O156" t="s">
        <v>3544</v>
      </c>
      <c r="P156" s="33">
        <v>0.47</v>
      </c>
      <c r="Q156">
        <v>6016</v>
      </c>
      <c r="R156" t="s">
        <v>201</v>
      </c>
      <c r="S156">
        <v>1</v>
      </c>
      <c r="T156">
        <v>1</v>
      </c>
      <c r="U156"/>
      <c r="V156"/>
      <c r="W156"/>
      <c r="X156"/>
      <c r="Y156"/>
      <c r="Z156"/>
      <c r="AA156"/>
      <c r="AB156"/>
      <c r="AC156"/>
      <c r="AD156"/>
    </row>
    <row r="157" spans="1:30" x14ac:dyDescent="0.4">
      <c r="A157" t="s">
        <v>3917</v>
      </c>
      <c r="B157">
        <v>20180119</v>
      </c>
      <c r="C157">
        <v>8806185758185</v>
      </c>
      <c r="D157" t="s">
        <v>2799</v>
      </c>
      <c r="E157"/>
      <c r="F157" t="s">
        <v>200</v>
      </c>
      <c r="G157" t="s">
        <v>2800</v>
      </c>
      <c r="H157">
        <v>0</v>
      </c>
      <c r="I157" t="s">
        <v>379</v>
      </c>
      <c r="J157">
        <v>12800</v>
      </c>
      <c r="K157">
        <v>1</v>
      </c>
      <c r="L157">
        <v>0</v>
      </c>
      <c r="M157">
        <v>0</v>
      </c>
      <c r="N157"/>
      <c r="O157" t="s">
        <v>3544</v>
      </c>
      <c r="P157" s="33">
        <v>0.47</v>
      </c>
      <c r="Q157">
        <v>6016</v>
      </c>
      <c r="R157" t="s">
        <v>201</v>
      </c>
      <c r="S157">
        <v>1</v>
      </c>
      <c r="T157">
        <v>1</v>
      </c>
      <c r="U157"/>
      <c r="V157"/>
      <c r="W157"/>
      <c r="X157"/>
      <c r="Y157"/>
      <c r="Z157"/>
      <c r="AA157"/>
      <c r="AB157"/>
      <c r="AC157"/>
      <c r="AD157"/>
    </row>
    <row r="158" spans="1:30" x14ac:dyDescent="0.4">
      <c r="A158" t="s">
        <v>3918</v>
      </c>
      <c r="B158">
        <v>20180119</v>
      </c>
      <c r="C158">
        <v>8809530035726</v>
      </c>
      <c r="D158" t="s">
        <v>2801</v>
      </c>
      <c r="E158" t="s">
        <v>3919</v>
      </c>
      <c r="F158" t="s">
        <v>200</v>
      </c>
      <c r="G158" t="s">
        <v>2802</v>
      </c>
      <c r="H158">
        <v>0</v>
      </c>
      <c r="I158" t="s">
        <v>379</v>
      </c>
      <c r="J158">
        <v>21800</v>
      </c>
      <c r="K158">
        <v>1</v>
      </c>
      <c r="L158">
        <v>0</v>
      </c>
      <c r="M158">
        <v>0</v>
      </c>
      <c r="N158"/>
      <c r="O158" t="s">
        <v>3544</v>
      </c>
      <c r="P158" s="33">
        <v>0.47</v>
      </c>
      <c r="Q158">
        <v>10246</v>
      </c>
      <c r="R158" t="s">
        <v>201</v>
      </c>
      <c r="S158">
        <v>1</v>
      </c>
      <c r="T158">
        <v>1</v>
      </c>
      <c r="U158"/>
      <c r="V158"/>
      <c r="W158"/>
      <c r="X158"/>
      <c r="Y158"/>
      <c r="Z158"/>
      <c r="AA158"/>
      <c r="AB158"/>
      <c r="AC158"/>
      <c r="AD158"/>
    </row>
    <row r="159" spans="1:30" x14ac:dyDescent="0.4">
      <c r="A159" t="s">
        <v>3920</v>
      </c>
      <c r="B159">
        <v>20180119</v>
      </c>
      <c r="C159">
        <v>8809530032374</v>
      </c>
      <c r="D159" t="s">
        <v>3921</v>
      </c>
      <c r="E159" t="s">
        <v>3922</v>
      </c>
      <c r="F159" t="s">
        <v>200</v>
      </c>
      <c r="G159" t="s">
        <v>3923</v>
      </c>
      <c r="H159">
        <v>0</v>
      </c>
      <c r="I159" t="s">
        <v>379</v>
      </c>
      <c r="J159">
        <v>16800</v>
      </c>
      <c r="K159" s="34">
        <v>10</v>
      </c>
      <c r="L159">
        <v>0</v>
      </c>
      <c r="M159">
        <v>10</v>
      </c>
      <c r="N159"/>
      <c r="O159" t="s">
        <v>3544</v>
      </c>
      <c r="P159" s="33">
        <v>0.47</v>
      </c>
      <c r="Q159">
        <v>7896</v>
      </c>
      <c r="R159" t="s">
        <v>201</v>
      </c>
      <c r="S159">
        <v>0</v>
      </c>
      <c r="T159"/>
      <c r="U159" s="10"/>
      <c r="V159"/>
      <c r="W159"/>
      <c r="X159" s="10"/>
      <c r="Y159"/>
      <c r="Z159" s="10"/>
      <c r="AA159"/>
      <c r="AB159"/>
      <c r="AC159"/>
      <c r="AD159"/>
    </row>
    <row r="160" spans="1:30" x14ac:dyDescent="0.4">
      <c r="A160" t="s">
        <v>3924</v>
      </c>
      <c r="B160">
        <v>20180119</v>
      </c>
      <c r="C160">
        <v>8809530032411</v>
      </c>
      <c r="D160" t="s">
        <v>2803</v>
      </c>
      <c r="E160" t="s">
        <v>3925</v>
      </c>
      <c r="F160" t="s">
        <v>200</v>
      </c>
      <c r="G160" t="s">
        <v>2804</v>
      </c>
      <c r="H160">
        <v>0</v>
      </c>
      <c r="I160" t="s">
        <v>379</v>
      </c>
      <c r="J160">
        <v>14800</v>
      </c>
      <c r="K160">
        <v>8</v>
      </c>
      <c r="L160">
        <v>0</v>
      </c>
      <c r="M160">
        <v>6</v>
      </c>
      <c r="N160"/>
      <c r="O160" t="s">
        <v>3544</v>
      </c>
      <c r="P160" s="33">
        <v>0.47</v>
      </c>
      <c r="Q160">
        <v>6956</v>
      </c>
      <c r="R160" t="s">
        <v>201</v>
      </c>
      <c r="S160">
        <v>2</v>
      </c>
      <c r="T160">
        <v>2</v>
      </c>
      <c r="U160" s="10"/>
      <c r="V160"/>
      <c r="W160"/>
      <c r="X160" s="10"/>
      <c r="Y160"/>
      <c r="Z160" s="10"/>
      <c r="AA160"/>
      <c r="AB160"/>
      <c r="AC160"/>
      <c r="AD160"/>
    </row>
    <row r="161" spans="1:30" x14ac:dyDescent="0.4">
      <c r="A161" t="s">
        <v>3926</v>
      </c>
      <c r="B161">
        <v>20180119</v>
      </c>
      <c r="C161">
        <v>8809530032466</v>
      </c>
      <c r="D161" t="s">
        <v>2805</v>
      </c>
      <c r="E161" t="s">
        <v>3927</v>
      </c>
      <c r="F161" t="s">
        <v>200</v>
      </c>
      <c r="G161" t="s">
        <v>2806</v>
      </c>
      <c r="H161">
        <v>0</v>
      </c>
      <c r="I161" t="s">
        <v>379</v>
      </c>
      <c r="J161">
        <v>9800</v>
      </c>
      <c r="K161">
        <v>3</v>
      </c>
      <c r="L161">
        <v>2</v>
      </c>
      <c r="M161">
        <v>0</v>
      </c>
      <c r="N161"/>
      <c r="O161" s="35" t="s">
        <v>3550</v>
      </c>
      <c r="P161" s="33">
        <v>0.47</v>
      </c>
      <c r="Q161">
        <v>4606</v>
      </c>
      <c r="R161" t="s">
        <v>201</v>
      </c>
      <c r="S161">
        <v>3</v>
      </c>
      <c r="T161">
        <v>1</v>
      </c>
      <c r="U161"/>
      <c r="V161"/>
      <c r="W161"/>
      <c r="X161"/>
      <c r="Y161"/>
      <c r="Z161"/>
      <c r="AA161"/>
      <c r="AB161"/>
      <c r="AC161"/>
      <c r="AD161"/>
    </row>
    <row r="162" spans="1:30" x14ac:dyDescent="0.4">
      <c r="A162" t="s">
        <v>3928</v>
      </c>
      <c r="B162">
        <v>20180119</v>
      </c>
      <c r="C162">
        <v>8809530032435</v>
      </c>
      <c r="D162" t="s">
        <v>3929</v>
      </c>
      <c r="E162" t="s">
        <v>3930</v>
      </c>
      <c r="F162" t="s">
        <v>200</v>
      </c>
      <c r="G162" t="s">
        <v>3931</v>
      </c>
      <c r="H162">
        <v>0</v>
      </c>
      <c r="I162" t="s">
        <v>379</v>
      </c>
      <c r="J162">
        <v>14800</v>
      </c>
      <c r="K162">
        <v>6</v>
      </c>
      <c r="L162">
        <v>0</v>
      </c>
      <c r="M162">
        <v>6</v>
      </c>
      <c r="N162"/>
      <c r="O162" t="s">
        <v>3544</v>
      </c>
      <c r="P162" s="33">
        <v>0.47</v>
      </c>
      <c r="Q162">
        <v>6956</v>
      </c>
      <c r="R162" t="s">
        <v>201</v>
      </c>
      <c r="S162">
        <v>0</v>
      </c>
      <c r="T162"/>
      <c r="U162" s="10"/>
      <c r="V162"/>
      <c r="W162"/>
      <c r="X162" s="10"/>
      <c r="Y162"/>
      <c r="Z162" s="10"/>
      <c r="AA162"/>
      <c r="AB162"/>
      <c r="AC162"/>
      <c r="AD162"/>
    </row>
    <row r="163" spans="1:30" x14ac:dyDescent="0.4">
      <c r="A163" t="s">
        <v>3932</v>
      </c>
      <c r="B163">
        <v>20180119</v>
      </c>
      <c r="C163">
        <v>8809530032398</v>
      </c>
      <c r="D163" t="s">
        <v>3933</v>
      </c>
      <c r="E163" t="s">
        <v>3934</v>
      </c>
      <c r="F163" t="s">
        <v>200</v>
      </c>
      <c r="G163" t="s">
        <v>3935</v>
      </c>
      <c r="H163">
        <v>0</v>
      </c>
      <c r="I163" t="s">
        <v>379</v>
      </c>
      <c r="J163">
        <v>16800</v>
      </c>
      <c r="K163">
        <v>6</v>
      </c>
      <c r="L163">
        <v>0</v>
      </c>
      <c r="M163">
        <v>6</v>
      </c>
      <c r="N163"/>
      <c r="O163" t="s">
        <v>3544</v>
      </c>
      <c r="P163" s="33">
        <v>0.47</v>
      </c>
      <c r="Q163">
        <v>7896</v>
      </c>
      <c r="R163" t="s">
        <v>201</v>
      </c>
      <c r="S163">
        <v>0</v>
      </c>
      <c r="T163"/>
      <c r="U163" s="10"/>
      <c r="V163"/>
      <c r="W163"/>
      <c r="X163" s="10"/>
      <c r="Y163"/>
      <c r="Z163" s="10"/>
      <c r="AA163"/>
      <c r="AB163"/>
      <c r="AC163"/>
      <c r="AD163"/>
    </row>
    <row r="164" spans="1:30" x14ac:dyDescent="0.4">
      <c r="A164" t="s">
        <v>3936</v>
      </c>
      <c r="B164">
        <v>20180119</v>
      </c>
      <c r="C164">
        <v>8809530032503</v>
      </c>
      <c r="D164" t="s">
        <v>2807</v>
      </c>
      <c r="E164" t="s">
        <v>3937</v>
      </c>
      <c r="F164" t="s">
        <v>200</v>
      </c>
      <c r="G164" t="s">
        <v>2808</v>
      </c>
      <c r="H164">
        <v>0</v>
      </c>
      <c r="I164" t="s">
        <v>379</v>
      </c>
      <c r="J164">
        <v>16800</v>
      </c>
      <c r="K164">
        <v>1</v>
      </c>
      <c r="L164">
        <v>0</v>
      </c>
      <c r="M164">
        <v>0</v>
      </c>
      <c r="N164"/>
      <c r="O164" t="s">
        <v>3544</v>
      </c>
      <c r="P164" s="33">
        <v>0.47</v>
      </c>
      <c r="Q164">
        <v>7896</v>
      </c>
      <c r="R164" t="s">
        <v>201</v>
      </c>
      <c r="S164">
        <v>1</v>
      </c>
      <c r="T164">
        <v>1</v>
      </c>
      <c r="U164"/>
      <c r="V164"/>
      <c r="W164"/>
      <c r="X164"/>
      <c r="Y164"/>
      <c r="Z164"/>
      <c r="AA164"/>
      <c r="AB164"/>
      <c r="AC164"/>
      <c r="AD164"/>
    </row>
    <row r="165" spans="1:30" x14ac:dyDescent="0.4">
      <c r="A165" t="s">
        <v>3938</v>
      </c>
      <c r="B165">
        <v>20180119</v>
      </c>
      <c r="C165">
        <v>8809530059647</v>
      </c>
      <c r="D165" t="s">
        <v>3939</v>
      </c>
      <c r="E165" t="s">
        <v>3940</v>
      </c>
      <c r="F165" t="s">
        <v>200</v>
      </c>
      <c r="G165" t="s">
        <v>3941</v>
      </c>
      <c r="H165">
        <v>1</v>
      </c>
      <c r="I165" t="s">
        <v>379</v>
      </c>
      <c r="J165">
        <v>3000</v>
      </c>
      <c r="K165">
        <v>4</v>
      </c>
      <c r="L165">
        <v>1</v>
      </c>
      <c r="M165">
        <v>3</v>
      </c>
      <c r="N165"/>
      <c r="O165" s="35" t="s">
        <v>3550</v>
      </c>
      <c r="P165" s="33">
        <v>0.47</v>
      </c>
      <c r="Q165">
        <v>1410</v>
      </c>
      <c r="R165" t="s">
        <v>201</v>
      </c>
      <c r="S165">
        <v>1</v>
      </c>
      <c r="T165"/>
      <c r="U165" s="10"/>
      <c r="V165"/>
      <c r="W165"/>
      <c r="X165" s="10"/>
      <c r="Y165"/>
      <c r="Z165" s="10"/>
      <c r="AA165"/>
      <c r="AB165"/>
      <c r="AC165"/>
      <c r="AD165"/>
    </row>
    <row r="166" spans="1:30" x14ac:dyDescent="0.4">
      <c r="A166" t="s">
        <v>3942</v>
      </c>
      <c r="B166">
        <v>20180119</v>
      </c>
      <c r="C166">
        <v>8806185740968</v>
      </c>
      <c r="D166" t="s">
        <v>3943</v>
      </c>
      <c r="E166" t="s">
        <v>1642</v>
      </c>
      <c r="F166" t="s">
        <v>200</v>
      </c>
      <c r="G166" t="s">
        <v>3944</v>
      </c>
      <c r="H166">
        <v>0</v>
      </c>
      <c r="I166" t="s">
        <v>379</v>
      </c>
      <c r="J166">
        <v>37000</v>
      </c>
      <c r="K166">
        <v>1</v>
      </c>
      <c r="L166">
        <v>0</v>
      </c>
      <c r="M166">
        <v>1</v>
      </c>
      <c r="N166"/>
      <c r="O166" t="s">
        <v>3544</v>
      </c>
      <c r="P166" s="33">
        <v>0.47</v>
      </c>
      <c r="Q166">
        <v>17390</v>
      </c>
      <c r="R166" t="s">
        <v>201</v>
      </c>
      <c r="S166">
        <v>0</v>
      </c>
      <c r="T166"/>
      <c r="U166" s="10"/>
      <c r="V166"/>
      <c r="W166"/>
      <c r="X166" s="10"/>
      <c r="Y166"/>
      <c r="Z166" s="10"/>
      <c r="AA166"/>
      <c r="AB166"/>
      <c r="AC166"/>
      <c r="AD166"/>
    </row>
    <row r="167" spans="1:30" x14ac:dyDescent="0.4">
      <c r="A167" t="s">
        <v>3945</v>
      </c>
      <c r="B167">
        <v>20180119</v>
      </c>
      <c r="C167">
        <v>8806185758987</v>
      </c>
      <c r="D167" t="s">
        <v>2809</v>
      </c>
      <c r="E167" t="s">
        <v>3946</v>
      </c>
      <c r="F167" t="s">
        <v>200</v>
      </c>
      <c r="G167" t="s">
        <v>2810</v>
      </c>
      <c r="H167">
        <v>0</v>
      </c>
      <c r="I167" t="s">
        <v>379</v>
      </c>
      <c r="J167">
        <v>14000</v>
      </c>
      <c r="K167">
        <v>1</v>
      </c>
      <c r="L167">
        <v>0</v>
      </c>
      <c r="M167">
        <v>0</v>
      </c>
      <c r="N167"/>
      <c r="O167" t="s">
        <v>3544</v>
      </c>
      <c r="P167" s="33">
        <v>0.47</v>
      </c>
      <c r="Q167">
        <v>6580</v>
      </c>
      <c r="R167" t="s">
        <v>201</v>
      </c>
      <c r="S167">
        <v>1</v>
      </c>
      <c r="T167">
        <v>1</v>
      </c>
      <c r="U167"/>
      <c r="V167"/>
      <c r="W167"/>
      <c r="X167"/>
      <c r="Y167"/>
      <c r="Z167"/>
      <c r="AA167"/>
      <c r="AB167"/>
      <c r="AC167"/>
      <c r="AD167"/>
    </row>
    <row r="168" spans="1:30" x14ac:dyDescent="0.4">
      <c r="A168" t="s">
        <v>3947</v>
      </c>
      <c r="B168">
        <v>20180119</v>
      </c>
      <c r="C168">
        <v>8809530046333</v>
      </c>
      <c r="D168" t="s">
        <v>2811</v>
      </c>
      <c r="E168" t="s">
        <v>3948</v>
      </c>
      <c r="F168" t="s">
        <v>200</v>
      </c>
      <c r="G168" t="s">
        <v>2812</v>
      </c>
      <c r="H168">
        <v>0</v>
      </c>
      <c r="I168" t="s">
        <v>379</v>
      </c>
      <c r="J168">
        <v>9800</v>
      </c>
      <c r="K168">
        <v>1</v>
      </c>
      <c r="L168">
        <v>0</v>
      </c>
      <c r="M168">
        <v>0</v>
      </c>
      <c r="N168"/>
      <c r="O168" t="s">
        <v>3544</v>
      </c>
      <c r="P168" s="33">
        <v>0.47</v>
      </c>
      <c r="Q168">
        <v>4606</v>
      </c>
      <c r="R168" t="s">
        <v>201</v>
      </c>
      <c r="S168">
        <v>1</v>
      </c>
      <c r="T168">
        <v>1</v>
      </c>
      <c r="U168"/>
      <c r="V168"/>
      <c r="W168"/>
      <c r="X168"/>
      <c r="Y168"/>
      <c r="Z168"/>
      <c r="AA168"/>
      <c r="AB168"/>
      <c r="AC168"/>
      <c r="AD168"/>
    </row>
    <row r="169" spans="1:30" x14ac:dyDescent="0.4">
      <c r="A169" t="s">
        <v>3949</v>
      </c>
      <c r="B169">
        <v>20180119</v>
      </c>
      <c r="C169">
        <v>8809530046340</v>
      </c>
      <c r="D169" t="s">
        <v>3950</v>
      </c>
      <c r="E169" t="s">
        <v>3951</v>
      </c>
      <c r="F169" t="s">
        <v>200</v>
      </c>
      <c r="G169" t="s">
        <v>3952</v>
      </c>
      <c r="H169">
        <v>0</v>
      </c>
      <c r="I169" t="s">
        <v>379</v>
      </c>
      <c r="J169">
        <v>9800</v>
      </c>
      <c r="K169">
        <v>1</v>
      </c>
      <c r="L169">
        <v>0</v>
      </c>
      <c r="M169">
        <v>1</v>
      </c>
      <c r="N169"/>
      <c r="O169" t="s">
        <v>3544</v>
      </c>
      <c r="P169" s="33">
        <v>0.47</v>
      </c>
      <c r="Q169">
        <v>4606</v>
      </c>
      <c r="R169" t="s">
        <v>201</v>
      </c>
      <c r="S169">
        <v>0</v>
      </c>
      <c r="T169"/>
      <c r="U169" s="10"/>
      <c r="V169"/>
      <c r="W169"/>
      <c r="X169" s="10"/>
      <c r="Y169"/>
      <c r="Z169" s="10"/>
      <c r="AA169"/>
      <c r="AB169"/>
      <c r="AC169"/>
      <c r="AD169"/>
    </row>
    <row r="170" spans="1:30" x14ac:dyDescent="0.4">
      <c r="A170" t="s">
        <v>3953</v>
      </c>
      <c r="B170">
        <v>20180119</v>
      </c>
      <c r="C170">
        <v>8806185746137</v>
      </c>
      <c r="D170" t="s">
        <v>3954</v>
      </c>
      <c r="E170" t="s">
        <v>1598</v>
      </c>
      <c r="F170" t="s">
        <v>200</v>
      </c>
      <c r="G170" t="s">
        <v>3955</v>
      </c>
      <c r="H170">
        <v>0</v>
      </c>
      <c r="I170" t="s">
        <v>379</v>
      </c>
      <c r="J170">
        <v>8800</v>
      </c>
      <c r="K170">
        <v>1</v>
      </c>
      <c r="L170">
        <v>0</v>
      </c>
      <c r="M170">
        <v>1</v>
      </c>
      <c r="N170"/>
      <c r="O170" t="s">
        <v>3544</v>
      </c>
      <c r="P170" s="33">
        <v>0.47</v>
      </c>
      <c r="Q170">
        <v>4136</v>
      </c>
      <c r="R170" t="s">
        <v>201</v>
      </c>
      <c r="S170">
        <v>0</v>
      </c>
      <c r="T170"/>
      <c r="U170" s="10"/>
      <c r="V170"/>
      <c r="W170"/>
      <c r="X170" s="10"/>
      <c r="Y170"/>
      <c r="Z170" s="10"/>
      <c r="AA170"/>
      <c r="AB170"/>
      <c r="AC170"/>
      <c r="AD170"/>
    </row>
    <row r="171" spans="1:30" x14ac:dyDescent="0.4">
      <c r="A171" t="s">
        <v>3956</v>
      </c>
      <c r="B171">
        <v>20180119</v>
      </c>
      <c r="C171">
        <v>8806185746007</v>
      </c>
      <c r="D171" t="s">
        <v>3957</v>
      </c>
      <c r="E171" t="s">
        <v>3958</v>
      </c>
      <c r="F171" t="s">
        <v>200</v>
      </c>
      <c r="G171" t="s">
        <v>3959</v>
      </c>
      <c r="H171">
        <v>0</v>
      </c>
      <c r="I171" t="s">
        <v>379</v>
      </c>
      <c r="J171">
        <v>7800</v>
      </c>
      <c r="K171">
        <v>1</v>
      </c>
      <c r="L171">
        <v>0</v>
      </c>
      <c r="M171">
        <v>1</v>
      </c>
      <c r="N171"/>
      <c r="O171" t="s">
        <v>3544</v>
      </c>
      <c r="P171" s="33">
        <v>0.47</v>
      </c>
      <c r="Q171">
        <v>3666</v>
      </c>
      <c r="R171" t="s">
        <v>201</v>
      </c>
      <c r="S171">
        <v>0</v>
      </c>
      <c r="T171"/>
      <c r="U171" s="10"/>
      <c r="V171"/>
      <c r="W171"/>
      <c r="X171" s="10"/>
      <c r="Y171"/>
      <c r="Z171" s="10"/>
      <c r="AA171"/>
      <c r="AB171"/>
      <c r="AC171"/>
      <c r="AD171"/>
    </row>
    <row r="172" spans="1:30" x14ac:dyDescent="0.4">
      <c r="A172" t="s">
        <v>3960</v>
      </c>
      <c r="B172">
        <v>20180119</v>
      </c>
      <c r="C172">
        <v>8809530052686</v>
      </c>
      <c r="D172" t="s">
        <v>3961</v>
      </c>
      <c r="E172" t="s">
        <v>3962</v>
      </c>
      <c r="F172" t="s">
        <v>200</v>
      </c>
      <c r="G172" t="s">
        <v>3963</v>
      </c>
      <c r="H172">
        <v>1</v>
      </c>
      <c r="I172" t="s">
        <v>379</v>
      </c>
      <c r="J172">
        <v>1000</v>
      </c>
      <c r="K172">
        <v>1</v>
      </c>
      <c r="L172">
        <v>0</v>
      </c>
      <c r="M172">
        <v>1</v>
      </c>
      <c r="N172"/>
      <c r="O172" s="35" t="s">
        <v>3550</v>
      </c>
      <c r="P172" s="33">
        <v>0.47</v>
      </c>
      <c r="Q172">
        <v>470</v>
      </c>
      <c r="R172" t="s">
        <v>201</v>
      </c>
      <c r="S172">
        <v>0</v>
      </c>
      <c r="T172"/>
      <c r="U172" s="10"/>
      <c r="V172"/>
      <c r="W172"/>
      <c r="X172" s="10"/>
      <c r="Y172"/>
      <c r="Z172" s="10"/>
      <c r="AA172"/>
      <c r="AB172"/>
      <c r="AC172"/>
      <c r="AD172"/>
    </row>
    <row r="173" spans="1:30" x14ac:dyDescent="0.4">
      <c r="A173" t="s">
        <v>3964</v>
      </c>
      <c r="B173">
        <v>20180119</v>
      </c>
      <c r="C173">
        <v>8806185776189</v>
      </c>
      <c r="D173" t="s">
        <v>3965</v>
      </c>
      <c r="E173" t="s">
        <v>3966</v>
      </c>
      <c r="F173" t="s">
        <v>200</v>
      </c>
      <c r="G173" t="s">
        <v>3967</v>
      </c>
      <c r="H173">
        <v>0</v>
      </c>
      <c r="I173" t="s">
        <v>379</v>
      </c>
      <c r="J173">
        <v>6500</v>
      </c>
      <c r="K173">
        <v>1</v>
      </c>
      <c r="L173">
        <v>0</v>
      </c>
      <c r="M173">
        <v>1</v>
      </c>
      <c r="N173"/>
      <c r="O173" t="s">
        <v>3544</v>
      </c>
      <c r="P173" s="33">
        <v>0.47</v>
      </c>
      <c r="Q173">
        <v>3055</v>
      </c>
      <c r="R173" t="s">
        <v>201</v>
      </c>
      <c r="S173">
        <v>0</v>
      </c>
      <c r="T173"/>
      <c r="U173" s="10"/>
      <c r="V173"/>
      <c r="W173"/>
      <c r="X173" s="10"/>
      <c r="Y173"/>
      <c r="Z173" s="10"/>
      <c r="AA173"/>
      <c r="AB173"/>
      <c r="AC173"/>
      <c r="AD173"/>
    </row>
    <row r="174" spans="1:30" x14ac:dyDescent="0.4">
      <c r="A174" t="s">
        <v>3968</v>
      </c>
      <c r="B174">
        <v>20180119</v>
      </c>
      <c r="C174">
        <v>8809530059722</v>
      </c>
      <c r="D174" t="s">
        <v>3969</v>
      </c>
      <c r="E174" t="s">
        <v>3970</v>
      </c>
      <c r="F174" t="s">
        <v>200</v>
      </c>
      <c r="G174" t="s">
        <v>3971</v>
      </c>
      <c r="H174">
        <v>0</v>
      </c>
      <c r="I174" t="s">
        <v>379</v>
      </c>
      <c r="J174">
        <v>2500</v>
      </c>
      <c r="K174">
        <v>8</v>
      </c>
      <c r="L174">
        <v>6</v>
      </c>
      <c r="M174">
        <v>2</v>
      </c>
      <c r="N174"/>
      <c r="O174" t="s">
        <v>3544</v>
      </c>
      <c r="P174" s="33">
        <v>0.47</v>
      </c>
      <c r="Q174">
        <v>1175</v>
      </c>
      <c r="R174" t="s">
        <v>201</v>
      </c>
      <c r="S174">
        <v>6</v>
      </c>
      <c r="T174"/>
      <c r="U174" s="10"/>
      <c r="V174"/>
      <c r="W174"/>
      <c r="X174" s="10"/>
      <c r="Y174"/>
      <c r="Z174" s="10"/>
      <c r="AA174"/>
      <c r="AB174"/>
      <c r="AC174"/>
      <c r="AD174"/>
    </row>
    <row r="175" spans="1:30" x14ac:dyDescent="0.4">
      <c r="A175" t="s">
        <v>3972</v>
      </c>
      <c r="B175">
        <v>20180119</v>
      </c>
      <c r="C175">
        <v>8809530052990</v>
      </c>
      <c r="D175" t="s">
        <v>3973</v>
      </c>
      <c r="E175" t="s">
        <v>810</v>
      </c>
      <c r="F175" t="s">
        <v>200</v>
      </c>
      <c r="G175" t="s">
        <v>3974</v>
      </c>
      <c r="H175">
        <v>0</v>
      </c>
      <c r="I175" t="s">
        <v>379</v>
      </c>
      <c r="J175">
        <v>1500</v>
      </c>
      <c r="K175">
        <v>1</v>
      </c>
      <c r="L175">
        <v>0</v>
      </c>
      <c r="M175">
        <v>1</v>
      </c>
      <c r="N175"/>
      <c r="O175" t="s">
        <v>3544</v>
      </c>
      <c r="P175" s="33">
        <v>0.47</v>
      </c>
      <c r="Q175">
        <v>705</v>
      </c>
      <c r="R175" t="s">
        <v>201</v>
      </c>
      <c r="S175">
        <v>0</v>
      </c>
      <c r="T175"/>
      <c r="U175" s="10"/>
      <c r="V175"/>
      <c r="W175"/>
      <c r="X175" s="10"/>
      <c r="Y175"/>
      <c r="Z175" s="10"/>
      <c r="AA175"/>
      <c r="AB175"/>
      <c r="AC175"/>
      <c r="AD175"/>
    </row>
    <row r="176" spans="1:30" x14ac:dyDescent="0.4">
      <c r="A176" t="s">
        <v>3975</v>
      </c>
      <c r="B176">
        <v>20180119</v>
      </c>
      <c r="C176">
        <v>8806185795258</v>
      </c>
      <c r="D176" t="s">
        <v>2663</v>
      </c>
      <c r="E176" t="s">
        <v>2671</v>
      </c>
      <c r="F176" t="s">
        <v>200</v>
      </c>
      <c r="G176" t="s">
        <v>2664</v>
      </c>
      <c r="H176">
        <v>0</v>
      </c>
      <c r="I176" t="s">
        <v>379</v>
      </c>
      <c r="J176">
        <v>4000</v>
      </c>
      <c r="K176">
        <v>1</v>
      </c>
      <c r="L176">
        <v>0</v>
      </c>
      <c r="M176">
        <v>1</v>
      </c>
      <c r="N176"/>
      <c r="O176" t="s">
        <v>3544</v>
      </c>
      <c r="P176" s="33">
        <v>0.47</v>
      </c>
      <c r="Q176">
        <v>1880</v>
      </c>
      <c r="R176" t="s">
        <v>201</v>
      </c>
      <c r="S176">
        <v>0</v>
      </c>
      <c r="T176"/>
      <c r="U176" s="10"/>
      <c r="V176"/>
      <c r="W176"/>
      <c r="X176" s="10"/>
      <c r="Y176"/>
      <c r="Z176" s="10"/>
      <c r="AA176"/>
      <c r="AB176"/>
      <c r="AC176"/>
      <c r="AD176"/>
    </row>
    <row r="177" spans="1:30" x14ac:dyDescent="0.4">
      <c r="A177" t="s">
        <v>3976</v>
      </c>
      <c r="B177">
        <v>20180119</v>
      </c>
      <c r="C177">
        <v>8806185729857</v>
      </c>
      <c r="D177" t="s">
        <v>3977</v>
      </c>
      <c r="E177"/>
      <c r="F177" t="s">
        <v>200</v>
      </c>
      <c r="G177" t="s">
        <v>3978</v>
      </c>
      <c r="H177">
        <v>0</v>
      </c>
      <c r="I177" t="s">
        <v>379</v>
      </c>
      <c r="J177">
        <v>6800</v>
      </c>
      <c r="K177">
        <v>1</v>
      </c>
      <c r="L177">
        <v>0</v>
      </c>
      <c r="M177">
        <v>1</v>
      </c>
      <c r="N177"/>
      <c r="O177" t="s">
        <v>3544</v>
      </c>
      <c r="P177" s="33">
        <v>0.47</v>
      </c>
      <c r="Q177">
        <v>3196</v>
      </c>
      <c r="R177" t="s">
        <v>201</v>
      </c>
      <c r="S177">
        <v>0</v>
      </c>
      <c r="T177"/>
      <c r="U177" s="10"/>
      <c r="V177"/>
      <c r="W177"/>
      <c r="X177" s="10"/>
      <c r="Y177"/>
      <c r="Z177" s="10"/>
      <c r="AA177"/>
      <c r="AB177"/>
      <c r="AC177"/>
      <c r="AD177"/>
    </row>
    <row r="178" spans="1:30" x14ac:dyDescent="0.4">
      <c r="A178" t="s">
        <v>3979</v>
      </c>
      <c r="B178">
        <v>20180119</v>
      </c>
      <c r="C178">
        <v>8809530051221</v>
      </c>
      <c r="D178" t="s">
        <v>3980</v>
      </c>
      <c r="E178" t="s">
        <v>602</v>
      </c>
      <c r="F178" t="s">
        <v>200</v>
      </c>
      <c r="G178" t="s">
        <v>3981</v>
      </c>
      <c r="H178">
        <v>0</v>
      </c>
      <c r="I178" t="s">
        <v>379</v>
      </c>
      <c r="J178">
        <v>12000</v>
      </c>
      <c r="K178">
        <v>1</v>
      </c>
      <c r="L178">
        <v>0</v>
      </c>
      <c r="M178">
        <v>1</v>
      </c>
      <c r="N178"/>
      <c r="O178" t="s">
        <v>3544</v>
      </c>
      <c r="P178" s="33">
        <v>0.47</v>
      </c>
      <c r="Q178">
        <v>5640</v>
      </c>
      <c r="R178" t="s">
        <v>201</v>
      </c>
      <c r="S178">
        <v>0</v>
      </c>
      <c r="T178"/>
      <c r="U178" s="10"/>
      <c r="V178"/>
      <c r="W178"/>
      <c r="X178" s="10"/>
      <c r="Y178"/>
      <c r="Z178" s="10"/>
      <c r="AA178"/>
      <c r="AB178"/>
      <c r="AC178"/>
      <c r="AD178"/>
    </row>
    <row r="179" spans="1:30" x14ac:dyDescent="0.4">
      <c r="A179" t="s">
        <v>3982</v>
      </c>
      <c r="B179">
        <v>20180119</v>
      </c>
      <c r="C179">
        <v>8806185781831</v>
      </c>
      <c r="D179" t="s">
        <v>3983</v>
      </c>
      <c r="E179" t="s">
        <v>3984</v>
      </c>
      <c r="F179" t="s">
        <v>200</v>
      </c>
      <c r="G179" t="s">
        <v>3985</v>
      </c>
      <c r="H179">
        <v>0</v>
      </c>
      <c r="I179" t="s">
        <v>379</v>
      </c>
      <c r="J179">
        <v>1000</v>
      </c>
      <c r="K179">
        <v>8</v>
      </c>
      <c r="L179">
        <v>1</v>
      </c>
      <c r="M179">
        <v>7</v>
      </c>
      <c r="N179"/>
      <c r="O179" t="s">
        <v>3544</v>
      </c>
      <c r="P179" s="33">
        <v>0.47</v>
      </c>
      <c r="Q179">
        <v>470</v>
      </c>
      <c r="R179" t="s">
        <v>201</v>
      </c>
      <c r="S179">
        <v>1</v>
      </c>
      <c r="T179"/>
      <c r="U179" s="10"/>
      <c r="V179"/>
      <c r="W179"/>
      <c r="X179" s="10"/>
      <c r="Y179"/>
      <c r="Z179" s="10"/>
      <c r="AA179"/>
      <c r="AB179"/>
      <c r="AC179"/>
      <c r="AD179"/>
    </row>
    <row r="180" spans="1:30" x14ac:dyDescent="0.4">
      <c r="A180" t="s">
        <v>3986</v>
      </c>
      <c r="B180">
        <v>20180119</v>
      </c>
      <c r="C180">
        <v>8806185781879</v>
      </c>
      <c r="D180" t="s">
        <v>3987</v>
      </c>
      <c r="E180" t="s">
        <v>3988</v>
      </c>
      <c r="F180" t="s">
        <v>200</v>
      </c>
      <c r="G180" t="s">
        <v>3989</v>
      </c>
      <c r="H180">
        <v>0</v>
      </c>
      <c r="I180" t="s">
        <v>379</v>
      </c>
      <c r="J180">
        <v>1000</v>
      </c>
      <c r="K180">
        <v>2</v>
      </c>
      <c r="L180">
        <v>0</v>
      </c>
      <c r="M180">
        <v>2</v>
      </c>
      <c r="N180"/>
      <c r="O180" t="s">
        <v>3544</v>
      </c>
      <c r="P180" s="33">
        <v>0.47</v>
      </c>
      <c r="Q180">
        <v>470</v>
      </c>
      <c r="R180" t="s">
        <v>201</v>
      </c>
      <c r="S180">
        <v>0</v>
      </c>
      <c r="T180"/>
      <c r="U180" s="10"/>
      <c r="V180"/>
      <c r="W180"/>
      <c r="X180" s="10"/>
      <c r="Y180"/>
      <c r="Z180" s="10"/>
      <c r="AA180"/>
      <c r="AB180"/>
      <c r="AC180"/>
      <c r="AD180"/>
    </row>
    <row r="181" spans="1:30" x14ac:dyDescent="0.4">
      <c r="A181" t="s">
        <v>3990</v>
      </c>
      <c r="B181">
        <v>20180119</v>
      </c>
      <c r="C181">
        <v>8806185781855</v>
      </c>
      <c r="D181" t="s">
        <v>3991</v>
      </c>
      <c r="E181" t="s">
        <v>3992</v>
      </c>
      <c r="F181" t="s">
        <v>200</v>
      </c>
      <c r="G181" t="s">
        <v>3993</v>
      </c>
      <c r="H181">
        <v>0</v>
      </c>
      <c r="I181" t="s">
        <v>379</v>
      </c>
      <c r="J181">
        <v>1000</v>
      </c>
      <c r="K181">
        <v>3</v>
      </c>
      <c r="L181">
        <v>0</v>
      </c>
      <c r="M181">
        <v>3</v>
      </c>
      <c r="N181"/>
      <c r="O181" t="s">
        <v>3544</v>
      </c>
      <c r="P181" s="33">
        <v>0.47</v>
      </c>
      <c r="Q181">
        <v>470</v>
      </c>
      <c r="R181" t="s">
        <v>201</v>
      </c>
      <c r="S181">
        <v>0</v>
      </c>
      <c r="T181"/>
      <c r="U181" s="10"/>
      <c r="V181"/>
      <c r="W181"/>
      <c r="X181" s="10"/>
      <c r="Y181"/>
      <c r="Z181" s="10"/>
      <c r="AA181"/>
      <c r="AB181"/>
      <c r="AC181"/>
      <c r="AD181"/>
    </row>
    <row r="182" spans="1:30" x14ac:dyDescent="0.4">
      <c r="A182" t="s">
        <v>3994</v>
      </c>
      <c r="B182">
        <v>20180119</v>
      </c>
      <c r="C182">
        <v>8806185781862</v>
      </c>
      <c r="D182" t="s">
        <v>3995</v>
      </c>
      <c r="E182" t="s">
        <v>1854</v>
      </c>
      <c r="F182" t="s">
        <v>200</v>
      </c>
      <c r="G182" t="s">
        <v>3996</v>
      </c>
      <c r="H182">
        <v>0</v>
      </c>
      <c r="I182" t="s">
        <v>379</v>
      </c>
      <c r="J182">
        <v>1000</v>
      </c>
      <c r="K182">
        <v>8</v>
      </c>
      <c r="L182">
        <v>1</v>
      </c>
      <c r="M182">
        <v>7</v>
      </c>
      <c r="N182"/>
      <c r="O182" t="s">
        <v>3544</v>
      </c>
      <c r="P182" s="33">
        <v>0.47</v>
      </c>
      <c r="Q182">
        <v>470</v>
      </c>
      <c r="R182" t="s">
        <v>201</v>
      </c>
      <c r="S182">
        <v>1</v>
      </c>
      <c r="T182"/>
      <c r="U182" s="10"/>
      <c r="V182"/>
      <c r="W182"/>
      <c r="X182" s="10"/>
      <c r="Y182"/>
      <c r="Z182" s="10"/>
      <c r="AA182"/>
      <c r="AB182"/>
      <c r="AC182"/>
      <c r="AD182"/>
    </row>
    <row r="183" spans="1:30" x14ac:dyDescent="0.4">
      <c r="A183" t="s">
        <v>3997</v>
      </c>
      <c r="B183">
        <v>20180119</v>
      </c>
      <c r="C183">
        <v>8806185781886</v>
      </c>
      <c r="D183" t="s">
        <v>3998</v>
      </c>
      <c r="E183" t="s">
        <v>653</v>
      </c>
      <c r="F183" t="s">
        <v>200</v>
      </c>
      <c r="G183" t="s">
        <v>3999</v>
      </c>
      <c r="H183">
        <v>1</v>
      </c>
      <c r="I183" t="s">
        <v>379</v>
      </c>
      <c r="J183">
        <v>1000</v>
      </c>
      <c r="K183">
        <v>3</v>
      </c>
      <c r="L183">
        <v>1</v>
      </c>
      <c r="M183">
        <v>2</v>
      </c>
      <c r="N183"/>
      <c r="O183" t="s">
        <v>3544</v>
      </c>
      <c r="P183" s="33">
        <v>0.47</v>
      </c>
      <c r="Q183">
        <v>470</v>
      </c>
      <c r="R183" t="s">
        <v>201</v>
      </c>
      <c r="S183">
        <v>1</v>
      </c>
      <c r="T183"/>
      <c r="U183" s="10"/>
      <c r="V183"/>
      <c r="W183"/>
      <c r="X183" s="10"/>
      <c r="Y183"/>
      <c r="Z183" s="10"/>
      <c r="AA183"/>
      <c r="AB183"/>
      <c r="AC183"/>
      <c r="AD183"/>
    </row>
    <row r="184" spans="1:30" x14ac:dyDescent="0.4">
      <c r="A184" t="s">
        <v>4000</v>
      </c>
      <c r="B184">
        <v>20180119</v>
      </c>
      <c r="C184">
        <v>8806185781800</v>
      </c>
      <c r="D184" t="s">
        <v>4001</v>
      </c>
      <c r="E184" t="s">
        <v>4002</v>
      </c>
      <c r="F184" t="s">
        <v>200</v>
      </c>
      <c r="G184" t="s">
        <v>4003</v>
      </c>
      <c r="H184">
        <v>0</v>
      </c>
      <c r="I184" t="s">
        <v>379</v>
      </c>
      <c r="J184">
        <v>1000</v>
      </c>
      <c r="K184">
        <v>8</v>
      </c>
      <c r="L184">
        <v>0</v>
      </c>
      <c r="M184">
        <v>8</v>
      </c>
      <c r="N184"/>
      <c r="O184" t="s">
        <v>3544</v>
      </c>
      <c r="P184" s="33">
        <v>0.47</v>
      </c>
      <c r="Q184">
        <v>470</v>
      </c>
      <c r="R184" t="s">
        <v>201</v>
      </c>
      <c r="S184">
        <v>0</v>
      </c>
      <c r="T184"/>
      <c r="U184" s="10"/>
      <c r="V184"/>
      <c r="W184"/>
      <c r="X184" s="10"/>
      <c r="Y184"/>
      <c r="Z184" s="10"/>
      <c r="AA184"/>
      <c r="AB184"/>
      <c r="AC184"/>
      <c r="AD184"/>
    </row>
    <row r="185" spans="1:30" x14ac:dyDescent="0.4">
      <c r="A185" t="s">
        <v>4004</v>
      </c>
      <c r="B185">
        <v>20180119</v>
      </c>
      <c r="C185">
        <v>8806185781824</v>
      </c>
      <c r="D185" t="s">
        <v>4005</v>
      </c>
      <c r="E185" t="s">
        <v>689</v>
      </c>
      <c r="F185" t="s">
        <v>200</v>
      </c>
      <c r="G185" t="s">
        <v>4006</v>
      </c>
      <c r="H185">
        <v>1</v>
      </c>
      <c r="I185" t="s">
        <v>379</v>
      </c>
      <c r="J185">
        <v>1000</v>
      </c>
      <c r="K185">
        <v>4</v>
      </c>
      <c r="L185">
        <v>1</v>
      </c>
      <c r="M185">
        <v>3</v>
      </c>
      <c r="N185"/>
      <c r="O185" t="s">
        <v>3544</v>
      </c>
      <c r="P185" s="33">
        <v>0.47</v>
      </c>
      <c r="Q185">
        <v>470</v>
      </c>
      <c r="R185" t="s">
        <v>201</v>
      </c>
      <c r="S185">
        <v>1</v>
      </c>
      <c r="T185"/>
      <c r="U185" s="10"/>
      <c r="V185"/>
      <c r="W185"/>
      <c r="X185" s="10"/>
      <c r="Y185"/>
      <c r="Z185" s="10"/>
      <c r="AA185"/>
      <c r="AB185"/>
      <c r="AC185"/>
      <c r="AD185"/>
    </row>
    <row r="186" spans="1:30" x14ac:dyDescent="0.4">
      <c r="A186" t="s">
        <v>4007</v>
      </c>
      <c r="B186">
        <v>20180119</v>
      </c>
      <c r="C186">
        <v>8806185781848</v>
      </c>
      <c r="D186" t="s">
        <v>4008</v>
      </c>
      <c r="E186" t="s">
        <v>4009</v>
      </c>
      <c r="F186" t="s">
        <v>200</v>
      </c>
      <c r="G186" t="s">
        <v>4010</v>
      </c>
      <c r="H186">
        <v>0</v>
      </c>
      <c r="I186" t="s">
        <v>379</v>
      </c>
      <c r="J186">
        <v>1000</v>
      </c>
      <c r="K186">
        <v>3</v>
      </c>
      <c r="L186">
        <v>0</v>
      </c>
      <c r="M186">
        <v>3</v>
      </c>
      <c r="N186"/>
      <c r="O186" t="s">
        <v>3544</v>
      </c>
      <c r="P186" s="33">
        <v>0.47</v>
      </c>
      <c r="Q186">
        <v>470</v>
      </c>
      <c r="R186" t="s">
        <v>201</v>
      </c>
      <c r="S186">
        <v>0</v>
      </c>
      <c r="T186"/>
      <c r="U186" s="10"/>
      <c r="V186"/>
      <c r="W186"/>
      <c r="X186" s="10"/>
      <c r="Y186"/>
      <c r="Z186" s="10"/>
      <c r="AA186"/>
      <c r="AB186"/>
      <c r="AC186"/>
      <c r="AD186"/>
    </row>
    <row r="187" spans="1:30" x14ac:dyDescent="0.4">
      <c r="A187" t="s">
        <v>4011</v>
      </c>
      <c r="B187">
        <v>20180119</v>
      </c>
      <c r="C187">
        <v>8806185746816</v>
      </c>
      <c r="D187" t="s">
        <v>4012</v>
      </c>
      <c r="E187" t="s">
        <v>4013</v>
      </c>
      <c r="F187" t="s">
        <v>200</v>
      </c>
      <c r="G187" t="s">
        <v>4014</v>
      </c>
      <c r="H187">
        <v>0</v>
      </c>
      <c r="I187" t="s">
        <v>379</v>
      </c>
      <c r="J187">
        <v>9800</v>
      </c>
      <c r="K187">
        <v>1</v>
      </c>
      <c r="L187">
        <v>0</v>
      </c>
      <c r="M187">
        <v>1</v>
      </c>
      <c r="N187"/>
      <c r="O187" t="s">
        <v>3544</v>
      </c>
      <c r="P187" s="33">
        <v>0.47</v>
      </c>
      <c r="Q187">
        <v>4606</v>
      </c>
      <c r="R187" t="s">
        <v>201</v>
      </c>
      <c r="S187">
        <v>0</v>
      </c>
      <c r="T187"/>
      <c r="U187" s="10"/>
      <c r="V187"/>
      <c r="W187"/>
      <c r="X187" s="10"/>
      <c r="Y187"/>
      <c r="Z187" s="10"/>
      <c r="AA187"/>
      <c r="AB187"/>
      <c r="AC187"/>
      <c r="AD187"/>
    </row>
    <row r="188" spans="1:30" x14ac:dyDescent="0.4">
      <c r="A188" t="s">
        <v>4015</v>
      </c>
      <c r="B188">
        <v>20180119</v>
      </c>
      <c r="C188">
        <v>8809530053003</v>
      </c>
      <c r="D188" t="s">
        <v>4016</v>
      </c>
      <c r="E188" t="s">
        <v>3753</v>
      </c>
      <c r="F188" t="s">
        <v>200</v>
      </c>
      <c r="G188" t="s">
        <v>4017</v>
      </c>
      <c r="H188">
        <v>0</v>
      </c>
      <c r="I188" t="s">
        <v>379</v>
      </c>
      <c r="J188">
        <v>4800</v>
      </c>
      <c r="K188">
        <v>1</v>
      </c>
      <c r="L188">
        <v>0</v>
      </c>
      <c r="M188">
        <v>1</v>
      </c>
      <c r="N188"/>
      <c r="O188" t="s">
        <v>3544</v>
      </c>
      <c r="P188" s="33">
        <v>0.47</v>
      </c>
      <c r="Q188">
        <v>2256</v>
      </c>
      <c r="R188" t="s">
        <v>201</v>
      </c>
      <c r="S188">
        <v>0</v>
      </c>
      <c r="T188"/>
      <c r="U188" s="10"/>
      <c r="V188"/>
      <c r="W188"/>
      <c r="X188" s="10"/>
      <c r="Y188"/>
      <c r="Z188" s="10"/>
      <c r="AA188"/>
      <c r="AB188"/>
      <c r="AC188"/>
      <c r="AD188"/>
    </row>
    <row r="189" spans="1:30" x14ac:dyDescent="0.4">
      <c r="A189" t="s">
        <v>4018</v>
      </c>
      <c r="B189">
        <v>20180119</v>
      </c>
      <c r="C189">
        <v>8806150682828</v>
      </c>
      <c r="D189" t="s">
        <v>4019</v>
      </c>
      <c r="E189"/>
      <c r="F189" t="s">
        <v>200</v>
      </c>
      <c r="G189" t="s">
        <v>4020</v>
      </c>
      <c r="H189">
        <v>0</v>
      </c>
      <c r="I189" t="s">
        <v>379</v>
      </c>
      <c r="J189">
        <v>21800</v>
      </c>
      <c r="K189">
        <v>1</v>
      </c>
      <c r="L189">
        <v>0</v>
      </c>
      <c r="M189">
        <v>1</v>
      </c>
      <c r="N189"/>
      <c r="O189" t="s">
        <v>3544</v>
      </c>
      <c r="P189" s="33">
        <v>0.47</v>
      </c>
      <c r="Q189">
        <v>10246</v>
      </c>
      <c r="R189" t="s">
        <v>201</v>
      </c>
      <c r="S189">
        <v>0</v>
      </c>
      <c r="T189"/>
      <c r="U189" s="10"/>
      <c r="V189"/>
      <c r="W189"/>
      <c r="X189" s="10"/>
      <c r="Y189"/>
      <c r="Z189" s="10"/>
      <c r="AA189"/>
      <c r="AB189"/>
      <c r="AC189"/>
      <c r="AD189"/>
    </row>
    <row r="190" spans="1:30" x14ac:dyDescent="0.4">
      <c r="A190" t="s">
        <v>4021</v>
      </c>
      <c r="B190">
        <v>20180119</v>
      </c>
      <c r="C190">
        <v>8806150682866</v>
      </c>
      <c r="D190" t="s">
        <v>4022</v>
      </c>
      <c r="E190" t="s">
        <v>4023</v>
      </c>
      <c r="F190" t="s">
        <v>200</v>
      </c>
      <c r="G190" t="s">
        <v>4024</v>
      </c>
      <c r="H190">
        <v>0</v>
      </c>
      <c r="I190" t="s">
        <v>379</v>
      </c>
      <c r="J190">
        <v>23800</v>
      </c>
      <c r="K190">
        <v>1</v>
      </c>
      <c r="L190">
        <v>0</v>
      </c>
      <c r="M190">
        <v>1</v>
      </c>
      <c r="N190"/>
      <c r="O190" t="s">
        <v>3544</v>
      </c>
      <c r="P190" s="33">
        <v>0.47</v>
      </c>
      <c r="Q190">
        <v>11186</v>
      </c>
      <c r="R190" t="s">
        <v>201</v>
      </c>
      <c r="S190">
        <v>0</v>
      </c>
      <c r="T190"/>
      <c r="U190" s="10"/>
      <c r="V190"/>
      <c r="W190"/>
      <c r="X190" s="10"/>
      <c r="Y190"/>
      <c r="Z190" s="10"/>
      <c r="AA190"/>
      <c r="AB190"/>
      <c r="AC190"/>
      <c r="AD190"/>
    </row>
    <row r="191" spans="1:30" x14ac:dyDescent="0.4">
      <c r="A191" t="s">
        <v>4025</v>
      </c>
      <c r="B191">
        <v>20180119</v>
      </c>
      <c r="C191">
        <v>8809516843680</v>
      </c>
      <c r="D191" t="s">
        <v>4026</v>
      </c>
      <c r="E191" t="s">
        <v>1364</v>
      </c>
      <c r="F191" t="s">
        <v>209</v>
      </c>
      <c r="G191" t="s">
        <v>4027</v>
      </c>
      <c r="H191">
        <v>0</v>
      </c>
      <c r="I191" t="s">
        <v>379</v>
      </c>
      <c r="J191">
        <v>13000</v>
      </c>
      <c r="K191">
        <v>3</v>
      </c>
      <c r="L191">
        <v>1</v>
      </c>
      <c r="M191">
        <v>2</v>
      </c>
      <c r="N191"/>
      <c r="O191" t="s">
        <v>3544</v>
      </c>
      <c r="P191" s="33">
        <v>0.62</v>
      </c>
      <c r="Q191">
        <v>8060</v>
      </c>
      <c r="R191" t="s">
        <v>206</v>
      </c>
      <c r="S191">
        <v>1</v>
      </c>
      <c r="T191"/>
      <c r="U191" s="10"/>
      <c r="V191"/>
      <c r="W191"/>
      <c r="X191" s="10"/>
      <c r="Y191"/>
      <c r="Z191" s="10"/>
      <c r="AA191"/>
      <c r="AB191"/>
      <c r="AC191"/>
      <c r="AD191"/>
    </row>
    <row r="192" spans="1:30" x14ac:dyDescent="0.4">
      <c r="A192" t="s">
        <v>4028</v>
      </c>
      <c r="B192">
        <v>20180119</v>
      </c>
      <c r="C192" s="36">
        <v>16737320000</v>
      </c>
      <c r="D192" t="s">
        <v>4029</v>
      </c>
      <c r="E192"/>
      <c r="F192" t="s">
        <v>129</v>
      </c>
      <c r="G192" t="s">
        <v>4030</v>
      </c>
      <c r="H192">
        <v>0</v>
      </c>
      <c r="I192" t="s">
        <v>379</v>
      </c>
      <c r="J192">
        <v>15000</v>
      </c>
      <c r="K192">
        <v>1</v>
      </c>
      <c r="L192">
        <v>0</v>
      </c>
      <c r="M192">
        <v>1</v>
      </c>
      <c r="N192"/>
      <c r="O192" t="s">
        <v>3544</v>
      </c>
      <c r="P192" s="33">
        <v>0.7</v>
      </c>
      <c r="Q192">
        <v>10500</v>
      </c>
      <c r="R192" t="s">
        <v>4031</v>
      </c>
      <c r="S192">
        <v>0</v>
      </c>
      <c r="T192"/>
      <c r="U192" s="10"/>
      <c r="V192"/>
      <c r="W192"/>
      <c r="X192" s="10"/>
      <c r="Y192"/>
      <c r="Z192" s="10"/>
      <c r="AA192"/>
      <c r="AB192"/>
      <c r="AC192"/>
      <c r="AD192"/>
    </row>
    <row r="193" spans="1:30" x14ac:dyDescent="0.4">
      <c r="A193" t="s">
        <v>4032</v>
      </c>
      <c r="B193">
        <v>20180119</v>
      </c>
      <c r="C193">
        <v>8809560222059</v>
      </c>
      <c r="D193" t="s">
        <v>2308</v>
      </c>
      <c r="E193" t="s">
        <v>2318</v>
      </c>
      <c r="F193" t="s">
        <v>129</v>
      </c>
      <c r="G193" t="s">
        <v>2309</v>
      </c>
      <c r="H193">
        <v>0</v>
      </c>
      <c r="I193" t="s">
        <v>379</v>
      </c>
      <c r="J193">
        <v>10000</v>
      </c>
      <c r="K193">
        <v>1</v>
      </c>
      <c r="L193">
        <v>0</v>
      </c>
      <c r="M193">
        <v>1</v>
      </c>
      <c r="N193"/>
      <c r="O193" t="s">
        <v>3544</v>
      </c>
      <c r="P193" s="33">
        <v>0.7</v>
      </c>
      <c r="Q193">
        <v>7000</v>
      </c>
      <c r="R193" t="s">
        <v>4031</v>
      </c>
      <c r="S193">
        <v>0</v>
      </c>
      <c r="T193"/>
      <c r="U193" s="10"/>
      <c r="V193"/>
      <c r="W193"/>
      <c r="X193" s="10"/>
      <c r="Y193"/>
      <c r="Z193" s="10"/>
      <c r="AA193"/>
      <c r="AB193"/>
      <c r="AC193"/>
      <c r="AD193"/>
    </row>
    <row r="194" spans="1:30" x14ac:dyDescent="0.4">
      <c r="A194" t="s">
        <v>4033</v>
      </c>
      <c r="B194">
        <v>20180119</v>
      </c>
      <c r="C194">
        <v>8809370692974</v>
      </c>
      <c r="D194" t="s">
        <v>4034</v>
      </c>
      <c r="E194" t="s">
        <v>4035</v>
      </c>
      <c r="F194" t="s">
        <v>129</v>
      </c>
      <c r="G194" t="s">
        <v>4036</v>
      </c>
      <c r="H194">
        <v>0</v>
      </c>
      <c r="I194" t="s">
        <v>379</v>
      </c>
      <c r="J194">
        <v>48000</v>
      </c>
      <c r="K194">
        <v>2</v>
      </c>
      <c r="L194">
        <v>1</v>
      </c>
      <c r="M194">
        <v>1</v>
      </c>
      <c r="N194"/>
      <c r="O194" t="s">
        <v>3544</v>
      </c>
      <c r="P194" s="33">
        <v>0.7</v>
      </c>
      <c r="Q194">
        <v>33600</v>
      </c>
      <c r="R194" t="s">
        <v>4031</v>
      </c>
      <c r="S194">
        <v>1</v>
      </c>
      <c r="T194"/>
      <c r="U194" s="10"/>
      <c r="V194"/>
      <c r="W194"/>
      <c r="X194" s="10"/>
      <c r="Y194"/>
      <c r="Z194" s="10"/>
      <c r="AA194"/>
      <c r="AB194"/>
      <c r="AC194"/>
      <c r="AD194"/>
    </row>
    <row r="195" spans="1:30" x14ac:dyDescent="0.4">
      <c r="A195" t="s">
        <v>4037</v>
      </c>
      <c r="B195">
        <v>20180119</v>
      </c>
      <c r="C195">
        <v>8809560222240</v>
      </c>
      <c r="D195" t="s">
        <v>3107</v>
      </c>
      <c r="E195" t="s">
        <v>3919</v>
      </c>
      <c r="F195" t="s">
        <v>129</v>
      </c>
      <c r="G195" t="s">
        <v>3108</v>
      </c>
      <c r="H195">
        <v>0</v>
      </c>
      <c r="I195" t="s">
        <v>379</v>
      </c>
      <c r="J195">
        <v>17000</v>
      </c>
      <c r="K195">
        <v>2</v>
      </c>
      <c r="L195">
        <v>1</v>
      </c>
      <c r="M195">
        <v>0</v>
      </c>
      <c r="N195"/>
      <c r="O195" t="s">
        <v>3544</v>
      </c>
      <c r="P195" s="33">
        <v>0.7</v>
      </c>
      <c r="Q195">
        <v>11900</v>
      </c>
      <c r="R195" t="s">
        <v>4031</v>
      </c>
      <c r="S195">
        <v>2</v>
      </c>
      <c r="T195">
        <v>1</v>
      </c>
      <c r="U195"/>
      <c r="V195"/>
      <c r="W195"/>
      <c r="X195"/>
      <c r="Y195"/>
      <c r="Z195"/>
      <c r="AA195"/>
      <c r="AB195"/>
      <c r="AC195"/>
      <c r="AD195"/>
    </row>
    <row r="196" spans="1:30" x14ac:dyDescent="0.4">
      <c r="A196" t="s">
        <v>4038</v>
      </c>
      <c r="B196">
        <v>20180119</v>
      </c>
      <c r="C196">
        <v>8809560220529</v>
      </c>
      <c r="D196" t="s">
        <v>2277</v>
      </c>
      <c r="E196"/>
      <c r="F196" t="s">
        <v>129</v>
      </c>
      <c r="G196" t="s">
        <v>2278</v>
      </c>
      <c r="H196">
        <v>0</v>
      </c>
      <c r="I196" t="s">
        <v>379</v>
      </c>
      <c r="J196">
        <v>38000</v>
      </c>
      <c r="K196">
        <v>1</v>
      </c>
      <c r="L196">
        <v>0</v>
      </c>
      <c r="M196">
        <v>1</v>
      </c>
      <c r="N196"/>
      <c r="O196" t="s">
        <v>3544</v>
      </c>
      <c r="P196" s="33">
        <v>0.7</v>
      </c>
      <c r="Q196">
        <v>26600</v>
      </c>
      <c r="R196" t="s">
        <v>4031</v>
      </c>
      <c r="S196">
        <v>0</v>
      </c>
      <c r="T196"/>
      <c r="U196" s="10"/>
      <c r="V196"/>
      <c r="W196"/>
      <c r="X196" s="10"/>
      <c r="Y196"/>
      <c r="Z196" s="10"/>
      <c r="AA196"/>
      <c r="AB196"/>
      <c r="AC196"/>
      <c r="AD196"/>
    </row>
    <row r="197" spans="1:30" x14ac:dyDescent="0.4">
      <c r="A197" t="s">
        <v>4039</v>
      </c>
      <c r="B197">
        <v>20180119</v>
      </c>
      <c r="C197">
        <v>8809560220536</v>
      </c>
      <c r="D197" t="s">
        <v>879</v>
      </c>
      <c r="E197" t="s">
        <v>4040</v>
      </c>
      <c r="F197" t="s">
        <v>129</v>
      </c>
      <c r="G197" t="s">
        <v>880</v>
      </c>
      <c r="H197">
        <v>0</v>
      </c>
      <c r="I197" t="s">
        <v>379</v>
      </c>
      <c r="J197">
        <v>38000</v>
      </c>
      <c r="K197">
        <v>1</v>
      </c>
      <c r="L197">
        <v>0</v>
      </c>
      <c r="M197">
        <v>1</v>
      </c>
      <c r="N197"/>
      <c r="O197" t="s">
        <v>3544</v>
      </c>
      <c r="P197" s="33">
        <v>0.7</v>
      </c>
      <c r="Q197">
        <v>26600</v>
      </c>
      <c r="R197" t="s">
        <v>4031</v>
      </c>
      <c r="S197">
        <v>0</v>
      </c>
      <c r="T197"/>
      <c r="U197" s="10"/>
      <c r="V197"/>
      <c r="W197"/>
      <c r="X197" s="10"/>
      <c r="Y197"/>
      <c r="Z197" s="10"/>
      <c r="AA197"/>
      <c r="AB197"/>
      <c r="AC197"/>
      <c r="AD197"/>
    </row>
    <row r="198" spans="1:30" x14ac:dyDescent="0.4">
      <c r="A198" t="s">
        <v>4041</v>
      </c>
      <c r="B198">
        <v>20180119</v>
      </c>
      <c r="C198">
        <v>8809370698921</v>
      </c>
      <c r="D198" t="s">
        <v>3109</v>
      </c>
      <c r="E198" t="s">
        <v>2529</v>
      </c>
      <c r="F198" t="s">
        <v>129</v>
      </c>
      <c r="G198" t="s">
        <v>3110</v>
      </c>
      <c r="H198">
        <v>0</v>
      </c>
      <c r="I198" t="s">
        <v>379</v>
      </c>
      <c r="J198">
        <v>18000</v>
      </c>
      <c r="K198">
        <v>1</v>
      </c>
      <c r="L198">
        <v>0</v>
      </c>
      <c r="M198">
        <v>0</v>
      </c>
      <c r="N198"/>
      <c r="O198" t="s">
        <v>3544</v>
      </c>
      <c r="P198" s="33">
        <v>0.7</v>
      </c>
      <c r="Q198">
        <v>12600</v>
      </c>
      <c r="R198" t="s">
        <v>4031</v>
      </c>
      <c r="S198">
        <v>1</v>
      </c>
      <c r="T198">
        <v>1</v>
      </c>
      <c r="U198"/>
      <c r="V198"/>
      <c r="W198"/>
      <c r="X198"/>
      <c r="Y198"/>
      <c r="Z198"/>
      <c r="AA198"/>
      <c r="AB198"/>
      <c r="AC198"/>
      <c r="AD198"/>
    </row>
    <row r="199" spans="1:30" x14ac:dyDescent="0.4">
      <c r="A199" t="s">
        <v>4042</v>
      </c>
      <c r="B199">
        <v>20180119</v>
      </c>
      <c r="C199">
        <v>8809147455610</v>
      </c>
      <c r="D199" t="s">
        <v>2299</v>
      </c>
      <c r="E199" t="s">
        <v>2307</v>
      </c>
      <c r="F199" t="s">
        <v>129</v>
      </c>
      <c r="G199" t="s">
        <v>2300</v>
      </c>
      <c r="H199">
        <v>0</v>
      </c>
      <c r="I199" t="s">
        <v>379</v>
      </c>
      <c r="J199">
        <v>28000</v>
      </c>
      <c r="K199">
        <v>2</v>
      </c>
      <c r="L199">
        <v>0</v>
      </c>
      <c r="M199">
        <v>2</v>
      </c>
      <c r="N199"/>
      <c r="O199" t="s">
        <v>3544</v>
      </c>
      <c r="P199" s="33">
        <v>0.7</v>
      </c>
      <c r="Q199">
        <v>19600</v>
      </c>
      <c r="R199" t="s">
        <v>4031</v>
      </c>
      <c r="S199">
        <v>0</v>
      </c>
      <c r="T199"/>
      <c r="U199" s="10"/>
      <c r="V199"/>
      <c r="W199"/>
      <c r="X199" s="10"/>
      <c r="Y199"/>
      <c r="Z199" s="10"/>
      <c r="AA199"/>
      <c r="AB199"/>
      <c r="AC199"/>
      <c r="AD199"/>
    </row>
    <row r="200" spans="1:30" x14ac:dyDescent="0.4">
      <c r="A200" t="s">
        <v>4043</v>
      </c>
      <c r="B200">
        <v>20180119</v>
      </c>
      <c r="C200">
        <v>8809560220710</v>
      </c>
      <c r="D200" t="s">
        <v>3111</v>
      </c>
      <c r="E200" t="s">
        <v>4044</v>
      </c>
      <c r="F200" t="s">
        <v>129</v>
      </c>
      <c r="G200" t="s">
        <v>3112</v>
      </c>
      <c r="H200">
        <v>0</v>
      </c>
      <c r="I200" t="s">
        <v>379</v>
      </c>
      <c r="J200">
        <v>15000</v>
      </c>
      <c r="K200">
        <v>1</v>
      </c>
      <c r="L200">
        <v>0</v>
      </c>
      <c r="M200">
        <v>0</v>
      </c>
      <c r="N200"/>
      <c r="O200" t="s">
        <v>3544</v>
      </c>
      <c r="P200" s="33">
        <v>0.7</v>
      </c>
      <c r="Q200">
        <v>10500</v>
      </c>
      <c r="R200" t="s">
        <v>4031</v>
      </c>
      <c r="S200">
        <v>1</v>
      </c>
      <c r="T200">
        <v>1</v>
      </c>
      <c r="U200"/>
      <c r="V200"/>
      <c r="W200"/>
      <c r="X200"/>
      <c r="Y200"/>
      <c r="Z200"/>
      <c r="AA200"/>
      <c r="AB200"/>
      <c r="AC200"/>
      <c r="AD200"/>
    </row>
    <row r="201" spans="1:30" x14ac:dyDescent="0.4">
      <c r="A201" t="s">
        <v>4045</v>
      </c>
      <c r="B201">
        <v>20180119</v>
      </c>
      <c r="C201">
        <v>8809248495584</v>
      </c>
      <c r="D201" t="s">
        <v>3115</v>
      </c>
      <c r="E201" t="s">
        <v>4046</v>
      </c>
      <c r="F201" t="s">
        <v>129</v>
      </c>
      <c r="G201" t="s">
        <v>3116</v>
      </c>
      <c r="H201">
        <v>0</v>
      </c>
      <c r="I201" t="s">
        <v>379</v>
      </c>
      <c r="J201">
        <v>22000</v>
      </c>
      <c r="K201">
        <v>3</v>
      </c>
      <c r="L201">
        <v>1</v>
      </c>
      <c r="M201">
        <v>0</v>
      </c>
      <c r="N201"/>
      <c r="O201" t="s">
        <v>3544</v>
      </c>
      <c r="P201" s="33">
        <v>0.7</v>
      </c>
      <c r="Q201">
        <v>15400</v>
      </c>
      <c r="R201" t="s">
        <v>4031</v>
      </c>
      <c r="S201">
        <v>3</v>
      </c>
      <c r="T201">
        <v>2</v>
      </c>
      <c r="U201"/>
      <c r="V201"/>
      <c r="W201"/>
      <c r="X201"/>
      <c r="Y201"/>
      <c r="Z201"/>
      <c r="AA201"/>
      <c r="AB201"/>
      <c r="AC201"/>
      <c r="AD201"/>
    </row>
    <row r="202" spans="1:30" x14ac:dyDescent="0.4">
      <c r="A202" t="s">
        <v>4047</v>
      </c>
      <c r="B202">
        <v>20180119</v>
      </c>
      <c r="C202">
        <v>8809560220635</v>
      </c>
      <c r="D202" t="s">
        <v>2373</v>
      </c>
      <c r="E202" t="s">
        <v>2385</v>
      </c>
      <c r="F202" t="s">
        <v>129</v>
      </c>
      <c r="G202" t="s">
        <v>2375</v>
      </c>
      <c r="H202">
        <v>0</v>
      </c>
      <c r="I202" t="s">
        <v>379</v>
      </c>
      <c r="J202">
        <v>28000</v>
      </c>
      <c r="K202">
        <v>1</v>
      </c>
      <c r="L202">
        <v>0</v>
      </c>
      <c r="M202">
        <v>1</v>
      </c>
      <c r="N202"/>
      <c r="O202" t="s">
        <v>3544</v>
      </c>
      <c r="P202" s="33">
        <v>0.7</v>
      </c>
      <c r="Q202">
        <v>19600</v>
      </c>
      <c r="R202" t="s">
        <v>4031</v>
      </c>
      <c r="S202">
        <v>0</v>
      </c>
      <c r="T202"/>
      <c r="U202" s="10"/>
      <c r="V202"/>
      <c r="W202"/>
      <c r="X202" s="10"/>
      <c r="Y202"/>
      <c r="Z202" s="10"/>
      <c r="AA202"/>
      <c r="AB202"/>
      <c r="AC202"/>
      <c r="AD202"/>
    </row>
    <row r="203" spans="1:30" x14ac:dyDescent="0.4">
      <c r="A203" t="s">
        <v>4048</v>
      </c>
      <c r="B203">
        <v>20180119</v>
      </c>
      <c r="C203">
        <v>8801051762549</v>
      </c>
      <c r="D203" t="s">
        <v>2410</v>
      </c>
      <c r="E203" t="s">
        <v>2419</v>
      </c>
      <c r="F203" t="s">
        <v>187</v>
      </c>
      <c r="G203" t="s">
        <v>2411</v>
      </c>
      <c r="H203">
        <v>0</v>
      </c>
      <c r="I203" t="s">
        <v>379</v>
      </c>
      <c r="J203">
        <v>23500</v>
      </c>
      <c r="K203">
        <v>1</v>
      </c>
      <c r="L203">
        <v>0</v>
      </c>
      <c r="M203">
        <v>1</v>
      </c>
      <c r="N203"/>
      <c r="O203" t="s">
        <v>3544</v>
      </c>
      <c r="P203" s="33">
        <v>0.7</v>
      </c>
      <c r="Q203">
        <v>16450</v>
      </c>
      <c r="R203" t="s">
        <v>188</v>
      </c>
      <c r="S203">
        <v>0</v>
      </c>
      <c r="T203"/>
      <c r="U203" s="10"/>
      <c r="V203"/>
      <c r="W203"/>
      <c r="X203" s="10"/>
      <c r="Y203"/>
      <c r="Z203" s="10"/>
      <c r="AA203"/>
      <c r="AB203"/>
      <c r="AC203"/>
      <c r="AD203"/>
    </row>
    <row r="204" spans="1:30" x14ac:dyDescent="0.4">
      <c r="A204" t="s">
        <v>4049</v>
      </c>
      <c r="B204">
        <v>20180119</v>
      </c>
      <c r="C204">
        <v>8801051945706</v>
      </c>
      <c r="D204" t="s">
        <v>2609</v>
      </c>
      <c r="E204" t="s">
        <v>2617</v>
      </c>
      <c r="F204" t="s">
        <v>187</v>
      </c>
      <c r="G204" t="s">
        <v>2610</v>
      </c>
      <c r="H204">
        <v>0</v>
      </c>
      <c r="I204" t="s">
        <v>379</v>
      </c>
      <c r="J204">
        <v>28000</v>
      </c>
      <c r="K204">
        <v>1</v>
      </c>
      <c r="L204">
        <v>0</v>
      </c>
      <c r="M204">
        <v>1</v>
      </c>
      <c r="N204"/>
      <c r="O204" t="s">
        <v>3544</v>
      </c>
      <c r="P204" s="33">
        <v>0.7</v>
      </c>
      <c r="Q204">
        <v>19600</v>
      </c>
      <c r="R204" t="s">
        <v>188</v>
      </c>
      <c r="S204">
        <v>0</v>
      </c>
      <c r="T204"/>
      <c r="U204" s="10"/>
      <c r="V204"/>
      <c r="W204"/>
      <c r="X204" s="10"/>
      <c r="Y204"/>
      <c r="Z204" s="10"/>
      <c r="AA204"/>
      <c r="AB204"/>
      <c r="AC204"/>
      <c r="AD204"/>
    </row>
    <row r="205" spans="1:30" x14ac:dyDescent="0.4">
      <c r="A205" t="s">
        <v>4050</v>
      </c>
      <c r="B205">
        <v>20180119</v>
      </c>
      <c r="C205">
        <v>8801051914986</v>
      </c>
      <c r="D205" t="s">
        <v>1371</v>
      </c>
      <c r="E205" t="s">
        <v>4051</v>
      </c>
      <c r="F205" t="s">
        <v>187</v>
      </c>
      <c r="G205" t="s">
        <v>1372</v>
      </c>
      <c r="H205">
        <v>0</v>
      </c>
      <c r="I205" t="s">
        <v>379</v>
      </c>
      <c r="J205">
        <v>13200</v>
      </c>
      <c r="K205">
        <v>4</v>
      </c>
      <c r="L205">
        <v>0</v>
      </c>
      <c r="M205">
        <v>4</v>
      </c>
      <c r="N205"/>
      <c r="O205" t="s">
        <v>3544</v>
      </c>
      <c r="P205" s="33">
        <v>0.7</v>
      </c>
      <c r="Q205">
        <v>9240</v>
      </c>
      <c r="R205" t="s">
        <v>188</v>
      </c>
      <c r="S205">
        <v>0</v>
      </c>
      <c r="T205"/>
      <c r="U205" s="10"/>
      <c r="V205"/>
      <c r="W205"/>
      <c r="X205" s="10"/>
      <c r="Y205"/>
      <c r="Z205" s="10"/>
      <c r="AA205"/>
      <c r="AB205"/>
      <c r="AC205"/>
      <c r="AD205"/>
    </row>
    <row r="206" spans="1:30" x14ac:dyDescent="0.4">
      <c r="A206" t="s">
        <v>4052</v>
      </c>
      <c r="B206">
        <v>20180119</v>
      </c>
      <c r="C206">
        <v>8801051178449</v>
      </c>
      <c r="D206" t="s">
        <v>869</v>
      </c>
      <c r="E206" t="s">
        <v>878</v>
      </c>
      <c r="F206" t="s">
        <v>187</v>
      </c>
      <c r="G206" t="s">
        <v>870</v>
      </c>
      <c r="H206">
        <v>0</v>
      </c>
      <c r="I206" t="s">
        <v>379</v>
      </c>
      <c r="J206">
        <v>25000</v>
      </c>
      <c r="K206">
        <v>4</v>
      </c>
      <c r="L206">
        <v>0</v>
      </c>
      <c r="M206">
        <v>4</v>
      </c>
      <c r="N206"/>
      <c r="O206" t="s">
        <v>3544</v>
      </c>
      <c r="P206" s="33">
        <v>0.7</v>
      </c>
      <c r="Q206">
        <v>17500</v>
      </c>
      <c r="R206" t="s">
        <v>188</v>
      </c>
      <c r="S206">
        <v>0</v>
      </c>
      <c r="T206"/>
      <c r="U206" s="10"/>
      <c r="V206"/>
      <c r="W206"/>
      <c r="X206" s="10"/>
      <c r="Y206"/>
      <c r="Z206" s="10"/>
      <c r="AA206"/>
      <c r="AB206"/>
      <c r="AC206"/>
      <c r="AD206"/>
    </row>
    <row r="207" spans="1:30" x14ac:dyDescent="0.4">
      <c r="A207" t="s">
        <v>4053</v>
      </c>
      <c r="B207">
        <v>20180119</v>
      </c>
      <c r="C207" s="36">
        <v>14495620000</v>
      </c>
      <c r="D207" t="s">
        <v>3003</v>
      </c>
      <c r="E207" t="s">
        <v>4054</v>
      </c>
      <c r="F207" t="s">
        <v>97</v>
      </c>
      <c r="G207" t="s">
        <v>3004</v>
      </c>
      <c r="H207">
        <v>7</v>
      </c>
      <c r="I207" t="s">
        <v>379</v>
      </c>
      <c r="J207">
        <v>0</v>
      </c>
      <c r="K207" s="34">
        <v>60</v>
      </c>
      <c r="L207">
        <v>30</v>
      </c>
      <c r="M207">
        <v>0</v>
      </c>
      <c r="N207"/>
      <c r="O207" s="35" t="s">
        <v>3550</v>
      </c>
      <c r="P207" s="33">
        <v>0.65</v>
      </c>
      <c r="Q207">
        <v>0</v>
      </c>
      <c r="R207" t="s">
        <v>77</v>
      </c>
      <c r="S207">
        <v>60</v>
      </c>
      <c r="T207">
        <v>30</v>
      </c>
      <c r="U207"/>
      <c r="V207"/>
      <c r="W207"/>
      <c r="X207"/>
      <c r="Y207"/>
      <c r="Z207"/>
      <c r="AA207"/>
      <c r="AB207"/>
      <c r="AC207"/>
      <c r="AD207"/>
    </row>
    <row r="208" spans="1:30" x14ac:dyDescent="0.4">
      <c r="A208" t="s">
        <v>4055</v>
      </c>
      <c r="B208">
        <v>20180119</v>
      </c>
      <c r="C208">
        <v>8806390527743</v>
      </c>
      <c r="D208" t="s">
        <v>4056</v>
      </c>
      <c r="E208" t="s">
        <v>4057</v>
      </c>
      <c r="F208" t="s">
        <v>97</v>
      </c>
      <c r="G208" t="s">
        <v>4058</v>
      </c>
      <c r="H208">
        <v>0</v>
      </c>
      <c r="I208" t="s">
        <v>379</v>
      </c>
      <c r="J208">
        <v>40000</v>
      </c>
      <c r="K208">
        <v>1</v>
      </c>
      <c r="L208">
        <v>0</v>
      </c>
      <c r="M208">
        <v>1</v>
      </c>
      <c r="N208"/>
      <c r="O208" t="s">
        <v>3544</v>
      </c>
      <c r="P208" s="33">
        <v>0.65</v>
      </c>
      <c r="Q208">
        <v>26000</v>
      </c>
      <c r="R208" t="s">
        <v>77</v>
      </c>
      <c r="S208">
        <v>0</v>
      </c>
      <c r="T208"/>
      <c r="U208" s="10"/>
      <c r="V208"/>
      <c r="W208"/>
      <c r="X208" s="10"/>
      <c r="Y208"/>
      <c r="Z208" s="10"/>
      <c r="AA208"/>
      <c r="AB208"/>
      <c r="AC208"/>
      <c r="AD208"/>
    </row>
    <row r="209" spans="1:30" x14ac:dyDescent="0.4">
      <c r="A209" t="s">
        <v>4059</v>
      </c>
      <c r="B209">
        <v>20180119</v>
      </c>
      <c r="C209">
        <v>8801042809611</v>
      </c>
      <c r="D209" t="s">
        <v>3005</v>
      </c>
      <c r="E209" t="s">
        <v>4060</v>
      </c>
      <c r="F209" t="s">
        <v>97</v>
      </c>
      <c r="G209" t="s">
        <v>3006</v>
      </c>
      <c r="H209">
        <v>0</v>
      </c>
      <c r="I209" t="s">
        <v>379</v>
      </c>
      <c r="J209">
        <v>40000</v>
      </c>
      <c r="K209">
        <v>1</v>
      </c>
      <c r="L209">
        <v>0</v>
      </c>
      <c r="M209">
        <v>0</v>
      </c>
      <c r="N209"/>
      <c r="O209" t="s">
        <v>3544</v>
      </c>
      <c r="P209" s="33">
        <v>0.65</v>
      </c>
      <c r="Q209">
        <v>26000</v>
      </c>
      <c r="R209" t="s">
        <v>77</v>
      </c>
      <c r="S209">
        <v>1</v>
      </c>
      <c r="T209">
        <v>1</v>
      </c>
      <c r="U209"/>
      <c r="V209"/>
      <c r="W209"/>
      <c r="X209"/>
      <c r="Y209"/>
      <c r="Z209"/>
      <c r="AA209"/>
      <c r="AB209"/>
      <c r="AC209"/>
      <c r="AD209"/>
    </row>
    <row r="210" spans="1:30" x14ac:dyDescent="0.4">
      <c r="A210" t="s">
        <v>4061</v>
      </c>
      <c r="B210">
        <v>20180119</v>
      </c>
      <c r="C210">
        <v>8806390597104</v>
      </c>
      <c r="D210" t="s">
        <v>4062</v>
      </c>
      <c r="E210" t="s">
        <v>4063</v>
      </c>
      <c r="F210" t="s">
        <v>97</v>
      </c>
      <c r="G210" t="s">
        <v>4064</v>
      </c>
      <c r="H210">
        <v>0</v>
      </c>
      <c r="I210" t="s">
        <v>379</v>
      </c>
      <c r="J210">
        <v>40000</v>
      </c>
      <c r="K210">
        <v>1</v>
      </c>
      <c r="L210">
        <v>0</v>
      </c>
      <c r="M210">
        <v>1</v>
      </c>
      <c r="N210"/>
      <c r="O210" t="s">
        <v>3544</v>
      </c>
      <c r="P210" s="33">
        <v>0.65</v>
      </c>
      <c r="Q210">
        <v>26000</v>
      </c>
      <c r="R210" t="s">
        <v>77</v>
      </c>
      <c r="S210">
        <v>0</v>
      </c>
      <c r="T210"/>
      <c r="U210" s="10"/>
      <c r="V210"/>
      <c r="W210"/>
      <c r="X210" s="10"/>
      <c r="Y210"/>
      <c r="Z210" s="10"/>
      <c r="AA210"/>
      <c r="AB210"/>
      <c r="AC210"/>
      <c r="AD210"/>
    </row>
    <row r="211" spans="1:30" x14ac:dyDescent="0.4">
      <c r="A211" t="s">
        <v>4065</v>
      </c>
      <c r="B211">
        <v>20180119</v>
      </c>
      <c r="C211">
        <v>8809516539897</v>
      </c>
      <c r="D211" t="s">
        <v>4066</v>
      </c>
      <c r="E211" t="s">
        <v>4067</v>
      </c>
      <c r="F211" t="s">
        <v>97</v>
      </c>
      <c r="G211" t="s">
        <v>4068</v>
      </c>
      <c r="H211">
        <v>0</v>
      </c>
      <c r="I211" t="s">
        <v>379</v>
      </c>
      <c r="J211">
        <v>30000</v>
      </c>
      <c r="K211">
        <v>1</v>
      </c>
      <c r="L211">
        <v>0</v>
      </c>
      <c r="M211">
        <v>1</v>
      </c>
      <c r="N211"/>
      <c r="O211" t="s">
        <v>3544</v>
      </c>
      <c r="P211" s="33">
        <v>0.65</v>
      </c>
      <c r="Q211">
        <v>19500</v>
      </c>
      <c r="R211" t="s">
        <v>77</v>
      </c>
      <c r="S211">
        <v>0</v>
      </c>
      <c r="T211"/>
      <c r="U211" s="10"/>
      <c r="V211"/>
      <c r="W211"/>
      <c r="X211" s="10"/>
      <c r="Y211"/>
      <c r="Z211" s="10"/>
      <c r="AA211"/>
      <c r="AB211"/>
      <c r="AC211"/>
      <c r="AD211"/>
    </row>
    <row r="212" spans="1:30" x14ac:dyDescent="0.4">
      <c r="A212" t="s">
        <v>4069</v>
      </c>
      <c r="B212">
        <v>20180119</v>
      </c>
      <c r="C212">
        <v>8806390520133</v>
      </c>
      <c r="D212" t="s">
        <v>3007</v>
      </c>
      <c r="E212" t="s">
        <v>4002</v>
      </c>
      <c r="F212" t="s">
        <v>97</v>
      </c>
      <c r="G212" t="s">
        <v>3008</v>
      </c>
      <c r="H212">
        <v>0</v>
      </c>
      <c r="I212" t="s">
        <v>379</v>
      </c>
      <c r="J212">
        <v>65000</v>
      </c>
      <c r="K212">
        <v>1</v>
      </c>
      <c r="L212">
        <v>0</v>
      </c>
      <c r="M212">
        <v>0</v>
      </c>
      <c r="N212"/>
      <c r="O212" t="s">
        <v>3544</v>
      </c>
      <c r="P212" s="33">
        <v>0.65</v>
      </c>
      <c r="Q212">
        <v>42250</v>
      </c>
      <c r="R212" t="s">
        <v>77</v>
      </c>
      <c r="S212">
        <v>1</v>
      </c>
      <c r="T212">
        <v>1</v>
      </c>
      <c r="U212"/>
      <c r="V212"/>
      <c r="W212"/>
      <c r="X212"/>
      <c r="Y212"/>
      <c r="Z212"/>
      <c r="AA212"/>
      <c r="AB212"/>
      <c r="AC212"/>
      <c r="AD212"/>
    </row>
    <row r="213" spans="1:30" x14ac:dyDescent="0.4">
      <c r="A213" t="s">
        <v>4070</v>
      </c>
      <c r="B213">
        <v>20180119</v>
      </c>
      <c r="C213" s="36">
        <v>16995020000</v>
      </c>
      <c r="D213" t="s">
        <v>2708</v>
      </c>
      <c r="E213"/>
      <c r="F213" t="s">
        <v>4071</v>
      </c>
      <c r="G213" t="s">
        <v>2709</v>
      </c>
      <c r="H213">
        <v>0</v>
      </c>
      <c r="I213" t="s">
        <v>379</v>
      </c>
      <c r="J213">
        <v>30000</v>
      </c>
      <c r="K213">
        <v>1</v>
      </c>
      <c r="L213">
        <v>0</v>
      </c>
      <c r="M213">
        <v>1</v>
      </c>
      <c r="N213"/>
      <c r="O213" t="s">
        <v>3544</v>
      </c>
      <c r="P213" s="33"/>
      <c r="Q213">
        <v>0</v>
      </c>
      <c r="R213" s="39" t="s">
        <v>16</v>
      </c>
      <c r="S213">
        <v>0</v>
      </c>
      <c r="T213">
        <v>0</v>
      </c>
      <c r="U213" s="10"/>
      <c r="V213"/>
      <c r="W213"/>
      <c r="X213" s="10"/>
      <c r="Y213"/>
      <c r="Z213" s="10"/>
      <c r="AA213"/>
      <c r="AB213"/>
      <c r="AC213"/>
      <c r="AD213"/>
    </row>
    <row r="214" spans="1:30" x14ac:dyDescent="0.4">
      <c r="A214" t="s">
        <v>4072</v>
      </c>
      <c r="B214">
        <v>20180119</v>
      </c>
      <c r="C214" s="36">
        <v>16718520000</v>
      </c>
      <c r="D214" t="s">
        <v>3009</v>
      </c>
      <c r="E214"/>
      <c r="F214" t="s">
        <v>82</v>
      </c>
      <c r="G214" t="s">
        <v>3010</v>
      </c>
      <c r="H214">
        <v>0</v>
      </c>
      <c r="I214" t="s">
        <v>379</v>
      </c>
      <c r="J214">
        <v>50000</v>
      </c>
      <c r="K214">
        <v>1</v>
      </c>
      <c r="L214">
        <v>0</v>
      </c>
      <c r="M214">
        <v>1</v>
      </c>
      <c r="N214"/>
      <c r="O214" t="s">
        <v>3544</v>
      </c>
      <c r="P214" s="33">
        <v>0.65</v>
      </c>
      <c r="Q214">
        <v>32500</v>
      </c>
      <c r="R214" t="s">
        <v>77</v>
      </c>
      <c r="S214">
        <v>0</v>
      </c>
      <c r="T214">
        <v>0</v>
      </c>
      <c r="U214" s="10">
        <v>43118</v>
      </c>
      <c r="V214" t="s">
        <v>3289</v>
      </c>
      <c r="W214">
        <v>1</v>
      </c>
      <c r="X214" s="10">
        <v>43122</v>
      </c>
      <c r="Y214"/>
      <c r="Z214" s="10"/>
      <c r="AA214"/>
      <c r="AB214"/>
      <c r="AC214"/>
      <c r="AD214"/>
    </row>
    <row r="215" spans="1:30" x14ac:dyDescent="0.4">
      <c r="A215" t="s">
        <v>4073</v>
      </c>
      <c r="B215">
        <v>20180119</v>
      </c>
      <c r="C215">
        <v>8801051781519</v>
      </c>
      <c r="D215" t="s">
        <v>3011</v>
      </c>
      <c r="E215" t="s">
        <v>760</v>
      </c>
      <c r="F215" t="s">
        <v>82</v>
      </c>
      <c r="G215" t="s">
        <v>3012</v>
      </c>
      <c r="H215">
        <v>0</v>
      </c>
      <c r="I215" t="s">
        <v>379</v>
      </c>
      <c r="J215">
        <v>118000</v>
      </c>
      <c r="K215">
        <v>1</v>
      </c>
      <c r="L215">
        <v>0</v>
      </c>
      <c r="M215">
        <v>1</v>
      </c>
      <c r="N215"/>
      <c r="O215" t="s">
        <v>3544</v>
      </c>
      <c r="P215" s="33">
        <v>0.65</v>
      </c>
      <c r="Q215">
        <v>76700</v>
      </c>
      <c r="R215" t="s">
        <v>77</v>
      </c>
      <c r="S215">
        <v>0</v>
      </c>
      <c r="T215">
        <v>0</v>
      </c>
      <c r="U215" s="10">
        <v>43118</v>
      </c>
      <c r="V215" t="s">
        <v>3289</v>
      </c>
      <c r="W215">
        <v>1</v>
      </c>
      <c r="X215" s="10">
        <v>43122</v>
      </c>
      <c r="Y215"/>
      <c r="Z215" s="10"/>
      <c r="AA215"/>
      <c r="AB215"/>
      <c r="AC215"/>
      <c r="AD215"/>
    </row>
    <row r="216" spans="1:30" x14ac:dyDescent="0.4">
      <c r="A216" t="s">
        <v>4074</v>
      </c>
      <c r="B216">
        <v>20180119</v>
      </c>
      <c r="C216">
        <v>8809223668859</v>
      </c>
      <c r="D216" t="s">
        <v>4075</v>
      </c>
      <c r="E216" t="s">
        <v>4076</v>
      </c>
      <c r="F216" t="s">
        <v>179</v>
      </c>
      <c r="G216" t="s">
        <v>4077</v>
      </c>
      <c r="H216">
        <v>2</v>
      </c>
      <c r="I216" t="s">
        <v>379</v>
      </c>
      <c r="J216">
        <v>27000</v>
      </c>
      <c r="K216" s="34">
        <v>14</v>
      </c>
      <c r="L216">
        <v>13</v>
      </c>
      <c r="M216">
        <v>1</v>
      </c>
      <c r="N216"/>
      <c r="O216" s="35" t="s">
        <v>3550</v>
      </c>
      <c r="P216" s="33">
        <v>0.49</v>
      </c>
      <c r="Q216">
        <v>13230</v>
      </c>
      <c r="R216" t="s">
        <v>178</v>
      </c>
      <c r="S216">
        <v>13</v>
      </c>
      <c r="T216"/>
      <c r="U216" s="10"/>
      <c r="V216"/>
      <c r="W216"/>
      <c r="X216" s="10"/>
      <c r="Y216"/>
      <c r="Z216" s="10"/>
      <c r="AA216"/>
      <c r="AB216"/>
      <c r="AC216"/>
      <c r="AD216"/>
    </row>
    <row r="217" spans="1:30" x14ac:dyDescent="0.4">
      <c r="A217" t="s">
        <v>4078</v>
      </c>
      <c r="B217">
        <v>20180119</v>
      </c>
      <c r="C217">
        <v>8809221273543</v>
      </c>
      <c r="D217" t="s">
        <v>4079</v>
      </c>
      <c r="E217"/>
      <c r="F217" t="s">
        <v>226</v>
      </c>
      <c r="G217" t="s">
        <v>4080</v>
      </c>
      <c r="H217">
        <v>0</v>
      </c>
      <c r="I217" t="s">
        <v>379</v>
      </c>
      <c r="J217">
        <v>1500</v>
      </c>
      <c r="K217">
        <v>1</v>
      </c>
      <c r="L217">
        <v>0</v>
      </c>
      <c r="M217">
        <v>1</v>
      </c>
      <c r="N217"/>
      <c r="O217" t="s">
        <v>3544</v>
      </c>
      <c r="P217" s="33">
        <v>0.48</v>
      </c>
      <c r="Q217">
        <v>720</v>
      </c>
      <c r="R217" t="s">
        <v>227</v>
      </c>
      <c r="S217">
        <v>0</v>
      </c>
      <c r="T217"/>
      <c r="U217" s="10"/>
      <c r="V217"/>
      <c r="W217"/>
      <c r="X217" s="10"/>
      <c r="Y217"/>
      <c r="Z217" s="10"/>
      <c r="AA217"/>
      <c r="AB217"/>
      <c r="AC217"/>
      <c r="AD217"/>
    </row>
    <row r="218" spans="1:30" x14ac:dyDescent="0.4">
      <c r="A218" t="s">
        <v>4081</v>
      </c>
      <c r="B218">
        <v>20180119</v>
      </c>
      <c r="C218">
        <v>8809221278951</v>
      </c>
      <c r="D218" t="s">
        <v>4082</v>
      </c>
      <c r="E218" t="s">
        <v>4083</v>
      </c>
      <c r="F218" t="s">
        <v>226</v>
      </c>
      <c r="G218" t="s">
        <v>4084</v>
      </c>
      <c r="H218">
        <v>0</v>
      </c>
      <c r="I218" t="s">
        <v>379</v>
      </c>
      <c r="J218">
        <v>1500</v>
      </c>
      <c r="K218">
        <v>1</v>
      </c>
      <c r="L218">
        <v>0</v>
      </c>
      <c r="M218">
        <v>1</v>
      </c>
      <c r="N218"/>
      <c r="O218" t="s">
        <v>3544</v>
      </c>
      <c r="P218" s="33">
        <v>0.48</v>
      </c>
      <c r="Q218">
        <v>720</v>
      </c>
      <c r="R218" t="s">
        <v>227</v>
      </c>
      <c r="S218">
        <v>0</v>
      </c>
      <c r="T218"/>
      <c r="U218" s="10"/>
      <c r="V218"/>
      <c r="W218"/>
      <c r="X218" s="10"/>
      <c r="Y218"/>
      <c r="Z218" s="10"/>
      <c r="AA218"/>
      <c r="AB218"/>
      <c r="AC218"/>
      <c r="AD218"/>
    </row>
    <row r="219" spans="1:30" x14ac:dyDescent="0.4">
      <c r="A219" t="s">
        <v>4085</v>
      </c>
      <c r="B219">
        <v>20180119</v>
      </c>
      <c r="C219">
        <v>8809221273536</v>
      </c>
      <c r="D219" t="s">
        <v>4086</v>
      </c>
      <c r="E219" t="s">
        <v>4087</v>
      </c>
      <c r="F219" t="s">
        <v>226</v>
      </c>
      <c r="G219" t="s">
        <v>4088</v>
      </c>
      <c r="H219">
        <v>0</v>
      </c>
      <c r="I219" t="s">
        <v>379</v>
      </c>
      <c r="J219">
        <v>1500</v>
      </c>
      <c r="K219">
        <v>1</v>
      </c>
      <c r="L219">
        <v>0</v>
      </c>
      <c r="M219">
        <v>1</v>
      </c>
      <c r="N219"/>
      <c r="O219" t="s">
        <v>3544</v>
      </c>
      <c r="P219" s="33">
        <v>0.48</v>
      </c>
      <c r="Q219">
        <v>720</v>
      </c>
      <c r="R219" t="s">
        <v>227</v>
      </c>
      <c r="S219">
        <v>0</v>
      </c>
      <c r="T219"/>
      <c r="U219" s="10"/>
      <c r="V219"/>
      <c r="W219"/>
      <c r="X219" s="10"/>
      <c r="Y219"/>
      <c r="Z219" s="10"/>
      <c r="AA219"/>
      <c r="AB219"/>
      <c r="AC219"/>
      <c r="AD219"/>
    </row>
    <row r="220" spans="1:30" x14ac:dyDescent="0.4">
      <c r="A220" t="s">
        <v>4089</v>
      </c>
      <c r="B220">
        <v>20180119</v>
      </c>
      <c r="C220">
        <v>8809153103918</v>
      </c>
      <c r="D220" t="s">
        <v>4090</v>
      </c>
      <c r="E220" t="s">
        <v>4091</v>
      </c>
      <c r="F220" t="s">
        <v>226</v>
      </c>
      <c r="G220" t="s">
        <v>4092</v>
      </c>
      <c r="H220">
        <v>0</v>
      </c>
      <c r="I220" t="s">
        <v>379</v>
      </c>
      <c r="J220">
        <v>1500</v>
      </c>
      <c r="K220">
        <v>1</v>
      </c>
      <c r="L220">
        <v>0</v>
      </c>
      <c r="M220">
        <v>1</v>
      </c>
      <c r="N220"/>
      <c r="O220" t="s">
        <v>3544</v>
      </c>
      <c r="P220" s="33">
        <v>0.48</v>
      </c>
      <c r="Q220">
        <v>720</v>
      </c>
      <c r="R220" t="s">
        <v>227</v>
      </c>
      <c r="S220">
        <v>0</v>
      </c>
      <c r="T220"/>
      <c r="U220" s="10"/>
      <c r="V220"/>
      <c r="W220"/>
      <c r="X220" s="10"/>
      <c r="Y220"/>
      <c r="Z220" s="10"/>
      <c r="AA220"/>
      <c r="AB220"/>
      <c r="AC220"/>
      <c r="AD220"/>
    </row>
    <row r="221" spans="1:30" x14ac:dyDescent="0.4">
      <c r="A221" t="s">
        <v>4093</v>
      </c>
      <c r="B221">
        <v>20180119</v>
      </c>
      <c r="C221">
        <v>8809153103925</v>
      </c>
      <c r="D221" t="s">
        <v>3182</v>
      </c>
      <c r="E221" t="s">
        <v>4094</v>
      </c>
      <c r="F221" t="s">
        <v>226</v>
      </c>
      <c r="G221" t="s">
        <v>3183</v>
      </c>
      <c r="H221">
        <v>0</v>
      </c>
      <c r="I221" t="s">
        <v>379</v>
      </c>
      <c r="J221">
        <v>1500</v>
      </c>
      <c r="K221">
        <v>3</v>
      </c>
      <c r="L221">
        <v>0</v>
      </c>
      <c r="M221">
        <v>0</v>
      </c>
      <c r="N221"/>
      <c r="O221" t="s">
        <v>3544</v>
      </c>
      <c r="P221" s="33">
        <v>0.48</v>
      </c>
      <c r="Q221">
        <v>720</v>
      </c>
      <c r="R221" t="s">
        <v>227</v>
      </c>
      <c r="S221">
        <v>3</v>
      </c>
      <c r="T221">
        <v>3</v>
      </c>
      <c r="U221"/>
      <c r="V221"/>
      <c r="W221"/>
      <c r="X221"/>
      <c r="Y221"/>
      <c r="Z221"/>
      <c r="AA221"/>
      <c r="AB221"/>
      <c r="AC221"/>
      <c r="AD221"/>
    </row>
    <row r="222" spans="1:30" x14ac:dyDescent="0.4">
      <c r="A222" t="s">
        <v>4095</v>
      </c>
      <c r="B222">
        <v>20180119</v>
      </c>
      <c r="C222">
        <v>8809511273611</v>
      </c>
      <c r="D222" t="s">
        <v>3184</v>
      </c>
      <c r="E222"/>
      <c r="F222" t="s">
        <v>226</v>
      </c>
      <c r="G222" t="s">
        <v>3185</v>
      </c>
      <c r="H222">
        <v>0</v>
      </c>
      <c r="I222" t="s">
        <v>379</v>
      </c>
      <c r="J222">
        <v>3000</v>
      </c>
      <c r="K222">
        <v>1</v>
      </c>
      <c r="L222">
        <v>0</v>
      </c>
      <c r="M222">
        <v>0</v>
      </c>
      <c r="N222"/>
      <c r="O222" t="s">
        <v>3544</v>
      </c>
      <c r="P222" s="33">
        <v>0.48</v>
      </c>
      <c r="Q222">
        <v>1440</v>
      </c>
      <c r="R222" t="s">
        <v>227</v>
      </c>
      <c r="S222">
        <v>1</v>
      </c>
      <c r="T222">
        <v>1</v>
      </c>
      <c r="U222"/>
      <c r="V222"/>
      <c r="W222"/>
      <c r="X222"/>
      <c r="Y222"/>
      <c r="Z222"/>
      <c r="AA222"/>
      <c r="AB222"/>
      <c r="AC222"/>
      <c r="AD222"/>
    </row>
    <row r="223" spans="1:30" x14ac:dyDescent="0.4">
      <c r="A223" t="s">
        <v>4096</v>
      </c>
      <c r="B223">
        <v>20180119</v>
      </c>
      <c r="C223">
        <v>8809153100641</v>
      </c>
      <c r="D223" t="s">
        <v>3186</v>
      </c>
      <c r="E223" t="s">
        <v>3962</v>
      </c>
      <c r="F223" t="s">
        <v>226</v>
      </c>
      <c r="G223" t="s">
        <v>3187</v>
      </c>
      <c r="H223">
        <v>7</v>
      </c>
      <c r="I223" t="s">
        <v>379</v>
      </c>
      <c r="J223">
        <v>7700</v>
      </c>
      <c r="K223" s="34">
        <v>16</v>
      </c>
      <c r="L223">
        <v>9</v>
      </c>
      <c r="M223">
        <v>3</v>
      </c>
      <c r="N223"/>
      <c r="O223" s="35" t="s">
        <v>3550</v>
      </c>
      <c r="P223" s="33">
        <v>0.48</v>
      </c>
      <c r="Q223">
        <v>3696</v>
      </c>
      <c r="R223" t="s">
        <v>227</v>
      </c>
      <c r="S223">
        <v>13</v>
      </c>
      <c r="T223">
        <v>4</v>
      </c>
      <c r="U223" s="10"/>
      <c r="V223"/>
      <c r="W223"/>
      <c r="X223" s="10"/>
      <c r="Y223"/>
      <c r="Z223" s="10"/>
      <c r="AA223"/>
      <c r="AB223"/>
      <c r="AC223"/>
      <c r="AD223"/>
    </row>
    <row r="224" spans="1:30" x14ac:dyDescent="0.4">
      <c r="A224" t="s">
        <v>4097</v>
      </c>
      <c r="B224">
        <v>20180119</v>
      </c>
      <c r="C224">
        <v>8809427862138</v>
      </c>
      <c r="D224" t="s">
        <v>3188</v>
      </c>
      <c r="E224" t="s">
        <v>4098</v>
      </c>
      <c r="F224" t="s">
        <v>226</v>
      </c>
      <c r="G224" t="s">
        <v>3189</v>
      </c>
      <c r="H224">
        <v>0</v>
      </c>
      <c r="I224" t="s">
        <v>379</v>
      </c>
      <c r="J224">
        <v>10000</v>
      </c>
      <c r="K224">
        <v>2</v>
      </c>
      <c r="L224">
        <v>0</v>
      </c>
      <c r="M224">
        <v>0</v>
      </c>
      <c r="N224"/>
      <c r="O224" t="s">
        <v>3544</v>
      </c>
      <c r="P224" s="33">
        <v>0.48</v>
      </c>
      <c r="Q224">
        <v>4800</v>
      </c>
      <c r="R224" t="s">
        <v>227</v>
      </c>
      <c r="S224">
        <v>2</v>
      </c>
      <c r="T224">
        <v>2</v>
      </c>
      <c r="U224"/>
      <c r="V224"/>
      <c r="W224"/>
      <c r="X224"/>
      <c r="Y224"/>
      <c r="Z224"/>
      <c r="AA224"/>
      <c r="AB224"/>
      <c r="AC224"/>
      <c r="AD224"/>
    </row>
    <row r="225" spans="1:30" x14ac:dyDescent="0.4">
      <c r="A225" t="s">
        <v>4099</v>
      </c>
      <c r="B225">
        <v>20180119</v>
      </c>
      <c r="C225">
        <v>8809427862367</v>
      </c>
      <c r="D225" t="s">
        <v>2489</v>
      </c>
      <c r="E225" t="s">
        <v>2348</v>
      </c>
      <c r="F225" t="s">
        <v>226</v>
      </c>
      <c r="G225" t="s">
        <v>2490</v>
      </c>
      <c r="H225">
        <v>0</v>
      </c>
      <c r="I225" t="s">
        <v>379</v>
      </c>
      <c r="J225">
        <v>10000</v>
      </c>
      <c r="K225">
        <v>2</v>
      </c>
      <c r="L225">
        <v>0</v>
      </c>
      <c r="M225">
        <v>2</v>
      </c>
      <c r="N225"/>
      <c r="O225" t="s">
        <v>3544</v>
      </c>
      <c r="P225" s="33">
        <v>0.48</v>
      </c>
      <c r="Q225">
        <v>4800</v>
      </c>
      <c r="R225" t="s">
        <v>227</v>
      </c>
      <c r="S225">
        <v>0</v>
      </c>
      <c r="T225"/>
      <c r="U225" s="10"/>
      <c r="V225"/>
      <c r="W225"/>
      <c r="X225" s="10"/>
      <c r="Y225"/>
      <c r="Z225" s="10"/>
      <c r="AA225"/>
      <c r="AB225"/>
      <c r="AC225"/>
      <c r="AD225"/>
    </row>
    <row r="226" spans="1:30" x14ac:dyDescent="0.4">
      <c r="A226" t="s">
        <v>4100</v>
      </c>
      <c r="B226">
        <v>20180119</v>
      </c>
      <c r="C226">
        <v>8809327948512</v>
      </c>
      <c r="D226" t="s">
        <v>4101</v>
      </c>
      <c r="E226" t="s">
        <v>4102</v>
      </c>
      <c r="F226" t="s">
        <v>226</v>
      </c>
      <c r="G226" t="s">
        <v>4103</v>
      </c>
      <c r="H226">
        <v>0</v>
      </c>
      <c r="I226" t="s">
        <v>379</v>
      </c>
      <c r="J226">
        <v>6900</v>
      </c>
      <c r="K226">
        <v>3</v>
      </c>
      <c r="L226">
        <v>0</v>
      </c>
      <c r="M226">
        <v>3</v>
      </c>
      <c r="N226"/>
      <c r="O226" t="s">
        <v>3544</v>
      </c>
      <c r="P226" s="33">
        <v>0.48</v>
      </c>
      <c r="Q226">
        <v>3312</v>
      </c>
      <c r="R226" t="s">
        <v>227</v>
      </c>
      <c r="S226">
        <v>0</v>
      </c>
      <c r="T226"/>
      <c r="U226" s="10"/>
      <c r="V226"/>
      <c r="W226"/>
      <c r="X226" s="10"/>
      <c r="Y226"/>
      <c r="Z226" s="10"/>
      <c r="AA226"/>
      <c r="AB226"/>
      <c r="AC226"/>
      <c r="AD226"/>
    </row>
    <row r="227" spans="1:30" x14ac:dyDescent="0.4">
      <c r="A227" t="s">
        <v>4104</v>
      </c>
      <c r="B227">
        <v>20180119</v>
      </c>
      <c r="C227">
        <v>8809427862831</v>
      </c>
      <c r="D227" t="s">
        <v>4105</v>
      </c>
      <c r="E227" t="s">
        <v>4106</v>
      </c>
      <c r="F227" t="s">
        <v>226</v>
      </c>
      <c r="G227" t="s">
        <v>4107</v>
      </c>
      <c r="H227">
        <v>0</v>
      </c>
      <c r="I227" t="s">
        <v>379</v>
      </c>
      <c r="J227">
        <v>3500</v>
      </c>
      <c r="K227">
        <v>2</v>
      </c>
      <c r="L227">
        <v>1</v>
      </c>
      <c r="M227">
        <v>1</v>
      </c>
      <c r="N227"/>
      <c r="O227" t="s">
        <v>3544</v>
      </c>
      <c r="P227" s="33">
        <v>0.48</v>
      </c>
      <c r="Q227">
        <v>1680</v>
      </c>
      <c r="R227" t="s">
        <v>227</v>
      </c>
      <c r="S227">
        <v>1</v>
      </c>
      <c r="T227"/>
      <c r="U227" s="10"/>
      <c r="V227"/>
      <c r="W227"/>
      <c r="X227" s="10"/>
      <c r="Y227"/>
      <c r="Z227" s="10"/>
      <c r="AA227"/>
      <c r="AB227"/>
      <c r="AC227"/>
      <c r="AD227"/>
    </row>
    <row r="228" spans="1:30" x14ac:dyDescent="0.4">
      <c r="A228" t="s">
        <v>4108</v>
      </c>
      <c r="B228">
        <v>20180119</v>
      </c>
      <c r="C228">
        <v>8809427867928</v>
      </c>
      <c r="D228" t="s">
        <v>4109</v>
      </c>
      <c r="E228" t="s">
        <v>4110</v>
      </c>
      <c r="F228" t="s">
        <v>226</v>
      </c>
      <c r="G228" t="s">
        <v>4111</v>
      </c>
      <c r="H228">
        <v>0</v>
      </c>
      <c r="I228" t="s">
        <v>379</v>
      </c>
      <c r="J228">
        <v>7000</v>
      </c>
      <c r="K228">
        <v>1</v>
      </c>
      <c r="L228">
        <v>0</v>
      </c>
      <c r="M228">
        <v>1</v>
      </c>
      <c r="N228"/>
      <c r="O228" t="s">
        <v>3544</v>
      </c>
      <c r="P228" s="33">
        <v>0.48</v>
      </c>
      <c r="Q228">
        <v>3360</v>
      </c>
      <c r="R228" t="s">
        <v>227</v>
      </c>
      <c r="S228">
        <v>0</v>
      </c>
      <c r="T228"/>
      <c r="U228" s="10"/>
      <c r="V228"/>
      <c r="W228"/>
      <c r="X228" s="10"/>
      <c r="Y228"/>
      <c r="Z228" s="10"/>
      <c r="AA228"/>
      <c r="AB228"/>
      <c r="AC228"/>
      <c r="AD228"/>
    </row>
    <row r="229" spans="1:30" x14ac:dyDescent="0.4">
      <c r="A229" t="s">
        <v>4112</v>
      </c>
      <c r="B229">
        <v>20180119</v>
      </c>
      <c r="C229">
        <v>8809427860035</v>
      </c>
      <c r="D229" t="s">
        <v>3192</v>
      </c>
      <c r="E229"/>
      <c r="F229" t="s">
        <v>226</v>
      </c>
      <c r="G229" t="s">
        <v>3193</v>
      </c>
      <c r="H229">
        <v>0</v>
      </c>
      <c r="I229" t="s">
        <v>379</v>
      </c>
      <c r="J229">
        <v>35000</v>
      </c>
      <c r="K229">
        <v>1</v>
      </c>
      <c r="L229">
        <v>0</v>
      </c>
      <c r="M229">
        <v>0</v>
      </c>
      <c r="N229"/>
      <c r="O229" t="s">
        <v>3544</v>
      </c>
      <c r="P229" s="33">
        <v>0.48</v>
      </c>
      <c r="Q229">
        <v>16800</v>
      </c>
      <c r="R229" t="s">
        <v>227</v>
      </c>
      <c r="S229">
        <v>1</v>
      </c>
      <c r="T229">
        <v>1</v>
      </c>
      <c r="U229"/>
      <c r="V229"/>
      <c r="W229"/>
      <c r="X229"/>
      <c r="Y229"/>
      <c r="Z229"/>
      <c r="AA229"/>
      <c r="AB229"/>
      <c r="AC229"/>
      <c r="AD229"/>
    </row>
    <row r="230" spans="1:30" x14ac:dyDescent="0.4">
      <c r="A230" t="s">
        <v>4113</v>
      </c>
      <c r="B230">
        <v>20180119</v>
      </c>
      <c r="C230">
        <v>8809427869069</v>
      </c>
      <c r="D230" t="s">
        <v>3194</v>
      </c>
      <c r="E230" t="s">
        <v>1625</v>
      </c>
      <c r="F230" t="s">
        <v>226</v>
      </c>
      <c r="G230" t="s">
        <v>3195</v>
      </c>
      <c r="H230">
        <v>0</v>
      </c>
      <c r="I230" t="s">
        <v>379</v>
      </c>
      <c r="J230">
        <v>1000</v>
      </c>
      <c r="K230">
        <v>2</v>
      </c>
      <c r="L230">
        <v>0</v>
      </c>
      <c r="M230">
        <v>1</v>
      </c>
      <c r="N230"/>
      <c r="O230" t="s">
        <v>3544</v>
      </c>
      <c r="P230" s="33">
        <v>0.48</v>
      </c>
      <c r="Q230">
        <v>480</v>
      </c>
      <c r="R230" t="s">
        <v>227</v>
      </c>
      <c r="S230">
        <v>1</v>
      </c>
      <c r="T230">
        <v>1</v>
      </c>
      <c r="U230" s="10"/>
      <c r="V230"/>
      <c r="W230"/>
      <c r="X230" s="10"/>
      <c r="Y230"/>
      <c r="Z230" s="10"/>
      <c r="AA230"/>
      <c r="AB230"/>
      <c r="AC230"/>
      <c r="AD230"/>
    </row>
    <row r="231" spans="1:30" x14ac:dyDescent="0.4">
      <c r="A231" t="s">
        <v>4114</v>
      </c>
      <c r="B231">
        <v>20180119</v>
      </c>
      <c r="C231">
        <v>8809427869052</v>
      </c>
      <c r="D231" t="s">
        <v>3196</v>
      </c>
      <c r="E231" t="s">
        <v>4115</v>
      </c>
      <c r="F231" t="s">
        <v>226</v>
      </c>
      <c r="G231" t="s">
        <v>3197</v>
      </c>
      <c r="H231">
        <v>0</v>
      </c>
      <c r="I231" t="s">
        <v>379</v>
      </c>
      <c r="J231">
        <v>1000</v>
      </c>
      <c r="K231">
        <v>1</v>
      </c>
      <c r="L231">
        <v>0</v>
      </c>
      <c r="M231">
        <v>0</v>
      </c>
      <c r="N231"/>
      <c r="O231" t="s">
        <v>3544</v>
      </c>
      <c r="P231" s="33">
        <v>0.48</v>
      </c>
      <c r="Q231">
        <v>480</v>
      </c>
      <c r="R231" t="s">
        <v>227</v>
      </c>
      <c r="S231">
        <v>1</v>
      </c>
      <c r="T231">
        <v>1</v>
      </c>
      <c r="U231"/>
      <c r="V231"/>
      <c r="W231"/>
      <c r="X231"/>
      <c r="Y231"/>
      <c r="Z231"/>
      <c r="AA231"/>
      <c r="AB231"/>
      <c r="AC231"/>
      <c r="AD231"/>
    </row>
    <row r="232" spans="1:30" x14ac:dyDescent="0.4">
      <c r="A232" t="s">
        <v>4116</v>
      </c>
      <c r="B232">
        <v>20180119</v>
      </c>
      <c r="C232">
        <v>8809427868956</v>
      </c>
      <c r="D232" t="s">
        <v>3198</v>
      </c>
      <c r="E232" t="s">
        <v>1501</v>
      </c>
      <c r="F232" t="s">
        <v>226</v>
      </c>
      <c r="G232" t="s">
        <v>3199</v>
      </c>
      <c r="H232">
        <v>1</v>
      </c>
      <c r="I232" t="s">
        <v>379</v>
      </c>
      <c r="J232">
        <v>1000</v>
      </c>
      <c r="K232">
        <v>8</v>
      </c>
      <c r="L232">
        <v>3</v>
      </c>
      <c r="M232">
        <v>4</v>
      </c>
      <c r="N232"/>
      <c r="O232" t="s">
        <v>3544</v>
      </c>
      <c r="P232" s="33">
        <v>0.48</v>
      </c>
      <c r="Q232">
        <v>480</v>
      </c>
      <c r="R232" t="s">
        <v>227</v>
      </c>
      <c r="S232">
        <v>4</v>
      </c>
      <c r="T232">
        <v>1</v>
      </c>
      <c r="U232" s="10"/>
      <c r="V232"/>
      <c r="W232"/>
      <c r="X232" s="10"/>
      <c r="Y232"/>
      <c r="Z232" s="10"/>
      <c r="AA232"/>
      <c r="AB232"/>
      <c r="AC232"/>
      <c r="AD232"/>
    </row>
    <row r="233" spans="1:30" x14ac:dyDescent="0.4">
      <c r="A233" t="s">
        <v>4117</v>
      </c>
      <c r="B233">
        <v>20180119</v>
      </c>
      <c r="C233">
        <v>8809427868994</v>
      </c>
      <c r="D233" t="s">
        <v>3200</v>
      </c>
      <c r="E233" t="s">
        <v>4118</v>
      </c>
      <c r="F233" t="s">
        <v>226</v>
      </c>
      <c r="G233" t="s">
        <v>3201</v>
      </c>
      <c r="H233">
        <v>0</v>
      </c>
      <c r="I233" t="s">
        <v>379</v>
      </c>
      <c r="J233">
        <v>1000</v>
      </c>
      <c r="K233">
        <v>4</v>
      </c>
      <c r="L233">
        <v>2</v>
      </c>
      <c r="M233">
        <v>1</v>
      </c>
      <c r="N233"/>
      <c r="O233" t="s">
        <v>3544</v>
      </c>
      <c r="P233" s="33">
        <v>0.48</v>
      </c>
      <c r="Q233">
        <v>480</v>
      </c>
      <c r="R233" t="s">
        <v>227</v>
      </c>
      <c r="S233">
        <v>3</v>
      </c>
      <c r="T233">
        <v>1</v>
      </c>
      <c r="U233" s="10"/>
      <c r="V233"/>
      <c r="W233"/>
      <c r="X233" s="10"/>
      <c r="Y233"/>
      <c r="Z233" s="10"/>
      <c r="AA233"/>
      <c r="AB233"/>
      <c r="AC233"/>
      <c r="AD233"/>
    </row>
    <row r="234" spans="1:30" x14ac:dyDescent="0.4">
      <c r="A234" t="s">
        <v>4119</v>
      </c>
      <c r="B234">
        <v>20180119</v>
      </c>
      <c r="C234">
        <v>8809427868970</v>
      </c>
      <c r="D234" t="s">
        <v>3202</v>
      </c>
      <c r="E234" t="s">
        <v>4120</v>
      </c>
      <c r="F234" t="s">
        <v>226</v>
      </c>
      <c r="G234" t="s">
        <v>3203</v>
      </c>
      <c r="H234">
        <v>1</v>
      </c>
      <c r="I234" t="s">
        <v>379</v>
      </c>
      <c r="J234">
        <v>1000</v>
      </c>
      <c r="K234">
        <v>7</v>
      </c>
      <c r="L234">
        <v>4</v>
      </c>
      <c r="M234">
        <v>0</v>
      </c>
      <c r="N234"/>
      <c r="O234" s="35" t="s">
        <v>3550</v>
      </c>
      <c r="P234" s="33">
        <v>0.48</v>
      </c>
      <c r="Q234">
        <v>480</v>
      </c>
      <c r="R234" t="s">
        <v>227</v>
      </c>
      <c r="S234">
        <v>7</v>
      </c>
      <c r="T234">
        <v>3</v>
      </c>
      <c r="U234"/>
      <c r="V234"/>
      <c r="W234"/>
      <c r="X234"/>
      <c r="Y234"/>
      <c r="Z234"/>
      <c r="AA234"/>
      <c r="AB234"/>
      <c r="AC234"/>
      <c r="AD234"/>
    </row>
    <row r="235" spans="1:30" x14ac:dyDescent="0.4">
      <c r="A235" t="s">
        <v>4121</v>
      </c>
      <c r="B235">
        <v>20180119</v>
      </c>
      <c r="C235">
        <v>8809427868949</v>
      </c>
      <c r="D235" t="s">
        <v>3204</v>
      </c>
      <c r="E235" t="s">
        <v>4122</v>
      </c>
      <c r="F235" t="s">
        <v>226</v>
      </c>
      <c r="G235" t="s">
        <v>3205</v>
      </c>
      <c r="H235">
        <v>1</v>
      </c>
      <c r="I235" t="s">
        <v>379</v>
      </c>
      <c r="J235">
        <v>1000</v>
      </c>
      <c r="K235">
        <v>8</v>
      </c>
      <c r="L235">
        <v>1</v>
      </c>
      <c r="M235">
        <v>3</v>
      </c>
      <c r="N235"/>
      <c r="O235" s="35" t="s">
        <v>3550</v>
      </c>
      <c r="P235" s="33">
        <v>0.48</v>
      </c>
      <c r="Q235">
        <v>480</v>
      </c>
      <c r="R235" t="s">
        <v>227</v>
      </c>
      <c r="S235">
        <v>5</v>
      </c>
      <c r="T235">
        <v>4</v>
      </c>
      <c r="U235" s="10"/>
      <c r="V235"/>
      <c r="W235"/>
      <c r="X235" s="10"/>
      <c r="Y235"/>
      <c r="Z235" s="10"/>
      <c r="AA235"/>
      <c r="AB235"/>
      <c r="AC235"/>
      <c r="AD235"/>
    </row>
    <row r="236" spans="1:30" x14ac:dyDescent="0.4">
      <c r="A236" t="s">
        <v>4123</v>
      </c>
      <c r="B236">
        <v>20180119</v>
      </c>
      <c r="C236">
        <v>8809427869038</v>
      </c>
      <c r="D236" t="s">
        <v>3206</v>
      </c>
      <c r="E236" t="s">
        <v>4124</v>
      </c>
      <c r="F236" t="s">
        <v>226</v>
      </c>
      <c r="G236" t="s">
        <v>3207</v>
      </c>
      <c r="H236">
        <v>0</v>
      </c>
      <c r="I236" t="s">
        <v>379</v>
      </c>
      <c r="J236">
        <v>1000</v>
      </c>
      <c r="K236">
        <v>2</v>
      </c>
      <c r="L236">
        <v>0</v>
      </c>
      <c r="M236">
        <v>1</v>
      </c>
      <c r="N236"/>
      <c r="O236" t="s">
        <v>3544</v>
      </c>
      <c r="P236" s="33">
        <v>0.48</v>
      </c>
      <c r="Q236">
        <v>480</v>
      </c>
      <c r="R236" t="s">
        <v>227</v>
      </c>
      <c r="S236">
        <v>1</v>
      </c>
      <c r="T236">
        <v>1</v>
      </c>
      <c r="U236" s="10"/>
      <c r="V236"/>
      <c r="W236"/>
      <c r="X236" s="10"/>
      <c r="Y236"/>
      <c r="Z236" s="10"/>
      <c r="AA236"/>
      <c r="AB236"/>
      <c r="AC236"/>
      <c r="AD236"/>
    </row>
    <row r="237" spans="1:30" x14ac:dyDescent="0.4">
      <c r="A237" t="s">
        <v>4125</v>
      </c>
      <c r="B237">
        <v>20180119</v>
      </c>
      <c r="C237">
        <v>8809511275578</v>
      </c>
      <c r="D237" t="s">
        <v>3208</v>
      </c>
      <c r="E237" t="s">
        <v>4126</v>
      </c>
      <c r="F237" t="s">
        <v>226</v>
      </c>
      <c r="G237" t="s">
        <v>3209</v>
      </c>
      <c r="H237">
        <v>0</v>
      </c>
      <c r="I237" t="s">
        <v>379</v>
      </c>
      <c r="J237">
        <v>8000</v>
      </c>
      <c r="K237">
        <v>1</v>
      </c>
      <c r="L237">
        <v>0</v>
      </c>
      <c r="M237">
        <v>0</v>
      </c>
      <c r="N237"/>
      <c r="O237" t="s">
        <v>3544</v>
      </c>
      <c r="P237" s="33">
        <v>0.48</v>
      </c>
      <c r="Q237">
        <v>3840</v>
      </c>
      <c r="R237" t="s">
        <v>227</v>
      </c>
      <c r="S237">
        <v>1</v>
      </c>
      <c r="T237">
        <v>1</v>
      </c>
      <c r="U237"/>
      <c r="V237"/>
      <c r="W237"/>
      <c r="X237"/>
      <c r="Y237"/>
      <c r="Z237"/>
      <c r="AA237"/>
      <c r="AB237"/>
      <c r="AC237"/>
      <c r="AD237"/>
    </row>
    <row r="238" spans="1:30" x14ac:dyDescent="0.4">
      <c r="A238" t="s">
        <v>4127</v>
      </c>
      <c r="B238">
        <v>20180119</v>
      </c>
      <c r="C238">
        <v>8809153109279</v>
      </c>
      <c r="D238" t="s">
        <v>3210</v>
      </c>
      <c r="E238" t="s">
        <v>975</v>
      </c>
      <c r="F238" t="s">
        <v>226</v>
      </c>
      <c r="G238" t="s">
        <v>3211</v>
      </c>
      <c r="H238">
        <v>0</v>
      </c>
      <c r="I238" t="s">
        <v>379</v>
      </c>
      <c r="J238">
        <v>5500</v>
      </c>
      <c r="K238">
        <v>1</v>
      </c>
      <c r="L238">
        <v>0</v>
      </c>
      <c r="M238">
        <v>0</v>
      </c>
      <c r="N238"/>
      <c r="O238" t="s">
        <v>3544</v>
      </c>
      <c r="P238" s="33">
        <v>0.48</v>
      </c>
      <c r="Q238">
        <v>2640</v>
      </c>
      <c r="R238" t="s">
        <v>227</v>
      </c>
      <c r="S238">
        <v>1</v>
      </c>
      <c r="T238">
        <v>1</v>
      </c>
      <c r="U238"/>
      <c r="V238"/>
      <c r="W238"/>
      <c r="X238"/>
      <c r="Y238"/>
      <c r="Z238"/>
      <c r="AA238"/>
      <c r="AB238"/>
      <c r="AC238"/>
      <c r="AD238"/>
    </row>
    <row r="239" spans="1:30" x14ac:dyDescent="0.4">
      <c r="A239" t="s">
        <v>4128</v>
      </c>
      <c r="B239">
        <v>20180119</v>
      </c>
      <c r="C239">
        <v>8809511274250</v>
      </c>
      <c r="D239" t="s">
        <v>4129</v>
      </c>
      <c r="E239" t="s">
        <v>4130</v>
      </c>
      <c r="F239" t="s">
        <v>226</v>
      </c>
      <c r="G239" t="s">
        <v>4131</v>
      </c>
      <c r="H239">
        <v>0</v>
      </c>
      <c r="I239" t="s">
        <v>379</v>
      </c>
      <c r="J239">
        <v>6700</v>
      </c>
      <c r="K239">
        <v>1</v>
      </c>
      <c r="L239">
        <v>0</v>
      </c>
      <c r="M239">
        <v>1</v>
      </c>
      <c r="N239"/>
      <c r="O239" t="s">
        <v>3544</v>
      </c>
      <c r="P239" s="33">
        <v>0.48</v>
      </c>
      <c r="Q239">
        <v>3216</v>
      </c>
      <c r="R239" t="s">
        <v>227</v>
      </c>
      <c r="S239">
        <v>0</v>
      </c>
      <c r="T239"/>
      <c r="U239" s="10"/>
      <c r="V239"/>
      <c r="W239"/>
      <c r="X239" s="10"/>
      <c r="Y239"/>
      <c r="Z239" s="10"/>
      <c r="AA239"/>
      <c r="AB239"/>
      <c r="AC239"/>
      <c r="AD239"/>
    </row>
    <row r="240" spans="1:30" x14ac:dyDescent="0.4">
      <c r="A240" t="s">
        <v>4132</v>
      </c>
      <c r="B240">
        <v>20180119</v>
      </c>
      <c r="C240">
        <v>8809153102621</v>
      </c>
      <c r="D240" t="s">
        <v>3212</v>
      </c>
      <c r="E240" t="s">
        <v>4133</v>
      </c>
      <c r="F240" t="s">
        <v>226</v>
      </c>
      <c r="G240" t="s">
        <v>3213</v>
      </c>
      <c r="H240">
        <v>0</v>
      </c>
      <c r="I240" t="s">
        <v>379</v>
      </c>
      <c r="J240">
        <v>2500</v>
      </c>
      <c r="K240">
        <v>1</v>
      </c>
      <c r="L240">
        <v>0</v>
      </c>
      <c r="M240">
        <v>0</v>
      </c>
      <c r="N240"/>
      <c r="O240" t="s">
        <v>3544</v>
      </c>
      <c r="P240" s="33">
        <v>0.48</v>
      </c>
      <c r="Q240">
        <v>1200</v>
      </c>
      <c r="R240" t="s">
        <v>227</v>
      </c>
      <c r="S240">
        <v>1</v>
      </c>
      <c r="T240">
        <v>1</v>
      </c>
      <c r="U240"/>
      <c r="V240"/>
      <c r="W240"/>
      <c r="X240"/>
      <c r="Y240"/>
      <c r="Z240"/>
      <c r="AA240"/>
      <c r="AB240"/>
      <c r="AC240"/>
      <c r="AD240"/>
    </row>
    <row r="241" spans="1:30" x14ac:dyDescent="0.4">
      <c r="A241" t="s">
        <v>4134</v>
      </c>
      <c r="B241">
        <v>20180119</v>
      </c>
      <c r="C241">
        <v>8809427869359</v>
      </c>
      <c r="D241" t="s">
        <v>2656</v>
      </c>
      <c r="E241" t="s">
        <v>2568</v>
      </c>
      <c r="F241" t="s">
        <v>226</v>
      </c>
      <c r="G241" t="s">
        <v>2657</v>
      </c>
      <c r="H241">
        <v>0</v>
      </c>
      <c r="I241" t="s">
        <v>379</v>
      </c>
      <c r="J241">
        <v>12000</v>
      </c>
      <c r="K241">
        <v>1</v>
      </c>
      <c r="L241">
        <v>0</v>
      </c>
      <c r="M241">
        <v>1</v>
      </c>
      <c r="N241"/>
      <c r="O241" t="s">
        <v>3544</v>
      </c>
      <c r="P241" s="33">
        <v>0.48</v>
      </c>
      <c r="Q241">
        <v>5760</v>
      </c>
      <c r="R241" t="s">
        <v>227</v>
      </c>
      <c r="S241">
        <v>0</v>
      </c>
      <c r="T241"/>
      <c r="U241" s="10"/>
      <c r="V241"/>
      <c r="W241"/>
      <c r="X241" s="10"/>
      <c r="Y241"/>
      <c r="Z241" s="10"/>
      <c r="AA241"/>
      <c r="AB241"/>
      <c r="AC241"/>
      <c r="AD241"/>
    </row>
    <row r="242" spans="1:30" x14ac:dyDescent="0.4">
      <c r="A242" t="s">
        <v>4135</v>
      </c>
      <c r="B242">
        <v>20180119</v>
      </c>
      <c r="C242">
        <v>8809427864309</v>
      </c>
      <c r="D242" t="s">
        <v>1187</v>
      </c>
      <c r="E242" t="s">
        <v>4136</v>
      </c>
      <c r="F242" t="s">
        <v>226</v>
      </c>
      <c r="G242" t="s">
        <v>1189</v>
      </c>
      <c r="H242">
        <v>0</v>
      </c>
      <c r="I242" t="s">
        <v>379</v>
      </c>
      <c r="J242">
        <v>10000</v>
      </c>
      <c r="K242" s="34">
        <v>12</v>
      </c>
      <c r="L242">
        <v>0</v>
      </c>
      <c r="M242">
        <v>12</v>
      </c>
      <c r="N242"/>
      <c r="O242" t="s">
        <v>3544</v>
      </c>
      <c r="P242" s="33">
        <v>0.48</v>
      </c>
      <c r="Q242">
        <v>4800</v>
      </c>
      <c r="R242" t="s">
        <v>227</v>
      </c>
      <c r="S242">
        <v>0</v>
      </c>
      <c r="T242"/>
      <c r="U242" s="10">
        <v>43116</v>
      </c>
      <c r="V242" t="s">
        <v>379</v>
      </c>
      <c r="W242"/>
      <c r="X242" s="10"/>
      <c r="Y242"/>
      <c r="Z242" s="10"/>
      <c r="AA242"/>
      <c r="AB242"/>
      <c r="AC242"/>
      <c r="AD242"/>
    </row>
    <row r="243" spans="1:30" x14ac:dyDescent="0.4">
      <c r="A243" t="s">
        <v>4137</v>
      </c>
      <c r="B243">
        <v>20180119</v>
      </c>
      <c r="C243">
        <v>8809427865771</v>
      </c>
      <c r="D243" t="s">
        <v>4138</v>
      </c>
      <c r="E243"/>
      <c r="F243" t="s">
        <v>226</v>
      </c>
      <c r="G243" t="s">
        <v>4139</v>
      </c>
      <c r="H243">
        <v>0</v>
      </c>
      <c r="I243" t="s">
        <v>379</v>
      </c>
      <c r="J243">
        <v>12000</v>
      </c>
      <c r="K243">
        <v>1</v>
      </c>
      <c r="L243">
        <v>0</v>
      </c>
      <c r="M243">
        <v>1</v>
      </c>
      <c r="N243"/>
      <c r="O243" t="s">
        <v>3544</v>
      </c>
      <c r="P243" s="33">
        <v>0.48</v>
      </c>
      <c r="Q243">
        <v>5760</v>
      </c>
      <c r="R243" t="s">
        <v>227</v>
      </c>
      <c r="S243">
        <v>0</v>
      </c>
      <c r="T243"/>
      <c r="U243" s="10"/>
      <c r="V243"/>
      <c r="W243"/>
      <c r="X243" s="10"/>
      <c r="Y243"/>
      <c r="Z243" s="10"/>
      <c r="AA243"/>
      <c r="AB243"/>
      <c r="AC243"/>
      <c r="AD243"/>
    </row>
    <row r="244" spans="1:30" x14ac:dyDescent="0.4">
      <c r="A244" t="s">
        <v>4140</v>
      </c>
      <c r="B244">
        <v>20180119</v>
      </c>
      <c r="C244">
        <v>8809221279897</v>
      </c>
      <c r="D244" t="s">
        <v>3214</v>
      </c>
      <c r="E244"/>
      <c r="F244" t="s">
        <v>226</v>
      </c>
      <c r="G244" t="s">
        <v>3215</v>
      </c>
      <c r="H244">
        <v>0</v>
      </c>
      <c r="I244" t="s">
        <v>379</v>
      </c>
      <c r="J244">
        <v>1000</v>
      </c>
      <c r="K244">
        <v>1</v>
      </c>
      <c r="L244">
        <v>0</v>
      </c>
      <c r="M244">
        <v>0</v>
      </c>
      <c r="N244"/>
      <c r="O244" t="s">
        <v>3544</v>
      </c>
      <c r="P244" s="33">
        <v>0.48</v>
      </c>
      <c r="Q244">
        <v>480</v>
      </c>
      <c r="R244" t="s">
        <v>227</v>
      </c>
      <c r="S244">
        <v>1</v>
      </c>
      <c r="T244">
        <v>1</v>
      </c>
      <c r="U244"/>
      <c r="V244"/>
      <c r="W244"/>
      <c r="X244"/>
      <c r="Y244"/>
      <c r="Z244"/>
      <c r="AA244"/>
      <c r="AB244"/>
      <c r="AC244"/>
      <c r="AD244"/>
    </row>
    <row r="245" spans="1:30" x14ac:dyDescent="0.4">
      <c r="A245" t="s">
        <v>4141</v>
      </c>
      <c r="B245">
        <v>20180119</v>
      </c>
      <c r="C245">
        <v>8809427862619</v>
      </c>
      <c r="D245" t="s">
        <v>3216</v>
      </c>
      <c r="E245" t="s">
        <v>4142</v>
      </c>
      <c r="F245" t="s">
        <v>226</v>
      </c>
      <c r="G245" t="s">
        <v>3217</v>
      </c>
      <c r="H245">
        <v>0</v>
      </c>
      <c r="I245" t="s">
        <v>379</v>
      </c>
      <c r="J245">
        <v>2500</v>
      </c>
      <c r="K245">
        <v>2</v>
      </c>
      <c r="L245">
        <v>0</v>
      </c>
      <c r="M245">
        <v>0</v>
      </c>
      <c r="N245"/>
      <c r="O245" t="s">
        <v>3544</v>
      </c>
      <c r="P245" s="33">
        <v>0.48</v>
      </c>
      <c r="Q245">
        <v>1200</v>
      </c>
      <c r="R245" t="s">
        <v>227</v>
      </c>
      <c r="S245">
        <v>2</v>
      </c>
      <c r="T245">
        <v>2</v>
      </c>
      <c r="U245"/>
      <c r="V245"/>
      <c r="W245"/>
      <c r="X245"/>
      <c r="Y245"/>
      <c r="Z245"/>
      <c r="AA245"/>
      <c r="AB245"/>
      <c r="AC245"/>
      <c r="AD245"/>
    </row>
    <row r="246" spans="1:30" x14ac:dyDescent="0.4">
      <c r="A246" t="s">
        <v>4143</v>
      </c>
      <c r="B246">
        <v>20180119</v>
      </c>
      <c r="C246">
        <v>8809427868338</v>
      </c>
      <c r="D246" t="s">
        <v>4144</v>
      </c>
      <c r="E246"/>
      <c r="F246" t="s">
        <v>226</v>
      </c>
      <c r="G246" t="s">
        <v>4145</v>
      </c>
      <c r="H246">
        <v>0</v>
      </c>
      <c r="I246" t="s">
        <v>379</v>
      </c>
      <c r="J246">
        <v>17000</v>
      </c>
      <c r="K246">
        <v>1</v>
      </c>
      <c r="L246">
        <v>0</v>
      </c>
      <c r="M246">
        <v>1</v>
      </c>
      <c r="N246"/>
      <c r="O246" t="s">
        <v>3544</v>
      </c>
      <c r="P246" s="33">
        <v>0.48</v>
      </c>
      <c r="Q246">
        <v>8160</v>
      </c>
      <c r="R246" t="s">
        <v>227</v>
      </c>
      <c r="S246">
        <v>0</v>
      </c>
      <c r="T246"/>
      <c r="U246" s="10"/>
      <c r="V246"/>
      <c r="W246"/>
      <c r="X246" s="10"/>
      <c r="Y246"/>
      <c r="Z246" s="10"/>
      <c r="AA246"/>
      <c r="AB246"/>
      <c r="AC246"/>
      <c r="AD246"/>
    </row>
    <row r="247" spans="1:30" x14ac:dyDescent="0.4">
      <c r="A247" t="s">
        <v>4146</v>
      </c>
      <c r="B247">
        <v>20180119</v>
      </c>
      <c r="C247">
        <v>8809511273956</v>
      </c>
      <c r="D247" t="s">
        <v>3218</v>
      </c>
      <c r="E247" t="s">
        <v>4147</v>
      </c>
      <c r="F247" t="s">
        <v>226</v>
      </c>
      <c r="G247" t="s">
        <v>3219</v>
      </c>
      <c r="H247">
        <v>0</v>
      </c>
      <c r="I247" t="s">
        <v>379</v>
      </c>
      <c r="J247">
        <v>32000</v>
      </c>
      <c r="K247">
        <v>1</v>
      </c>
      <c r="L247">
        <v>0</v>
      </c>
      <c r="M247">
        <v>0</v>
      </c>
      <c r="N247"/>
      <c r="O247" t="s">
        <v>3544</v>
      </c>
      <c r="P247" s="33">
        <v>0.48</v>
      </c>
      <c r="Q247">
        <v>15360</v>
      </c>
      <c r="R247" t="s">
        <v>227</v>
      </c>
      <c r="S247">
        <v>1</v>
      </c>
      <c r="T247">
        <v>1</v>
      </c>
      <c r="U247"/>
      <c r="V247"/>
      <c r="W247"/>
      <c r="X247"/>
      <c r="Y247"/>
      <c r="Z247"/>
      <c r="AA247"/>
      <c r="AB247"/>
      <c r="AC247"/>
      <c r="AD247"/>
    </row>
    <row r="248" spans="1:30" x14ac:dyDescent="0.4">
      <c r="A248" t="s">
        <v>4148</v>
      </c>
      <c r="B248">
        <v>20180119</v>
      </c>
      <c r="C248">
        <v>8809511273970</v>
      </c>
      <c r="D248" t="s">
        <v>3220</v>
      </c>
      <c r="E248" t="s">
        <v>567</v>
      </c>
      <c r="F248" t="s">
        <v>226</v>
      </c>
      <c r="G248" t="s">
        <v>3221</v>
      </c>
      <c r="H248">
        <v>0</v>
      </c>
      <c r="I248" t="s">
        <v>379</v>
      </c>
      <c r="J248">
        <v>24000</v>
      </c>
      <c r="K248">
        <v>1</v>
      </c>
      <c r="L248">
        <v>0</v>
      </c>
      <c r="M248">
        <v>0</v>
      </c>
      <c r="N248"/>
      <c r="O248" t="s">
        <v>3544</v>
      </c>
      <c r="P248" s="33">
        <v>0.48</v>
      </c>
      <c r="Q248">
        <v>11520</v>
      </c>
      <c r="R248" t="s">
        <v>227</v>
      </c>
      <c r="S248">
        <v>1</v>
      </c>
      <c r="T248">
        <v>1</v>
      </c>
      <c r="U248"/>
      <c r="V248"/>
      <c r="W248"/>
      <c r="X248"/>
      <c r="Y248"/>
      <c r="Z248"/>
      <c r="AA248"/>
      <c r="AB248"/>
      <c r="AC248"/>
      <c r="AD248"/>
    </row>
    <row r="249" spans="1:30" x14ac:dyDescent="0.4">
      <c r="A249" t="s">
        <v>4149</v>
      </c>
      <c r="B249">
        <v>20180119</v>
      </c>
      <c r="C249">
        <v>8809427865733</v>
      </c>
      <c r="D249" t="s">
        <v>3222</v>
      </c>
      <c r="E249" t="s">
        <v>4150</v>
      </c>
      <c r="F249" t="s">
        <v>226</v>
      </c>
      <c r="G249" t="s">
        <v>3223</v>
      </c>
      <c r="H249">
        <v>0</v>
      </c>
      <c r="I249" t="s">
        <v>379</v>
      </c>
      <c r="J249">
        <v>9000</v>
      </c>
      <c r="K249">
        <v>2</v>
      </c>
      <c r="L249">
        <v>1</v>
      </c>
      <c r="M249">
        <v>0</v>
      </c>
      <c r="N249"/>
      <c r="O249" t="s">
        <v>3544</v>
      </c>
      <c r="P249" s="33">
        <v>0.48</v>
      </c>
      <c r="Q249">
        <v>4320</v>
      </c>
      <c r="R249" t="s">
        <v>227</v>
      </c>
      <c r="S249">
        <v>2</v>
      </c>
      <c r="T249">
        <v>1</v>
      </c>
      <c r="U249"/>
      <c r="V249"/>
      <c r="W249"/>
      <c r="X249"/>
      <c r="Y249"/>
      <c r="Z249"/>
      <c r="AA249"/>
      <c r="AB249"/>
      <c r="AC249"/>
      <c r="AD249"/>
    </row>
    <row r="250" spans="1:30" x14ac:dyDescent="0.4">
      <c r="A250" t="s">
        <v>4151</v>
      </c>
      <c r="B250">
        <v>20180119</v>
      </c>
      <c r="C250">
        <v>8809511275721</v>
      </c>
      <c r="D250" t="s">
        <v>4152</v>
      </c>
      <c r="E250" t="s">
        <v>4153</v>
      </c>
      <c r="F250" t="s">
        <v>226</v>
      </c>
      <c r="G250" t="s">
        <v>4154</v>
      </c>
      <c r="H250">
        <v>0</v>
      </c>
      <c r="I250" t="s">
        <v>379</v>
      </c>
      <c r="J250">
        <v>4900</v>
      </c>
      <c r="K250">
        <v>1</v>
      </c>
      <c r="L250">
        <v>0</v>
      </c>
      <c r="M250">
        <v>1</v>
      </c>
      <c r="N250"/>
      <c r="O250" t="s">
        <v>3544</v>
      </c>
      <c r="P250" s="33">
        <v>0.48</v>
      </c>
      <c r="Q250">
        <v>2352</v>
      </c>
      <c r="R250" t="s">
        <v>227</v>
      </c>
      <c r="S250">
        <v>0</v>
      </c>
      <c r="T250"/>
      <c r="U250" s="10"/>
      <c r="V250"/>
      <c r="W250"/>
      <c r="X250" s="10"/>
      <c r="Y250"/>
      <c r="Z250" s="10"/>
      <c r="AA250"/>
      <c r="AB250"/>
      <c r="AC250"/>
      <c r="AD250"/>
    </row>
    <row r="251" spans="1:30" x14ac:dyDescent="0.4">
      <c r="A251" t="s">
        <v>4155</v>
      </c>
      <c r="B251">
        <v>20180119</v>
      </c>
      <c r="C251">
        <v>8809427868789</v>
      </c>
      <c r="D251" t="s">
        <v>3300</v>
      </c>
      <c r="E251"/>
      <c r="F251" t="s">
        <v>226</v>
      </c>
      <c r="G251" t="s">
        <v>3301</v>
      </c>
      <c r="H251">
        <v>0</v>
      </c>
      <c r="I251" t="s">
        <v>379</v>
      </c>
      <c r="J251">
        <v>6000</v>
      </c>
      <c r="K251">
        <v>1</v>
      </c>
      <c r="L251">
        <v>0</v>
      </c>
      <c r="M251">
        <v>0</v>
      </c>
      <c r="N251"/>
      <c r="O251" t="s">
        <v>3544</v>
      </c>
      <c r="P251" s="33">
        <v>0.48</v>
      </c>
      <c r="Q251">
        <v>2880</v>
      </c>
      <c r="R251" t="s">
        <v>227</v>
      </c>
      <c r="S251">
        <v>0</v>
      </c>
      <c r="T251"/>
      <c r="U251" s="10">
        <v>43117</v>
      </c>
      <c r="V251" t="s">
        <v>820</v>
      </c>
      <c r="W251"/>
      <c r="X251" s="10"/>
      <c r="Y251"/>
      <c r="Z251" s="10"/>
      <c r="AA251"/>
      <c r="AB251"/>
      <c r="AC251" t="s">
        <v>3547</v>
      </c>
      <c r="AD251"/>
    </row>
    <row r="252" spans="1:30" x14ac:dyDescent="0.4">
      <c r="A252" t="s">
        <v>4156</v>
      </c>
      <c r="B252">
        <v>20180119</v>
      </c>
      <c r="C252">
        <v>8809427869281</v>
      </c>
      <c r="D252" t="s">
        <v>4157</v>
      </c>
      <c r="E252" t="s">
        <v>4158</v>
      </c>
      <c r="F252" t="s">
        <v>226</v>
      </c>
      <c r="G252" t="s">
        <v>4159</v>
      </c>
      <c r="H252">
        <v>0</v>
      </c>
      <c r="I252" t="s">
        <v>379</v>
      </c>
      <c r="J252">
        <v>3500</v>
      </c>
      <c r="K252">
        <v>1</v>
      </c>
      <c r="L252">
        <v>0</v>
      </c>
      <c r="M252">
        <v>1</v>
      </c>
      <c r="N252"/>
      <c r="O252" t="s">
        <v>3544</v>
      </c>
      <c r="P252" s="33">
        <v>0.48</v>
      </c>
      <c r="Q252">
        <v>1680</v>
      </c>
      <c r="R252" t="s">
        <v>227</v>
      </c>
      <c r="S252">
        <v>0</v>
      </c>
      <c r="T252"/>
      <c r="U252" s="10"/>
      <c r="V252"/>
      <c r="W252"/>
      <c r="X252" s="10"/>
      <c r="Y252"/>
      <c r="Z252" s="10"/>
      <c r="AA252"/>
      <c r="AB252"/>
      <c r="AC252"/>
      <c r="AD252"/>
    </row>
    <row r="253" spans="1:30" x14ac:dyDescent="0.4">
      <c r="A253" t="s">
        <v>4160</v>
      </c>
      <c r="B253">
        <v>20180119</v>
      </c>
      <c r="C253">
        <v>8809427864491</v>
      </c>
      <c r="D253" t="s">
        <v>1355</v>
      </c>
      <c r="E253" t="s">
        <v>1265</v>
      </c>
      <c r="F253" t="s">
        <v>226</v>
      </c>
      <c r="G253" t="s">
        <v>1356</v>
      </c>
      <c r="H253">
        <v>0</v>
      </c>
      <c r="I253" t="s">
        <v>379</v>
      </c>
      <c r="J253">
        <v>8000</v>
      </c>
      <c r="K253">
        <v>6</v>
      </c>
      <c r="L253">
        <v>0</v>
      </c>
      <c r="M253">
        <v>5</v>
      </c>
      <c r="N253"/>
      <c r="O253" t="s">
        <v>3544</v>
      </c>
      <c r="P253" s="33">
        <v>0.48</v>
      </c>
      <c r="Q253">
        <v>3840</v>
      </c>
      <c r="R253" t="s">
        <v>227</v>
      </c>
      <c r="S253">
        <v>1</v>
      </c>
      <c r="T253">
        <v>1</v>
      </c>
      <c r="U253" s="10"/>
      <c r="V253"/>
      <c r="W253"/>
      <c r="X253" s="10"/>
      <c r="Y253"/>
      <c r="Z253" s="10"/>
      <c r="AA253"/>
      <c r="AB253"/>
      <c r="AC253"/>
      <c r="AD253"/>
    </row>
    <row r="254" spans="1:30" x14ac:dyDescent="0.4">
      <c r="A254" t="s">
        <v>4161</v>
      </c>
      <c r="B254">
        <v>20180119</v>
      </c>
      <c r="C254">
        <v>8809427865481</v>
      </c>
      <c r="D254" t="s">
        <v>3224</v>
      </c>
      <c r="E254" t="s">
        <v>4162</v>
      </c>
      <c r="F254" t="s">
        <v>226</v>
      </c>
      <c r="G254" t="s">
        <v>3225</v>
      </c>
      <c r="H254">
        <v>0</v>
      </c>
      <c r="I254" t="s">
        <v>379</v>
      </c>
      <c r="J254">
        <v>14000</v>
      </c>
      <c r="K254">
        <v>2</v>
      </c>
      <c r="L254">
        <v>1</v>
      </c>
      <c r="M254">
        <v>0</v>
      </c>
      <c r="N254"/>
      <c r="O254" t="s">
        <v>3544</v>
      </c>
      <c r="P254" s="33">
        <v>0.48</v>
      </c>
      <c r="Q254">
        <v>6720</v>
      </c>
      <c r="R254" t="s">
        <v>227</v>
      </c>
      <c r="S254">
        <v>2</v>
      </c>
      <c r="T254">
        <v>1</v>
      </c>
      <c r="U254"/>
      <c r="V254"/>
      <c r="W254"/>
      <c r="X254"/>
      <c r="Y254"/>
      <c r="Z254"/>
      <c r="AA254"/>
      <c r="AB254"/>
      <c r="AC254"/>
      <c r="AD254"/>
    </row>
    <row r="255" spans="1:30" x14ac:dyDescent="0.4">
      <c r="A255" t="s">
        <v>4163</v>
      </c>
      <c r="B255">
        <v>20180119</v>
      </c>
      <c r="C255">
        <v>8809511274342</v>
      </c>
      <c r="D255" t="s">
        <v>4164</v>
      </c>
      <c r="E255"/>
      <c r="F255" t="s">
        <v>226</v>
      </c>
      <c r="G255" t="s">
        <v>4165</v>
      </c>
      <c r="H255">
        <v>0</v>
      </c>
      <c r="I255" t="s">
        <v>379</v>
      </c>
      <c r="J255">
        <v>18000</v>
      </c>
      <c r="K255">
        <v>1</v>
      </c>
      <c r="L255">
        <v>0</v>
      </c>
      <c r="M255">
        <v>1</v>
      </c>
      <c r="N255"/>
      <c r="O255" t="s">
        <v>3544</v>
      </c>
      <c r="P255" s="33">
        <v>0.48</v>
      </c>
      <c r="Q255">
        <v>8640</v>
      </c>
      <c r="R255" t="s">
        <v>227</v>
      </c>
      <c r="S255">
        <v>0</v>
      </c>
      <c r="T255"/>
      <c r="U255" s="10"/>
      <c r="V255"/>
      <c r="W255"/>
      <c r="X255" s="10"/>
      <c r="Y255"/>
      <c r="Z255" s="10"/>
      <c r="AA255"/>
      <c r="AB255"/>
      <c r="AC255"/>
      <c r="AD255"/>
    </row>
    <row r="256" spans="1:30" x14ac:dyDescent="0.4">
      <c r="A256" t="s">
        <v>4166</v>
      </c>
      <c r="B256">
        <v>20180119</v>
      </c>
      <c r="C256">
        <v>8809427866198</v>
      </c>
      <c r="D256" t="s">
        <v>3226</v>
      </c>
      <c r="E256" t="s">
        <v>4167</v>
      </c>
      <c r="F256" t="s">
        <v>226</v>
      </c>
      <c r="G256" t="s">
        <v>3227</v>
      </c>
      <c r="H256">
        <v>0</v>
      </c>
      <c r="I256" t="s">
        <v>379</v>
      </c>
      <c r="J256">
        <v>22000</v>
      </c>
      <c r="K256">
        <v>2</v>
      </c>
      <c r="L256">
        <v>1</v>
      </c>
      <c r="M256">
        <v>0</v>
      </c>
      <c r="N256"/>
      <c r="O256" t="s">
        <v>3544</v>
      </c>
      <c r="P256" s="33">
        <v>0.48</v>
      </c>
      <c r="Q256">
        <v>10560</v>
      </c>
      <c r="R256" t="s">
        <v>227</v>
      </c>
      <c r="S256">
        <v>2</v>
      </c>
      <c r="T256">
        <v>1</v>
      </c>
      <c r="U256"/>
      <c r="V256"/>
      <c r="W256"/>
      <c r="X256"/>
      <c r="Y256"/>
      <c r="Z256"/>
      <c r="AA256"/>
      <c r="AB256"/>
      <c r="AC256"/>
      <c r="AD256"/>
    </row>
    <row r="257" spans="1:30" x14ac:dyDescent="0.4">
      <c r="A257" t="s">
        <v>4168</v>
      </c>
      <c r="B257">
        <v>20180119</v>
      </c>
      <c r="C257">
        <v>8809511273475</v>
      </c>
      <c r="D257" t="s">
        <v>4169</v>
      </c>
      <c r="E257" t="s">
        <v>4170</v>
      </c>
      <c r="F257" t="s">
        <v>226</v>
      </c>
      <c r="G257" t="s">
        <v>4171</v>
      </c>
      <c r="H257">
        <v>0</v>
      </c>
      <c r="I257" t="s">
        <v>379</v>
      </c>
      <c r="J257">
        <v>3500</v>
      </c>
      <c r="K257">
        <v>5</v>
      </c>
      <c r="L257">
        <v>4</v>
      </c>
      <c r="M257">
        <v>1</v>
      </c>
      <c r="N257"/>
      <c r="O257" t="s">
        <v>3544</v>
      </c>
      <c r="P257" s="33">
        <v>0.48</v>
      </c>
      <c r="Q257">
        <v>1680</v>
      </c>
      <c r="R257" t="s">
        <v>227</v>
      </c>
      <c r="S257">
        <v>4</v>
      </c>
      <c r="T257"/>
      <c r="U257" s="10"/>
      <c r="V257"/>
      <c r="W257"/>
      <c r="X257" s="10"/>
      <c r="Y257"/>
      <c r="Z257" s="10"/>
      <c r="AA257"/>
      <c r="AB257"/>
      <c r="AC257"/>
      <c r="AD257"/>
    </row>
    <row r="258" spans="1:30" x14ac:dyDescent="0.4">
      <c r="A258" t="s">
        <v>4172</v>
      </c>
      <c r="B258">
        <v>20180119</v>
      </c>
      <c r="C258">
        <v>8809511273703</v>
      </c>
      <c r="D258" t="s">
        <v>2647</v>
      </c>
      <c r="E258" t="s">
        <v>2655</v>
      </c>
      <c r="F258" t="s">
        <v>226</v>
      </c>
      <c r="G258" t="s">
        <v>2648</v>
      </c>
      <c r="H258">
        <v>0</v>
      </c>
      <c r="I258" t="s">
        <v>379</v>
      </c>
      <c r="J258">
        <v>8900</v>
      </c>
      <c r="K258">
        <v>1</v>
      </c>
      <c r="L258">
        <v>0</v>
      </c>
      <c r="M258">
        <v>1</v>
      </c>
      <c r="N258"/>
      <c r="O258" t="s">
        <v>3544</v>
      </c>
      <c r="P258" s="33">
        <v>0.48</v>
      </c>
      <c r="Q258">
        <v>4272</v>
      </c>
      <c r="R258" t="s">
        <v>227</v>
      </c>
      <c r="S258">
        <v>0</v>
      </c>
      <c r="T258"/>
      <c r="U258" s="10"/>
      <c r="V258"/>
      <c r="W258"/>
      <c r="X258" s="10"/>
      <c r="Y258"/>
      <c r="Z258" s="10"/>
      <c r="AA258"/>
      <c r="AB258"/>
      <c r="AC258"/>
      <c r="AD258"/>
    </row>
    <row r="259" spans="1:30" x14ac:dyDescent="0.4">
      <c r="A259" t="s">
        <v>4173</v>
      </c>
      <c r="B259">
        <v>20180119</v>
      </c>
      <c r="C259">
        <v>8809427868550</v>
      </c>
      <c r="D259" t="s">
        <v>4174</v>
      </c>
      <c r="E259" t="s">
        <v>4175</v>
      </c>
      <c r="F259" t="s">
        <v>226</v>
      </c>
      <c r="G259" t="s">
        <v>4176</v>
      </c>
      <c r="H259">
        <v>0</v>
      </c>
      <c r="I259" t="s">
        <v>379</v>
      </c>
      <c r="J259">
        <v>9000</v>
      </c>
      <c r="K259">
        <v>2</v>
      </c>
      <c r="L259">
        <v>0</v>
      </c>
      <c r="M259">
        <v>2</v>
      </c>
      <c r="N259"/>
      <c r="O259" t="s">
        <v>3544</v>
      </c>
      <c r="P259" s="33">
        <v>0.48</v>
      </c>
      <c r="Q259">
        <v>4320</v>
      </c>
      <c r="R259" t="s">
        <v>227</v>
      </c>
      <c r="S259">
        <v>0</v>
      </c>
      <c r="T259"/>
      <c r="U259" s="10"/>
      <c r="V259"/>
      <c r="W259"/>
      <c r="X259" s="10"/>
      <c r="Y259"/>
      <c r="Z259" s="10"/>
      <c r="AA259"/>
      <c r="AB259"/>
      <c r="AC259"/>
      <c r="AD259"/>
    </row>
    <row r="260" spans="1:30" x14ac:dyDescent="0.4">
      <c r="A260" t="s">
        <v>4177</v>
      </c>
      <c r="B260">
        <v>20180119</v>
      </c>
      <c r="C260">
        <v>8809511275776</v>
      </c>
      <c r="D260" t="s">
        <v>3232</v>
      </c>
      <c r="E260" t="s">
        <v>4178</v>
      </c>
      <c r="F260" t="s">
        <v>226</v>
      </c>
      <c r="G260" t="s">
        <v>3233</v>
      </c>
      <c r="H260">
        <v>0</v>
      </c>
      <c r="I260" t="s">
        <v>379</v>
      </c>
      <c r="J260">
        <v>12900</v>
      </c>
      <c r="K260">
        <v>1</v>
      </c>
      <c r="L260">
        <v>0</v>
      </c>
      <c r="M260">
        <v>0</v>
      </c>
      <c r="N260"/>
      <c r="O260" t="s">
        <v>3544</v>
      </c>
      <c r="P260" s="33">
        <v>0.48</v>
      </c>
      <c r="Q260">
        <v>6192</v>
      </c>
      <c r="R260" t="s">
        <v>227</v>
      </c>
      <c r="S260">
        <v>1</v>
      </c>
      <c r="T260">
        <v>1</v>
      </c>
      <c r="U260"/>
      <c r="V260"/>
      <c r="W260"/>
      <c r="X260"/>
      <c r="Y260"/>
      <c r="Z260"/>
      <c r="AA260"/>
      <c r="AB260"/>
      <c r="AC260"/>
      <c r="AD260"/>
    </row>
    <row r="261" spans="1:30" x14ac:dyDescent="0.4">
      <c r="A261" t="s">
        <v>4179</v>
      </c>
      <c r="B261">
        <v>20180119</v>
      </c>
      <c r="C261">
        <v>8809511272010</v>
      </c>
      <c r="D261" t="s">
        <v>3236</v>
      </c>
      <c r="E261" t="s">
        <v>4180</v>
      </c>
      <c r="F261" t="s">
        <v>226</v>
      </c>
      <c r="G261" t="s">
        <v>3237</v>
      </c>
      <c r="H261">
        <v>0</v>
      </c>
      <c r="I261" t="s">
        <v>379</v>
      </c>
      <c r="J261">
        <v>4000</v>
      </c>
      <c r="K261">
        <v>1</v>
      </c>
      <c r="L261">
        <v>0</v>
      </c>
      <c r="M261">
        <v>0</v>
      </c>
      <c r="N261"/>
      <c r="O261" t="s">
        <v>3544</v>
      </c>
      <c r="P261" s="33">
        <v>0.48</v>
      </c>
      <c r="Q261">
        <v>1920</v>
      </c>
      <c r="R261" t="s">
        <v>227</v>
      </c>
      <c r="S261">
        <v>1</v>
      </c>
      <c r="T261">
        <v>1</v>
      </c>
      <c r="U261"/>
      <c r="V261"/>
      <c r="W261"/>
      <c r="X261"/>
      <c r="Y261"/>
      <c r="Z261"/>
      <c r="AA261"/>
      <c r="AB261"/>
      <c r="AC261"/>
      <c r="AD261"/>
    </row>
    <row r="262" spans="1:30" x14ac:dyDescent="0.4">
      <c r="A262" t="s">
        <v>4181</v>
      </c>
      <c r="B262">
        <v>20180119</v>
      </c>
      <c r="C262">
        <v>8809511274182</v>
      </c>
      <c r="D262" t="s">
        <v>510</v>
      </c>
      <c r="E262" t="s">
        <v>2022</v>
      </c>
      <c r="F262" t="s">
        <v>226</v>
      </c>
      <c r="G262" t="s">
        <v>511</v>
      </c>
      <c r="H262">
        <v>0</v>
      </c>
      <c r="I262" t="s">
        <v>379</v>
      </c>
      <c r="J262">
        <v>6000</v>
      </c>
      <c r="K262">
        <v>1</v>
      </c>
      <c r="L262">
        <v>0</v>
      </c>
      <c r="M262">
        <v>0</v>
      </c>
      <c r="N262"/>
      <c r="O262" t="s">
        <v>3544</v>
      </c>
      <c r="P262" s="33">
        <v>0.48</v>
      </c>
      <c r="Q262">
        <v>2880</v>
      </c>
      <c r="R262" t="s">
        <v>227</v>
      </c>
      <c r="S262">
        <v>1</v>
      </c>
      <c r="T262">
        <v>1</v>
      </c>
      <c r="U262"/>
      <c r="V262"/>
      <c r="W262"/>
      <c r="X262"/>
      <c r="Y262"/>
      <c r="Z262"/>
      <c r="AA262"/>
      <c r="AB262"/>
      <c r="AC262"/>
      <c r="AD262"/>
    </row>
    <row r="263" spans="1:30" x14ac:dyDescent="0.4">
      <c r="A263" t="s">
        <v>4182</v>
      </c>
      <c r="B263">
        <v>20180119</v>
      </c>
      <c r="C263">
        <v>8809427861186</v>
      </c>
      <c r="D263" t="s">
        <v>4183</v>
      </c>
      <c r="E263" t="s">
        <v>4184</v>
      </c>
      <c r="F263" t="s">
        <v>226</v>
      </c>
      <c r="G263" t="s">
        <v>4185</v>
      </c>
      <c r="H263">
        <v>0</v>
      </c>
      <c r="I263" t="s">
        <v>379</v>
      </c>
      <c r="J263">
        <v>21000</v>
      </c>
      <c r="K263">
        <v>1</v>
      </c>
      <c r="L263">
        <v>0</v>
      </c>
      <c r="M263">
        <v>1</v>
      </c>
      <c r="N263"/>
      <c r="O263" t="s">
        <v>3544</v>
      </c>
      <c r="P263" s="33">
        <v>0.48</v>
      </c>
      <c r="Q263">
        <v>10080</v>
      </c>
      <c r="R263" t="s">
        <v>227</v>
      </c>
      <c r="S263">
        <v>0</v>
      </c>
      <c r="T263"/>
      <c r="U263" s="10"/>
      <c r="V263"/>
      <c r="W263"/>
      <c r="X263" s="10"/>
      <c r="Y263"/>
      <c r="Z263" s="10"/>
      <c r="AA263"/>
      <c r="AB263"/>
      <c r="AC263"/>
      <c r="AD263"/>
    </row>
    <row r="264" spans="1:30" x14ac:dyDescent="0.4">
      <c r="A264" t="s">
        <v>4186</v>
      </c>
      <c r="B264">
        <v>20180119</v>
      </c>
      <c r="C264">
        <v>8809305998751</v>
      </c>
      <c r="D264" t="s">
        <v>2971</v>
      </c>
      <c r="E264" t="s">
        <v>4187</v>
      </c>
      <c r="F264" t="s">
        <v>222</v>
      </c>
      <c r="G264" t="s">
        <v>2972</v>
      </c>
      <c r="H264">
        <v>0</v>
      </c>
      <c r="I264" t="s">
        <v>379</v>
      </c>
      <c r="J264">
        <v>20000</v>
      </c>
      <c r="K264" s="34">
        <v>15</v>
      </c>
      <c r="L264">
        <v>3</v>
      </c>
      <c r="M264">
        <v>12</v>
      </c>
      <c r="N264"/>
      <c r="O264" t="s">
        <v>3544</v>
      </c>
      <c r="P264" s="33" t="s">
        <v>3567</v>
      </c>
      <c r="Q264" s="37">
        <v>7000</v>
      </c>
      <c r="R264" t="s">
        <v>261</v>
      </c>
      <c r="S264">
        <v>3</v>
      </c>
      <c r="T264">
        <v>0</v>
      </c>
      <c r="U264" s="10">
        <v>43118</v>
      </c>
      <c r="V264" t="s">
        <v>3289</v>
      </c>
      <c r="W264">
        <v>11</v>
      </c>
      <c r="X264" s="10">
        <v>43122</v>
      </c>
      <c r="Y264"/>
      <c r="Z264" s="10"/>
      <c r="AA264"/>
      <c r="AB264"/>
      <c r="AC264"/>
      <c r="AD264"/>
    </row>
    <row r="265" spans="1:30" x14ac:dyDescent="0.4">
      <c r="A265" t="s">
        <v>4188</v>
      </c>
      <c r="B265">
        <v>20180119</v>
      </c>
      <c r="C265">
        <v>8809305999109</v>
      </c>
      <c r="D265" t="s">
        <v>2973</v>
      </c>
      <c r="E265" t="s">
        <v>4189</v>
      </c>
      <c r="F265" t="s">
        <v>222</v>
      </c>
      <c r="G265" t="s">
        <v>2974</v>
      </c>
      <c r="H265">
        <v>0</v>
      </c>
      <c r="I265" t="s">
        <v>379</v>
      </c>
      <c r="J265">
        <v>7000</v>
      </c>
      <c r="K265">
        <v>1</v>
      </c>
      <c r="L265">
        <v>0</v>
      </c>
      <c r="M265">
        <v>1</v>
      </c>
      <c r="N265"/>
      <c r="O265" t="s">
        <v>3544</v>
      </c>
      <c r="P265" s="33" t="s">
        <v>3567</v>
      </c>
      <c r="Q265" s="37">
        <v>2450</v>
      </c>
      <c r="R265" t="s">
        <v>261</v>
      </c>
      <c r="S265">
        <v>0</v>
      </c>
      <c r="T265">
        <v>0</v>
      </c>
      <c r="U265" s="10">
        <v>43118</v>
      </c>
      <c r="V265" t="s">
        <v>3289</v>
      </c>
      <c r="W265">
        <v>1</v>
      </c>
      <c r="X265" s="10">
        <v>43122</v>
      </c>
      <c r="Y265"/>
      <c r="Z265" s="10"/>
      <c r="AA265"/>
      <c r="AB265"/>
      <c r="AC265"/>
      <c r="AD265"/>
    </row>
    <row r="266" spans="1:30" x14ac:dyDescent="0.4">
      <c r="A266" t="s">
        <v>4190</v>
      </c>
      <c r="B266">
        <v>20180119</v>
      </c>
      <c r="C266">
        <v>8809305995989</v>
      </c>
      <c r="D266" t="s">
        <v>4191</v>
      </c>
      <c r="E266" t="s">
        <v>2362</v>
      </c>
      <c r="F266" t="s">
        <v>222</v>
      </c>
      <c r="G266" t="s">
        <v>4192</v>
      </c>
      <c r="H266">
        <v>0</v>
      </c>
      <c r="I266" t="s">
        <v>379</v>
      </c>
      <c r="J266">
        <v>25000</v>
      </c>
      <c r="K266" s="34">
        <v>11</v>
      </c>
      <c r="L266">
        <v>9</v>
      </c>
      <c r="M266">
        <v>2</v>
      </c>
      <c r="N266"/>
      <c r="O266" s="35" t="s">
        <v>3550</v>
      </c>
      <c r="P266" s="33" t="s">
        <v>3567</v>
      </c>
      <c r="Q266" s="37">
        <v>8750</v>
      </c>
      <c r="R266" t="s">
        <v>261</v>
      </c>
      <c r="S266">
        <v>9</v>
      </c>
      <c r="T266"/>
      <c r="U266" s="10"/>
      <c r="V266"/>
      <c r="W266"/>
      <c r="X266" s="10"/>
      <c r="Y266"/>
      <c r="Z266" s="10"/>
      <c r="AA266"/>
      <c r="AB266"/>
      <c r="AC266"/>
      <c r="AD266"/>
    </row>
    <row r="267" spans="1:30" x14ac:dyDescent="0.4">
      <c r="A267" t="s">
        <v>4193</v>
      </c>
      <c r="B267">
        <v>20180119</v>
      </c>
      <c r="C267" s="36">
        <v>16951620000</v>
      </c>
      <c r="D267" t="s">
        <v>2981</v>
      </c>
      <c r="E267"/>
      <c r="F267" t="s">
        <v>222</v>
      </c>
      <c r="G267" t="s">
        <v>2982</v>
      </c>
      <c r="H267">
        <v>0</v>
      </c>
      <c r="I267" t="s">
        <v>379</v>
      </c>
      <c r="J267">
        <v>14000</v>
      </c>
      <c r="K267">
        <v>1</v>
      </c>
      <c r="L267">
        <v>0</v>
      </c>
      <c r="M267">
        <v>1</v>
      </c>
      <c r="N267"/>
      <c r="O267" t="s">
        <v>3544</v>
      </c>
      <c r="P267" s="33" t="s">
        <v>3567</v>
      </c>
      <c r="Q267" s="37">
        <v>4900</v>
      </c>
      <c r="R267" t="s">
        <v>261</v>
      </c>
      <c r="S267">
        <v>0</v>
      </c>
      <c r="T267">
        <v>0</v>
      </c>
      <c r="U267" s="10">
        <v>43118</v>
      </c>
      <c r="V267" t="s">
        <v>3289</v>
      </c>
      <c r="W267">
        <v>3</v>
      </c>
      <c r="X267" s="10">
        <v>43123</v>
      </c>
      <c r="Y267"/>
      <c r="Z267" s="10"/>
      <c r="AA267"/>
      <c r="AB267"/>
      <c r="AC267"/>
      <c r="AD267"/>
    </row>
    <row r="268" spans="1:30" x14ac:dyDescent="0.4">
      <c r="A268" t="s">
        <v>4194</v>
      </c>
      <c r="B268">
        <v>20180119</v>
      </c>
      <c r="C268">
        <v>8809305998522</v>
      </c>
      <c r="D268" t="s">
        <v>2983</v>
      </c>
      <c r="E268" t="s">
        <v>4195</v>
      </c>
      <c r="F268" t="s">
        <v>222</v>
      </c>
      <c r="G268" t="s">
        <v>2984</v>
      </c>
      <c r="H268">
        <v>0</v>
      </c>
      <c r="I268" t="s">
        <v>379</v>
      </c>
      <c r="J268">
        <v>14000</v>
      </c>
      <c r="K268">
        <v>1</v>
      </c>
      <c r="L268">
        <v>0</v>
      </c>
      <c r="M268">
        <v>1</v>
      </c>
      <c r="N268"/>
      <c r="O268" t="s">
        <v>3544</v>
      </c>
      <c r="P268" s="33" t="s">
        <v>3567</v>
      </c>
      <c r="Q268" s="37">
        <v>4900</v>
      </c>
      <c r="R268" t="s">
        <v>261</v>
      </c>
      <c r="S268">
        <v>0</v>
      </c>
      <c r="T268">
        <v>0</v>
      </c>
      <c r="U268" s="10">
        <v>43118</v>
      </c>
      <c r="V268" t="s">
        <v>3289</v>
      </c>
      <c r="W268">
        <v>3</v>
      </c>
      <c r="X268" s="10">
        <v>43123</v>
      </c>
      <c r="Y268"/>
      <c r="Z268" s="10"/>
      <c r="AA268"/>
      <c r="AB268"/>
      <c r="AC268"/>
      <c r="AD268"/>
    </row>
    <row r="269" spans="1:30" x14ac:dyDescent="0.4">
      <c r="A269" t="s">
        <v>4196</v>
      </c>
      <c r="B269">
        <v>20180119</v>
      </c>
      <c r="C269">
        <v>8809046298806</v>
      </c>
      <c r="D269" t="s">
        <v>4197</v>
      </c>
      <c r="E269" t="s">
        <v>4198</v>
      </c>
      <c r="F269" t="s">
        <v>152</v>
      </c>
      <c r="G269" t="s">
        <v>4199</v>
      </c>
      <c r="H269">
        <v>0</v>
      </c>
      <c r="I269" t="s">
        <v>379</v>
      </c>
      <c r="J269">
        <v>19000</v>
      </c>
      <c r="K269">
        <v>1</v>
      </c>
      <c r="L269">
        <v>0</v>
      </c>
      <c r="M269">
        <v>1</v>
      </c>
      <c r="N269"/>
      <c r="O269" t="s">
        <v>3544</v>
      </c>
      <c r="P269" s="33">
        <v>0.55000000000000004</v>
      </c>
      <c r="Q269">
        <v>10450</v>
      </c>
      <c r="R269" t="s">
        <v>4200</v>
      </c>
      <c r="S269">
        <v>0</v>
      </c>
      <c r="T269"/>
      <c r="U269" s="10"/>
      <c r="V269"/>
      <c r="W269"/>
      <c r="X269" s="10"/>
      <c r="Y269"/>
      <c r="Z269" s="10"/>
      <c r="AA269"/>
      <c r="AB269"/>
      <c r="AC269"/>
      <c r="AD269"/>
    </row>
    <row r="270" spans="1:30" x14ac:dyDescent="0.4">
      <c r="A270" t="s">
        <v>4201</v>
      </c>
      <c r="B270">
        <v>20180119</v>
      </c>
      <c r="C270">
        <v>8809046294662</v>
      </c>
      <c r="D270" t="s">
        <v>3154</v>
      </c>
      <c r="E270" t="s">
        <v>4202</v>
      </c>
      <c r="F270" t="s">
        <v>152</v>
      </c>
      <c r="G270" t="s">
        <v>4203</v>
      </c>
      <c r="H270">
        <v>0</v>
      </c>
      <c r="I270" t="s">
        <v>379</v>
      </c>
      <c r="J270">
        <v>42000</v>
      </c>
      <c r="K270">
        <v>1</v>
      </c>
      <c r="L270">
        <v>0</v>
      </c>
      <c r="M270">
        <v>1</v>
      </c>
      <c r="N270"/>
      <c r="O270" t="s">
        <v>3544</v>
      </c>
      <c r="P270" s="33">
        <v>0.55000000000000004</v>
      </c>
      <c r="Q270">
        <v>23100</v>
      </c>
      <c r="R270" t="s">
        <v>4200</v>
      </c>
      <c r="S270">
        <v>0</v>
      </c>
      <c r="T270">
        <v>0</v>
      </c>
      <c r="U270" s="10"/>
      <c r="V270"/>
      <c r="W270"/>
      <c r="X270" s="10"/>
      <c r="Y270"/>
      <c r="Z270" s="10"/>
      <c r="AA270"/>
      <c r="AB270"/>
      <c r="AC270"/>
      <c r="AD270"/>
    </row>
    <row r="271" spans="1:30" x14ac:dyDescent="0.4">
      <c r="A271" t="s">
        <v>4204</v>
      </c>
      <c r="B271">
        <v>20180119</v>
      </c>
      <c r="C271">
        <v>8809046293825</v>
      </c>
      <c r="D271" t="s">
        <v>4205</v>
      </c>
      <c r="E271" t="s">
        <v>4206</v>
      </c>
      <c r="F271" t="s">
        <v>152</v>
      </c>
      <c r="G271" t="s">
        <v>4207</v>
      </c>
      <c r="H271">
        <v>0</v>
      </c>
      <c r="I271" t="s">
        <v>379</v>
      </c>
      <c r="J271">
        <v>23000</v>
      </c>
      <c r="K271">
        <v>1</v>
      </c>
      <c r="L271">
        <v>0</v>
      </c>
      <c r="M271">
        <v>1</v>
      </c>
      <c r="N271"/>
      <c r="O271" t="s">
        <v>3544</v>
      </c>
      <c r="P271" s="33">
        <v>0.55000000000000004</v>
      </c>
      <c r="Q271">
        <v>12650</v>
      </c>
      <c r="R271" t="s">
        <v>4200</v>
      </c>
      <c r="S271">
        <v>0</v>
      </c>
      <c r="T271"/>
      <c r="U271" s="10"/>
      <c r="V271"/>
      <c r="W271"/>
      <c r="X271" s="10"/>
      <c r="Y271"/>
      <c r="Z271" s="10"/>
      <c r="AA271"/>
      <c r="AB271"/>
      <c r="AC271"/>
      <c r="AD271"/>
    </row>
    <row r="272" spans="1:30" x14ac:dyDescent="0.4">
      <c r="A272" t="s">
        <v>4208</v>
      </c>
      <c r="B272">
        <v>20180119</v>
      </c>
      <c r="C272">
        <v>8809046297915</v>
      </c>
      <c r="D272" t="s">
        <v>3156</v>
      </c>
      <c r="E272" t="s">
        <v>4209</v>
      </c>
      <c r="F272" t="s">
        <v>152</v>
      </c>
      <c r="G272" t="s">
        <v>3157</v>
      </c>
      <c r="H272">
        <v>0</v>
      </c>
      <c r="I272" t="s">
        <v>379</v>
      </c>
      <c r="J272">
        <v>18000</v>
      </c>
      <c r="K272">
        <v>1</v>
      </c>
      <c r="L272">
        <v>0</v>
      </c>
      <c r="M272">
        <v>1</v>
      </c>
      <c r="N272"/>
      <c r="O272" t="s">
        <v>3544</v>
      </c>
      <c r="P272" s="33">
        <v>0.55000000000000004</v>
      </c>
      <c r="Q272">
        <v>9900</v>
      </c>
      <c r="R272" t="s">
        <v>4200</v>
      </c>
      <c r="S272">
        <v>0</v>
      </c>
      <c r="T272">
        <v>0</v>
      </c>
      <c r="U272" s="10"/>
      <c r="V272"/>
      <c r="W272"/>
      <c r="X272" s="10"/>
      <c r="Y272"/>
      <c r="Z272" s="10"/>
      <c r="AA272"/>
      <c r="AB272"/>
      <c r="AC272"/>
      <c r="AD272"/>
    </row>
    <row r="273" spans="1:30" x14ac:dyDescent="0.4">
      <c r="A273" t="s">
        <v>4210</v>
      </c>
      <c r="B273">
        <v>20180119</v>
      </c>
      <c r="C273">
        <v>8806390550888</v>
      </c>
      <c r="D273" t="s">
        <v>2866</v>
      </c>
      <c r="E273" t="s">
        <v>3654</v>
      </c>
      <c r="F273" t="s">
        <v>210</v>
      </c>
      <c r="G273" t="s">
        <v>2867</v>
      </c>
      <c r="H273">
        <v>0</v>
      </c>
      <c r="I273" t="s">
        <v>379</v>
      </c>
      <c r="J273">
        <v>4000</v>
      </c>
      <c r="K273">
        <v>1</v>
      </c>
      <c r="L273">
        <v>0</v>
      </c>
      <c r="M273">
        <v>0</v>
      </c>
      <c r="N273"/>
      <c r="O273" t="s">
        <v>3544</v>
      </c>
      <c r="P273" s="33">
        <v>0.62</v>
      </c>
      <c r="Q273">
        <v>2480</v>
      </c>
      <c r="R273" t="s">
        <v>206</v>
      </c>
      <c r="S273">
        <v>1</v>
      </c>
      <c r="T273">
        <v>1</v>
      </c>
      <c r="U273"/>
      <c r="V273"/>
      <c r="W273"/>
      <c r="X273"/>
      <c r="Y273"/>
      <c r="Z273"/>
      <c r="AA273"/>
      <c r="AB273"/>
      <c r="AC273"/>
      <c r="AD273"/>
    </row>
    <row r="274" spans="1:30" x14ac:dyDescent="0.4">
      <c r="A274" t="s">
        <v>4211</v>
      </c>
      <c r="B274">
        <v>20180119</v>
      </c>
      <c r="C274">
        <v>8809539438580</v>
      </c>
      <c r="D274" t="s">
        <v>2868</v>
      </c>
      <c r="E274"/>
      <c r="F274" t="s">
        <v>210</v>
      </c>
      <c r="G274" t="s">
        <v>2869</v>
      </c>
      <c r="H274">
        <v>0</v>
      </c>
      <c r="I274" t="s">
        <v>379</v>
      </c>
      <c r="J274">
        <v>3500</v>
      </c>
      <c r="K274">
        <v>1</v>
      </c>
      <c r="L274">
        <v>0</v>
      </c>
      <c r="M274">
        <v>0</v>
      </c>
      <c r="N274"/>
      <c r="O274" t="s">
        <v>3544</v>
      </c>
      <c r="P274" s="33">
        <v>0.62</v>
      </c>
      <c r="Q274">
        <v>2170</v>
      </c>
      <c r="R274" t="s">
        <v>206</v>
      </c>
      <c r="S274">
        <v>1</v>
      </c>
      <c r="T274">
        <v>1</v>
      </c>
      <c r="U274"/>
      <c r="V274"/>
      <c r="W274"/>
      <c r="X274"/>
      <c r="Y274"/>
      <c r="Z274"/>
      <c r="AA274"/>
      <c r="AB274"/>
      <c r="AC274"/>
      <c r="AD274"/>
    </row>
    <row r="275" spans="1:30" x14ac:dyDescent="0.4">
      <c r="A275" t="s">
        <v>4212</v>
      </c>
      <c r="B275">
        <v>20180119</v>
      </c>
      <c r="C275">
        <v>8809516536452</v>
      </c>
      <c r="D275" t="s">
        <v>1655</v>
      </c>
      <c r="E275" t="s">
        <v>721</v>
      </c>
      <c r="F275" t="s">
        <v>210</v>
      </c>
      <c r="G275" t="s">
        <v>1656</v>
      </c>
      <c r="H275">
        <v>0</v>
      </c>
      <c r="I275" t="s">
        <v>379</v>
      </c>
      <c r="J275">
        <v>8000</v>
      </c>
      <c r="K275">
        <v>1</v>
      </c>
      <c r="L275">
        <v>0</v>
      </c>
      <c r="M275">
        <v>0</v>
      </c>
      <c r="N275"/>
      <c r="O275" t="s">
        <v>3544</v>
      </c>
      <c r="P275" s="33">
        <v>0.62</v>
      </c>
      <c r="Q275">
        <v>4960</v>
      </c>
      <c r="R275" t="s">
        <v>206</v>
      </c>
      <c r="S275">
        <v>1</v>
      </c>
      <c r="T275">
        <v>1</v>
      </c>
      <c r="U275"/>
      <c r="V275"/>
      <c r="W275"/>
      <c r="X275"/>
      <c r="Y275"/>
      <c r="Z275"/>
      <c r="AA275"/>
      <c r="AB275"/>
      <c r="AC275"/>
      <c r="AD275"/>
    </row>
    <row r="276" spans="1:30" x14ac:dyDescent="0.4">
      <c r="A276" t="s">
        <v>4213</v>
      </c>
      <c r="B276">
        <v>20180119</v>
      </c>
      <c r="C276">
        <v>8809539432786</v>
      </c>
      <c r="D276" t="s">
        <v>2870</v>
      </c>
      <c r="E276" t="s">
        <v>3771</v>
      </c>
      <c r="F276" t="s">
        <v>210</v>
      </c>
      <c r="G276" t="s">
        <v>2871</v>
      </c>
      <c r="H276">
        <v>0</v>
      </c>
      <c r="I276" t="s">
        <v>379</v>
      </c>
      <c r="J276">
        <v>3500</v>
      </c>
      <c r="K276">
        <v>2</v>
      </c>
      <c r="L276">
        <v>1</v>
      </c>
      <c r="M276">
        <v>0</v>
      </c>
      <c r="N276"/>
      <c r="O276" t="s">
        <v>3544</v>
      </c>
      <c r="P276" s="33">
        <v>0.62</v>
      </c>
      <c r="Q276">
        <v>2170</v>
      </c>
      <c r="R276" t="s">
        <v>206</v>
      </c>
      <c r="S276">
        <v>2</v>
      </c>
      <c r="T276">
        <v>1</v>
      </c>
      <c r="U276"/>
      <c r="V276"/>
      <c r="W276"/>
      <c r="X276"/>
      <c r="Y276"/>
      <c r="Z276"/>
      <c r="AA276"/>
      <c r="AB276"/>
      <c r="AC276"/>
      <c r="AD276"/>
    </row>
    <row r="277" spans="1:30" x14ac:dyDescent="0.4">
      <c r="A277" t="s">
        <v>4214</v>
      </c>
      <c r="B277">
        <v>20180119</v>
      </c>
      <c r="C277">
        <v>8806390554374</v>
      </c>
      <c r="D277" t="s">
        <v>4215</v>
      </c>
      <c r="E277" t="s">
        <v>4216</v>
      </c>
      <c r="F277" t="s">
        <v>210</v>
      </c>
      <c r="G277" t="s">
        <v>4217</v>
      </c>
      <c r="H277">
        <v>0</v>
      </c>
      <c r="I277" t="s">
        <v>379</v>
      </c>
      <c r="J277">
        <v>5500</v>
      </c>
      <c r="K277">
        <v>1</v>
      </c>
      <c r="L277">
        <v>0</v>
      </c>
      <c r="M277">
        <v>1</v>
      </c>
      <c r="N277"/>
      <c r="O277" t="s">
        <v>3544</v>
      </c>
      <c r="P277" s="33">
        <v>0.62</v>
      </c>
      <c r="Q277">
        <v>3410</v>
      </c>
      <c r="R277" t="s">
        <v>206</v>
      </c>
      <c r="S277">
        <v>0</v>
      </c>
      <c r="T277"/>
      <c r="U277" s="10"/>
      <c r="V277"/>
      <c r="W277"/>
      <c r="X277" s="10"/>
      <c r="Y277"/>
      <c r="Z277" s="10"/>
      <c r="AA277"/>
      <c r="AB277"/>
      <c r="AC277"/>
      <c r="AD277"/>
    </row>
    <row r="278" spans="1:30" x14ac:dyDescent="0.4">
      <c r="A278" t="s">
        <v>4218</v>
      </c>
      <c r="B278">
        <v>20180119</v>
      </c>
      <c r="C278">
        <v>8809539457826</v>
      </c>
      <c r="D278" t="s">
        <v>4219</v>
      </c>
      <c r="E278" t="s">
        <v>1265</v>
      </c>
      <c r="F278" t="s">
        <v>210</v>
      </c>
      <c r="G278" t="s">
        <v>4220</v>
      </c>
      <c r="H278">
        <v>0</v>
      </c>
      <c r="I278" t="s">
        <v>379</v>
      </c>
      <c r="J278">
        <v>7000</v>
      </c>
      <c r="K278">
        <v>3</v>
      </c>
      <c r="L278">
        <v>0</v>
      </c>
      <c r="M278">
        <v>3</v>
      </c>
      <c r="N278"/>
      <c r="O278" t="s">
        <v>3544</v>
      </c>
      <c r="P278" s="33">
        <v>0.62</v>
      </c>
      <c r="Q278">
        <v>4340</v>
      </c>
      <c r="R278" t="s">
        <v>206</v>
      </c>
      <c r="S278">
        <v>0</v>
      </c>
      <c r="T278"/>
      <c r="U278" s="10"/>
      <c r="V278"/>
      <c r="W278"/>
      <c r="X278" s="10"/>
      <c r="Y278"/>
      <c r="Z278" s="10"/>
      <c r="AA278"/>
      <c r="AB278"/>
      <c r="AC278"/>
      <c r="AD278"/>
    </row>
    <row r="279" spans="1:30" x14ac:dyDescent="0.4">
      <c r="A279" t="s">
        <v>4221</v>
      </c>
      <c r="B279">
        <v>20180119</v>
      </c>
      <c r="C279" s="36">
        <v>16483320000</v>
      </c>
      <c r="D279" t="s">
        <v>2874</v>
      </c>
      <c r="E279"/>
      <c r="F279" t="s">
        <v>210</v>
      </c>
      <c r="G279" t="s">
        <v>2875</v>
      </c>
      <c r="H279">
        <v>0</v>
      </c>
      <c r="I279" t="s">
        <v>379</v>
      </c>
      <c r="J279">
        <v>9000</v>
      </c>
      <c r="K279">
        <v>1</v>
      </c>
      <c r="L279">
        <v>0</v>
      </c>
      <c r="M279">
        <v>0</v>
      </c>
      <c r="N279"/>
      <c r="O279" t="s">
        <v>3544</v>
      </c>
      <c r="P279" s="33">
        <v>0.62</v>
      </c>
      <c r="Q279">
        <v>5580</v>
      </c>
      <c r="R279" t="s">
        <v>206</v>
      </c>
      <c r="S279">
        <v>1</v>
      </c>
      <c r="T279">
        <v>1</v>
      </c>
      <c r="U279"/>
      <c r="V279"/>
      <c r="W279"/>
      <c r="X279"/>
      <c r="Y279"/>
      <c r="Z279"/>
      <c r="AA279"/>
      <c r="AB279"/>
      <c r="AC279"/>
      <c r="AD279"/>
    </row>
    <row r="280" spans="1:30" x14ac:dyDescent="0.4">
      <c r="A280" t="s">
        <v>4222</v>
      </c>
      <c r="B280">
        <v>20180119</v>
      </c>
      <c r="C280">
        <v>8801042677944</v>
      </c>
      <c r="D280" t="s">
        <v>841</v>
      </c>
      <c r="E280" t="s">
        <v>850</v>
      </c>
      <c r="F280" t="s">
        <v>210</v>
      </c>
      <c r="G280" t="s">
        <v>842</v>
      </c>
      <c r="H280">
        <v>0</v>
      </c>
      <c r="I280" t="s">
        <v>379</v>
      </c>
      <c r="J280">
        <v>18000</v>
      </c>
      <c r="K280">
        <v>1</v>
      </c>
      <c r="L280">
        <v>0</v>
      </c>
      <c r="M280">
        <v>1</v>
      </c>
      <c r="N280"/>
      <c r="O280" t="s">
        <v>3544</v>
      </c>
      <c r="P280" s="33">
        <v>0.62</v>
      </c>
      <c r="Q280">
        <v>11160</v>
      </c>
      <c r="R280" t="s">
        <v>206</v>
      </c>
      <c r="S280">
        <v>0</v>
      </c>
      <c r="T280"/>
      <c r="U280" s="10"/>
      <c r="V280"/>
      <c r="W280"/>
      <c r="X280" s="10"/>
      <c r="Y280"/>
      <c r="Z280" s="10"/>
      <c r="AA280"/>
      <c r="AB280"/>
      <c r="AC280"/>
      <c r="AD280"/>
    </row>
    <row r="281" spans="1:30" x14ac:dyDescent="0.4">
      <c r="A281" t="s">
        <v>4223</v>
      </c>
      <c r="B281">
        <v>20180119</v>
      </c>
      <c r="C281">
        <v>8801042677951</v>
      </c>
      <c r="D281" t="s">
        <v>1338</v>
      </c>
      <c r="E281" t="s">
        <v>1346</v>
      </c>
      <c r="F281" t="s">
        <v>210</v>
      </c>
      <c r="G281" t="s">
        <v>1339</v>
      </c>
      <c r="H281">
        <v>0</v>
      </c>
      <c r="I281" t="s">
        <v>379</v>
      </c>
      <c r="J281">
        <v>18000</v>
      </c>
      <c r="K281">
        <v>6</v>
      </c>
      <c r="L281">
        <v>1</v>
      </c>
      <c r="M281">
        <v>3</v>
      </c>
      <c r="N281"/>
      <c r="O281" t="s">
        <v>3544</v>
      </c>
      <c r="P281" s="33">
        <v>0.62</v>
      </c>
      <c r="Q281">
        <v>11160</v>
      </c>
      <c r="R281" t="s">
        <v>206</v>
      </c>
      <c r="S281">
        <v>3</v>
      </c>
      <c r="T281">
        <v>2</v>
      </c>
      <c r="U281" s="10"/>
      <c r="V281"/>
      <c r="W281"/>
      <c r="X281" s="10"/>
      <c r="Y281"/>
      <c r="Z281" s="10"/>
      <c r="AA281"/>
      <c r="AB281"/>
      <c r="AC281"/>
      <c r="AD281"/>
    </row>
    <row r="282" spans="1:30" x14ac:dyDescent="0.4">
      <c r="A282" t="s">
        <v>4224</v>
      </c>
      <c r="B282">
        <v>20180119</v>
      </c>
      <c r="C282">
        <v>8806390567916</v>
      </c>
      <c r="D282" t="s">
        <v>4225</v>
      </c>
      <c r="E282" t="s">
        <v>4226</v>
      </c>
      <c r="F282" t="s">
        <v>210</v>
      </c>
      <c r="G282" t="s">
        <v>4227</v>
      </c>
      <c r="H282">
        <v>0</v>
      </c>
      <c r="I282" t="s">
        <v>379</v>
      </c>
      <c r="J282">
        <v>6000</v>
      </c>
      <c r="K282">
        <v>1</v>
      </c>
      <c r="L282">
        <v>0</v>
      </c>
      <c r="M282">
        <v>1</v>
      </c>
      <c r="N282"/>
      <c r="O282" t="s">
        <v>3544</v>
      </c>
      <c r="P282" s="33">
        <v>0.62</v>
      </c>
      <c r="Q282">
        <v>3720</v>
      </c>
      <c r="R282" t="s">
        <v>206</v>
      </c>
      <c r="S282">
        <v>0</v>
      </c>
      <c r="T282"/>
      <c r="U282" s="10"/>
      <c r="V282"/>
      <c r="W282"/>
      <c r="X282" s="10"/>
      <c r="Y282"/>
      <c r="Z282" s="10"/>
      <c r="AA282"/>
      <c r="AB282"/>
      <c r="AC282"/>
      <c r="AD282"/>
    </row>
    <row r="283" spans="1:30" x14ac:dyDescent="0.4">
      <c r="A283" t="s">
        <v>4228</v>
      </c>
      <c r="B283">
        <v>20180119</v>
      </c>
      <c r="C283">
        <v>8806390567480</v>
      </c>
      <c r="D283" t="s">
        <v>4229</v>
      </c>
      <c r="E283"/>
      <c r="F283" t="s">
        <v>210</v>
      </c>
      <c r="G283" t="s">
        <v>4230</v>
      </c>
      <c r="H283">
        <v>0</v>
      </c>
      <c r="I283" t="s">
        <v>379</v>
      </c>
      <c r="J283">
        <v>7000</v>
      </c>
      <c r="K283">
        <v>1</v>
      </c>
      <c r="L283">
        <v>0</v>
      </c>
      <c r="M283">
        <v>1</v>
      </c>
      <c r="N283"/>
      <c r="O283" t="s">
        <v>3544</v>
      </c>
      <c r="P283" s="33">
        <v>0.62</v>
      </c>
      <c r="Q283">
        <v>4340</v>
      </c>
      <c r="R283" t="s">
        <v>206</v>
      </c>
      <c r="S283">
        <v>0</v>
      </c>
      <c r="T283"/>
      <c r="U283" s="10"/>
      <c r="V283"/>
      <c r="W283"/>
      <c r="X283" s="10"/>
      <c r="Y283"/>
      <c r="Z283" s="10"/>
      <c r="AA283"/>
      <c r="AB283"/>
      <c r="AC283"/>
      <c r="AD283"/>
    </row>
    <row r="284" spans="1:30" x14ac:dyDescent="0.4">
      <c r="A284" t="s">
        <v>4231</v>
      </c>
      <c r="B284">
        <v>20180119</v>
      </c>
      <c r="C284">
        <v>8809516827536</v>
      </c>
      <c r="D284" t="s">
        <v>4232</v>
      </c>
      <c r="E284" t="s">
        <v>4233</v>
      </c>
      <c r="F284" t="s">
        <v>210</v>
      </c>
      <c r="G284" t="s">
        <v>4234</v>
      </c>
      <c r="H284">
        <v>0</v>
      </c>
      <c r="I284" t="s">
        <v>379</v>
      </c>
      <c r="J284">
        <v>6000</v>
      </c>
      <c r="K284">
        <v>1</v>
      </c>
      <c r="L284">
        <v>0</v>
      </c>
      <c r="M284">
        <v>1</v>
      </c>
      <c r="N284"/>
      <c r="O284" t="s">
        <v>3544</v>
      </c>
      <c r="P284" s="33">
        <v>0.62</v>
      </c>
      <c r="Q284">
        <v>3720</v>
      </c>
      <c r="R284" t="s">
        <v>206</v>
      </c>
      <c r="S284">
        <v>0</v>
      </c>
      <c r="T284"/>
      <c r="U284" s="10"/>
      <c r="V284"/>
      <c r="W284"/>
      <c r="X284" s="10"/>
      <c r="Y284"/>
      <c r="Z284" s="10"/>
      <c r="AA284"/>
      <c r="AB284"/>
      <c r="AC284"/>
      <c r="AD284"/>
    </row>
    <row r="285" spans="1:30" x14ac:dyDescent="0.4">
      <c r="A285" t="s">
        <v>4235</v>
      </c>
      <c r="B285">
        <v>20180119</v>
      </c>
      <c r="C285">
        <v>8809516848982</v>
      </c>
      <c r="D285" t="s">
        <v>4236</v>
      </c>
      <c r="E285" t="s">
        <v>4237</v>
      </c>
      <c r="F285" t="s">
        <v>210</v>
      </c>
      <c r="G285" t="s">
        <v>4238</v>
      </c>
      <c r="H285">
        <v>0</v>
      </c>
      <c r="I285" t="s">
        <v>379</v>
      </c>
      <c r="J285">
        <v>6000</v>
      </c>
      <c r="K285">
        <v>1</v>
      </c>
      <c r="L285">
        <v>0</v>
      </c>
      <c r="M285">
        <v>1</v>
      </c>
      <c r="N285"/>
      <c r="O285" t="s">
        <v>3544</v>
      </c>
      <c r="P285" s="33">
        <v>0.62</v>
      </c>
      <c r="Q285">
        <v>3720</v>
      </c>
      <c r="R285" t="s">
        <v>206</v>
      </c>
      <c r="S285">
        <v>0</v>
      </c>
      <c r="T285"/>
      <c r="U285" s="10"/>
      <c r="V285"/>
      <c r="W285"/>
      <c r="X285" s="10"/>
      <c r="Y285"/>
      <c r="Z285" s="10"/>
      <c r="AA285"/>
      <c r="AB285"/>
      <c r="AC285"/>
      <c r="AD285"/>
    </row>
    <row r="286" spans="1:30" x14ac:dyDescent="0.4">
      <c r="A286" t="s">
        <v>4239</v>
      </c>
      <c r="B286">
        <v>20180119</v>
      </c>
      <c r="C286">
        <v>8809516827543</v>
      </c>
      <c r="D286" t="s">
        <v>4240</v>
      </c>
      <c r="E286" t="s">
        <v>4241</v>
      </c>
      <c r="F286" t="s">
        <v>210</v>
      </c>
      <c r="G286" t="s">
        <v>4242</v>
      </c>
      <c r="H286">
        <v>0</v>
      </c>
      <c r="I286" t="s">
        <v>379</v>
      </c>
      <c r="J286">
        <v>8000</v>
      </c>
      <c r="K286">
        <v>1</v>
      </c>
      <c r="L286">
        <v>0</v>
      </c>
      <c r="M286">
        <v>1</v>
      </c>
      <c r="N286"/>
      <c r="O286" t="s">
        <v>3544</v>
      </c>
      <c r="P286" s="33">
        <v>0.62</v>
      </c>
      <c r="Q286">
        <v>4960</v>
      </c>
      <c r="R286" t="s">
        <v>206</v>
      </c>
      <c r="S286">
        <v>0</v>
      </c>
      <c r="T286"/>
      <c r="U286" s="10"/>
      <c r="V286"/>
      <c r="W286"/>
      <c r="X286" s="10"/>
      <c r="Y286"/>
      <c r="Z286" s="10"/>
      <c r="AA286"/>
      <c r="AB286"/>
      <c r="AC286"/>
      <c r="AD286"/>
    </row>
    <row r="287" spans="1:30" x14ac:dyDescent="0.4">
      <c r="A287" t="s">
        <v>4243</v>
      </c>
      <c r="B287">
        <v>20180119</v>
      </c>
      <c r="C287">
        <v>8809516827550</v>
      </c>
      <c r="D287" t="s">
        <v>4244</v>
      </c>
      <c r="E287" t="s">
        <v>4245</v>
      </c>
      <c r="F287" t="s">
        <v>210</v>
      </c>
      <c r="G287" t="s">
        <v>4246</v>
      </c>
      <c r="H287">
        <v>0</v>
      </c>
      <c r="I287" t="s">
        <v>379</v>
      </c>
      <c r="J287">
        <v>8000</v>
      </c>
      <c r="K287">
        <v>1</v>
      </c>
      <c r="L287">
        <v>0</v>
      </c>
      <c r="M287">
        <v>1</v>
      </c>
      <c r="N287"/>
      <c r="O287" t="s">
        <v>3544</v>
      </c>
      <c r="P287" s="33">
        <v>0.62</v>
      </c>
      <c r="Q287">
        <v>4960</v>
      </c>
      <c r="R287" t="s">
        <v>206</v>
      </c>
      <c r="S287">
        <v>0</v>
      </c>
      <c r="T287"/>
      <c r="U287" s="10"/>
      <c r="V287"/>
      <c r="W287"/>
      <c r="X287" s="10"/>
      <c r="Y287"/>
      <c r="Z287" s="10"/>
      <c r="AA287"/>
      <c r="AB287"/>
      <c r="AC287"/>
      <c r="AD287"/>
    </row>
    <row r="288" spans="1:30" x14ac:dyDescent="0.4">
      <c r="A288" t="s">
        <v>4247</v>
      </c>
      <c r="B288">
        <v>20180119</v>
      </c>
      <c r="C288">
        <v>8809539429588</v>
      </c>
      <c r="D288" t="s">
        <v>2477</v>
      </c>
      <c r="E288" t="s">
        <v>2486</v>
      </c>
      <c r="F288" t="s">
        <v>210</v>
      </c>
      <c r="G288" t="s">
        <v>2478</v>
      </c>
      <c r="H288">
        <v>0</v>
      </c>
      <c r="I288" t="s">
        <v>379</v>
      </c>
      <c r="J288">
        <v>7000</v>
      </c>
      <c r="K288">
        <v>1</v>
      </c>
      <c r="L288">
        <v>0</v>
      </c>
      <c r="M288">
        <v>1</v>
      </c>
      <c r="N288"/>
      <c r="O288" t="s">
        <v>3544</v>
      </c>
      <c r="P288" s="33">
        <v>0.62</v>
      </c>
      <c r="Q288">
        <v>4340</v>
      </c>
      <c r="R288" t="s">
        <v>206</v>
      </c>
      <c r="S288">
        <v>0</v>
      </c>
      <c r="T288"/>
      <c r="U288" s="10"/>
      <c r="V288"/>
      <c r="W288"/>
      <c r="X288" s="10"/>
      <c r="Y288"/>
      <c r="Z288" s="10"/>
      <c r="AA288"/>
      <c r="AB288"/>
      <c r="AC288"/>
      <c r="AD288"/>
    </row>
    <row r="289" spans="1:30" x14ac:dyDescent="0.4">
      <c r="A289" t="s">
        <v>4248</v>
      </c>
      <c r="B289">
        <v>20180119</v>
      </c>
      <c r="C289">
        <v>8801042785328</v>
      </c>
      <c r="D289" t="s">
        <v>2876</v>
      </c>
      <c r="E289" t="s">
        <v>1084</v>
      </c>
      <c r="F289" t="s">
        <v>210</v>
      </c>
      <c r="G289" t="s">
        <v>2877</v>
      </c>
      <c r="H289">
        <v>1</v>
      </c>
      <c r="I289" t="s">
        <v>379</v>
      </c>
      <c r="J289">
        <v>1000</v>
      </c>
      <c r="K289">
        <v>1</v>
      </c>
      <c r="L289">
        <v>0</v>
      </c>
      <c r="M289">
        <v>0</v>
      </c>
      <c r="N289"/>
      <c r="O289" s="35" t="s">
        <v>3550</v>
      </c>
      <c r="P289" s="33">
        <v>0.62</v>
      </c>
      <c r="Q289">
        <v>620</v>
      </c>
      <c r="R289" t="s">
        <v>206</v>
      </c>
      <c r="S289">
        <v>1</v>
      </c>
      <c r="T289">
        <v>1</v>
      </c>
      <c r="U289"/>
      <c r="V289"/>
      <c r="W289"/>
      <c r="X289"/>
      <c r="Y289"/>
      <c r="Z289"/>
      <c r="AA289"/>
      <c r="AB289"/>
      <c r="AC289"/>
      <c r="AD289"/>
    </row>
    <row r="290" spans="1:30" x14ac:dyDescent="0.4">
      <c r="A290" t="s">
        <v>4249</v>
      </c>
      <c r="B290">
        <v>20180119</v>
      </c>
      <c r="C290">
        <v>8801042785243</v>
      </c>
      <c r="D290" t="s">
        <v>2878</v>
      </c>
      <c r="E290" t="s">
        <v>4250</v>
      </c>
      <c r="F290" t="s">
        <v>210</v>
      </c>
      <c r="G290" t="s">
        <v>2879</v>
      </c>
      <c r="H290">
        <v>1</v>
      </c>
      <c r="I290" t="s">
        <v>379</v>
      </c>
      <c r="J290">
        <v>1000</v>
      </c>
      <c r="K290">
        <v>2</v>
      </c>
      <c r="L290">
        <v>0</v>
      </c>
      <c r="M290">
        <v>1</v>
      </c>
      <c r="N290"/>
      <c r="O290" s="35" t="s">
        <v>3550</v>
      </c>
      <c r="P290" s="33">
        <v>0.62</v>
      </c>
      <c r="Q290">
        <v>620</v>
      </c>
      <c r="R290" t="s">
        <v>206</v>
      </c>
      <c r="S290">
        <v>1</v>
      </c>
      <c r="T290">
        <v>1</v>
      </c>
      <c r="U290" s="10"/>
      <c r="V290"/>
      <c r="W290"/>
      <c r="X290" s="10"/>
      <c r="Y290"/>
      <c r="Z290" s="10"/>
      <c r="AA290"/>
      <c r="AB290"/>
      <c r="AC290"/>
      <c r="AD290"/>
    </row>
    <row r="291" spans="1:30" x14ac:dyDescent="0.4">
      <c r="A291" t="s">
        <v>4251</v>
      </c>
      <c r="B291">
        <v>20180119</v>
      </c>
      <c r="C291">
        <v>8801042551527</v>
      </c>
      <c r="D291" t="s">
        <v>4252</v>
      </c>
      <c r="E291" t="s">
        <v>4253</v>
      </c>
      <c r="F291" t="s">
        <v>210</v>
      </c>
      <c r="G291" t="s">
        <v>4254</v>
      </c>
      <c r="H291">
        <v>1</v>
      </c>
      <c r="I291" t="s">
        <v>379</v>
      </c>
      <c r="J291">
        <v>1000</v>
      </c>
      <c r="K291">
        <v>1</v>
      </c>
      <c r="L291">
        <v>0</v>
      </c>
      <c r="M291">
        <v>1</v>
      </c>
      <c r="N291"/>
      <c r="O291" t="s">
        <v>3544</v>
      </c>
      <c r="P291" s="33">
        <v>0.62</v>
      </c>
      <c r="Q291">
        <v>620</v>
      </c>
      <c r="R291" t="s">
        <v>206</v>
      </c>
      <c r="S291">
        <v>0</v>
      </c>
      <c r="T291"/>
      <c r="U291" s="10"/>
      <c r="V291"/>
      <c r="W291"/>
      <c r="X291" s="10"/>
      <c r="Y291"/>
      <c r="Z291" s="10"/>
      <c r="AA291"/>
      <c r="AB291"/>
      <c r="AC291"/>
      <c r="AD291"/>
    </row>
    <row r="292" spans="1:30" x14ac:dyDescent="0.4">
      <c r="A292" t="s">
        <v>4255</v>
      </c>
      <c r="B292">
        <v>20180119</v>
      </c>
      <c r="C292">
        <v>8801042551534</v>
      </c>
      <c r="D292" t="s">
        <v>2880</v>
      </c>
      <c r="E292" t="s">
        <v>4133</v>
      </c>
      <c r="F292" t="s">
        <v>210</v>
      </c>
      <c r="G292" t="s">
        <v>2881</v>
      </c>
      <c r="H292">
        <v>0</v>
      </c>
      <c r="I292" t="s">
        <v>379</v>
      </c>
      <c r="J292">
        <v>1000</v>
      </c>
      <c r="K292">
        <v>1</v>
      </c>
      <c r="L292">
        <v>0</v>
      </c>
      <c r="M292">
        <v>0</v>
      </c>
      <c r="N292"/>
      <c r="O292" t="s">
        <v>3544</v>
      </c>
      <c r="P292" s="33">
        <v>0.62</v>
      </c>
      <c r="Q292">
        <v>620</v>
      </c>
      <c r="R292" t="s">
        <v>206</v>
      </c>
      <c r="S292">
        <v>1</v>
      </c>
      <c r="T292">
        <v>1</v>
      </c>
      <c r="U292"/>
      <c r="V292"/>
      <c r="W292"/>
      <c r="X292"/>
      <c r="Y292"/>
      <c r="Z292"/>
      <c r="AA292"/>
      <c r="AB292"/>
      <c r="AC292"/>
      <c r="AD292"/>
    </row>
    <row r="293" spans="1:30" x14ac:dyDescent="0.4">
      <c r="A293" t="s">
        <v>4256</v>
      </c>
      <c r="B293">
        <v>20180119</v>
      </c>
      <c r="C293">
        <v>8806390516563</v>
      </c>
      <c r="D293" t="s">
        <v>2882</v>
      </c>
      <c r="E293"/>
      <c r="F293" t="s">
        <v>211</v>
      </c>
      <c r="G293" t="s">
        <v>2883</v>
      </c>
      <c r="H293">
        <v>0</v>
      </c>
      <c r="I293" t="s">
        <v>379</v>
      </c>
      <c r="J293">
        <v>42000</v>
      </c>
      <c r="K293">
        <v>2</v>
      </c>
      <c r="L293">
        <v>0</v>
      </c>
      <c r="M293">
        <v>0</v>
      </c>
      <c r="N293"/>
      <c r="O293" t="s">
        <v>3544</v>
      </c>
      <c r="P293" s="33">
        <v>0.62</v>
      </c>
      <c r="Q293">
        <v>26040</v>
      </c>
      <c r="R293" t="s">
        <v>206</v>
      </c>
      <c r="S293">
        <v>2</v>
      </c>
      <c r="T293">
        <v>2</v>
      </c>
      <c r="U293"/>
      <c r="V293"/>
      <c r="W293"/>
      <c r="X293"/>
      <c r="Y293"/>
      <c r="Z293"/>
      <c r="AA293"/>
      <c r="AB293"/>
      <c r="AC293"/>
      <c r="AD293"/>
    </row>
    <row r="294" spans="1:30" x14ac:dyDescent="0.4">
      <c r="A294" t="s">
        <v>4257</v>
      </c>
      <c r="B294">
        <v>20180119</v>
      </c>
      <c r="C294">
        <v>8809516820131</v>
      </c>
      <c r="D294" t="s">
        <v>2884</v>
      </c>
      <c r="E294" t="s">
        <v>3988</v>
      </c>
      <c r="F294" t="s">
        <v>211</v>
      </c>
      <c r="G294" t="s">
        <v>2885</v>
      </c>
      <c r="H294">
        <v>0</v>
      </c>
      <c r="I294" t="s">
        <v>379</v>
      </c>
      <c r="J294">
        <v>29000</v>
      </c>
      <c r="K294">
        <v>1</v>
      </c>
      <c r="L294">
        <v>0</v>
      </c>
      <c r="M294">
        <v>0</v>
      </c>
      <c r="N294"/>
      <c r="O294" t="s">
        <v>3544</v>
      </c>
      <c r="P294" s="33">
        <v>0.62</v>
      </c>
      <c r="Q294">
        <v>17980</v>
      </c>
      <c r="R294" t="s">
        <v>206</v>
      </c>
      <c r="S294">
        <v>1</v>
      </c>
      <c r="T294">
        <v>1</v>
      </c>
      <c r="U294"/>
      <c r="V294"/>
      <c r="W294"/>
      <c r="X294"/>
      <c r="Y294"/>
      <c r="Z294"/>
      <c r="AA294"/>
      <c r="AB294"/>
      <c r="AC294"/>
      <c r="AD294"/>
    </row>
    <row r="295" spans="1:30" x14ac:dyDescent="0.4">
      <c r="A295" t="s">
        <v>4258</v>
      </c>
      <c r="B295">
        <v>20180119</v>
      </c>
      <c r="C295">
        <v>8801042706057</v>
      </c>
      <c r="D295" t="s">
        <v>2886</v>
      </c>
      <c r="E295" t="s">
        <v>4259</v>
      </c>
      <c r="F295" t="s">
        <v>211</v>
      </c>
      <c r="G295" t="s">
        <v>2887</v>
      </c>
      <c r="H295">
        <v>0</v>
      </c>
      <c r="I295" t="s">
        <v>379</v>
      </c>
      <c r="J295">
        <v>20000</v>
      </c>
      <c r="K295">
        <v>2</v>
      </c>
      <c r="L295">
        <v>1</v>
      </c>
      <c r="M295">
        <v>0</v>
      </c>
      <c r="N295"/>
      <c r="O295" t="s">
        <v>3544</v>
      </c>
      <c r="P295" s="33">
        <v>0.62</v>
      </c>
      <c r="Q295">
        <v>12400</v>
      </c>
      <c r="R295" t="s">
        <v>206</v>
      </c>
      <c r="S295">
        <v>2</v>
      </c>
      <c r="T295">
        <v>1</v>
      </c>
      <c r="U295"/>
      <c r="V295"/>
      <c r="W295"/>
      <c r="X295"/>
      <c r="Y295"/>
      <c r="Z295"/>
      <c r="AA295"/>
      <c r="AB295"/>
      <c r="AC295"/>
      <c r="AD295"/>
    </row>
    <row r="296" spans="1:30" x14ac:dyDescent="0.4">
      <c r="A296" t="s">
        <v>4260</v>
      </c>
      <c r="B296">
        <v>20180119</v>
      </c>
      <c r="C296">
        <v>8806390526968</v>
      </c>
      <c r="D296" t="s">
        <v>2888</v>
      </c>
      <c r="E296" t="s">
        <v>1834</v>
      </c>
      <c r="F296" t="s">
        <v>211</v>
      </c>
      <c r="G296" t="s">
        <v>2889</v>
      </c>
      <c r="H296">
        <v>0</v>
      </c>
      <c r="I296" t="s">
        <v>379</v>
      </c>
      <c r="J296">
        <v>42000</v>
      </c>
      <c r="K296">
        <v>4</v>
      </c>
      <c r="L296">
        <v>0</v>
      </c>
      <c r="M296">
        <v>-1</v>
      </c>
      <c r="N296"/>
      <c r="O296" t="s">
        <v>3544</v>
      </c>
      <c r="P296" s="33">
        <v>0.62</v>
      </c>
      <c r="Q296">
        <v>26040</v>
      </c>
      <c r="R296" t="s">
        <v>206</v>
      </c>
      <c r="S296">
        <v>5</v>
      </c>
      <c r="T296">
        <v>5</v>
      </c>
      <c r="U296">
        <v>43118</v>
      </c>
      <c r="V296" t="s">
        <v>3289</v>
      </c>
      <c r="W296">
        <v>1</v>
      </c>
      <c r="X296">
        <v>43120</v>
      </c>
      <c r="Y296"/>
      <c r="Z296"/>
      <c r="AA296"/>
      <c r="AB296"/>
      <c r="AC296"/>
      <c r="AD296"/>
    </row>
    <row r="297" spans="1:30" x14ac:dyDescent="0.4">
      <c r="A297" t="s">
        <v>4261</v>
      </c>
      <c r="B297">
        <v>20180119</v>
      </c>
      <c r="C297">
        <v>8806390504966</v>
      </c>
      <c r="D297" t="s">
        <v>2890</v>
      </c>
      <c r="E297" t="s">
        <v>1892</v>
      </c>
      <c r="F297" t="s">
        <v>211</v>
      </c>
      <c r="G297" t="s">
        <v>2891</v>
      </c>
      <c r="H297">
        <v>0</v>
      </c>
      <c r="I297" t="s">
        <v>379</v>
      </c>
      <c r="J297">
        <v>22000</v>
      </c>
      <c r="K297">
        <v>1</v>
      </c>
      <c r="L297">
        <v>0</v>
      </c>
      <c r="M297">
        <v>0</v>
      </c>
      <c r="N297"/>
      <c r="O297" t="s">
        <v>3544</v>
      </c>
      <c r="P297" s="33">
        <v>0.62</v>
      </c>
      <c r="Q297">
        <v>13640</v>
      </c>
      <c r="R297" t="s">
        <v>206</v>
      </c>
      <c r="S297">
        <v>1</v>
      </c>
      <c r="T297">
        <v>1</v>
      </c>
      <c r="U297"/>
      <c r="V297"/>
      <c r="W297"/>
      <c r="X297"/>
      <c r="Y297"/>
      <c r="Z297"/>
      <c r="AA297"/>
      <c r="AB297"/>
      <c r="AC297"/>
      <c r="AD297"/>
    </row>
    <row r="298" spans="1:30" x14ac:dyDescent="0.4">
      <c r="A298" t="s">
        <v>4262</v>
      </c>
      <c r="B298">
        <v>20180119</v>
      </c>
      <c r="C298">
        <v>8809516838686</v>
      </c>
      <c r="D298" t="s">
        <v>4263</v>
      </c>
      <c r="E298" t="s">
        <v>3771</v>
      </c>
      <c r="F298" t="s">
        <v>211</v>
      </c>
      <c r="G298" t="s">
        <v>4264</v>
      </c>
      <c r="H298">
        <v>0</v>
      </c>
      <c r="I298" t="s">
        <v>379</v>
      </c>
      <c r="J298">
        <v>19000</v>
      </c>
      <c r="K298">
        <v>1</v>
      </c>
      <c r="L298">
        <v>0</v>
      </c>
      <c r="M298">
        <v>1</v>
      </c>
      <c r="N298"/>
      <c r="O298" t="s">
        <v>3544</v>
      </c>
      <c r="P298" s="33">
        <v>0.62</v>
      </c>
      <c r="Q298">
        <v>11780</v>
      </c>
      <c r="R298" t="s">
        <v>206</v>
      </c>
      <c r="S298">
        <v>0</v>
      </c>
      <c r="T298"/>
      <c r="U298" s="10"/>
      <c r="V298"/>
      <c r="W298"/>
      <c r="X298" s="10"/>
      <c r="Y298"/>
      <c r="Z298" s="10"/>
      <c r="AA298"/>
      <c r="AB298"/>
      <c r="AC298"/>
      <c r="AD298"/>
    </row>
    <row r="299" spans="1:30" x14ac:dyDescent="0.4">
      <c r="A299" t="s">
        <v>4265</v>
      </c>
      <c r="B299">
        <v>20180119</v>
      </c>
      <c r="C299">
        <v>8806022168795</v>
      </c>
      <c r="D299" t="s">
        <v>4266</v>
      </c>
      <c r="E299" t="s">
        <v>4267</v>
      </c>
      <c r="F299" t="s">
        <v>221</v>
      </c>
      <c r="G299" t="s">
        <v>4268</v>
      </c>
      <c r="H299">
        <v>0</v>
      </c>
      <c r="I299" t="s">
        <v>379</v>
      </c>
      <c r="J299">
        <v>5200</v>
      </c>
      <c r="K299">
        <v>1</v>
      </c>
      <c r="L299">
        <v>0</v>
      </c>
      <c r="M299">
        <v>1</v>
      </c>
      <c r="N299"/>
      <c r="O299" t="s">
        <v>3544</v>
      </c>
      <c r="P299" s="33" t="s">
        <v>3567</v>
      </c>
      <c r="Q299" s="37">
        <v>5200</v>
      </c>
      <c r="R299" t="s">
        <v>221</v>
      </c>
      <c r="S299">
        <v>0</v>
      </c>
      <c r="T299"/>
      <c r="U299" s="10"/>
      <c r="V299"/>
      <c r="W299"/>
      <c r="X299" s="10"/>
      <c r="Y299"/>
      <c r="Z299" s="10"/>
      <c r="AA299"/>
      <c r="AB299"/>
      <c r="AC299"/>
      <c r="AD299"/>
    </row>
    <row r="300" spans="1:30" x14ac:dyDescent="0.4">
      <c r="A300" t="s">
        <v>4269</v>
      </c>
      <c r="B300">
        <v>20180119</v>
      </c>
      <c r="C300">
        <v>8809406891265</v>
      </c>
      <c r="D300" t="s">
        <v>4270</v>
      </c>
      <c r="E300" t="s">
        <v>4271</v>
      </c>
      <c r="F300" t="s">
        <v>221</v>
      </c>
      <c r="G300" t="s">
        <v>4272</v>
      </c>
      <c r="H300">
        <v>0</v>
      </c>
      <c r="I300" t="s">
        <v>379</v>
      </c>
      <c r="J300">
        <v>12300</v>
      </c>
      <c r="K300">
        <v>1</v>
      </c>
      <c r="L300">
        <v>0</v>
      </c>
      <c r="M300">
        <v>1</v>
      </c>
      <c r="N300"/>
      <c r="O300" t="s">
        <v>3544</v>
      </c>
      <c r="P300" s="33" t="s">
        <v>3567</v>
      </c>
      <c r="Q300" s="37">
        <v>12300</v>
      </c>
      <c r="R300" t="s">
        <v>221</v>
      </c>
      <c r="S300">
        <v>0</v>
      </c>
      <c r="T300"/>
      <c r="U300" s="10"/>
      <c r="V300"/>
      <c r="W300"/>
      <c r="X300" s="10"/>
      <c r="Y300"/>
      <c r="Z300" s="10"/>
      <c r="AA300"/>
      <c r="AB300"/>
      <c r="AC300"/>
      <c r="AD300"/>
    </row>
    <row r="301" spans="1:30" x14ac:dyDescent="0.4">
      <c r="A301" t="s">
        <v>4273</v>
      </c>
      <c r="B301">
        <v>20180119</v>
      </c>
      <c r="C301">
        <v>8806333372676</v>
      </c>
      <c r="D301" t="s">
        <v>4274</v>
      </c>
      <c r="E301" t="s">
        <v>4275</v>
      </c>
      <c r="F301" t="s">
        <v>194</v>
      </c>
      <c r="G301" t="s">
        <v>4276</v>
      </c>
      <c r="H301">
        <v>0</v>
      </c>
      <c r="I301" t="s">
        <v>379</v>
      </c>
      <c r="J301">
        <v>4800</v>
      </c>
      <c r="K301">
        <v>1</v>
      </c>
      <c r="L301">
        <v>0</v>
      </c>
      <c r="M301">
        <v>1</v>
      </c>
      <c r="N301"/>
      <c r="O301" t="s">
        <v>3544</v>
      </c>
      <c r="P301" s="33">
        <v>1</v>
      </c>
      <c r="Q301">
        <v>4800</v>
      </c>
      <c r="R301" t="s">
        <v>195</v>
      </c>
      <c r="S301">
        <v>0</v>
      </c>
      <c r="T301"/>
      <c r="U301" s="10"/>
      <c r="V301"/>
      <c r="W301"/>
      <c r="X301" s="10"/>
      <c r="Y301"/>
      <c r="Z301" s="10"/>
      <c r="AA301"/>
      <c r="AB301"/>
      <c r="AC301"/>
      <c r="AD301"/>
    </row>
    <row r="302" spans="1:30" x14ac:dyDescent="0.4">
      <c r="A302" t="s">
        <v>4277</v>
      </c>
      <c r="B302">
        <v>20180119</v>
      </c>
      <c r="C302">
        <v>8806185726689</v>
      </c>
      <c r="D302" t="s">
        <v>2729</v>
      </c>
      <c r="E302" t="s">
        <v>4278</v>
      </c>
      <c r="F302" t="s">
        <v>194</v>
      </c>
      <c r="G302" t="s">
        <v>2730</v>
      </c>
      <c r="H302">
        <v>0</v>
      </c>
      <c r="I302" t="s">
        <v>379</v>
      </c>
      <c r="J302">
        <v>6500</v>
      </c>
      <c r="K302">
        <v>1</v>
      </c>
      <c r="L302">
        <v>0</v>
      </c>
      <c r="M302">
        <v>0</v>
      </c>
      <c r="N302"/>
      <c r="O302" t="s">
        <v>3544</v>
      </c>
      <c r="P302" s="33">
        <v>1</v>
      </c>
      <c r="Q302">
        <v>6500</v>
      </c>
      <c r="R302" t="s">
        <v>195</v>
      </c>
      <c r="S302">
        <v>1</v>
      </c>
      <c r="T302">
        <v>1</v>
      </c>
      <c r="U302"/>
      <c r="V302"/>
      <c r="W302"/>
      <c r="X302"/>
      <c r="Y302"/>
      <c r="Z302"/>
      <c r="AA302"/>
      <c r="AB302"/>
      <c r="AC302"/>
      <c r="AD302"/>
    </row>
    <row r="303" spans="1:30" x14ac:dyDescent="0.4">
      <c r="A303" t="s">
        <v>4279</v>
      </c>
      <c r="B303">
        <v>20180119</v>
      </c>
      <c r="C303">
        <v>8806185756266</v>
      </c>
      <c r="D303" t="s">
        <v>4280</v>
      </c>
      <c r="E303" t="s">
        <v>4281</v>
      </c>
      <c r="F303" t="s">
        <v>194</v>
      </c>
      <c r="G303" t="s">
        <v>4282</v>
      </c>
      <c r="H303">
        <v>0</v>
      </c>
      <c r="I303" t="s">
        <v>379</v>
      </c>
      <c r="J303">
        <v>3800</v>
      </c>
      <c r="K303">
        <v>1</v>
      </c>
      <c r="L303">
        <v>0</v>
      </c>
      <c r="M303">
        <v>1</v>
      </c>
      <c r="N303"/>
      <c r="O303" t="s">
        <v>3544</v>
      </c>
      <c r="P303" s="33">
        <v>1</v>
      </c>
      <c r="Q303">
        <v>3800</v>
      </c>
      <c r="R303" t="s">
        <v>195</v>
      </c>
      <c r="S303">
        <v>0</v>
      </c>
      <c r="T303"/>
      <c r="U303" s="10"/>
      <c r="V303"/>
      <c r="W303"/>
      <c r="X303" s="10"/>
      <c r="Y303"/>
      <c r="Z303" s="10"/>
      <c r="AA303"/>
      <c r="AB303"/>
      <c r="AC303"/>
      <c r="AD303"/>
    </row>
    <row r="304" spans="1:30" x14ac:dyDescent="0.4">
      <c r="A304" t="s">
        <v>4283</v>
      </c>
      <c r="B304">
        <v>20180119</v>
      </c>
      <c r="C304">
        <v>8809530031858</v>
      </c>
      <c r="D304" t="s">
        <v>2731</v>
      </c>
      <c r="E304" t="s">
        <v>4216</v>
      </c>
      <c r="F304" t="s">
        <v>194</v>
      </c>
      <c r="G304" t="s">
        <v>2732</v>
      </c>
      <c r="H304">
        <v>0</v>
      </c>
      <c r="I304" t="s">
        <v>379</v>
      </c>
      <c r="J304">
        <v>1000</v>
      </c>
      <c r="K304">
        <v>3</v>
      </c>
      <c r="L304">
        <v>0</v>
      </c>
      <c r="M304">
        <v>0</v>
      </c>
      <c r="N304"/>
      <c r="O304" t="s">
        <v>3544</v>
      </c>
      <c r="P304" s="33">
        <v>1</v>
      </c>
      <c r="Q304">
        <v>1000</v>
      </c>
      <c r="R304" t="s">
        <v>195</v>
      </c>
      <c r="S304">
        <v>3</v>
      </c>
      <c r="T304">
        <v>3</v>
      </c>
      <c r="U304"/>
      <c r="V304"/>
      <c r="W304"/>
      <c r="X304"/>
      <c r="Y304"/>
      <c r="Z304"/>
      <c r="AA304"/>
      <c r="AB304"/>
      <c r="AC304"/>
      <c r="AD304"/>
    </row>
    <row r="305" spans="1:30" x14ac:dyDescent="0.4">
      <c r="A305" t="s">
        <v>4284</v>
      </c>
      <c r="B305">
        <v>20180119</v>
      </c>
      <c r="C305">
        <v>8806185714341</v>
      </c>
      <c r="D305" t="s">
        <v>4285</v>
      </c>
      <c r="E305" t="s">
        <v>860</v>
      </c>
      <c r="F305" t="s">
        <v>194</v>
      </c>
      <c r="G305" t="s">
        <v>4286</v>
      </c>
      <c r="H305">
        <v>0</v>
      </c>
      <c r="I305" t="s">
        <v>379</v>
      </c>
      <c r="J305">
        <v>2800</v>
      </c>
      <c r="K305">
        <v>1</v>
      </c>
      <c r="L305">
        <v>0</v>
      </c>
      <c r="M305">
        <v>1</v>
      </c>
      <c r="N305"/>
      <c r="O305" t="s">
        <v>3544</v>
      </c>
      <c r="P305" s="33">
        <v>1</v>
      </c>
      <c r="Q305">
        <v>2800</v>
      </c>
      <c r="R305" t="s">
        <v>195</v>
      </c>
      <c r="S305">
        <v>0</v>
      </c>
      <c r="T305"/>
      <c r="U305" s="10"/>
      <c r="V305"/>
      <c r="W305"/>
      <c r="X305" s="10"/>
      <c r="Y305"/>
      <c r="Z305" s="10"/>
      <c r="AA305"/>
      <c r="AB305"/>
      <c r="AC305"/>
      <c r="AD305"/>
    </row>
    <row r="306" spans="1:30" x14ac:dyDescent="0.4">
      <c r="A306" t="s">
        <v>4287</v>
      </c>
      <c r="B306">
        <v>20180119</v>
      </c>
      <c r="C306">
        <v>8806185714334</v>
      </c>
      <c r="D306" t="s">
        <v>4288</v>
      </c>
      <c r="E306" t="s">
        <v>4289</v>
      </c>
      <c r="F306" t="s">
        <v>194</v>
      </c>
      <c r="G306" t="s">
        <v>4290</v>
      </c>
      <c r="H306">
        <v>0</v>
      </c>
      <c r="I306" t="s">
        <v>379</v>
      </c>
      <c r="J306">
        <v>2800</v>
      </c>
      <c r="K306">
        <v>1</v>
      </c>
      <c r="L306">
        <v>0</v>
      </c>
      <c r="M306">
        <v>1</v>
      </c>
      <c r="N306"/>
      <c r="O306" t="s">
        <v>3544</v>
      </c>
      <c r="P306" s="33">
        <v>1</v>
      </c>
      <c r="Q306">
        <v>2800</v>
      </c>
      <c r="R306" t="s">
        <v>195</v>
      </c>
      <c r="S306">
        <v>0</v>
      </c>
      <c r="T306"/>
      <c r="U306" s="10"/>
      <c r="V306"/>
      <c r="W306"/>
      <c r="X306" s="10"/>
      <c r="Y306"/>
      <c r="Z306" s="10"/>
      <c r="AA306"/>
      <c r="AB306"/>
      <c r="AC306"/>
      <c r="AD306"/>
    </row>
    <row r="307" spans="1:30" x14ac:dyDescent="0.4">
      <c r="A307" t="s">
        <v>4291</v>
      </c>
      <c r="B307">
        <v>20180119</v>
      </c>
      <c r="C307">
        <v>8809530039731</v>
      </c>
      <c r="D307" t="s">
        <v>4292</v>
      </c>
      <c r="E307" t="s">
        <v>4293</v>
      </c>
      <c r="F307" t="s">
        <v>194</v>
      </c>
      <c r="G307" t="s">
        <v>4294</v>
      </c>
      <c r="H307">
        <v>0</v>
      </c>
      <c r="I307" t="s">
        <v>379</v>
      </c>
      <c r="J307">
        <v>5500</v>
      </c>
      <c r="K307">
        <v>1</v>
      </c>
      <c r="L307">
        <v>0</v>
      </c>
      <c r="M307">
        <v>1</v>
      </c>
      <c r="N307"/>
      <c r="O307" t="s">
        <v>3544</v>
      </c>
      <c r="P307" s="33">
        <v>1</v>
      </c>
      <c r="Q307">
        <v>5500</v>
      </c>
      <c r="R307" t="s">
        <v>195</v>
      </c>
      <c r="S307">
        <v>0</v>
      </c>
      <c r="T307"/>
      <c r="U307" s="10"/>
      <c r="V307"/>
      <c r="W307"/>
      <c r="X307" s="10"/>
      <c r="Y307"/>
      <c r="Z307" s="10"/>
      <c r="AA307"/>
      <c r="AB307"/>
      <c r="AC307"/>
      <c r="AD307"/>
    </row>
    <row r="308" spans="1:30" x14ac:dyDescent="0.4">
      <c r="A308" t="s">
        <v>4295</v>
      </c>
      <c r="B308">
        <v>20180119</v>
      </c>
      <c r="C308">
        <v>8809530039748</v>
      </c>
      <c r="D308" t="s">
        <v>2733</v>
      </c>
      <c r="E308" t="s">
        <v>4296</v>
      </c>
      <c r="F308" t="s">
        <v>194</v>
      </c>
      <c r="G308" t="s">
        <v>2734</v>
      </c>
      <c r="H308">
        <v>0</v>
      </c>
      <c r="I308" t="s">
        <v>379</v>
      </c>
      <c r="J308">
        <v>5500</v>
      </c>
      <c r="K308">
        <v>4</v>
      </c>
      <c r="L308">
        <v>1</v>
      </c>
      <c r="M308">
        <v>2</v>
      </c>
      <c r="N308"/>
      <c r="O308" t="s">
        <v>3544</v>
      </c>
      <c r="P308" s="33">
        <v>1</v>
      </c>
      <c r="Q308">
        <v>5500</v>
      </c>
      <c r="R308" t="s">
        <v>195</v>
      </c>
      <c r="S308">
        <v>2</v>
      </c>
      <c r="T308">
        <v>1</v>
      </c>
      <c r="U308" s="10"/>
      <c r="V308"/>
      <c r="W308"/>
      <c r="X308" s="10"/>
      <c r="Y308"/>
      <c r="Z308" s="10"/>
      <c r="AA308"/>
      <c r="AB308"/>
      <c r="AC308"/>
      <c r="AD308"/>
    </row>
    <row r="309" spans="1:30" x14ac:dyDescent="0.4">
      <c r="A309" t="s">
        <v>4297</v>
      </c>
      <c r="B309">
        <v>20180119</v>
      </c>
      <c r="C309">
        <v>8809530039304</v>
      </c>
      <c r="D309" t="s">
        <v>2735</v>
      </c>
      <c r="E309" t="s">
        <v>3937</v>
      </c>
      <c r="F309" t="s">
        <v>194</v>
      </c>
      <c r="G309" t="s">
        <v>2736</v>
      </c>
      <c r="H309">
        <v>0</v>
      </c>
      <c r="I309" t="s">
        <v>379</v>
      </c>
      <c r="J309">
        <v>6000</v>
      </c>
      <c r="K309">
        <v>2</v>
      </c>
      <c r="L309">
        <v>0</v>
      </c>
      <c r="M309">
        <v>1</v>
      </c>
      <c r="N309"/>
      <c r="O309" t="s">
        <v>3544</v>
      </c>
      <c r="P309" s="33">
        <v>1</v>
      </c>
      <c r="Q309">
        <v>6000</v>
      </c>
      <c r="R309" t="s">
        <v>195</v>
      </c>
      <c r="S309">
        <v>1</v>
      </c>
      <c r="T309">
        <v>1</v>
      </c>
      <c r="U309" s="10"/>
      <c r="V309"/>
      <c r="W309"/>
      <c r="X309" s="10"/>
      <c r="Y309"/>
      <c r="Z309" s="10"/>
      <c r="AA309"/>
      <c r="AB309"/>
      <c r="AC309"/>
      <c r="AD309"/>
    </row>
    <row r="310" spans="1:30" x14ac:dyDescent="0.4">
      <c r="A310" t="s">
        <v>4298</v>
      </c>
      <c r="B310">
        <v>20180119</v>
      </c>
      <c r="C310">
        <v>8806185726962</v>
      </c>
      <c r="D310" t="s">
        <v>4299</v>
      </c>
      <c r="E310" t="s">
        <v>4300</v>
      </c>
      <c r="F310" t="s">
        <v>194</v>
      </c>
      <c r="G310" t="s">
        <v>4301</v>
      </c>
      <c r="H310">
        <v>0</v>
      </c>
      <c r="I310" t="s">
        <v>379</v>
      </c>
      <c r="J310">
        <v>6500</v>
      </c>
      <c r="K310">
        <v>1</v>
      </c>
      <c r="L310">
        <v>0</v>
      </c>
      <c r="M310">
        <v>1</v>
      </c>
      <c r="N310"/>
      <c r="O310" t="s">
        <v>3544</v>
      </c>
      <c r="P310" s="33">
        <v>1</v>
      </c>
      <c r="Q310">
        <v>6500</v>
      </c>
      <c r="R310" t="s">
        <v>195</v>
      </c>
      <c r="S310">
        <v>0</v>
      </c>
      <c r="T310"/>
      <c r="U310" s="10"/>
      <c r="V310"/>
      <c r="W310"/>
      <c r="X310" s="10"/>
      <c r="Y310"/>
      <c r="Z310" s="10"/>
      <c r="AA310"/>
      <c r="AB310"/>
      <c r="AC310"/>
      <c r="AD310"/>
    </row>
    <row r="311" spans="1:30" x14ac:dyDescent="0.4">
      <c r="A311" t="s">
        <v>4302</v>
      </c>
      <c r="B311">
        <v>20180119</v>
      </c>
      <c r="C311">
        <v>8809530047750</v>
      </c>
      <c r="D311" t="s">
        <v>2739</v>
      </c>
      <c r="E311" t="s">
        <v>4303</v>
      </c>
      <c r="F311" t="s">
        <v>194</v>
      </c>
      <c r="G311" t="s">
        <v>2740</v>
      </c>
      <c r="H311">
        <v>0</v>
      </c>
      <c r="I311" t="s">
        <v>379</v>
      </c>
      <c r="J311">
        <v>800</v>
      </c>
      <c r="K311">
        <v>7</v>
      </c>
      <c r="L311">
        <v>1</v>
      </c>
      <c r="M311">
        <v>3</v>
      </c>
      <c r="N311"/>
      <c r="O311" t="s">
        <v>3544</v>
      </c>
      <c r="P311" s="33">
        <v>1</v>
      </c>
      <c r="Q311">
        <v>800</v>
      </c>
      <c r="R311" t="s">
        <v>195</v>
      </c>
      <c r="S311">
        <v>4</v>
      </c>
      <c r="T311">
        <v>3</v>
      </c>
      <c r="U311" s="10"/>
      <c r="V311"/>
      <c r="W311"/>
      <c r="X311" s="10"/>
      <c r="Y311"/>
      <c r="Z311" s="10"/>
      <c r="AA311"/>
      <c r="AB311"/>
      <c r="AC311"/>
      <c r="AD311"/>
    </row>
    <row r="312" spans="1:30" x14ac:dyDescent="0.4">
      <c r="A312" t="s">
        <v>4304</v>
      </c>
      <c r="B312">
        <v>20180119</v>
      </c>
      <c r="C312">
        <v>8809530047729</v>
      </c>
      <c r="D312" t="s">
        <v>2741</v>
      </c>
      <c r="E312" t="s">
        <v>3701</v>
      </c>
      <c r="F312" t="s">
        <v>194</v>
      </c>
      <c r="G312" t="s">
        <v>2742</v>
      </c>
      <c r="H312">
        <v>0</v>
      </c>
      <c r="I312" t="s">
        <v>379</v>
      </c>
      <c r="J312">
        <v>800</v>
      </c>
      <c r="K312">
        <v>5</v>
      </c>
      <c r="L312">
        <v>1</v>
      </c>
      <c r="M312">
        <v>0</v>
      </c>
      <c r="N312"/>
      <c r="O312" t="s">
        <v>3544</v>
      </c>
      <c r="P312" s="33">
        <v>1</v>
      </c>
      <c r="Q312">
        <v>800</v>
      </c>
      <c r="R312" t="s">
        <v>195</v>
      </c>
      <c r="S312">
        <v>5</v>
      </c>
      <c r="T312">
        <v>4</v>
      </c>
      <c r="U312"/>
      <c r="V312"/>
      <c r="W312"/>
      <c r="X312"/>
      <c r="Y312"/>
      <c r="Z312"/>
      <c r="AA312"/>
      <c r="AB312"/>
      <c r="AC312"/>
      <c r="AD312"/>
    </row>
    <row r="313" spans="1:30" x14ac:dyDescent="0.4">
      <c r="A313" t="s">
        <v>4305</v>
      </c>
      <c r="B313">
        <v>20180119</v>
      </c>
      <c r="C313">
        <v>8806185740173</v>
      </c>
      <c r="D313" t="s">
        <v>2743</v>
      </c>
      <c r="E313" t="s">
        <v>3576</v>
      </c>
      <c r="F313" t="s">
        <v>194</v>
      </c>
      <c r="G313" t="s">
        <v>2744</v>
      </c>
      <c r="H313">
        <v>0</v>
      </c>
      <c r="I313" t="s">
        <v>379</v>
      </c>
      <c r="J313">
        <v>1000</v>
      </c>
      <c r="K313">
        <v>2</v>
      </c>
      <c r="L313">
        <v>0</v>
      </c>
      <c r="M313">
        <v>0</v>
      </c>
      <c r="N313"/>
      <c r="O313" t="s">
        <v>3544</v>
      </c>
      <c r="P313" s="33">
        <v>1</v>
      </c>
      <c r="Q313">
        <v>1000</v>
      </c>
      <c r="R313" t="s">
        <v>195</v>
      </c>
      <c r="S313">
        <v>2</v>
      </c>
      <c r="T313">
        <v>2</v>
      </c>
      <c r="U313"/>
      <c r="V313"/>
      <c r="W313"/>
      <c r="X313"/>
      <c r="Y313"/>
      <c r="Z313"/>
      <c r="AA313"/>
      <c r="AB313"/>
      <c r="AC313"/>
      <c r="AD313"/>
    </row>
    <row r="314" spans="1:30" x14ac:dyDescent="0.4">
      <c r="A314" t="s">
        <v>4306</v>
      </c>
      <c r="B314">
        <v>20180119</v>
      </c>
      <c r="C314">
        <v>8806185780254</v>
      </c>
      <c r="D314" t="s">
        <v>2745</v>
      </c>
      <c r="E314" t="s">
        <v>4307</v>
      </c>
      <c r="F314" t="s">
        <v>194</v>
      </c>
      <c r="G314" t="s">
        <v>2746</v>
      </c>
      <c r="H314">
        <v>1</v>
      </c>
      <c r="I314" t="s">
        <v>379</v>
      </c>
      <c r="J314">
        <v>800</v>
      </c>
      <c r="K314" s="34">
        <v>14</v>
      </c>
      <c r="L314">
        <v>13</v>
      </c>
      <c r="M314">
        <v>-1</v>
      </c>
      <c r="N314"/>
      <c r="O314" t="s">
        <v>3544</v>
      </c>
      <c r="P314" s="33">
        <v>1</v>
      </c>
      <c r="Q314">
        <v>800</v>
      </c>
      <c r="R314" t="s">
        <v>195</v>
      </c>
      <c r="S314">
        <v>15</v>
      </c>
      <c r="T314">
        <v>2</v>
      </c>
      <c r="U314"/>
      <c r="V314"/>
      <c r="W314"/>
      <c r="X314"/>
      <c r="Y314"/>
      <c r="Z314"/>
      <c r="AA314"/>
      <c r="AB314"/>
      <c r="AC314"/>
      <c r="AD314"/>
    </row>
    <row r="315" spans="1:30" x14ac:dyDescent="0.4">
      <c r="A315" t="s">
        <v>4308</v>
      </c>
      <c r="B315">
        <v>20180119</v>
      </c>
      <c r="C315">
        <v>8806185795180</v>
      </c>
      <c r="D315" t="s">
        <v>2747</v>
      </c>
      <c r="E315" t="s">
        <v>4309</v>
      </c>
      <c r="F315" t="s">
        <v>194</v>
      </c>
      <c r="G315" t="s">
        <v>2748</v>
      </c>
      <c r="H315">
        <v>0</v>
      </c>
      <c r="I315" t="s">
        <v>379</v>
      </c>
      <c r="J315">
        <v>14800</v>
      </c>
      <c r="K315">
        <v>1</v>
      </c>
      <c r="L315">
        <v>0</v>
      </c>
      <c r="M315">
        <v>0</v>
      </c>
      <c r="N315"/>
      <c r="O315" t="s">
        <v>3544</v>
      </c>
      <c r="P315" s="33">
        <v>1</v>
      </c>
      <c r="Q315">
        <v>14800</v>
      </c>
      <c r="R315" t="s">
        <v>195</v>
      </c>
      <c r="S315">
        <v>1</v>
      </c>
      <c r="T315">
        <v>1</v>
      </c>
      <c r="U315"/>
      <c r="V315"/>
      <c r="W315"/>
      <c r="X315"/>
      <c r="Y315"/>
      <c r="Z315"/>
      <c r="AA315"/>
      <c r="AB315"/>
      <c r="AC315"/>
      <c r="AD315"/>
    </row>
    <row r="316" spans="1:30" x14ac:dyDescent="0.4">
      <c r="A316" t="s">
        <v>4310</v>
      </c>
      <c r="B316">
        <v>20180119</v>
      </c>
      <c r="C316">
        <v>8809530032251</v>
      </c>
      <c r="D316" t="s">
        <v>4311</v>
      </c>
      <c r="E316" t="s">
        <v>4312</v>
      </c>
      <c r="F316" t="s">
        <v>194</v>
      </c>
      <c r="G316" t="s">
        <v>4313</v>
      </c>
      <c r="H316">
        <v>0</v>
      </c>
      <c r="I316" t="s">
        <v>379</v>
      </c>
      <c r="J316">
        <v>12800</v>
      </c>
      <c r="K316">
        <v>1</v>
      </c>
      <c r="L316">
        <v>0</v>
      </c>
      <c r="M316">
        <v>1</v>
      </c>
      <c r="N316"/>
      <c r="O316" t="s">
        <v>3544</v>
      </c>
      <c r="P316" s="33">
        <v>1</v>
      </c>
      <c r="Q316">
        <v>12800</v>
      </c>
      <c r="R316" t="s">
        <v>195</v>
      </c>
      <c r="S316">
        <v>0</v>
      </c>
      <c r="T316"/>
      <c r="U316" s="10"/>
      <c r="V316"/>
      <c r="W316"/>
      <c r="X316" s="10"/>
      <c r="Y316"/>
      <c r="Z316" s="10"/>
      <c r="AA316"/>
      <c r="AB316"/>
      <c r="AC316"/>
      <c r="AD316"/>
    </row>
    <row r="317" spans="1:30" x14ac:dyDescent="0.4">
      <c r="A317" t="s">
        <v>4314</v>
      </c>
      <c r="B317">
        <v>20180119</v>
      </c>
      <c r="C317">
        <v>8809530056080</v>
      </c>
      <c r="D317" t="s">
        <v>2749</v>
      </c>
      <c r="E317" t="s">
        <v>4315</v>
      </c>
      <c r="F317" t="s">
        <v>194</v>
      </c>
      <c r="G317" t="s">
        <v>2750</v>
      </c>
      <c r="H317">
        <v>0</v>
      </c>
      <c r="I317" t="s">
        <v>379</v>
      </c>
      <c r="J317">
        <v>9800</v>
      </c>
      <c r="K317">
        <v>3</v>
      </c>
      <c r="L317">
        <v>1</v>
      </c>
      <c r="M317">
        <v>0</v>
      </c>
      <c r="N317"/>
      <c r="O317" t="s">
        <v>3544</v>
      </c>
      <c r="P317" s="33">
        <v>1</v>
      </c>
      <c r="Q317">
        <v>9800</v>
      </c>
      <c r="R317" t="s">
        <v>195</v>
      </c>
      <c r="S317">
        <v>3</v>
      </c>
      <c r="T317">
        <v>2</v>
      </c>
      <c r="U317"/>
      <c r="V317"/>
      <c r="W317"/>
      <c r="X317"/>
      <c r="Y317"/>
      <c r="Z317"/>
      <c r="AA317"/>
      <c r="AB317"/>
      <c r="AC317"/>
      <c r="AD317"/>
    </row>
    <row r="318" spans="1:30" x14ac:dyDescent="0.4">
      <c r="A318" t="s">
        <v>4316</v>
      </c>
      <c r="B318">
        <v>20180119</v>
      </c>
      <c r="C318">
        <v>8806185796309</v>
      </c>
      <c r="D318" t="s">
        <v>4317</v>
      </c>
      <c r="E318" t="s">
        <v>1199</v>
      </c>
      <c r="F318" t="s">
        <v>194</v>
      </c>
      <c r="G318" t="s">
        <v>4318</v>
      </c>
      <c r="H318">
        <v>0</v>
      </c>
      <c r="I318" t="s">
        <v>379</v>
      </c>
      <c r="J318">
        <v>800</v>
      </c>
      <c r="K318">
        <v>6</v>
      </c>
      <c r="L318">
        <v>0</v>
      </c>
      <c r="M318">
        <v>6</v>
      </c>
      <c r="N318"/>
      <c r="O318" t="s">
        <v>3544</v>
      </c>
      <c r="P318" s="33">
        <v>1</v>
      </c>
      <c r="Q318">
        <v>800</v>
      </c>
      <c r="R318" t="s">
        <v>195</v>
      </c>
      <c r="S318">
        <v>0</v>
      </c>
      <c r="T318"/>
      <c r="U318" s="10"/>
      <c r="V318"/>
      <c r="W318"/>
      <c r="X318" s="10"/>
      <c r="Y318"/>
      <c r="Z318" s="10"/>
      <c r="AA318"/>
      <c r="AB318"/>
      <c r="AC318"/>
      <c r="AD318"/>
    </row>
    <row r="319" spans="1:30" x14ac:dyDescent="0.4">
      <c r="A319" t="s">
        <v>4319</v>
      </c>
      <c r="B319">
        <v>20180119</v>
      </c>
      <c r="C319">
        <v>8806179469363</v>
      </c>
      <c r="D319" t="s">
        <v>4320</v>
      </c>
      <c r="E319" t="s">
        <v>4321</v>
      </c>
      <c r="F319" t="s">
        <v>215</v>
      </c>
      <c r="G319" t="s">
        <v>4322</v>
      </c>
      <c r="H319">
        <v>2</v>
      </c>
      <c r="I319" t="s">
        <v>379</v>
      </c>
      <c r="J319">
        <v>0</v>
      </c>
      <c r="K319" s="34">
        <v>15</v>
      </c>
      <c r="L319">
        <v>11</v>
      </c>
      <c r="M319">
        <v>4</v>
      </c>
      <c r="N319"/>
      <c r="O319" t="s">
        <v>3544</v>
      </c>
      <c r="P319" s="33">
        <v>0.6</v>
      </c>
      <c r="Q319">
        <v>0</v>
      </c>
      <c r="R319" t="s">
        <v>216</v>
      </c>
      <c r="S319">
        <v>11</v>
      </c>
      <c r="T319"/>
      <c r="U319" s="10"/>
      <c r="V319"/>
      <c r="W319"/>
      <c r="X319" s="10"/>
      <c r="Y319"/>
      <c r="Z319" s="10"/>
      <c r="AA319"/>
      <c r="AB319"/>
      <c r="AC319"/>
      <c r="AD319"/>
    </row>
    <row r="320" spans="1:30" x14ac:dyDescent="0.4">
      <c r="A320" t="s">
        <v>4323</v>
      </c>
      <c r="B320">
        <v>20180119</v>
      </c>
      <c r="C320">
        <v>8806199488283</v>
      </c>
      <c r="D320" t="s">
        <v>2894</v>
      </c>
      <c r="E320" t="s">
        <v>4324</v>
      </c>
      <c r="F320" t="s">
        <v>215</v>
      </c>
      <c r="G320" t="s">
        <v>2895</v>
      </c>
      <c r="H320">
        <v>0</v>
      </c>
      <c r="I320" t="s">
        <v>379</v>
      </c>
      <c r="J320">
        <v>1000</v>
      </c>
      <c r="K320">
        <v>5</v>
      </c>
      <c r="L320">
        <v>3</v>
      </c>
      <c r="M320">
        <v>1</v>
      </c>
      <c r="N320"/>
      <c r="O320" t="s">
        <v>3544</v>
      </c>
      <c r="P320" s="33">
        <v>0.6</v>
      </c>
      <c r="Q320">
        <v>600</v>
      </c>
      <c r="R320" t="s">
        <v>216</v>
      </c>
      <c r="S320">
        <v>4</v>
      </c>
      <c r="T320">
        <v>1</v>
      </c>
      <c r="U320" s="10"/>
      <c r="V320"/>
      <c r="W320"/>
      <c r="X320" s="10"/>
      <c r="Y320"/>
      <c r="Z320" s="10"/>
      <c r="AA320"/>
      <c r="AB320"/>
      <c r="AC320"/>
      <c r="AD320"/>
    </row>
    <row r="321" spans="1:30" x14ac:dyDescent="0.4">
      <c r="A321" t="s">
        <v>4325</v>
      </c>
      <c r="B321">
        <v>20180119</v>
      </c>
      <c r="C321">
        <v>8806199488801</v>
      </c>
      <c r="D321" t="s">
        <v>2896</v>
      </c>
      <c r="E321" t="s">
        <v>4326</v>
      </c>
      <c r="F321" t="s">
        <v>215</v>
      </c>
      <c r="G321" t="s">
        <v>2897</v>
      </c>
      <c r="H321">
        <v>0</v>
      </c>
      <c r="I321" t="s">
        <v>379</v>
      </c>
      <c r="J321">
        <v>1000</v>
      </c>
      <c r="K321">
        <v>3</v>
      </c>
      <c r="L321">
        <v>2</v>
      </c>
      <c r="M321">
        <v>0</v>
      </c>
      <c r="N321"/>
      <c r="O321" t="s">
        <v>3544</v>
      </c>
      <c r="P321" s="33">
        <v>0.6</v>
      </c>
      <c r="Q321">
        <v>600</v>
      </c>
      <c r="R321" t="s">
        <v>216</v>
      </c>
      <c r="S321">
        <v>3</v>
      </c>
      <c r="T321">
        <v>1</v>
      </c>
      <c r="U321"/>
      <c r="V321"/>
      <c r="W321"/>
      <c r="X321"/>
      <c r="Y321"/>
      <c r="Z321"/>
      <c r="AA321"/>
      <c r="AB321"/>
      <c r="AC321"/>
      <c r="AD321"/>
    </row>
    <row r="322" spans="1:30" x14ac:dyDescent="0.4">
      <c r="A322" t="s">
        <v>4327</v>
      </c>
      <c r="B322">
        <v>20180119</v>
      </c>
      <c r="C322">
        <v>8806199488290</v>
      </c>
      <c r="D322" t="s">
        <v>2898</v>
      </c>
      <c r="E322" t="s">
        <v>2117</v>
      </c>
      <c r="F322" t="s">
        <v>215</v>
      </c>
      <c r="G322" t="s">
        <v>2899</v>
      </c>
      <c r="H322">
        <v>0</v>
      </c>
      <c r="I322" t="s">
        <v>379</v>
      </c>
      <c r="J322">
        <v>1000</v>
      </c>
      <c r="K322">
        <v>4</v>
      </c>
      <c r="L322">
        <v>3</v>
      </c>
      <c r="M322">
        <v>0</v>
      </c>
      <c r="N322"/>
      <c r="O322" t="s">
        <v>3544</v>
      </c>
      <c r="P322" s="33">
        <v>0.6</v>
      </c>
      <c r="Q322">
        <v>600</v>
      </c>
      <c r="R322" t="s">
        <v>216</v>
      </c>
      <c r="S322">
        <v>4</v>
      </c>
      <c r="T322">
        <v>1</v>
      </c>
      <c r="U322"/>
      <c r="V322"/>
      <c r="W322"/>
      <c r="X322"/>
      <c r="Y322"/>
      <c r="Z322"/>
      <c r="AA322"/>
      <c r="AB322"/>
      <c r="AC322"/>
      <c r="AD322"/>
    </row>
    <row r="323" spans="1:30" x14ac:dyDescent="0.4">
      <c r="A323" t="s">
        <v>4328</v>
      </c>
      <c r="B323">
        <v>20180119</v>
      </c>
      <c r="C323">
        <v>8806199488818</v>
      </c>
      <c r="D323" t="s">
        <v>2900</v>
      </c>
      <c r="E323" t="s">
        <v>4329</v>
      </c>
      <c r="F323" t="s">
        <v>215</v>
      </c>
      <c r="G323" t="s">
        <v>2901</v>
      </c>
      <c r="H323">
        <v>0</v>
      </c>
      <c r="I323" t="s">
        <v>379</v>
      </c>
      <c r="J323">
        <v>1000</v>
      </c>
      <c r="K323">
        <v>3</v>
      </c>
      <c r="L323">
        <v>2</v>
      </c>
      <c r="M323">
        <v>0</v>
      </c>
      <c r="N323"/>
      <c r="O323" t="s">
        <v>3544</v>
      </c>
      <c r="P323" s="33">
        <v>0.6</v>
      </c>
      <c r="Q323">
        <v>600</v>
      </c>
      <c r="R323" t="s">
        <v>216</v>
      </c>
      <c r="S323">
        <v>3</v>
      </c>
      <c r="T323">
        <v>1</v>
      </c>
      <c r="U323"/>
      <c r="V323"/>
      <c r="W323"/>
      <c r="X323"/>
      <c r="Y323"/>
      <c r="Z323"/>
      <c r="AA323"/>
      <c r="AB323"/>
      <c r="AC323"/>
      <c r="AD323"/>
    </row>
    <row r="324" spans="1:30" x14ac:dyDescent="0.4">
      <c r="A324" t="s">
        <v>4330</v>
      </c>
      <c r="B324">
        <v>20180119</v>
      </c>
      <c r="C324">
        <v>8806199481710</v>
      </c>
      <c r="D324" t="s">
        <v>2902</v>
      </c>
      <c r="E324" t="s">
        <v>4331</v>
      </c>
      <c r="F324" t="s">
        <v>215</v>
      </c>
      <c r="G324" t="s">
        <v>2903</v>
      </c>
      <c r="H324">
        <v>0</v>
      </c>
      <c r="I324" t="s">
        <v>379</v>
      </c>
      <c r="J324">
        <v>18000</v>
      </c>
      <c r="K324">
        <v>1</v>
      </c>
      <c r="L324">
        <v>0</v>
      </c>
      <c r="M324">
        <v>0</v>
      </c>
      <c r="N324"/>
      <c r="O324" t="s">
        <v>3544</v>
      </c>
      <c r="P324" s="33">
        <v>0.6</v>
      </c>
      <c r="Q324">
        <v>10800</v>
      </c>
      <c r="R324" t="s">
        <v>216</v>
      </c>
      <c r="S324">
        <v>1</v>
      </c>
      <c r="T324">
        <v>1</v>
      </c>
      <c r="U324"/>
      <c r="V324"/>
      <c r="W324"/>
      <c r="X324"/>
      <c r="Y324"/>
      <c r="Z324"/>
      <c r="AA324"/>
      <c r="AB324"/>
      <c r="AC324"/>
      <c r="AD324"/>
    </row>
    <row r="325" spans="1:30" x14ac:dyDescent="0.4">
      <c r="A325" t="s">
        <v>4332</v>
      </c>
      <c r="B325">
        <v>20180119</v>
      </c>
      <c r="C325">
        <v>8806199469916</v>
      </c>
      <c r="D325" t="s">
        <v>2904</v>
      </c>
      <c r="E325" t="s">
        <v>4333</v>
      </c>
      <c r="F325" t="s">
        <v>215</v>
      </c>
      <c r="G325" t="s">
        <v>2905</v>
      </c>
      <c r="H325">
        <v>0</v>
      </c>
      <c r="I325" t="s">
        <v>379</v>
      </c>
      <c r="J325">
        <v>4000</v>
      </c>
      <c r="K325">
        <v>3</v>
      </c>
      <c r="L325">
        <v>0</v>
      </c>
      <c r="M325">
        <v>0</v>
      </c>
      <c r="N325"/>
      <c r="O325" t="s">
        <v>3544</v>
      </c>
      <c r="P325" s="33">
        <v>0.6</v>
      </c>
      <c r="Q325">
        <v>2400</v>
      </c>
      <c r="R325" t="s">
        <v>216</v>
      </c>
      <c r="S325">
        <v>3</v>
      </c>
      <c r="T325">
        <v>3</v>
      </c>
      <c r="U325"/>
      <c r="V325"/>
      <c r="W325"/>
      <c r="X325"/>
      <c r="Y325"/>
      <c r="Z325"/>
      <c r="AA325"/>
      <c r="AB325"/>
      <c r="AC325"/>
      <c r="AD325"/>
    </row>
    <row r="326" spans="1:30" x14ac:dyDescent="0.4">
      <c r="A326" t="s">
        <v>4334</v>
      </c>
      <c r="B326">
        <v>20180119</v>
      </c>
      <c r="C326">
        <v>8806199469923</v>
      </c>
      <c r="D326" t="s">
        <v>2906</v>
      </c>
      <c r="E326"/>
      <c r="F326" t="s">
        <v>215</v>
      </c>
      <c r="G326" t="s">
        <v>2907</v>
      </c>
      <c r="H326">
        <v>0</v>
      </c>
      <c r="I326" t="s">
        <v>379</v>
      </c>
      <c r="J326">
        <v>4000</v>
      </c>
      <c r="K326">
        <v>1</v>
      </c>
      <c r="L326">
        <v>0</v>
      </c>
      <c r="M326">
        <v>0</v>
      </c>
      <c r="N326"/>
      <c r="O326" t="s">
        <v>3544</v>
      </c>
      <c r="P326" s="33">
        <v>0.6</v>
      </c>
      <c r="Q326">
        <v>2400</v>
      </c>
      <c r="R326" t="s">
        <v>216</v>
      </c>
      <c r="S326">
        <v>1</v>
      </c>
      <c r="T326">
        <v>1</v>
      </c>
      <c r="U326"/>
      <c r="V326"/>
      <c r="W326"/>
      <c r="X326"/>
      <c r="Y326"/>
      <c r="Z326"/>
      <c r="AA326"/>
      <c r="AB326"/>
      <c r="AC326"/>
      <c r="AD326"/>
    </row>
    <row r="327" spans="1:30" x14ac:dyDescent="0.4">
      <c r="A327" t="s">
        <v>4335</v>
      </c>
      <c r="B327">
        <v>20180119</v>
      </c>
      <c r="C327">
        <v>8806199469930</v>
      </c>
      <c r="D327" t="s">
        <v>2908</v>
      </c>
      <c r="E327" t="s">
        <v>4336</v>
      </c>
      <c r="F327" t="s">
        <v>215</v>
      </c>
      <c r="G327" t="s">
        <v>2909</v>
      </c>
      <c r="H327">
        <v>0</v>
      </c>
      <c r="I327" t="s">
        <v>379</v>
      </c>
      <c r="J327">
        <v>4000</v>
      </c>
      <c r="K327">
        <v>1</v>
      </c>
      <c r="L327">
        <v>0</v>
      </c>
      <c r="M327">
        <v>0</v>
      </c>
      <c r="N327"/>
      <c r="O327" t="s">
        <v>3544</v>
      </c>
      <c r="P327" s="33">
        <v>0.6</v>
      </c>
      <c r="Q327">
        <v>2400</v>
      </c>
      <c r="R327" t="s">
        <v>216</v>
      </c>
      <c r="S327">
        <v>1</v>
      </c>
      <c r="T327">
        <v>1</v>
      </c>
      <c r="U327"/>
      <c r="V327"/>
      <c r="W327"/>
      <c r="X327"/>
      <c r="Y327"/>
      <c r="Z327"/>
      <c r="AA327"/>
      <c r="AB327"/>
      <c r="AC327"/>
      <c r="AD327"/>
    </row>
    <row r="328" spans="1:30" x14ac:dyDescent="0.4">
      <c r="A328" t="s">
        <v>4337</v>
      </c>
      <c r="B328">
        <v>20180119</v>
      </c>
      <c r="C328">
        <v>8806199469961</v>
      </c>
      <c r="D328" t="s">
        <v>2910</v>
      </c>
      <c r="E328"/>
      <c r="F328" t="s">
        <v>215</v>
      </c>
      <c r="G328" t="s">
        <v>2911</v>
      </c>
      <c r="H328">
        <v>0</v>
      </c>
      <c r="I328" t="s">
        <v>379</v>
      </c>
      <c r="J328">
        <v>4000</v>
      </c>
      <c r="K328">
        <v>1</v>
      </c>
      <c r="L328">
        <v>0</v>
      </c>
      <c r="M328">
        <v>0</v>
      </c>
      <c r="N328"/>
      <c r="O328" t="s">
        <v>3544</v>
      </c>
      <c r="P328" s="33">
        <v>0.6</v>
      </c>
      <c r="Q328">
        <v>2400</v>
      </c>
      <c r="R328" t="s">
        <v>216</v>
      </c>
      <c r="S328">
        <v>1</v>
      </c>
      <c r="T328">
        <v>1</v>
      </c>
      <c r="U328"/>
      <c r="V328"/>
      <c r="W328"/>
      <c r="X328"/>
      <c r="Y328"/>
      <c r="Z328"/>
      <c r="AA328"/>
      <c r="AB328"/>
      <c r="AC328"/>
      <c r="AD328"/>
    </row>
    <row r="329" spans="1:30" x14ac:dyDescent="0.4">
      <c r="A329" t="s">
        <v>4338</v>
      </c>
      <c r="B329">
        <v>20180119</v>
      </c>
      <c r="C329">
        <v>8806199469817</v>
      </c>
      <c r="D329" t="s">
        <v>2912</v>
      </c>
      <c r="E329" t="s">
        <v>4339</v>
      </c>
      <c r="F329" t="s">
        <v>215</v>
      </c>
      <c r="G329" t="s">
        <v>2913</v>
      </c>
      <c r="H329">
        <v>0</v>
      </c>
      <c r="I329" t="s">
        <v>379</v>
      </c>
      <c r="J329">
        <v>4000</v>
      </c>
      <c r="K329">
        <v>1</v>
      </c>
      <c r="L329">
        <v>0</v>
      </c>
      <c r="M329">
        <v>0</v>
      </c>
      <c r="N329"/>
      <c r="O329" t="s">
        <v>3544</v>
      </c>
      <c r="P329" s="33">
        <v>0.6</v>
      </c>
      <c r="Q329">
        <v>2400</v>
      </c>
      <c r="R329" t="s">
        <v>216</v>
      </c>
      <c r="S329">
        <v>1</v>
      </c>
      <c r="T329">
        <v>1</v>
      </c>
      <c r="U329"/>
      <c r="V329"/>
      <c r="W329"/>
      <c r="X329"/>
      <c r="Y329"/>
      <c r="Z329"/>
      <c r="AA329"/>
      <c r="AB329"/>
      <c r="AC329"/>
      <c r="AD329"/>
    </row>
    <row r="330" spans="1:30" x14ac:dyDescent="0.4">
      <c r="A330" t="s">
        <v>4340</v>
      </c>
      <c r="B330">
        <v>20180119</v>
      </c>
      <c r="C330">
        <v>8806199452758</v>
      </c>
      <c r="D330" t="s">
        <v>4341</v>
      </c>
      <c r="E330" t="s">
        <v>4342</v>
      </c>
      <c r="F330" t="s">
        <v>215</v>
      </c>
      <c r="G330" t="s">
        <v>4343</v>
      </c>
      <c r="H330">
        <v>0</v>
      </c>
      <c r="I330" t="s">
        <v>379</v>
      </c>
      <c r="J330">
        <v>2500</v>
      </c>
      <c r="K330">
        <v>2</v>
      </c>
      <c r="L330">
        <v>0</v>
      </c>
      <c r="M330">
        <v>2</v>
      </c>
      <c r="N330"/>
      <c r="O330" t="s">
        <v>3544</v>
      </c>
      <c r="P330" s="33">
        <v>0.6</v>
      </c>
      <c r="Q330">
        <v>1500</v>
      </c>
      <c r="R330" t="s">
        <v>216</v>
      </c>
      <c r="S330">
        <v>0</v>
      </c>
      <c r="T330"/>
      <c r="U330" s="10"/>
      <c r="V330"/>
      <c r="W330"/>
      <c r="X330" s="10"/>
      <c r="Y330"/>
      <c r="Z330" s="10"/>
      <c r="AA330"/>
      <c r="AB330"/>
      <c r="AC330"/>
      <c r="AD330"/>
    </row>
    <row r="331" spans="1:30" x14ac:dyDescent="0.4">
      <c r="A331" t="s">
        <v>4344</v>
      </c>
      <c r="B331">
        <v>20180119</v>
      </c>
      <c r="C331">
        <v>8806199468674</v>
      </c>
      <c r="D331" t="s">
        <v>2914</v>
      </c>
      <c r="E331" t="s">
        <v>4345</v>
      </c>
      <c r="F331" t="s">
        <v>215</v>
      </c>
      <c r="G331" t="s">
        <v>2915</v>
      </c>
      <c r="H331">
        <v>0</v>
      </c>
      <c r="I331" t="s">
        <v>379</v>
      </c>
      <c r="J331">
        <v>9800</v>
      </c>
      <c r="K331">
        <v>5</v>
      </c>
      <c r="L331">
        <v>0</v>
      </c>
      <c r="M331">
        <v>0</v>
      </c>
      <c r="N331"/>
      <c r="O331" t="s">
        <v>3544</v>
      </c>
      <c r="P331" s="33">
        <v>0.6</v>
      </c>
      <c r="Q331">
        <v>5880</v>
      </c>
      <c r="R331" t="s">
        <v>216</v>
      </c>
      <c r="S331">
        <v>5</v>
      </c>
      <c r="T331">
        <v>5</v>
      </c>
      <c r="U331">
        <v>43118</v>
      </c>
      <c r="V331" t="s">
        <v>3274</v>
      </c>
      <c r="W331"/>
      <c r="X331"/>
      <c r="Y331"/>
      <c r="Z331"/>
      <c r="AA331"/>
      <c r="AB331"/>
      <c r="AC331"/>
      <c r="AD331"/>
    </row>
    <row r="332" spans="1:30" x14ac:dyDescent="0.4">
      <c r="A332" t="s">
        <v>4346</v>
      </c>
      <c r="B332">
        <v>20180119</v>
      </c>
      <c r="C332" s="36">
        <v>16935220000</v>
      </c>
      <c r="D332" t="s">
        <v>4347</v>
      </c>
      <c r="E332"/>
      <c r="F332" t="s">
        <v>215</v>
      </c>
      <c r="G332" t="s">
        <v>4348</v>
      </c>
      <c r="H332">
        <v>0</v>
      </c>
      <c r="I332" t="s">
        <v>379</v>
      </c>
      <c r="J332">
        <v>6000</v>
      </c>
      <c r="K332">
        <v>1</v>
      </c>
      <c r="L332">
        <v>0</v>
      </c>
      <c r="M332">
        <v>1</v>
      </c>
      <c r="N332"/>
      <c r="O332" t="s">
        <v>3544</v>
      </c>
      <c r="P332" s="33">
        <v>0.6</v>
      </c>
      <c r="Q332">
        <v>3600</v>
      </c>
      <c r="R332" t="s">
        <v>216</v>
      </c>
      <c r="S332">
        <v>0</v>
      </c>
      <c r="T332"/>
      <c r="U332" s="10"/>
      <c r="V332"/>
      <c r="W332"/>
      <c r="X332" s="10"/>
      <c r="Y332"/>
      <c r="Z332" s="10"/>
      <c r="AA332"/>
      <c r="AB332"/>
      <c r="AC332"/>
      <c r="AD332"/>
    </row>
    <row r="333" spans="1:30" x14ac:dyDescent="0.4">
      <c r="A333" t="s">
        <v>4349</v>
      </c>
      <c r="B333">
        <v>20180119</v>
      </c>
      <c r="C333">
        <v>8806179491005</v>
      </c>
      <c r="D333" t="s">
        <v>2917</v>
      </c>
      <c r="E333" t="s">
        <v>4350</v>
      </c>
      <c r="F333" t="s">
        <v>215</v>
      </c>
      <c r="G333" t="s">
        <v>2918</v>
      </c>
      <c r="H333">
        <v>0</v>
      </c>
      <c r="I333" t="s">
        <v>379</v>
      </c>
      <c r="J333">
        <v>3500</v>
      </c>
      <c r="K333">
        <v>1</v>
      </c>
      <c r="L333">
        <v>0</v>
      </c>
      <c r="M333">
        <v>0</v>
      </c>
      <c r="N333"/>
      <c r="O333" t="s">
        <v>3544</v>
      </c>
      <c r="P333" s="33">
        <v>0.6</v>
      </c>
      <c r="Q333">
        <v>2100</v>
      </c>
      <c r="R333" t="s">
        <v>216</v>
      </c>
      <c r="S333">
        <v>1</v>
      </c>
      <c r="T333">
        <v>1</v>
      </c>
      <c r="U333"/>
      <c r="V333"/>
      <c r="W333"/>
      <c r="X333"/>
      <c r="Y333"/>
      <c r="Z333"/>
      <c r="AA333"/>
      <c r="AB333"/>
      <c r="AC333"/>
      <c r="AD333"/>
    </row>
    <row r="334" spans="1:30" x14ac:dyDescent="0.4">
      <c r="A334" t="s">
        <v>4351</v>
      </c>
      <c r="B334">
        <v>20180119</v>
      </c>
      <c r="C334">
        <v>8806199427237</v>
      </c>
      <c r="D334" t="s">
        <v>4352</v>
      </c>
      <c r="E334" t="s">
        <v>4353</v>
      </c>
      <c r="F334" t="s">
        <v>215</v>
      </c>
      <c r="G334" t="s">
        <v>4354</v>
      </c>
      <c r="H334">
        <v>0</v>
      </c>
      <c r="I334" t="s">
        <v>379</v>
      </c>
      <c r="J334">
        <v>8000</v>
      </c>
      <c r="K334">
        <v>1</v>
      </c>
      <c r="L334">
        <v>0</v>
      </c>
      <c r="M334">
        <v>1</v>
      </c>
      <c r="N334"/>
      <c r="O334" t="s">
        <v>3544</v>
      </c>
      <c r="P334" s="33">
        <v>0.6</v>
      </c>
      <c r="Q334">
        <v>4800</v>
      </c>
      <c r="R334" t="s">
        <v>216</v>
      </c>
      <c r="S334">
        <v>0</v>
      </c>
      <c r="T334"/>
      <c r="U334" s="10"/>
      <c r="V334"/>
      <c r="W334"/>
      <c r="X334" s="10"/>
      <c r="Y334"/>
      <c r="Z334" s="10"/>
      <c r="AA334"/>
      <c r="AB334"/>
      <c r="AC334"/>
      <c r="AD334"/>
    </row>
    <row r="335" spans="1:30" x14ac:dyDescent="0.4">
      <c r="A335" t="s">
        <v>4355</v>
      </c>
      <c r="B335">
        <v>20180119</v>
      </c>
      <c r="C335">
        <v>8806179438826</v>
      </c>
      <c r="D335" t="s">
        <v>2919</v>
      </c>
      <c r="E335" t="s">
        <v>4356</v>
      </c>
      <c r="F335" t="s">
        <v>215</v>
      </c>
      <c r="G335" t="s">
        <v>2920</v>
      </c>
      <c r="H335">
        <v>1</v>
      </c>
      <c r="I335" t="s">
        <v>379</v>
      </c>
      <c r="J335">
        <v>1500</v>
      </c>
      <c r="K335">
        <v>3</v>
      </c>
      <c r="L335">
        <v>0</v>
      </c>
      <c r="M335">
        <v>2</v>
      </c>
      <c r="N335"/>
      <c r="O335" s="35" t="s">
        <v>3550</v>
      </c>
      <c r="P335" s="33">
        <v>0.6</v>
      </c>
      <c r="Q335">
        <v>900</v>
      </c>
      <c r="R335" t="s">
        <v>216</v>
      </c>
      <c r="S335">
        <v>1</v>
      </c>
      <c r="T335">
        <v>1</v>
      </c>
      <c r="U335" s="10"/>
      <c r="V335"/>
      <c r="W335"/>
      <c r="X335" s="10"/>
      <c r="Y335"/>
      <c r="Z335" s="10"/>
      <c r="AA335"/>
      <c r="AB335"/>
      <c r="AC335"/>
      <c r="AD335"/>
    </row>
    <row r="336" spans="1:30" x14ac:dyDescent="0.4">
      <c r="A336" t="s">
        <v>4357</v>
      </c>
      <c r="B336">
        <v>20180119</v>
      </c>
      <c r="C336">
        <v>8806179438833</v>
      </c>
      <c r="D336" t="s">
        <v>2921</v>
      </c>
      <c r="E336" t="s">
        <v>4358</v>
      </c>
      <c r="F336" t="s">
        <v>215</v>
      </c>
      <c r="G336" t="s">
        <v>2922</v>
      </c>
      <c r="H336">
        <v>0</v>
      </c>
      <c r="I336" t="s">
        <v>379</v>
      </c>
      <c r="J336">
        <v>3000</v>
      </c>
      <c r="K336">
        <v>1</v>
      </c>
      <c r="L336">
        <v>0</v>
      </c>
      <c r="M336">
        <v>0</v>
      </c>
      <c r="N336"/>
      <c r="O336" t="s">
        <v>3544</v>
      </c>
      <c r="P336" s="33">
        <v>0.6</v>
      </c>
      <c r="Q336">
        <v>1800</v>
      </c>
      <c r="R336" t="s">
        <v>216</v>
      </c>
      <c r="S336">
        <v>1</v>
      </c>
      <c r="T336">
        <v>1</v>
      </c>
      <c r="U336"/>
      <c r="V336"/>
      <c r="W336"/>
      <c r="X336"/>
      <c r="Y336"/>
      <c r="Z336"/>
      <c r="AA336"/>
      <c r="AB336"/>
      <c r="AC336"/>
      <c r="AD336"/>
    </row>
    <row r="337" spans="1:30" x14ac:dyDescent="0.4">
      <c r="A337" t="s">
        <v>4359</v>
      </c>
      <c r="B337">
        <v>20180119</v>
      </c>
      <c r="C337">
        <v>8806199464867</v>
      </c>
      <c r="D337" t="s">
        <v>2923</v>
      </c>
      <c r="E337" t="s">
        <v>4360</v>
      </c>
      <c r="F337" t="s">
        <v>215</v>
      </c>
      <c r="G337" t="s">
        <v>2924</v>
      </c>
      <c r="H337">
        <v>0</v>
      </c>
      <c r="I337" t="s">
        <v>379</v>
      </c>
      <c r="J337">
        <v>2500</v>
      </c>
      <c r="K337">
        <v>2</v>
      </c>
      <c r="L337">
        <v>0</v>
      </c>
      <c r="M337">
        <v>1</v>
      </c>
      <c r="N337"/>
      <c r="O337" t="s">
        <v>3544</v>
      </c>
      <c r="P337" s="33">
        <v>0.6</v>
      </c>
      <c r="Q337">
        <v>1500</v>
      </c>
      <c r="R337" t="s">
        <v>216</v>
      </c>
      <c r="S337">
        <v>1</v>
      </c>
      <c r="T337">
        <v>1</v>
      </c>
      <c r="U337" s="10"/>
      <c r="V337"/>
      <c r="W337"/>
      <c r="X337" s="10"/>
      <c r="Y337"/>
      <c r="Z337" s="10"/>
      <c r="AA337"/>
      <c r="AB337"/>
      <c r="AC337"/>
      <c r="AD337"/>
    </row>
    <row r="338" spans="1:30" x14ac:dyDescent="0.4">
      <c r="A338" t="s">
        <v>4361</v>
      </c>
      <c r="B338">
        <v>20180119</v>
      </c>
      <c r="C338">
        <v>8806199403866</v>
      </c>
      <c r="D338" t="s">
        <v>2925</v>
      </c>
      <c r="E338" t="s">
        <v>4362</v>
      </c>
      <c r="F338" t="s">
        <v>215</v>
      </c>
      <c r="G338" t="s">
        <v>2926</v>
      </c>
      <c r="H338">
        <v>0</v>
      </c>
      <c r="I338" t="s">
        <v>379</v>
      </c>
      <c r="J338">
        <v>2500</v>
      </c>
      <c r="K338">
        <v>1</v>
      </c>
      <c r="L338">
        <v>0</v>
      </c>
      <c r="M338">
        <v>0</v>
      </c>
      <c r="N338"/>
      <c r="O338" t="s">
        <v>3544</v>
      </c>
      <c r="P338" s="33">
        <v>0.6</v>
      </c>
      <c r="Q338">
        <v>1500</v>
      </c>
      <c r="R338" t="s">
        <v>216</v>
      </c>
      <c r="S338">
        <v>1</v>
      </c>
      <c r="T338">
        <v>1</v>
      </c>
      <c r="U338"/>
      <c r="V338"/>
      <c r="W338"/>
      <c r="X338"/>
      <c r="Y338"/>
      <c r="Z338"/>
      <c r="AA338"/>
      <c r="AB338"/>
      <c r="AC338"/>
      <c r="AD338"/>
    </row>
    <row r="339" spans="1:30" x14ac:dyDescent="0.4">
      <c r="A339" t="s">
        <v>4363</v>
      </c>
      <c r="B339">
        <v>20180119</v>
      </c>
      <c r="C339">
        <v>8806199419102</v>
      </c>
      <c r="D339" t="s">
        <v>1599</v>
      </c>
      <c r="E339" t="s">
        <v>1607</v>
      </c>
      <c r="F339" t="s">
        <v>215</v>
      </c>
      <c r="G339" t="s">
        <v>1600</v>
      </c>
      <c r="H339">
        <v>0</v>
      </c>
      <c r="I339" t="s">
        <v>379</v>
      </c>
      <c r="J339">
        <v>9500</v>
      </c>
      <c r="K339">
        <v>1</v>
      </c>
      <c r="L339">
        <v>0</v>
      </c>
      <c r="M339">
        <v>0</v>
      </c>
      <c r="N339"/>
      <c r="O339" t="s">
        <v>3544</v>
      </c>
      <c r="P339" s="33">
        <v>0.6</v>
      </c>
      <c r="Q339">
        <v>5700</v>
      </c>
      <c r="R339" t="s">
        <v>216</v>
      </c>
      <c r="S339">
        <v>1</v>
      </c>
      <c r="T339">
        <v>1</v>
      </c>
      <c r="U339"/>
      <c r="V339"/>
      <c r="W339"/>
      <c r="X339"/>
      <c r="Y339"/>
      <c r="Z339"/>
      <c r="AA339"/>
      <c r="AB339"/>
      <c r="AC339"/>
      <c r="AD339"/>
    </row>
    <row r="340" spans="1:30" x14ac:dyDescent="0.4">
      <c r="A340" t="s">
        <v>4364</v>
      </c>
      <c r="B340">
        <v>20180119</v>
      </c>
      <c r="C340">
        <v>8806199419119</v>
      </c>
      <c r="D340" t="s">
        <v>2927</v>
      </c>
      <c r="E340" t="s">
        <v>3771</v>
      </c>
      <c r="F340" t="s">
        <v>215</v>
      </c>
      <c r="G340" t="s">
        <v>2928</v>
      </c>
      <c r="H340">
        <v>0</v>
      </c>
      <c r="I340" t="s">
        <v>379</v>
      </c>
      <c r="J340">
        <v>9500</v>
      </c>
      <c r="K340">
        <v>1</v>
      </c>
      <c r="L340">
        <v>0</v>
      </c>
      <c r="M340">
        <v>0</v>
      </c>
      <c r="N340"/>
      <c r="O340" t="s">
        <v>3544</v>
      </c>
      <c r="P340" s="33">
        <v>0.6</v>
      </c>
      <c r="Q340">
        <v>5700</v>
      </c>
      <c r="R340" t="s">
        <v>216</v>
      </c>
      <c r="S340">
        <v>1</v>
      </c>
      <c r="T340">
        <v>1</v>
      </c>
      <c r="U340"/>
      <c r="V340"/>
      <c r="W340"/>
      <c r="X340"/>
      <c r="Y340"/>
      <c r="Z340"/>
      <c r="AA340"/>
      <c r="AB340"/>
      <c r="AC340"/>
      <c r="AD340"/>
    </row>
    <row r="341" spans="1:30" x14ac:dyDescent="0.4">
      <c r="A341" t="s">
        <v>4365</v>
      </c>
      <c r="B341">
        <v>20180119</v>
      </c>
      <c r="C341">
        <v>8806199464737</v>
      </c>
      <c r="D341" t="s">
        <v>4366</v>
      </c>
      <c r="E341" t="s">
        <v>4367</v>
      </c>
      <c r="F341" t="s">
        <v>215</v>
      </c>
      <c r="G341" t="s">
        <v>4368</v>
      </c>
      <c r="H341">
        <v>0</v>
      </c>
      <c r="I341" t="s">
        <v>379</v>
      </c>
      <c r="J341">
        <v>11000</v>
      </c>
      <c r="K341">
        <v>1</v>
      </c>
      <c r="L341">
        <v>0</v>
      </c>
      <c r="M341">
        <v>1</v>
      </c>
      <c r="N341"/>
      <c r="O341" t="s">
        <v>3544</v>
      </c>
      <c r="P341" s="33">
        <v>0.6</v>
      </c>
      <c r="Q341">
        <v>6600</v>
      </c>
      <c r="R341" t="s">
        <v>216</v>
      </c>
      <c r="S341">
        <v>0</v>
      </c>
      <c r="T341"/>
      <c r="U341" s="10"/>
      <c r="V341"/>
      <c r="W341"/>
      <c r="X341" s="10"/>
      <c r="Y341"/>
      <c r="Z341" s="10"/>
      <c r="AA341"/>
      <c r="AB341"/>
      <c r="AC341"/>
      <c r="AD341"/>
    </row>
    <row r="342" spans="1:30" x14ac:dyDescent="0.4">
      <c r="A342" t="s">
        <v>4369</v>
      </c>
      <c r="B342">
        <v>20180119</v>
      </c>
      <c r="C342">
        <v>8806179475418</v>
      </c>
      <c r="D342" t="s">
        <v>4370</v>
      </c>
      <c r="E342" t="s">
        <v>4371</v>
      </c>
      <c r="F342" t="s">
        <v>215</v>
      </c>
      <c r="G342" t="s">
        <v>4372</v>
      </c>
      <c r="H342">
        <v>0</v>
      </c>
      <c r="I342" t="s">
        <v>379</v>
      </c>
      <c r="J342">
        <v>4000</v>
      </c>
      <c r="K342">
        <v>1</v>
      </c>
      <c r="L342">
        <v>0</v>
      </c>
      <c r="M342">
        <v>1</v>
      </c>
      <c r="N342"/>
      <c r="O342" t="s">
        <v>3544</v>
      </c>
      <c r="P342" s="33">
        <v>0.6</v>
      </c>
      <c r="Q342">
        <v>2400</v>
      </c>
      <c r="R342" t="s">
        <v>216</v>
      </c>
      <c r="S342">
        <v>0</v>
      </c>
      <c r="T342"/>
      <c r="U342" s="10"/>
      <c r="V342"/>
      <c r="W342"/>
      <c r="X342" s="10"/>
      <c r="Y342"/>
      <c r="Z342" s="10"/>
      <c r="AA342"/>
      <c r="AB342"/>
      <c r="AC342"/>
      <c r="AD342"/>
    </row>
    <row r="343" spans="1:30" x14ac:dyDescent="0.4">
      <c r="A343" t="s">
        <v>4373</v>
      </c>
      <c r="B343">
        <v>20180119</v>
      </c>
      <c r="C343">
        <v>8806199426315</v>
      </c>
      <c r="D343" t="s">
        <v>4374</v>
      </c>
      <c r="E343" t="s">
        <v>4375</v>
      </c>
      <c r="F343" t="s">
        <v>215</v>
      </c>
      <c r="G343" t="s">
        <v>4376</v>
      </c>
      <c r="H343">
        <v>0</v>
      </c>
      <c r="I343" t="s">
        <v>379</v>
      </c>
      <c r="J343">
        <v>6000</v>
      </c>
      <c r="K343">
        <v>1</v>
      </c>
      <c r="L343">
        <v>0</v>
      </c>
      <c r="M343">
        <v>1</v>
      </c>
      <c r="N343"/>
      <c r="O343" t="s">
        <v>3544</v>
      </c>
      <c r="P343" s="33">
        <v>0.6</v>
      </c>
      <c r="Q343">
        <v>3600</v>
      </c>
      <c r="R343" t="s">
        <v>216</v>
      </c>
      <c r="S343">
        <v>0</v>
      </c>
      <c r="T343"/>
      <c r="U343" s="10"/>
      <c r="V343"/>
      <c r="W343"/>
      <c r="X343" s="10"/>
      <c r="Y343"/>
      <c r="Z343" s="10"/>
      <c r="AA343"/>
      <c r="AB343"/>
      <c r="AC343"/>
      <c r="AD343"/>
    </row>
    <row r="344" spans="1:30" x14ac:dyDescent="0.4">
      <c r="A344" t="s">
        <v>4377</v>
      </c>
      <c r="B344">
        <v>20180119</v>
      </c>
      <c r="C344" s="36">
        <v>16932120000</v>
      </c>
      <c r="D344" t="s">
        <v>4378</v>
      </c>
      <c r="E344"/>
      <c r="F344" t="s">
        <v>215</v>
      </c>
      <c r="G344" t="s">
        <v>4379</v>
      </c>
      <c r="H344">
        <v>0</v>
      </c>
      <c r="I344" t="s">
        <v>379</v>
      </c>
      <c r="J344">
        <v>12000</v>
      </c>
      <c r="K344">
        <v>1</v>
      </c>
      <c r="L344">
        <v>0</v>
      </c>
      <c r="M344">
        <v>1</v>
      </c>
      <c r="N344"/>
      <c r="O344" t="s">
        <v>3544</v>
      </c>
      <c r="P344" s="33">
        <v>0.6</v>
      </c>
      <c r="Q344">
        <v>7200</v>
      </c>
      <c r="R344" t="s">
        <v>216</v>
      </c>
      <c r="S344">
        <v>0</v>
      </c>
      <c r="T344"/>
      <c r="U344" s="10"/>
      <c r="V344"/>
      <c r="W344"/>
      <c r="X344" s="10"/>
      <c r="Y344"/>
      <c r="Z344" s="10"/>
      <c r="AA344"/>
      <c r="AB344"/>
      <c r="AC344"/>
      <c r="AD344"/>
    </row>
    <row r="345" spans="1:30" x14ac:dyDescent="0.4">
      <c r="A345" t="s">
        <v>4380</v>
      </c>
      <c r="B345">
        <v>20180119</v>
      </c>
      <c r="C345">
        <v>8806382624214</v>
      </c>
      <c r="D345" t="s">
        <v>2929</v>
      </c>
      <c r="E345" t="s">
        <v>1429</v>
      </c>
      <c r="F345" t="s">
        <v>215</v>
      </c>
      <c r="G345" t="s">
        <v>2930</v>
      </c>
      <c r="H345">
        <v>0</v>
      </c>
      <c r="I345" t="s">
        <v>379</v>
      </c>
      <c r="J345">
        <v>2000</v>
      </c>
      <c r="K345">
        <v>5</v>
      </c>
      <c r="L345">
        <v>0</v>
      </c>
      <c r="M345">
        <v>0</v>
      </c>
      <c r="N345"/>
      <c r="O345" t="s">
        <v>3544</v>
      </c>
      <c r="P345" s="33">
        <v>0.6</v>
      </c>
      <c r="Q345">
        <v>1200</v>
      </c>
      <c r="R345" t="s">
        <v>216</v>
      </c>
      <c r="S345">
        <v>5</v>
      </c>
      <c r="T345">
        <v>5</v>
      </c>
      <c r="U345"/>
      <c r="V345"/>
      <c r="W345"/>
      <c r="X345"/>
      <c r="Y345"/>
      <c r="Z345"/>
      <c r="AA345"/>
      <c r="AB345"/>
      <c r="AC345"/>
      <c r="AD345"/>
    </row>
    <row r="346" spans="1:30" x14ac:dyDescent="0.4">
      <c r="A346" t="s">
        <v>4381</v>
      </c>
      <c r="B346">
        <v>20180119</v>
      </c>
      <c r="C346">
        <v>8806199475504</v>
      </c>
      <c r="D346" t="s">
        <v>2931</v>
      </c>
      <c r="E346" t="s">
        <v>4382</v>
      </c>
      <c r="F346" t="s">
        <v>215</v>
      </c>
      <c r="G346" t="s">
        <v>2932</v>
      </c>
      <c r="H346">
        <v>0</v>
      </c>
      <c r="I346" t="s">
        <v>379</v>
      </c>
      <c r="J346">
        <v>2000</v>
      </c>
      <c r="K346">
        <v>3</v>
      </c>
      <c r="L346">
        <v>0</v>
      </c>
      <c r="M346">
        <v>1</v>
      </c>
      <c r="N346"/>
      <c r="O346" t="s">
        <v>3544</v>
      </c>
      <c r="P346" s="33">
        <v>0.6</v>
      </c>
      <c r="Q346">
        <v>1200</v>
      </c>
      <c r="R346" t="s">
        <v>216</v>
      </c>
      <c r="S346">
        <v>2</v>
      </c>
      <c r="T346">
        <v>2</v>
      </c>
      <c r="U346" s="10"/>
      <c r="V346"/>
      <c r="W346"/>
      <c r="X346" s="10"/>
      <c r="Y346"/>
      <c r="Z346" s="10"/>
      <c r="AA346"/>
      <c r="AB346"/>
      <c r="AC346"/>
      <c r="AD346"/>
    </row>
    <row r="347" spans="1:30" x14ac:dyDescent="0.4">
      <c r="A347" t="s">
        <v>4383</v>
      </c>
      <c r="B347">
        <v>20180119</v>
      </c>
      <c r="C347">
        <v>8806199472503</v>
      </c>
      <c r="D347" t="s">
        <v>4384</v>
      </c>
      <c r="E347" t="s">
        <v>984</v>
      </c>
      <c r="F347" t="s">
        <v>215</v>
      </c>
      <c r="G347" t="s">
        <v>4385</v>
      </c>
      <c r="H347">
        <v>0</v>
      </c>
      <c r="I347" t="s">
        <v>379</v>
      </c>
      <c r="J347">
        <v>8000</v>
      </c>
      <c r="K347">
        <v>1</v>
      </c>
      <c r="L347">
        <v>0</v>
      </c>
      <c r="M347">
        <v>1</v>
      </c>
      <c r="N347"/>
      <c r="O347" t="s">
        <v>3544</v>
      </c>
      <c r="P347" s="33">
        <v>0.6</v>
      </c>
      <c r="Q347">
        <v>4800</v>
      </c>
      <c r="R347" t="s">
        <v>216</v>
      </c>
      <c r="S347">
        <v>0</v>
      </c>
      <c r="T347"/>
      <c r="U347" s="10"/>
      <c r="V347"/>
      <c r="W347"/>
      <c r="X347" s="10"/>
      <c r="Y347"/>
      <c r="Z347" s="10"/>
      <c r="AA347"/>
      <c r="AB347"/>
      <c r="AC347"/>
      <c r="AD347"/>
    </row>
    <row r="348" spans="1:30" x14ac:dyDescent="0.4">
      <c r="A348" t="s">
        <v>4386</v>
      </c>
      <c r="B348">
        <v>20180119</v>
      </c>
      <c r="C348">
        <v>8806199472657</v>
      </c>
      <c r="D348" t="s">
        <v>1076</v>
      </c>
      <c r="E348" t="s">
        <v>1084</v>
      </c>
      <c r="F348" t="s">
        <v>215</v>
      </c>
      <c r="G348" t="s">
        <v>1077</v>
      </c>
      <c r="H348">
        <v>0</v>
      </c>
      <c r="I348" t="s">
        <v>379</v>
      </c>
      <c r="J348">
        <v>11000</v>
      </c>
      <c r="K348">
        <v>1</v>
      </c>
      <c r="L348">
        <v>0</v>
      </c>
      <c r="M348">
        <v>1</v>
      </c>
      <c r="N348"/>
      <c r="O348" t="s">
        <v>3544</v>
      </c>
      <c r="P348" s="33">
        <v>0.6</v>
      </c>
      <c r="Q348">
        <v>6600</v>
      </c>
      <c r="R348" t="s">
        <v>216</v>
      </c>
      <c r="S348">
        <v>0</v>
      </c>
      <c r="T348"/>
      <c r="U348" s="10"/>
      <c r="V348"/>
      <c r="W348"/>
      <c r="X348" s="10"/>
      <c r="Y348"/>
      <c r="Z348" s="10"/>
      <c r="AA348"/>
      <c r="AB348"/>
      <c r="AC348"/>
      <c r="AD348"/>
    </row>
    <row r="349" spans="1:30" x14ac:dyDescent="0.4">
      <c r="A349" t="s">
        <v>4387</v>
      </c>
      <c r="B349">
        <v>20180119</v>
      </c>
      <c r="C349">
        <v>8806199472527</v>
      </c>
      <c r="D349" t="s">
        <v>2933</v>
      </c>
      <c r="E349" t="s">
        <v>4358</v>
      </c>
      <c r="F349" t="s">
        <v>215</v>
      </c>
      <c r="G349" t="s">
        <v>2934</v>
      </c>
      <c r="H349">
        <v>0</v>
      </c>
      <c r="I349" t="s">
        <v>379</v>
      </c>
      <c r="J349">
        <v>7000</v>
      </c>
      <c r="K349">
        <v>2</v>
      </c>
      <c r="L349">
        <v>0</v>
      </c>
      <c r="M349">
        <v>0</v>
      </c>
      <c r="N349"/>
      <c r="O349" t="s">
        <v>3544</v>
      </c>
      <c r="P349" s="33">
        <v>0.6</v>
      </c>
      <c r="Q349">
        <v>4200</v>
      </c>
      <c r="R349" t="s">
        <v>216</v>
      </c>
      <c r="S349">
        <v>2</v>
      </c>
      <c r="T349">
        <v>2</v>
      </c>
      <c r="U349"/>
      <c r="V349"/>
      <c r="W349"/>
      <c r="X349"/>
      <c r="Y349"/>
      <c r="Z349"/>
      <c r="AA349"/>
      <c r="AB349"/>
      <c r="AC349"/>
      <c r="AD349"/>
    </row>
    <row r="350" spans="1:30" x14ac:dyDescent="0.4">
      <c r="A350" t="s">
        <v>4388</v>
      </c>
      <c r="B350">
        <v>20180119</v>
      </c>
      <c r="C350">
        <v>8806199482595</v>
      </c>
      <c r="D350" t="s">
        <v>4389</v>
      </c>
      <c r="E350" t="s">
        <v>2031</v>
      </c>
      <c r="F350" t="s">
        <v>215</v>
      </c>
      <c r="G350" t="s">
        <v>4390</v>
      </c>
      <c r="H350">
        <v>0</v>
      </c>
      <c r="I350" t="s">
        <v>379</v>
      </c>
      <c r="J350">
        <v>7500</v>
      </c>
      <c r="K350">
        <v>1</v>
      </c>
      <c r="L350">
        <v>0</v>
      </c>
      <c r="M350">
        <v>1</v>
      </c>
      <c r="N350"/>
      <c r="O350" t="s">
        <v>3544</v>
      </c>
      <c r="P350" s="33">
        <v>0.6</v>
      </c>
      <c r="Q350">
        <v>4500</v>
      </c>
      <c r="R350" t="s">
        <v>216</v>
      </c>
      <c r="S350">
        <v>0</v>
      </c>
      <c r="T350"/>
      <c r="U350" s="10"/>
      <c r="V350"/>
      <c r="W350"/>
      <c r="X350" s="10"/>
      <c r="Y350"/>
      <c r="Z350" s="10"/>
      <c r="AA350"/>
      <c r="AB350"/>
      <c r="AC350"/>
      <c r="AD350"/>
    </row>
    <row r="351" spans="1:30" x14ac:dyDescent="0.4">
      <c r="A351" t="s">
        <v>4391</v>
      </c>
      <c r="B351">
        <v>20180119</v>
      </c>
      <c r="C351">
        <v>8806199482571</v>
      </c>
      <c r="D351" t="s">
        <v>4392</v>
      </c>
      <c r="E351" t="s">
        <v>2040</v>
      </c>
      <c r="F351" t="s">
        <v>215</v>
      </c>
      <c r="G351" t="s">
        <v>4393</v>
      </c>
      <c r="H351">
        <v>0</v>
      </c>
      <c r="I351" t="s">
        <v>379</v>
      </c>
      <c r="J351">
        <v>7500</v>
      </c>
      <c r="K351">
        <v>1</v>
      </c>
      <c r="L351">
        <v>0</v>
      </c>
      <c r="M351">
        <v>1</v>
      </c>
      <c r="N351"/>
      <c r="O351" t="s">
        <v>3544</v>
      </c>
      <c r="P351" s="33">
        <v>0.6</v>
      </c>
      <c r="Q351">
        <v>4500</v>
      </c>
      <c r="R351" t="s">
        <v>216</v>
      </c>
      <c r="S351">
        <v>0</v>
      </c>
      <c r="T351"/>
      <c r="U351" s="10"/>
      <c r="V351"/>
      <c r="W351"/>
      <c r="X351" s="10"/>
      <c r="Y351"/>
      <c r="Z351" s="10"/>
      <c r="AA351"/>
      <c r="AB351"/>
      <c r="AC351"/>
      <c r="AD351"/>
    </row>
    <row r="352" spans="1:30" x14ac:dyDescent="0.4">
      <c r="A352" t="s">
        <v>4394</v>
      </c>
      <c r="B352">
        <v>20180119</v>
      </c>
      <c r="C352">
        <v>8806199465321</v>
      </c>
      <c r="D352" t="s">
        <v>2935</v>
      </c>
      <c r="E352" t="s">
        <v>2544</v>
      </c>
      <c r="F352" t="s">
        <v>215</v>
      </c>
      <c r="G352" t="s">
        <v>2936</v>
      </c>
      <c r="H352">
        <v>0</v>
      </c>
      <c r="I352" t="s">
        <v>379</v>
      </c>
      <c r="J352">
        <v>7500</v>
      </c>
      <c r="K352">
        <v>1</v>
      </c>
      <c r="L352">
        <v>0</v>
      </c>
      <c r="M352">
        <v>0</v>
      </c>
      <c r="N352"/>
      <c r="O352" t="s">
        <v>3544</v>
      </c>
      <c r="P352" s="33">
        <v>0.6</v>
      </c>
      <c r="Q352">
        <v>4500</v>
      </c>
      <c r="R352" t="s">
        <v>216</v>
      </c>
      <c r="S352">
        <v>1</v>
      </c>
      <c r="T352">
        <v>1</v>
      </c>
      <c r="U352"/>
      <c r="V352"/>
      <c r="W352"/>
      <c r="X352"/>
      <c r="Y352"/>
      <c r="Z352"/>
      <c r="AA352"/>
      <c r="AB352"/>
      <c r="AC352"/>
      <c r="AD352"/>
    </row>
    <row r="353" spans="1:30" x14ac:dyDescent="0.4">
      <c r="A353" t="s">
        <v>4395</v>
      </c>
      <c r="B353">
        <v>20180119</v>
      </c>
      <c r="C353">
        <v>8806338708777</v>
      </c>
      <c r="D353" t="s">
        <v>2939</v>
      </c>
      <c r="E353" t="s">
        <v>4396</v>
      </c>
      <c r="F353" t="s">
        <v>215</v>
      </c>
      <c r="G353" t="s">
        <v>2940</v>
      </c>
      <c r="H353">
        <v>0</v>
      </c>
      <c r="I353" t="s">
        <v>379</v>
      </c>
      <c r="J353">
        <v>4000</v>
      </c>
      <c r="K353">
        <v>1</v>
      </c>
      <c r="L353">
        <v>0</v>
      </c>
      <c r="M353">
        <v>0</v>
      </c>
      <c r="N353"/>
      <c r="O353" t="s">
        <v>3544</v>
      </c>
      <c r="P353" s="33">
        <v>0.6</v>
      </c>
      <c r="Q353">
        <v>2400</v>
      </c>
      <c r="R353" t="s">
        <v>216</v>
      </c>
      <c r="S353">
        <v>1</v>
      </c>
      <c r="T353">
        <v>1</v>
      </c>
      <c r="U353"/>
      <c r="V353"/>
      <c r="W353"/>
      <c r="X353"/>
      <c r="Y353"/>
      <c r="Z353"/>
      <c r="AA353"/>
      <c r="AB353"/>
      <c r="AC353"/>
      <c r="AD353"/>
    </row>
    <row r="354" spans="1:30" x14ac:dyDescent="0.4">
      <c r="A354" t="s">
        <v>4397</v>
      </c>
      <c r="B354">
        <v>20180119</v>
      </c>
      <c r="C354">
        <v>8806165960768</v>
      </c>
      <c r="D354" t="s">
        <v>4398</v>
      </c>
      <c r="E354" t="s">
        <v>1607</v>
      </c>
      <c r="F354" t="s">
        <v>215</v>
      </c>
      <c r="G354" t="s">
        <v>4399</v>
      </c>
      <c r="H354">
        <v>0</v>
      </c>
      <c r="I354" t="s">
        <v>379</v>
      </c>
      <c r="J354">
        <v>6000</v>
      </c>
      <c r="K354">
        <v>1</v>
      </c>
      <c r="L354">
        <v>0</v>
      </c>
      <c r="M354">
        <v>1</v>
      </c>
      <c r="N354"/>
      <c r="O354" t="s">
        <v>3544</v>
      </c>
      <c r="P354" s="33">
        <v>0.6</v>
      </c>
      <c r="Q354">
        <v>3600</v>
      </c>
      <c r="R354" t="s">
        <v>216</v>
      </c>
      <c r="S354">
        <v>0</v>
      </c>
      <c r="T354"/>
      <c r="U354" s="10"/>
      <c r="V354"/>
      <c r="W354"/>
      <c r="X354" s="10"/>
      <c r="Y354"/>
      <c r="Z354" s="10"/>
      <c r="AA354"/>
      <c r="AB354"/>
      <c r="AC354"/>
      <c r="AD354"/>
    </row>
    <row r="355" spans="1:30" x14ac:dyDescent="0.4">
      <c r="A355" t="s">
        <v>4400</v>
      </c>
      <c r="B355">
        <v>20180119</v>
      </c>
      <c r="C355">
        <v>8806199440939</v>
      </c>
      <c r="D355" t="s">
        <v>4401</v>
      </c>
      <c r="E355" t="s">
        <v>1265</v>
      </c>
      <c r="F355" t="s">
        <v>215</v>
      </c>
      <c r="G355" t="s">
        <v>4402</v>
      </c>
      <c r="H355">
        <v>0</v>
      </c>
      <c r="I355" t="s">
        <v>379</v>
      </c>
      <c r="J355">
        <v>9000</v>
      </c>
      <c r="K355">
        <v>1</v>
      </c>
      <c r="L355">
        <v>0</v>
      </c>
      <c r="M355">
        <v>1</v>
      </c>
      <c r="N355"/>
      <c r="O355" t="s">
        <v>3544</v>
      </c>
      <c r="P355" s="33">
        <v>0.6</v>
      </c>
      <c r="Q355">
        <v>5400</v>
      </c>
      <c r="R355" t="s">
        <v>216</v>
      </c>
      <c r="S355">
        <v>0</v>
      </c>
      <c r="T355"/>
      <c r="U355" s="10"/>
      <c r="V355"/>
      <c r="W355"/>
      <c r="X355" s="10"/>
      <c r="Y355"/>
      <c r="Z355" s="10"/>
      <c r="AA355"/>
      <c r="AB355"/>
      <c r="AC355"/>
      <c r="AD355"/>
    </row>
    <row r="356" spans="1:30" x14ac:dyDescent="0.4">
      <c r="A356" t="s">
        <v>4403</v>
      </c>
      <c r="B356">
        <v>20180119</v>
      </c>
      <c r="C356">
        <v>8806199440953</v>
      </c>
      <c r="D356" t="s">
        <v>4404</v>
      </c>
      <c r="E356" t="s">
        <v>4405</v>
      </c>
      <c r="F356" t="s">
        <v>215</v>
      </c>
      <c r="G356" t="s">
        <v>4406</v>
      </c>
      <c r="H356">
        <v>0</v>
      </c>
      <c r="I356" t="s">
        <v>379</v>
      </c>
      <c r="J356">
        <v>7000</v>
      </c>
      <c r="K356">
        <v>1</v>
      </c>
      <c r="L356">
        <v>0</v>
      </c>
      <c r="M356">
        <v>1</v>
      </c>
      <c r="N356"/>
      <c r="O356" t="s">
        <v>3544</v>
      </c>
      <c r="P356" s="33">
        <v>0.6</v>
      </c>
      <c r="Q356">
        <v>4200</v>
      </c>
      <c r="R356" t="s">
        <v>216</v>
      </c>
      <c r="S356">
        <v>0</v>
      </c>
      <c r="T356"/>
      <c r="U356" s="10"/>
      <c r="V356"/>
      <c r="W356"/>
      <c r="X356" s="10"/>
      <c r="Y356"/>
      <c r="Z356" s="10"/>
      <c r="AA356"/>
      <c r="AB356"/>
      <c r="AC356"/>
      <c r="AD356"/>
    </row>
    <row r="357" spans="1:30" x14ac:dyDescent="0.4">
      <c r="A357" t="s">
        <v>4407</v>
      </c>
      <c r="B357">
        <v>20180119</v>
      </c>
      <c r="C357">
        <v>8806179486452</v>
      </c>
      <c r="D357" t="s">
        <v>1329</v>
      </c>
      <c r="E357" t="s">
        <v>1337</v>
      </c>
      <c r="F357" t="s">
        <v>215</v>
      </c>
      <c r="G357" t="s">
        <v>1330</v>
      </c>
      <c r="H357">
        <v>0</v>
      </c>
      <c r="I357" t="s">
        <v>379</v>
      </c>
      <c r="J357">
        <v>10000</v>
      </c>
      <c r="K357">
        <v>2</v>
      </c>
      <c r="L357">
        <v>0</v>
      </c>
      <c r="M357">
        <v>2</v>
      </c>
      <c r="N357"/>
      <c r="O357" t="s">
        <v>3544</v>
      </c>
      <c r="P357" s="33">
        <v>0.6</v>
      </c>
      <c r="Q357">
        <v>6000</v>
      </c>
      <c r="R357" t="s">
        <v>216</v>
      </c>
      <c r="S357">
        <v>0</v>
      </c>
      <c r="T357"/>
      <c r="U357" s="10"/>
      <c r="V357"/>
      <c r="W357"/>
      <c r="X357" s="10"/>
      <c r="Y357"/>
      <c r="Z357" s="10"/>
      <c r="AA357"/>
      <c r="AB357"/>
      <c r="AC357"/>
      <c r="AD357"/>
    </row>
    <row r="358" spans="1:30" x14ac:dyDescent="0.4">
      <c r="A358" t="s">
        <v>4408</v>
      </c>
      <c r="B358">
        <v>20180119</v>
      </c>
      <c r="C358">
        <v>8806199459825</v>
      </c>
      <c r="D358" t="s">
        <v>4409</v>
      </c>
      <c r="E358" t="s">
        <v>518</v>
      </c>
      <c r="F358" t="s">
        <v>215</v>
      </c>
      <c r="G358" t="s">
        <v>4410</v>
      </c>
      <c r="H358">
        <v>0</v>
      </c>
      <c r="I358" t="s">
        <v>379</v>
      </c>
      <c r="J358">
        <v>12000</v>
      </c>
      <c r="K358">
        <v>1</v>
      </c>
      <c r="L358">
        <v>0</v>
      </c>
      <c r="M358">
        <v>1</v>
      </c>
      <c r="N358"/>
      <c r="O358" t="s">
        <v>3544</v>
      </c>
      <c r="P358" s="33">
        <v>0.6</v>
      </c>
      <c r="Q358">
        <v>7200</v>
      </c>
      <c r="R358" t="s">
        <v>216</v>
      </c>
      <c r="S358">
        <v>0</v>
      </c>
      <c r="T358"/>
      <c r="U358" s="10"/>
      <c r="V358"/>
      <c r="W358"/>
      <c r="X358" s="10"/>
      <c r="Y358"/>
      <c r="Z358" s="10"/>
      <c r="AA358"/>
      <c r="AB358"/>
      <c r="AC358"/>
      <c r="AD358"/>
    </row>
    <row r="359" spans="1:30" x14ac:dyDescent="0.4">
      <c r="A359" t="s">
        <v>4411</v>
      </c>
      <c r="B359">
        <v>20180119</v>
      </c>
      <c r="C359">
        <v>8806199459856</v>
      </c>
      <c r="D359" t="s">
        <v>4412</v>
      </c>
      <c r="E359" t="s">
        <v>4413</v>
      </c>
      <c r="F359" t="s">
        <v>215</v>
      </c>
      <c r="G359" t="s">
        <v>4414</v>
      </c>
      <c r="H359">
        <v>0</v>
      </c>
      <c r="I359" t="s">
        <v>379</v>
      </c>
      <c r="J359">
        <v>12000</v>
      </c>
      <c r="K359">
        <v>1</v>
      </c>
      <c r="L359">
        <v>0</v>
      </c>
      <c r="M359">
        <v>1</v>
      </c>
      <c r="N359"/>
      <c r="O359" t="s">
        <v>3544</v>
      </c>
      <c r="P359" s="33">
        <v>0.6</v>
      </c>
      <c r="Q359">
        <v>7200</v>
      </c>
      <c r="R359" t="s">
        <v>216</v>
      </c>
      <c r="S359">
        <v>0</v>
      </c>
      <c r="T359"/>
      <c r="U359" s="10"/>
      <c r="V359"/>
      <c r="W359"/>
      <c r="X359" s="10"/>
      <c r="Y359"/>
      <c r="Z359" s="10"/>
      <c r="AA359"/>
      <c r="AB359"/>
      <c r="AC359"/>
      <c r="AD359"/>
    </row>
    <row r="360" spans="1:30" x14ac:dyDescent="0.4">
      <c r="A360" t="s">
        <v>4415</v>
      </c>
      <c r="B360">
        <v>20180119</v>
      </c>
      <c r="C360">
        <v>8806199460333</v>
      </c>
      <c r="D360" t="s">
        <v>1946</v>
      </c>
      <c r="E360" t="s">
        <v>1955</v>
      </c>
      <c r="F360" t="s">
        <v>215</v>
      </c>
      <c r="G360" t="s">
        <v>1947</v>
      </c>
      <c r="H360">
        <v>0</v>
      </c>
      <c r="I360" t="s">
        <v>379</v>
      </c>
      <c r="J360">
        <v>18000</v>
      </c>
      <c r="K360">
        <v>2</v>
      </c>
      <c r="L360">
        <v>0</v>
      </c>
      <c r="M360">
        <v>0</v>
      </c>
      <c r="N360"/>
      <c r="O360" t="s">
        <v>3544</v>
      </c>
      <c r="P360" s="33">
        <v>0.6</v>
      </c>
      <c r="Q360">
        <v>10800</v>
      </c>
      <c r="R360" t="s">
        <v>216</v>
      </c>
      <c r="S360">
        <v>2</v>
      </c>
      <c r="T360">
        <v>2</v>
      </c>
      <c r="U360"/>
      <c r="V360"/>
      <c r="W360"/>
      <c r="X360"/>
      <c r="Y360"/>
      <c r="Z360"/>
      <c r="AA360"/>
      <c r="AB360"/>
      <c r="AC360"/>
      <c r="AD360"/>
    </row>
    <row r="361" spans="1:30" x14ac:dyDescent="0.4">
      <c r="A361" t="s">
        <v>4416</v>
      </c>
      <c r="B361">
        <v>20180119</v>
      </c>
      <c r="C361">
        <v>8806199412837</v>
      </c>
      <c r="D361" t="s">
        <v>4417</v>
      </c>
      <c r="E361" t="s">
        <v>4418</v>
      </c>
      <c r="F361" t="s">
        <v>215</v>
      </c>
      <c r="G361" t="s">
        <v>4419</v>
      </c>
      <c r="H361">
        <v>0</v>
      </c>
      <c r="I361" t="s">
        <v>379</v>
      </c>
      <c r="J361">
        <v>6000</v>
      </c>
      <c r="K361">
        <v>1</v>
      </c>
      <c r="L361">
        <v>0</v>
      </c>
      <c r="M361">
        <v>1</v>
      </c>
      <c r="N361"/>
      <c r="O361" t="s">
        <v>3544</v>
      </c>
      <c r="P361" s="33">
        <v>0.6</v>
      </c>
      <c r="Q361">
        <v>3600</v>
      </c>
      <c r="R361" t="s">
        <v>216</v>
      </c>
      <c r="S361">
        <v>0</v>
      </c>
      <c r="T361"/>
      <c r="U361" s="10"/>
      <c r="V361"/>
      <c r="W361"/>
      <c r="X361" s="10"/>
      <c r="Y361"/>
      <c r="Z361" s="10"/>
      <c r="AA361"/>
      <c r="AB361"/>
      <c r="AC361"/>
      <c r="AD361"/>
    </row>
    <row r="362" spans="1:30" x14ac:dyDescent="0.4">
      <c r="A362" t="s">
        <v>4420</v>
      </c>
      <c r="B362">
        <v>20180119</v>
      </c>
      <c r="C362">
        <v>8806199452734</v>
      </c>
      <c r="D362" t="s">
        <v>4421</v>
      </c>
      <c r="E362" t="s">
        <v>4422</v>
      </c>
      <c r="F362" t="s">
        <v>215</v>
      </c>
      <c r="G362" t="s">
        <v>4423</v>
      </c>
      <c r="H362">
        <v>2</v>
      </c>
      <c r="I362" t="s">
        <v>379</v>
      </c>
      <c r="J362">
        <v>2500</v>
      </c>
      <c r="K362">
        <v>7</v>
      </c>
      <c r="L362">
        <v>1</v>
      </c>
      <c r="M362">
        <v>6</v>
      </c>
      <c r="N362"/>
      <c r="O362" s="35" t="s">
        <v>3550</v>
      </c>
      <c r="P362" s="33">
        <v>0.6</v>
      </c>
      <c r="Q362">
        <v>1500</v>
      </c>
      <c r="R362" t="s">
        <v>216</v>
      </c>
      <c r="S362">
        <v>1</v>
      </c>
      <c r="T362"/>
      <c r="U362" s="10"/>
      <c r="V362"/>
      <c r="W362"/>
      <c r="X362" s="10"/>
      <c r="Y362"/>
      <c r="Z362" s="10"/>
      <c r="AA362"/>
      <c r="AB362"/>
      <c r="AC362"/>
      <c r="AD362"/>
    </row>
    <row r="363" spans="1:30" x14ac:dyDescent="0.4">
      <c r="A363" t="s">
        <v>4424</v>
      </c>
      <c r="B363">
        <v>20180119</v>
      </c>
      <c r="C363">
        <v>8806199478819</v>
      </c>
      <c r="D363" t="s">
        <v>2943</v>
      </c>
      <c r="E363" t="s">
        <v>4425</v>
      </c>
      <c r="F363" t="s">
        <v>215</v>
      </c>
      <c r="G363" t="s">
        <v>2944</v>
      </c>
      <c r="H363">
        <v>0</v>
      </c>
      <c r="I363" t="s">
        <v>379</v>
      </c>
      <c r="J363">
        <v>5500</v>
      </c>
      <c r="K363">
        <v>1</v>
      </c>
      <c r="L363">
        <v>0</v>
      </c>
      <c r="M363">
        <v>0</v>
      </c>
      <c r="N363"/>
      <c r="O363" t="s">
        <v>3544</v>
      </c>
      <c r="P363" s="33">
        <v>0.6</v>
      </c>
      <c r="Q363">
        <v>3300</v>
      </c>
      <c r="R363" t="s">
        <v>216</v>
      </c>
      <c r="S363">
        <v>1</v>
      </c>
      <c r="T363">
        <v>1</v>
      </c>
      <c r="U363"/>
      <c r="V363"/>
      <c r="W363"/>
      <c r="X363"/>
      <c r="Y363"/>
      <c r="Z363"/>
      <c r="AA363"/>
      <c r="AB363"/>
      <c r="AC363"/>
      <c r="AD363"/>
    </row>
    <row r="364" spans="1:30" x14ac:dyDescent="0.4">
      <c r="A364" t="s">
        <v>4426</v>
      </c>
      <c r="B364">
        <v>20180119</v>
      </c>
      <c r="C364">
        <v>8806179484458</v>
      </c>
      <c r="D364" t="s">
        <v>2398</v>
      </c>
      <c r="E364" t="s">
        <v>2405</v>
      </c>
      <c r="F364" t="s">
        <v>215</v>
      </c>
      <c r="G364" t="s">
        <v>2399</v>
      </c>
      <c r="H364">
        <v>0</v>
      </c>
      <c r="I364" t="s">
        <v>379</v>
      </c>
      <c r="J364">
        <v>4500</v>
      </c>
      <c r="K364">
        <v>3</v>
      </c>
      <c r="L364">
        <v>0</v>
      </c>
      <c r="M364">
        <v>2</v>
      </c>
      <c r="N364"/>
      <c r="O364" s="35" t="s">
        <v>3550</v>
      </c>
      <c r="P364" s="33">
        <v>0.6</v>
      </c>
      <c r="Q364">
        <v>2700</v>
      </c>
      <c r="R364" t="s">
        <v>216</v>
      </c>
      <c r="S364">
        <v>1</v>
      </c>
      <c r="T364">
        <v>1</v>
      </c>
      <c r="U364" s="10"/>
      <c r="V364"/>
      <c r="W364"/>
      <c r="X364" s="10"/>
      <c r="Y364"/>
      <c r="Z364" s="10"/>
      <c r="AA364"/>
      <c r="AB364"/>
      <c r="AC364"/>
      <c r="AD364"/>
    </row>
    <row r="365" spans="1:30" x14ac:dyDescent="0.4">
      <c r="A365" t="s">
        <v>4427</v>
      </c>
      <c r="B365">
        <v>20180119</v>
      </c>
      <c r="C365">
        <v>8806199444517</v>
      </c>
      <c r="D365" t="s">
        <v>2945</v>
      </c>
      <c r="E365" t="s">
        <v>4428</v>
      </c>
      <c r="F365" t="s">
        <v>215</v>
      </c>
      <c r="G365" t="s">
        <v>2946</v>
      </c>
      <c r="H365">
        <v>0</v>
      </c>
      <c r="I365" t="s">
        <v>379</v>
      </c>
      <c r="J365">
        <v>7500</v>
      </c>
      <c r="K365">
        <v>1</v>
      </c>
      <c r="L365">
        <v>0</v>
      </c>
      <c r="M365">
        <v>0</v>
      </c>
      <c r="N365"/>
      <c r="O365" t="s">
        <v>3544</v>
      </c>
      <c r="P365" s="33">
        <v>0.6</v>
      </c>
      <c r="Q365">
        <v>4500</v>
      </c>
      <c r="R365" t="s">
        <v>216</v>
      </c>
      <c r="S365">
        <v>1</v>
      </c>
      <c r="T365">
        <v>1</v>
      </c>
      <c r="U365"/>
      <c r="V365"/>
      <c r="W365"/>
      <c r="X365"/>
      <c r="Y365"/>
      <c r="Z365"/>
      <c r="AA365"/>
      <c r="AB365"/>
      <c r="AC365"/>
      <c r="AD365"/>
    </row>
    <row r="366" spans="1:30" x14ac:dyDescent="0.4">
      <c r="A366" t="s">
        <v>4429</v>
      </c>
      <c r="B366">
        <v>20180119</v>
      </c>
      <c r="C366">
        <v>8806199457357</v>
      </c>
      <c r="D366" t="s">
        <v>2947</v>
      </c>
      <c r="E366" t="s">
        <v>3865</v>
      </c>
      <c r="F366" t="s">
        <v>215</v>
      </c>
      <c r="G366" t="s">
        <v>2948</v>
      </c>
      <c r="H366">
        <v>0</v>
      </c>
      <c r="I366" t="s">
        <v>379</v>
      </c>
      <c r="J366">
        <v>3000</v>
      </c>
      <c r="K366">
        <v>1</v>
      </c>
      <c r="L366">
        <v>0</v>
      </c>
      <c r="M366">
        <v>0</v>
      </c>
      <c r="N366"/>
      <c r="O366" t="s">
        <v>3544</v>
      </c>
      <c r="P366" s="33">
        <v>0.6</v>
      </c>
      <c r="Q366">
        <v>1800</v>
      </c>
      <c r="R366" t="s">
        <v>216</v>
      </c>
      <c r="S366">
        <v>1</v>
      </c>
      <c r="T366">
        <v>1</v>
      </c>
      <c r="U366"/>
      <c r="V366"/>
      <c r="W366"/>
      <c r="X366"/>
      <c r="Y366"/>
      <c r="Z366"/>
      <c r="AA366"/>
      <c r="AB366"/>
      <c r="AC366"/>
      <c r="AD366"/>
    </row>
    <row r="367" spans="1:30" x14ac:dyDescent="0.4">
      <c r="A367" t="s">
        <v>4430</v>
      </c>
      <c r="B367">
        <v>20180119</v>
      </c>
      <c r="C367">
        <v>8806179416411</v>
      </c>
      <c r="D367" t="s">
        <v>4431</v>
      </c>
      <c r="E367" t="s">
        <v>2031</v>
      </c>
      <c r="F367" t="s">
        <v>215</v>
      </c>
      <c r="G367" t="s">
        <v>4432</v>
      </c>
      <c r="H367">
        <v>0</v>
      </c>
      <c r="I367" t="s">
        <v>379</v>
      </c>
      <c r="J367">
        <v>5000</v>
      </c>
      <c r="K367">
        <v>1</v>
      </c>
      <c r="L367">
        <v>0</v>
      </c>
      <c r="M367">
        <v>1</v>
      </c>
      <c r="N367"/>
      <c r="O367" t="s">
        <v>3544</v>
      </c>
      <c r="P367" s="33">
        <v>0.6</v>
      </c>
      <c r="Q367">
        <v>3000</v>
      </c>
      <c r="R367" t="s">
        <v>216</v>
      </c>
      <c r="S367">
        <v>0</v>
      </c>
      <c r="T367"/>
      <c r="U367" s="10"/>
      <c r="V367"/>
      <c r="W367"/>
      <c r="X367" s="10"/>
      <c r="Y367"/>
      <c r="Z367" s="10"/>
      <c r="AA367"/>
      <c r="AB367"/>
      <c r="AC367"/>
      <c r="AD367"/>
    </row>
    <row r="368" spans="1:30" x14ac:dyDescent="0.4">
      <c r="A368" t="s">
        <v>4433</v>
      </c>
      <c r="B368">
        <v>20180119</v>
      </c>
      <c r="C368">
        <v>8806199436451</v>
      </c>
      <c r="D368" t="s">
        <v>2949</v>
      </c>
      <c r="E368" t="s">
        <v>4434</v>
      </c>
      <c r="F368" t="s">
        <v>215</v>
      </c>
      <c r="G368" t="s">
        <v>2950</v>
      </c>
      <c r="H368">
        <v>0</v>
      </c>
      <c r="I368" t="s">
        <v>379</v>
      </c>
      <c r="J368">
        <v>11000</v>
      </c>
      <c r="K368">
        <v>1</v>
      </c>
      <c r="L368">
        <v>0</v>
      </c>
      <c r="M368">
        <v>0</v>
      </c>
      <c r="N368"/>
      <c r="O368" t="s">
        <v>3544</v>
      </c>
      <c r="P368" s="33">
        <v>0.6</v>
      </c>
      <c r="Q368">
        <v>6600</v>
      </c>
      <c r="R368" t="s">
        <v>216</v>
      </c>
      <c r="S368">
        <v>1</v>
      </c>
      <c r="T368">
        <v>1</v>
      </c>
      <c r="U368"/>
      <c r="V368"/>
      <c r="W368"/>
      <c r="X368"/>
      <c r="Y368"/>
      <c r="Z368"/>
      <c r="AA368"/>
      <c r="AB368"/>
      <c r="AC368"/>
      <c r="AD368"/>
    </row>
    <row r="369" spans="1:30" x14ac:dyDescent="0.4">
      <c r="A369" t="s">
        <v>4435</v>
      </c>
      <c r="B369">
        <v>20180119</v>
      </c>
      <c r="C369">
        <v>8806199436550</v>
      </c>
      <c r="D369" t="s">
        <v>2951</v>
      </c>
      <c r="E369" t="s">
        <v>4436</v>
      </c>
      <c r="F369" t="s">
        <v>215</v>
      </c>
      <c r="G369" t="s">
        <v>2952</v>
      </c>
      <c r="H369">
        <v>0</v>
      </c>
      <c r="I369" t="s">
        <v>379</v>
      </c>
      <c r="J369">
        <v>2500</v>
      </c>
      <c r="K369">
        <v>3</v>
      </c>
      <c r="L369">
        <v>2</v>
      </c>
      <c r="M369">
        <v>0</v>
      </c>
      <c r="N369"/>
      <c r="O369" t="s">
        <v>3544</v>
      </c>
      <c r="P369" s="33">
        <v>0.6</v>
      </c>
      <c r="Q369">
        <v>1500</v>
      </c>
      <c r="R369" t="s">
        <v>216</v>
      </c>
      <c r="S369">
        <v>3</v>
      </c>
      <c r="T369">
        <v>1</v>
      </c>
      <c r="U369"/>
      <c r="V369"/>
      <c r="W369"/>
      <c r="X369"/>
      <c r="Y369"/>
      <c r="Z369"/>
      <c r="AA369"/>
      <c r="AB369"/>
      <c r="AC369"/>
      <c r="AD369"/>
    </row>
    <row r="370" spans="1:30" x14ac:dyDescent="0.4">
      <c r="A370" t="s">
        <v>4437</v>
      </c>
      <c r="B370">
        <v>20180119</v>
      </c>
      <c r="C370">
        <v>8809304690175</v>
      </c>
      <c r="D370" t="s">
        <v>4438</v>
      </c>
      <c r="E370" t="s">
        <v>4130</v>
      </c>
      <c r="F370" t="s">
        <v>260</v>
      </c>
      <c r="G370" t="s">
        <v>4439</v>
      </c>
      <c r="H370">
        <v>0</v>
      </c>
      <c r="I370" t="s">
        <v>379</v>
      </c>
      <c r="J370">
        <v>3500</v>
      </c>
      <c r="K370">
        <v>1</v>
      </c>
      <c r="L370">
        <v>0</v>
      </c>
      <c r="M370">
        <v>1</v>
      </c>
      <c r="N370"/>
      <c r="O370" t="s">
        <v>3544</v>
      </c>
      <c r="P370" s="33" t="s">
        <v>3567</v>
      </c>
      <c r="Q370" s="37">
        <v>1330</v>
      </c>
      <c r="R370" t="s">
        <v>261</v>
      </c>
      <c r="S370">
        <v>0</v>
      </c>
      <c r="T370"/>
      <c r="U370" s="10"/>
      <c r="V370"/>
      <c r="W370"/>
      <c r="X370" s="10"/>
      <c r="Y370"/>
      <c r="Z370" s="10"/>
      <c r="AA370"/>
      <c r="AB370"/>
      <c r="AC370"/>
      <c r="AD370"/>
    </row>
    <row r="371" spans="1:30" x14ac:dyDescent="0.4">
      <c r="A371" t="s">
        <v>4440</v>
      </c>
      <c r="B371">
        <v>20180119</v>
      </c>
      <c r="C371">
        <v>8809418750666</v>
      </c>
      <c r="D371" t="s">
        <v>4441</v>
      </c>
      <c r="E371" t="s">
        <v>4442</v>
      </c>
      <c r="F371" t="s">
        <v>41</v>
      </c>
      <c r="G371" t="s">
        <v>4443</v>
      </c>
      <c r="H371">
        <v>1</v>
      </c>
      <c r="I371" t="s">
        <v>379</v>
      </c>
      <c r="J371">
        <v>26000</v>
      </c>
      <c r="K371" s="34">
        <v>10</v>
      </c>
      <c r="L371">
        <v>6</v>
      </c>
      <c r="M371">
        <v>4</v>
      </c>
      <c r="N371"/>
      <c r="O371" t="s">
        <v>3544</v>
      </c>
      <c r="P371" s="33" t="s">
        <v>3567</v>
      </c>
      <c r="Q371" s="37">
        <v>5100</v>
      </c>
      <c r="R371" t="s">
        <v>261</v>
      </c>
      <c r="S371">
        <v>6</v>
      </c>
      <c r="T371"/>
      <c r="U371" s="10"/>
      <c r="V371"/>
      <c r="W371"/>
      <c r="X371" s="10"/>
      <c r="Y371"/>
      <c r="Z371" s="10"/>
      <c r="AA371"/>
      <c r="AB371"/>
      <c r="AC371"/>
      <c r="AD371"/>
    </row>
    <row r="372" spans="1:30" x14ac:dyDescent="0.4">
      <c r="A372" t="s">
        <v>4444</v>
      </c>
      <c r="B372">
        <v>20180119</v>
      </c>
      <c r="C372">
        <v>8806173590407</v>
      </c>
      <c r="D372" t="s">
        <v>4445</v>
      </c>
      <c r="E372" t="s">
        <v>4446</v>
      </c>
      <c r="F372" t="s">
        <v>117</v>
      </c>
      <c r="G372" t="s">
        <v>4447</v>
      </c>
      <c r="H372">
        <v>1</v>
      </c>
      <c r="I372" t="s">
        <v>379</v>
      </c>
      <c r="J372">
        <v>0</v>
      </c>
      <c r="K372" s="34">
        <v>10</v>
      </c>
      <c r="L372">
        <v>5</v>
      </c>
      <c r="M372">
        <v>5</v>
      </c>
      <c r="N372"/>
      <c r="O372" t="s">
        <v>3544</v>
      </c>
      <c r="P372" s="33">
        <v>0.55000000000000004</v>
      </c>
      <c r="Q372">
        <v>0</v>
      </c>
      <c r="R372" t="s">
        <v>118</v>
      </c>
      <c r="S372">
        <v>5</v>
      </c>
      <c r="T372"/>
      <c r="U372" s="10"/>
      <c r="V372"/>
      <c r="W372"/>
      <c r="X372" s="10"/>
      <c r="Y372"/>
      <c r="Z372" s="10"/>
      <c r="AA372"/>
      <c r="AB372"/>
      <c r="AC372"/>
      <c r="AD372"/>
    </row>
    <row r="373" spans="1:30" x14ac:dyDescent="0.4">
      <c r="A373" t="s">
        <v>4448</v>
      </c>
      <c r="B373">
        <v>20180119</v>
      </c>
      <c r="C373">
        <v>8806173571710</v>
      </c>
      <c r="D373" t="s">
        <v>4449</v>
      </c>
      <c r="E373" t="s">
        <v>4450</v>
      </c>
      <c r="F373" t="s">
        <v>117</v>
      </c>
      <c r="G373" t="s">
        <v>4451</v>
      </c>
      <c r="H373">
        <v>0</v>
      </c>
      <c r="I373" t="s">
        <v>379</v>
      </c>
      <c r="J373">
        <v>15000</v>
      </c>
      <c r="K373">
        <v>4</v>
      </c>
      <c r="L373">
        <v>1</v>
      </c>
      <c r="M373">
        <v>3</v>
      </c>
      <c r="N373"/>
      <c r="O373" t="s">
        <v>3544</v>
      </c>
      <c r="P373" s="33">
        <v>0.55000000000000004</v>
      </c>
      <c r="Q373">
        <v>8250</v>
      </c>
      <c r="R373" t="s">
        <v>118</v>
      </c>
      <c r="S373">
        <v>1</v>
      </c>
      <c r="T373"/>
      <c r="U373" s="10"/>
      <c r="V373"/>
      <c r="W373"/>
      <c r="X373" s="10"/>
      <c r="Y373"/>
      <c r="Z373" s="10"/>
      <c r="AA373"/>
      <c r="AB373"/>
      <c r="AC373"/>
      <c r="AD373"/>
    </row>
    <row r="374" spans="1:30" x14ac:dyDescent="0.4">
      <c r="A374" t="s">
        <v>4452</v>
      </c>
      <c r="B374">
        <v>20180119</v>
      </c>
      <c r="C374">
        <v>8809516523391</v>
      </c>
      <c r="D374" t="s">
        <v>4453</v>
      </c>
      <c r="E374" t="s">
        <v>4454</v>
      </c>
      <c r="F374" t="s">
        <v>117</v>
      </c>
      <c r="G374" t="s">
        <v>4455</v>
      </c>
      <c r="H374">
        <v>0</v>
      </c>
      <c r="I374" t="s">
        <v>379</v>
      </c>
      <c r="J374">
        <v>7000</v>
      </c>
      <c r="K374">
        <v>1</v>
      </c>
      <c r="L374">
        <v>0</v>
      </c>
      <c r="M374">
        <v>1</v>
      </c>
      <c r="N374"/>
      <c r="O374" t="s">
        <v>3544</v>
      </c>
      <c r="P374" s="33">
        <v>0.55000000000000004</v>
      </c>
      <c r="Q374">
        <v>3850</v>
      </c>
      <c r="R374" t="s">
        <v>118</v>
      </c>
      <c r="S374">
        <v>0</v>
      </c>
      <c r="T374"/>
      <c r="U374" s="10"/>
      <c r="V374"/>
      <c r="W374"/>
      <c r="X374" s="10"/>
      <c r="Y374"/>
      <c r="Z374" s="10"/>
      <c r="AA374"/>
      <c r="AB374"/>
      <c r="AC374"/>
      <c r="AD374"/>
    </row>
    <row r="375" spans="1:30" x14ac:dyDescent="0.4">
      <c r="A375" t="s">
        <v>4456</v>
      </c>
      <c r="B375">
        <v>20180119</v>
      </c>
      <c r="C375">
        <v>8806173589517</v>
      </c>
      <c r="D375" t="s">
        <v>4457</v>
      </c>
      <c r="E375" t="s">
        <v>4458</v>
      </c>
      <c r="F375" t="s">
        <v>117</v>
      </c>
      <c r="G375" t="s">
        <v>4459</v>
      </c>
      <c r="H375">
        <v>0</v>
      </c>
      <c r="I375" t="s">
        <v>379</v>
      </c>
      <c r="J375">
        <v>3500</v>
      </c>
      <c r="K375">
        <v>3</v>
      </c>
      <c r="L375">
        <v>0</v>
      </c>
      <c r="M375">
        <v>3</v>
      </c>
      <c r="N375"/>
      <c r="O375" t="s">
        <v>3544</v>
      </c>
      <c r="P375" s="33">
        <v>0.55000000000000004</v>
      </c>
      <c r="Q375">
        <v>1925</v>
      </c>
      <c r="R375" t="s">
        <v>118</v>
      </c>
      <c r="S375">
        <v>0</v>
      </c>
      <c r="T375"/>
      <c r="U375" s="10"/>
      <c r="V375"/>
      <c r="W375"/>
      <c r="X375" s="10"/>
      <c r="Y375"/>
      <c r="Z375" s="10"/>
      <c r="AA375"/>
      <c r="AB375"/>
      <c r="AC375"/>
      <c r="AD375"/>
    </row>
    <row r="376" spans="1:30" x14ac:dyDescent="0.4">
      <c r="A376" t="s">
        <v>4460</v>
      </c>
      <c r="B376">
        <v>20180119</v>
      </c>
      <c r="C376">
        <v>8806173587599</v>
      </c>
      <c r="D376" t="s">
        <v>3037</v>
      </c>
      <c r="E376" t="s">
        <v>4461</v>
      </c>
      <c r="F376" t="s">
        <v>117</v>
      </c>
      <c r="G376" t="s">
        <v>3038</v>
      </c>
      <c r="H376">
        <v>2</v>
      </c>
      <c r="I376" t="s">
        <v>379</v>
      </c>
      <c r="J376">
        <v>3500</v>
      </c>
      <c r="K376">
        <v>1</v>
      </c>
      <c r="L376">
        <v>0</v>
      </c>
      <c r="M376">
        <v>0</v>
      </c>
      <c r="N376"/>
      <c r="O376" s="35" t="s">
        <v>3550</v>
      </c>
      <c r="P376" s="33">
        <v>0.55000000000000004</v>
      </c>
      <c r="Q376">
        <v>1925</v>
      </c>
      <c r="R376" t="s">
        <v>118</v>
      </c>
      <c r="S376">
        <v>1</v>
      </c>
      <c r="T376">
        <v>1</v>
      </c>
      <c r="U376"/>
      <c r="V376"/>
      <c r="W376"/>
      <c r="X376"/>
      <c r="Y376"/>
      <c r="Z376"/>
      <c r="AA376"/>
      <c r="AB376"/>
      <c r="AC376"/>
      <c r="AD376"/>
    </row>
    <row r="377" spans="1:30" x14ac:dyDescent="0.4">
      <c r="A377" t="s">
        <v>4462</v>
      </c>
      <c r="B377">
        <v>20180119</v>
      </c>
      <c r="C377">
        <v>8809560241364</v>
      </c>
      <c r="D377" t="s">
        <v>3039</v>
      </c>
      <c r="E377" t="s">
        <v>4463</v>
      </c>
      <c r="F377" t="s">
        <v>117</v>
      </c>
      <c r="G377" t="s">
        <v>3040</v>
      </c>
      <c r="H377">
        <v>2</v>
      </c>
      <c r="I377" t="s">
        <v>379</v>
      </c>
      <c r="J377">
        <v>3500</v>
      </c>
      <c r="K377">
        <v>3</v>
      </c>
      <c r="L377">
        <v>0</v>
      </c>
      <c r="M377">
        <v>0</v>
      </c>
      <c r="N377"/>
      <c r="O377" t="s">
        <v>3544</v>
      </c>
      <c r="P377" s="33">
        <v>0.55000000000000004</v>
      </c>
      <c r="Q377">
        <v>1925</v>
      </c>
      <c r="R377" t="s">
        <v>118</v>
      </c>
      <c r="S377">
        <v>3</v>
      </c>
      <c r="T377">
        <v>3</v>
      </c>
      <c r="U377"/>
      <c r="V377"/>
      <c r="W377"/>
      <c r="X377"/>
      <c r="Y377"/>
      <c r="Z377"/>
      <c r="AA377"/>
      <c r="AB377"/>
      <c r="AC377"/>
      <c r="AD377"/>
    </row>
    <row r="378" spans="1:30" x14ac:dyDescent="0.4">
      <c r="A378" t="s">
        <v>4464</v>
      </c>
      <c r="B378">
        <v>20180119</v>
      </c>
      <c r="C378" s="36">
        <v>16998920000</v>
      </c>
      <c r="D378" t="s">
        <v>4465</v>
      </c>
      <c r="E378"/>
      <c r="F378" t="s">
        <v>117</v>
      </c>
      <c r="G378" t="s">
        <v>4466</v>
      </c>
      <c r="H378">
        <v>0</v>
      </c>
      <c r="I378" t="s">
        <v>379</v>
      </c>
      <c r="J378">
        <v>6000</v>
      </c>
      <c r="K378">
        <v>9</v>
      </c>
      <c r="L378">
        <v>0</v>
      </c>
      <c r="M378">
        <v>9</v>
      </c>
      <c r="N378"/>
      <c r="O378" t="s">
        <v>3544</v>
      </c>
      <c r="P378" s="33">
        <v>0.55000000000000004</v>
      </c>
      <c r="Q378">
        <v>3300</v>
      </c>
      <c r="R378" t="s">
        <v>118</v>
      </c>
      <c r="S378">
        <v>0</v>
      </c>
      <c r="T378"/>
      <c r="U378" s="10"/>
      <c r="V378"/>
      <c r="W378"/>
      <c r="X378" s="10"/>
      <c r="Y378"/>
      <c r="Z378" s="10"/>
      <c r="AA378"/>
      <c r="AB378"/>
      <c r="AC378"/>
      <c r="AD378"/>
    </row>
    <row r="379" spans="1:30" x14ac:dyDescent="0.4">
      <c r="A379" t="s">
        <v>4467</v>
      </c>
      <c r="B379">
        <v>20180119</v>
      </c>
      <c r="C379">
        <v>8806173530243</v>
      </c>
      <c r="D379" t="s">
        <v>4468</v>
      </c>
      <c r="E379" t="s">
        <v>4469</v>
      </c>
      <c r="F379" t="s">
        <v>117</v>
      </c>
      <c r="G379" t="s">
        <v>4470</v>
      </c>
      <c r="H379">
        <v>6</v>
      </c>
      <c r="I379" t="s">
        <v>379</v>
      </c>
      <c r="J379">
        <v>10000</v>
      </c>
      <c r="K379">
        <v>1</v>
      </c>
      <c r="L379">
        <v>0</v>
      </c>
      <c r="M379">
        <v>1</v>
      </c>
      <c r="N379"/>
      <c r="O379" s="35" t="s">
        <v>3550</v>
      </c>
      <c r="P379" s="33">
        <v>0.55000000000000004</v>
      </c>
      <c r="Q379">
        <v>5500</v>
      </c>
      <c r="R379" t="s">
        <v>118</v>
      </c>
      <c r="S379">
        <v>0</v>
      </c>
      <c r="T379"/>
      <c r="U379" s="10"/>
      <c r="V379"/>
      <c r="W379"/>
      <c r="X379" s="10"/>
      <c r="Y379"/>
      <c r="Z379" s="10"/>
      <c r="AA379"/>
      <c r="AB379"/>
      <c r="AC379"/>
      <c r="AD379"/>
    </row>
    <row r="380" spans="1:30" x14ac:dyDescent="0.4">
      <c r="A380" t="s">
        <v>4471</v>
      </c>
      <c r="B380">
        <v>20180119</v>
      </c>
      <c r="C380">
        <v>8809516801376</v>
      </c>
      <c r="D380" t="s">
        <v>3045</v>
      </c>
      <c r="E380" t="s">
        <v>3625</v>
      </c>
      <c r="F380" t="s">
        <v>117</v>
      </c>
      <c r="G380" t="s">
        <v>3046</v>
      </c>
      <c r="H380">
        <v>1</v>
      </c>
      <c r="I380" t="s">
        <v>379</v>
      </c>
      <c r="J380">
        <v>8000</v>
      </c>
      <c r="K380">
        <v>4</v>
      </c>
      <c r="L380">
        <v>1</v>
      </c>
      <c r="M380">
        <v>2</v>
      </c>
      <c r="N380"/>
      <c r="O380" s="35" t="s">
        <v>3550</v>
      </c>
      <c r="P380" s="33">
        <v>0.55000000000000004</v>
      </c>
      <c r="Q380">
        <v>4400</v>
      </c>
      <c r="R380" t="s">
        <v>118</v>
      </c>
      <c r="S380">
        <v>2</v>
      </c>
      <c r="T380">
        <v>1</v>
      </c>
      <c r="U380" s="10"/>
      <c r="V380"/>
      <c r="W380"/>
      <c r="X380" s="10"/>
      <c r="Y380"/>
      <c r="Z380" s="10"/>
      <c r="AA380"/>
      <c r="AB380"/>
      <c r="AC380"/>
      <c r="AD380"/>
    </row>
    <row r="381" spans="1:30" x14ac:dyDescent="0.4">
      <c r="A381" t="s">
        <v>4472</v>
      </c>
      <c r="B381">
        <v>20180119</v>
      </c>
      <c r="C381">
        <v>8809516801383</v>
      </c>
      <c r="D381" t="s">
        <v>3047</v>
      </c>
      <c r="E381" t="s">
        <v>4473</v>
      </c>
      <c r="F381" t="s">
        <v>117</v>
      </c>
      <c r="G381" t="s">
        <v>3048</v>
      </c>
      <c r="H381">
        <v>0</v>
      </c>
      <c r="I381" t="s">
        <v>379</v>
      </c>
      <c r="J381">
        <v>12000</v>
      </c>
      <c r="K381">
        <v>1</v>
      </c>
      <c r="L381">
        <v>0</v>
      </c>
      <c r="M381">
        <v>0</v>
      </c>
      <c r="N381"/>
      <c r="O381" t="s">
        <v>3544</v>
      </c>
      <c r="P381" s="33">
        <v>0.55000000000000004</v>
      </c>
      <c r="Q381">
        <v>6600</v>
      </c>
      <c r="R381" t="s">
        <v>118</v>
      </c>
      <c r="S381">
        <v>1</v>
      </c>
      <c r="T381">
        <v>1</v>
      </c>
      <c r="U381"/>
      <c r="V381"/>
      <c r="W381"/>
      <c r="X381"/>
      <c r="Y381"/>
      <c r="Z381"/>
      <c r="AA381"/>
      <c r="AB381"/>
      <c r="AC381"/>
      <c r="AD381"/>
    </row>
    <row r="382" spans="1:30" x14ac:dyDescent="0.4">
      <c r="A382" t="s">
        <v>4474</v>
      </c>
      <c r="B382">
        <v>20180119</v>
      </c>
      <c r="C382">
        <v>8806173517534</v>
      </c>
      <c r="D382" t="s">
        <v>3049</v>
      </c>
      <c r="E382" t="s">
        <v>4475</v>
      </c>
      <c r="F382" t="s">
        <v>117</v>
      </c>
      <c r="G382" t="s">
        <v>3050</v>
      </c>
      <c r="H382">
        <v>11</v>
      </c>
      <c r="I382" t="s">
        <v>379</v>
      </c>
      <c r="J382">
        <v>22000</v>
      </c>
      <c r="K382">
        <v>6</v>
      </c>
      <c r="L382">
        <v>4</v>
      </c>
      <c r="M382">
        <v>-1</v>
      </c>
      <c r="N382"/>
      <c r="O382" s="35" t="s">
        <v>3550</v>
      </c>
      <c r="P382" s="33">
        <v>0.55000000000000004</v>
      </c>
      <c r="Q382">
        <v>12100</v>
      </c>
      <c r="R382" t="s">
        <v>118</v>
      </c>
      <c r="S382">
        <v>7</v>
      </c>
      <c r="T382">
        <v>3</v>
      </c>
      <c r="U382"/>
      <c r="V382"/>
      <c r="W382"/>
      <c r="X382"/>
      <c r="Y382"/>
      <c r="Z382"/>
      <c r="AA382"/>
      <c r="AB382"/>
      <c r="AC382"/>
      <c r="AD382"/>
    </row>
    <row r="383" spans="1:30" x14ac:dyDescent="0.4">
      <c r="A383" t="s">
        <v>4476</v>
      </c>
      <c r="B383">
        <v>20180119</v>
      </c>
      <c r="C383">
        <v>8806173591565</v>
      </c>
      <c r="D383" t="s">
        <v>4477</v>
      </c>
      <c r="E383" t="s">
        <v>3750</v>
      </c>
      <c r="F383" t="s">
        <v>117</v>
      </c>
      <c r="G383" t="s">
        <v>4478</v>
      </c>
      <c r="H383">
        <v>0</v>
      </c>
      <c r="I383" t="s">
        <v>379</v>
      </c>
      <c r="J383">
        <v>35000</v>
      </c>
      <c r="K383">
        <v>2</v>
      </c>
      <c r="L383">
        <v>1</v>
      </c>
      <c r="M383">
        <v>1</v>
      </c>
      <c r="N383"/>
      <c r="O383" s="35" t="s">
        <v>3550</v>
      </c>
      <c r="P383" s="33">
        <v>0.55000000000000004</v>
      </c>
      <c r="Q383">
        <v>19250</v>
      </c>
      <c r="R383" t="s">
        <v>118</v>
      </c>
      <c r="S383">
        <v>1</v>
      </c>
      <c r="T383"/>
      <c r="U383" s="10"/>
      <c r="V383"/>
      <c r="W383"/>
      <c r="X383" s="10"/>
      <c r="Y383"/>
      <c r="Z383" s="10"/>
      <c r="AA383"/>
      <c r="AB383"/>
      <c r="AC383"/>
      <c r="AD383"/>
    </row>
    <row r="384" spans="1:30" x14ac:dyDescent="0.4">
      <c r="A384" t="s">
        <v>4479</v>
      </c>
      <c r="B384">
        <v>20180119</v>
      </c>
      <c r="C384">
        <v>8809516796597</v>
      </c>
      <c r="D384" t="s">
        <v>4480</v>
      </c>
      <c r="E384" t="s">
        <v>4481</v>
      </c>
      <c r="F384" t="s">
        <v>117</v>
      </c>
      <c r="G384" t="s">
        <v>4482</v>
      </c>
      <c r="H384">
        <v>0</v>
      </c>
      <c r="I384" t="s">
        <v>379</v>
      </c>
      <c r="J384">
        <v>9800</v>
      </c>
      <c r="K384">
        <v>3</v>
      </c>
      <c r="L384">
        <v>0</v>
      </c>
      <c r="M384">
        <v>3</v>
      </c>
      <c r="N384"/>
      <c r="O384" t="s">
        <v>3544</v>
      </c>
      <c r="P384" s="33">
        <v>0.55000000000000004</v>
      </c>
      <c r="Q384">
        <v>5390</v>
      </c>
      <c r="R384" t="s">
        <v>118</v>
      </c>
      <c r="S384">
        <v>0</v>
      </c>
      <c r="T384"/>
      <c r="U384" s="10"/>
      <c r="V384"/>
      <c r="W384"/>
      <c r="X384" s="10"/>
      <c r="Y384"/>
      <c r="Z384" s="10"/>
      <c r="AA384"/>
      <c r="AB384"/>
      <c r="AC384"/>
      <c r="AD384"/>
    </row>
    <row r="385" spans="1:30" x14ac:dyDescent="0.4">
      <c r="A385" t="s">
        <v>4483</v>
      </c>
      <c r="B385">
        <v>20180119</v>
      </c>
      <c r="C385">
        <v>8806173590827</v>
      </c>
      <c r="D385" t="s">
        <v>654</v>
      </c>
      <c r="E385" t="s">
        <v>660</v>
      </c>
      <c r="F385" t="s">
        <v>117</v>
      </c>
      <c r="G385" t="s">
        <v>655</v>
      </c>
      <c r="H385">
        <v>0</v>
      </c>
      <c r="I385" t="s">
        <v>379</v>
      </c>
      <c r="J385">
        <v>12000</v>
      </c>
      <c r="K385">
        <v>2</v>
      </c>
      <c r="L385">
        <v>1</v>
      </c>
      <c r="M385">
        <v>1</v>
      </c>
      <c r="N385"/>
      <c r="O385" t="s">
        <v>3544</v>
      </c>
      <c r="P385" s="33">
        <v>0.55000000000000004</v>
      </c>
      <c r="Q385">
        <v>6600</v>
      </c>
      <c r="R385" t="s">
        <v>118</v>
      </c>
      <c r="S385">
        <v>1</v>
      </c>
      <c r="T385"/>
      <c r="U385" s="10"/>
      <c r="V385"/>
      <c r="W385"/>
      <c r="X385" s="10"/>
      <c r="Y385"/>
      <c r="Z385" s="10"/>
      <c r="AA385"/>
      <c r="AB385"/>
      <c r="AC385"/>
      <c r="AD385"/>
    </row>
    <row r="386" spans="1:30" x14ac:dyDescent="0.4">
      <c r="A386" t="s">
        <v>4484</v>
      </c>
      <c r="B386">
        <v>20180119</v>
      </c>
      <c r="C386">
        <v>8806173590810</v>
      </c>
      <c r="D386" t="s">
        <v>482</v>
      </c>
      <c r="E386" t="s">
        <v>490</v>
      </c>
      <c r="F386" t="s">
        <v>117</v>
      </c>
      <c r="G386" t="s">
        <v>483</v>
      </c>
      <c r="H386">
        <v>0</v>
      </c>
      <c r="I386" t="s">
        <v>379</v>
      </c>
      <c r="J386">
        <v>8000</v>
      </c>
      <c r="K386">
        <v>2</v>
      </c>
      <c r="L386">
        <v>0</v>
      </c>
      <c r="M386">
        <v>2</v>
      </c>
      <c r="N386"/>
      <c r="O386" t="s">
        <v>3544</v>
      </c>
      <c r="P386" s="33">
        <v>0.55000000000000004</v>
      </c>
      <c r="Q386">
        <v>4400</v>
      </c>
      <c r="R386" t="s">
        <v>118</v>
      </c>
      <c r="S386">
        <v>0</v>
      </c>
      <c r="T386"/>
      <c r="U386" s="10"/>
      <c r="V386"/>
      <c r="W386"/>
      <c r="X386" s="10"/>
      <c r="Y386"/>
      <c r="Z386" s="10"/>
      <c r="AA386"/>
      <c r="AB386"/>
      <c r="AC386"/>
      <c r="AD386"/>
    </row>
    <row r="387" spans="1:30" x14ac:dyDescent="0.4">
      <c r="A387" t="s">
        <v>4485</v>
      </c>
      <c r="B387">
        <v>20180119</v>
      </c>
      <c r="C387">
        <v>8806173598199</v>
      </c>
      <c r="D387" t="s">
        <v>4486</v>
      </c>
      <c r="E387" t="s">
        <v>4487</v>
      </c>
      <c r="F387" t="s">
        <v>117</v>
      </c>
      <c r="G387" t="s">
        <v>4488</v>
      </c>
      <c r="H387">
        <v>0</v>
      </c>
      <c r="I387" t="s">
        <v>379</v>
      </c>
      <c r="J387">
        <v>3000</v>
      </c>
      <c r="K387">
        <v>1</v>
      </c>
      <c r="L387">
        <v>0</v>
      </c>
      <c r="M387">
        <v>1</v>
      </c>
      <c r="N387"/>
      <c r="O387" t="s">
        <v>3544</v>
      </c>
      <c r="P387" s="33">
        <v>0.55000000000000004</v>
      </c>
      <c r="Q387">
        <v>1650</v>
      </c>
      <c r="R387" t="s">
        <v>118</v>
      </c>
      <c r="S387">
        <v>0</v>
      </c>
      <c r="T387"/>
      <c r="U387" s="10"/>
      <c r="V387"/>
      <c r="W387"/>
      <c r="X387" s="10"/>
      <c r="Y387"/>
      <c r="Z387" s="10"/>
      <c r="AA387"/>
      <c r="AB387"/>
      <c r="AC387"/>
      <c r="AD387"/>
    </row>
    <row r="388" spans="1:30" x14ac:dyDescent="0.4">
      <c r="A388" t="s">
        <v>4489</v>
      </c>
      <c r="B388">
        <v>20180119</v>
      </c>
      <c r="C388">
        <v>8806173598076</v>
      </c>
      <c r="D388" t="s">
        <v>4490</v>
      </c>
      <c r="E388" t="s">
        <v>4491</v>
      </c>
      <c r="F388" t="s">
        <v>117</v>
      </c>
      <c r="G388" t="s">
        <v>4492</v>
      </c>
      <c r="H388">
        <v>0</v>
      </c>
      <c r="I388" t="s">
        <v>379</v>
      </c>
      <c r="J388">
        <v>3000</v>
      </c>
      <c r="K388">
        <v>1</v>
      </c>
      <c r="L388">
        <v>0</v>
      </c>
      <c r="M388">
        <v>1</v>
      </c>
      <c r="N388"/>
      <c r="O388" t="s">
        <v>3544</v>
      </c>
      <c r="P388" s="33">
        <v>0.55000000000000004</v>
      </c>
      <c r="Q388">
        <v>1650</v>
      </c>
      <c r="R388" t="s">
        <v>118</v>
      </c>
      <c r="S388">
        <v>0</v>
      </c>
      <c r="T388"/>
      <c r="U388" s="10"/>
      <c r="V388"/>
      <c r="W388"/>
      <c r="X388" s="10"/>
      <c r="Y388"/>
      <c r="Z388" s="10"/>
      <c r="AA388"/>
      <c r="AB388"/>
      <c r="AC388"/>
      <c r="AD388"/>
    </row>
    <row r="389" spans="1:30" x14ac:dyDescent="0.4">
      <c r="A389" t="s">
        <v>4493</v>
      </c>
      <c r="B389">
        <v>20180119</v>
      </c>
      <c r="C389">
        <v>8806173567812</v>
      </c>
      <c r="D389" t="s">
        <v>4494</v>
      </c>
      <c r="E389" t="s">
        <v>4495</v>
      </c>
      <c r="F389" t="s">
        <v>117</v>
      </c>
      <c r="G389" t="s">
        <v>4496</v>
      </c>
      <c r="H389">
        <v>0</v>
      </c>
      <c r="I389" t="s">
        <v>379</v>
      </c>
      <c r="J389">
        <v>12000</v>
      </c>
      <c r="K389">
        <v>1</v>
      </c>
      <c r="L389">
        <v>0</v>
      </c>
      <c r="M389">
        <v>1</v>
      </c>
      <c r="N389"/>
      <c r="O389" t="s">
        <v>3544</v>
      </c>
      <c r="P389" s="33">
        <v>0.55000000000000004</v>
      </c>
      <c r="Q389">
        <v>6600</v>
      </c>
      <c r="R389" t="s">
        <v>118</v>
      </c>
      <c r="S389">
        <v>0</v>
      </c>
      <c r="T389"/>
      <c r="U389" s="10"/>
      <c r="V389"/>
      <c r="W389"/>
      <c r="X389" s="10"/>
      <c r="Y389"/>
      <c r="Z389" s="10"/>
      <c r="AA389"/>
      <c r="AB389"/>
      <c r="AC389"/>
      <c r="AD389"/>
    </row>
    <row r="390" spans="1:30" x14ac:dyDescent="0.4">
      <c r="A390" t="s">
        <v>4497</v>
      </c>
      <c r="B390">
        <v>20180119</v>
      </c>
      <c r="C390">
        <v>8806173537662</v>
      </c>
      <c r="D390" t="s">
        <v>2635</v>
      </c>
      <c r="E390"/>
      <c r="F390" t="s">
        <v>117</v>
      </c>
      <c r="G390" t="s">
        <v>2637</v>
      </c>
      <c r="H390">
        <v>0</v>
      </c>
      <c r="I390" t="s">
        <v>379</v>
      </c>
      <c r="J390">
        <v>12000</v>
      </c>
      <c r="K390">
        <v>1</v>
      </c>
      <c r="L390">
        <v>0</v>
      </c>
      <c r="M390">
        <v>1</v>
      </c>
      <c r="N390"/>
      <c r="O390" t="s">
        <v>3544</v>
      </c>
      <c r="P390" s="33">
        <v>0.55000000000000004</v>
      </c>
      <c r="Q390">
        <v>6600</v>
      </c>
      <c r="R390" t="s">
        <v>118</v>
      </c>
      <c r="S390">
        <v>0</v>
      </c>
      <c r="T390"/>
      <c r="U390" s="10"/>
      <c r="V390"/>
      <c r="W390"/>
      <c r="X390" s="10"/>
      <c r="Y390"/>
      <c r="Z390" s="10"/>
      <c r="AA390"/>
      <c r="AB390"/>
      <c r="AC390"/>
      <c r="AD390"/>
    </row>
    <row r="391" spans="1:30" x14ac:dyDescent="0.4">
      <c r="A391" t="s">
        <v>4498</v>
      </c>
      <c r="B391">
        <v>20180119</v>
      </c>
      <c r="C391">
        <v>8809560234663</v>
      </c>
      <c r="D391" t="s">
        <v>4499</v>
      </c>
      <c r="E391" t="s">
        <v>4500</v>
      </c>
      <c r="F391" t="s">
        <v>117</v>
      </c>
      <c r="G391" t="s">
        <v>4501</v>
      </c>
      <c r="H391">
        <v>0</v>
      </c>
      <c r="I391" t="s">
        <v>379</v>
      </c>
      <c r="J391">
        <v>1100</v>
      </c>
      <c r="K391">
        <v>1</v>
      </c>
      <c r="L391">
        <v>0</v>
      </c>
      <c r="M391">
        <v>1</v>
      </c>
      <c r="N391"/>
      <c r="O391" t="s">
        <v>3544</v>
      </c>
      <c r="P391" s="33">
        <v>0.55000000000000004</v>
      </c>
      <c r="Q391">
        <v>605</v>
      </c>
      <c r="R391" t="s">
        <v>118</v>
      </c>
      <c r="S391">
        <v>0</v>
      </c>
      <c r="T391"/>
      <c r="U391" s="10"/>
      <c r="V391"/>
      <c r="W391"/>
      <c r="X391" s="10"/>
      <c r="Y391"/>
      <c r="Z391" s="10"/>
      <c r="AA391"/>
      <c r="AB391"/>
      <c r="AC391"/>
      <c r="AD391"/>
    </row>
    <row r="392" spans="1:30" x14ac:dyDescent="0.4">
      <c r="A392" t="s">
        <v>4502</v>
      </c>
      <c r="B392">
        <v>20180119</v>
      </c>
      <c r="C392">
        <v>8809560234656</v>
      </c>
      <c r="D392" t="s">
        <v>4503</v>
      </c>
      <c r="E392" t="s">
        <v>4504</v>
      </c>
      <c r="F392" t="s">
        <v>117</v>
      </c>
      <c r="G392" t="s">
        <v>4505</v>
      </c>
      <c r="H392">
        <v>0</v>
      </c>
      <c r="I392" t="s">
        <v>379</v>
      </c>
      <c r="J392">
        <v>1100</v>
      </c>
      <c r="K392">
        <v>2</v>
      </c>
      <c r="L392">
        <v>1</v>
      </c>
      <c r="M392">
        <v>1</v>
      </c>
      <c r="N392"/>
      <c r="O392" t="s">
        <v>3544</v>
      </c>
      <c r="P392" s="33">
        <v>0.55000000000000004</v>
      </c>
      <c r="Q392">
        <v>605</v>
      </c>
      <c r="R392" t="s">
        <v>118</v>
      </c>
      <c r="S392">
        <v>1</v>
      </c>
      <c r="T392"/>
      <c r="U392" s="10"/>
      <c r="V392"/>
      <c r="W392"/>
      <c r="X392" s="10"/>
      <c r="Y392"/>
      <c r="Z392" s="10"/>
      <c r="AA392"/>
      <c r="AB392"/>
      <c r="AC392"/>
      <c r="AD392"/>
    </row>
    <row r="393" spans="1:30" x14ac:dyDescent="0.4">
      <c r="A393" t="s">
        <v>4506</v>
      </c>
      <c r="B393">
        <v>20180119</v>
      </c>
      <c r="C393" s="36">
        <v>16998720000</v>
      </c>
      <c r="D393" t="s">
        <v>4507</v>
      </c>
      <c r="E393"/>
      <c r="F393" t="s">
        <v>117</v>
      </c>
      <c r="G393" t="s">
        <v>4508</v>
      </c>
      <c r="H393">
        <v>0</v>
      </c>
      <c r="I393" t="s">
        <v>379</v>
      </c>
      <c r="J393">
        <v>12000</v>
      </c>
      <c r="K393">
        <v>3</v>
      </c>
      <c r="L393">
        <v>0</v>
      </c>
      <c r="M393">
        <v>3</v>
      </c>
      <c r="N393"/>
      <c r="O393" t="s">
        <v>3544</v>
      </c>
      <c r="P393" s="33">
        <v>0.55000000000000004</v>
      </c>
      <c r="Q393">
        <v>6600</v>
      </c>
      <c r="R393" t="s">
        <v>118</v>
      </c>
      <c r="S393">
        <v>0</v>
      </c>
      <c r="T393"/>
      <c r="U393" s="10"/>
      <c r="V393"/>
      <c r="W393"/>
      <c r="X393" s="10"/>
      <c r="Y393"/>
      <c r="Z393" s="10"/>
      <c r="AA393"/>
      <c r="AB393"/>
      <c r="AC393"/>
      <c r="AD393"/>
    </row>
    <row r="394" spans="1:30" x14ac:dyDescent="0.4">
      <c r="A394" t="s">
        <v>4509</v>
      </c>
      <c r="B394">
        <v>20180119</v>
      </c>
      <c r="C394" s="36">
        <v>16998820000</v>
      </c>
      <c r="D394" t="s">
        <v>4510</v>
      </c>
      <c r="E394"/>
      <c r="F394" t="s">
        <v>117</v>
      </c>
      <c r="G394" t="s">
        <v>4511</v>
      </c>
      <c r="H394">
        <v>0</v>
      </c>
      <c r="I394" t="s">
        <v>379</v>
      </c>
      <c r="J394">
        <v>12000</v>
      </c>
      <c r="K394">
        <v>1</v>
      </c>
      <c r="L394">
        <v>0</v>
      </c>
      <c r="M394">
        <v>1</v>
      </c>
      <c r="N394"/>
      <c r="O394" t="s">
        <v>3544</v>
      </c>
      <c r="P394" s="33">
        <v>0.55000000000000004</v>
      </c>
      <c r="Q394">
        <v>6600</v>
      </c>
      <c r="R394" t="s">
        <v>118</v>
      </c>
      <c r="S394">
        <v>0</v>
      </c>
      <c r="T394"/>
      <c r="U394" s="10"/>
      <c r="V394"/>
      <c r="W394"/>
      <c r="X394" s="10"/>
      <c r="Y394"/>
      <c r="Z394" s="10"/>
      <c r="AA394"/>
      <c r="AB394"/>
      <c r="AC394"/>
      <c r="AD394"/>
    </row>
    <row r="395" spans="1:30" x14ac:dyDescent="0.4">
      <c r="A395" t="s">
        <v>4512</v>
      </c>
      <c r="B395">
        <v>20180119</v>
      </c>
      <c r="C395">
        <v>8806173549047</v>
      </c>
      <c r="D395" t="s">
        <v>4513</v>
      </c>
      <c r="E395" t="s">
        <v>4514</v>
      </c>
      <c r="F395" t="s">
        <v>117</v>
      </c>
      <c r="G395" t="s">
        <v>4515</v>
      </c>
      <c r="H395">
        <v>1</v>
      </c>
      <c r="I395" t="s">
        <v>379</v>
      </c>
      <c r="J395">
        <v>4000</v>
      </c>
      <c r="K395">
        <v>1</v>
      </c>
      <c r="L395">
        <v>0</v>
      </c>
      <c r="M395">
        <v>1</v>
      </c>
      <c r="N395"/>
      <c r="O395" s="35" t="s">
        <v>3550</v>
      </c>
      <c r="P395" s="33">
        <v>0.55000000000000004</v>
      </c>
      <c r="Q395">
        <v>2200</v>
      </c>
      <c r="R395" t="s">
        <v>118</v>
      </c>
      <c r="S395">
        <v>0</v>
      </c>
      <c r="T395"/>
      <c r="U395" s="10"/>
      <c r="V395"/>
      <c r="W395"/>
      <c r="X395" s="10"/>
      <c r="Y395"/>
      <c r="Z395" s="10"/>
      <c r="AA395"/>
      <c r="AB395"/>
      <c r="AC395"/>
      <c r="AD395"/>
    </row>
    <row r="396" spans="1:30" x14ac:dyDescent="0.4">
      <c r="A396" t="s">
        <v>4516</v>
      </c>
      <c r="B396">
        <v>20180119</v>
      </c>
      <c r="C396">
        <v>8806173565948</v>
      </c>
      <c r="D396" t="s">
        <v>4517</v>
      </c>
      <c r="E396" t="s">
        <v>4281</v>
      </c>
      <c r="F396" t="s">
        <v>117</v>
      </c>
      <c r="G396" t="s">
        <v>4518</v>
      </c>
      <c r="H396">
        <v>0</v>
      </c>
      <c r="I396" t="s">
        <v>379</v>
      </c>
      <c r="J396">
        <v>2500</v>
      </c>
      <c r="K396">
        <v>2</v>
      </c>
      <c r="L396">
        <v>-1</v>
      </c>
      <c r="M396">
        <v>3</v>
      </c>
      <c r="N396"/>
      <c r="O396" t="s">
        <v>3544</v>
      </c>
      <c r="P396" s="33">
        <v>0.55000000000000004</v>
      </c>
      <c r="Q396">
        <v>1375</v>
      </c>
      <c r="R396" t="s">
        <v>118</v>
      </c>
      <c r="S396">
        <v>-1</v>
      </c>
      <c r="T396"/>
      <c r="U396" s="10"/>
      <c r="V396"/>
      <c r="W396"/>
      <c r="X396" s="10"/>
      <c r="Y396"/>
      <c r="Z396" s="10"/>
      <c r="AA396"/>
      <c r="AB396"/>
      <c r="AC396"/>
      <c r="AD396"/>
    </row>
    <row r="397" spans="1:30" x14ac:dyDescent="0.4">
      <c r="A397" t="s">
        <v>4519</v>
      </c>
      <c r="B397">
        <v>20180119</v>
      </c>
      <c r="C397">
        <v>8806173579167</v>
      </c>
      <c r="D397" t="s">
        <v>4520</v>
      </c>
      <c r="E397" t="s">
        <v>4521</v>
      </c>
      <c r="F397" t="s">
        <v>117</v>
      </c>
      <c r="G397" t="s">
        <v>4522</v>
      </c>
      <c r="H397">
        <v>0</v>
      </c>
      <c r="I397" t="s">
        <v>379</v>
      </c>
      <c r="J397">
        <v>6000</v>
      </c>
      <c r="K397">
        <v>1</v>
      </c>
      <c r="L397">
        <v>0</v>
      </c>
      <c r="M397">
        <v>1</v>
      </c>
      <c r="N397"/>
      <c r="O397" t="s">
        <v>3544</v>
      </c>
      <c r="P397" s="33">
        <v>0.55000000000000004</v>
      </c>
      <c r="Q397">
        <v>3300</v>
      </c>
      <c r="R397" t="s">
        <v>118</v>
      </c>
      <c r="S397">
        <v>0</v>
      </c>
      <c r="T397"/>
      <c r="U397" s="10"/>
      <c r="V397"/>
      <c r="W397"/>
      <c r="X397" s="10"/>
      <c r="Y397"/>
      <c r="Z397" s="10"/>
      <c r="AA397"/>
      <c r="AB397"/>
      <c r="AC397"/>
      <c r="AD397"/>
    </row>
    <row r="398" spans="1:30" x14ac:dyDescent="0.4">
      <c r="A398" t="s">
        <v>4523</v>
      </c>
      <c r="B398">
        <v>20180119</v>
      </c>
      <c r="C398">
        <v>8806173565764</v>
      </c>
      <c r="D398" t="s">
        <v>4524</v>
      </c>
      <c r="E398" t="s">
        <v>4525</v>
      </c>
      <c r="F398" t="s">
        <v>117</v>
      </c>
      <c r="G398" t="s">
        <v>4526</v>
      </c>
      <c r="H398">
        <v>0</v>
      </c>
      <c r="I398" t="s">
        <v>379</v>
      </c>
      <c r="J398">
        <v>3000</v>
      </c>
      <c r="K398">
        <v>1</v>
      </c>
      <c r="L398">
        <v>0</v>
      </c>
      <c r="M398">
        <v>1</v>
      </c>
      <c r="N398"/>
      <c r="O398" t="s">
        <v>3544</v>
      </c>
      <c r="P398" s="33">
        <v>0.55000000000000004</v>
      </c>
      <c r="Q398">
        <v>1650</v>
      </c>
      <c r="R398" t="s">
        <v>118</v>
      </c>
      <c r="S398">
        <v>0</v>
      </c>
      <c r="T398"/>
      <c r="U398" s="10"/>
      <c r="V398"/>
      <c r="W398"/>
      <c r="X398" s="10"/>
      <c r="Y398"/>
      <c r="Z398" s="10"/>
      <c r="AA398"/>
      <c r="AB398"/>
      <c r="AC398"/>
      <c r="AD398"/>
    </row>
    <row r="399" spans="1:30" x14ac:dyDescent="0.4">
      <c r="A399" t="s">
        <v>4527</v>
      </c>
      <c r="B399">
        <v>20180119</v>
      </c>
      <c r="C399">
        <v>8806173565863</v>
      </c>
      <c r="D399" t="s">
        <v>3063</v>
      </c>
      <c r="E399" t="s">
        <v>4528</v>
      </c>
      <c r="F399" t="s">
        <v>117</v>
      </c>
      <c r="G399" t="s">
        <v>3064</v>
      </c>
      <c r="H399">
        <v>1</v>
      </c>
      <c r="I399" t="s">
        <v>379</v>
      </c>
      <c r="J399">
        <v>2500</v>
      </c>
      <c r="K399">
        <v>7</v>
      </c>
      <c r="L399">
        <v>0</v>
      </c>
      <c r="M399">
        <v>7</v>
      </c>
      <c r="N399"/>
      <c r="O399" t="s">
        <v>3544</v>
      </c>
      <c r="P399" s="33">
        <v>0.55000000000000004</v>
      </c>
      <c r="Q399">
        <v>1375</v>
      </c>
      <c r="R399" t="s">
        <v>118</v>
      </c>
      <c r="S399">
        <v>0</v>
      </c>
      <c r="T399">
        <v>0</v>
      </c>
      <c r="U399" s="10">
        <v>43118</v>
      </c>
      <c r="V399" t="s">
        <v>3289</v>
      </c>
      <c r="W399">
        <v>6</v>
      </c>
      <c r="X399" s="10">
        <v>43119</v>
      </c>
      <c r="Y399"/>
      <c r="Z399" s="10"/>
      <c r="AA399"/>
      <c r="AB399"/>
      <c r="AC399"/>
      <c r="AD399"/>
    </row>
    <row r="400" spans="1:30" x14ac:dyDescent="0.4">
      <c r="A400" t="s">
        <v>4529</v>
      </c>
      <c r="B400">
        <v>20180119</v>
      </c>
      <c r="C400">
        <v>8809516817612</v>
      </c>
      <c r="D400" t="s">
        <v>4530</v>
      </c>
      <c r="E400" t="s">
        <v>3878</v>
      </c>
      <c r="F400" t="s">
        <v>117</v>
      </c>
      <c r="G400" t="s">
        <v>4531</v>
      </c>
      <c r="H400">
        <v>0</v>
      </c>
      <c r="I400" t="s">
        <v>379</v>
      </c>
      <c r="J400">
        <v>1500</v>
      </c>
      <c r="K400">
        <v>1</v>
      </c>
      <c r="L400">
        <v>0</v>
      </c>
      <c r="M400">
        <v>1</v>
      </c>
      <c r="N400"/>
      <c r="O400" t="s">
        <v>3544</v>
      </c>
      <c r="P400" s="33">
        <v>0.55000000000000004</v>
      </c>
      <c r="Q400">
        <v>825</v>
      </c>
      <c r="R400" t="s">
        <v>118</v>
      </c>
      <c r="S400">
        <v>0</v>
      </c>
      <c r="T400"/>
      <c r="U400" s="10"/>
      <c r="V400"/>
      <c r="W400"/>
      <c r="X400" s="10"/>
      <c r="Y400"/>
      <c r="Z400" s="10"/>
      <c r="AA400"/>
      <c r="AB400"/>
      <c r="AC400"/>
      <c r="AD400"/>
    </row>
    <row r="401" spans="1:30" x14ac:dyDescent="0.4">
      <c r="A401" t="s">
        <v>4532</v>
      </c>
      <c r="B401">
        <v>20180119</v>
      </c>
      <c r="C401">
        <v>8806173565979</v>
      </c>
      <c r="D401" t="s">
        <v>3065</v>
      </c>
      <c r="E401" t="s">
        <v>3940</v>
      </c>
      <c r="F401" t="s">
        <v>117</v>
      </c>
      <c r="G401" t="s">
        <v>3066</v>
      </c>
      <c r="H401">
        <v>3</v>
      </c>
      <c r="I401" t="s">
        <v>379</v>
      </c>
      <c r="J401">
        <v>1000</v>
      </c>
      <c r="K401">
        <v>4</v>
      </c>
      <c r="L401">
        <v>3</v>
      </c>
      <c r="M401">
        <v>-2</v>
      </c>
      <c r="N401"/>
      <c r="O401" s="35" t="s">
        <v>3550</v>
      </c>
      <c r="P401" s="33">
        <v>0.55000000000000004</v>
      </c>
      <c r="Q401">
        <v>550</v>
      </c>
      <c r="R401" t="s">
        <v>118</v>
      </c>
      <c r="S401">
        <v>6</v>
      </c>
      <c r="T401">
        <v>3</v>
      </c>
      <c r="U401"/>
      <c r="V401"/>
      <c r="W401"/>
      <c r="X401"/>
      <c r="Y401"/>
      <c r="Z401"/>
      <c r="AA401"/>
      <c r="AB401"/>
      <c r="AC401"/>
      <c r="AD401"/>
    </row>
    <row r="402" spans="1:30" x14ac:dyDescent="0.4">
      <c r="A402" t="s">
        <v>4533</v>
      </c>
      <c r="B402">
        <v>20180119</v>
      </c>
      <c r="C402">
        <v>8806173565702</v>
      </c>
      <c r="D402" t="s">
        <v>4534</v>
      </c>
      <c r="E402" t="s">
        <v>4535</v>
      </c>
      <c r="F402" t="s">
        <v>117</v>
      </c>
      <c r="G402" t="s">
        <v>4536</v>
      </c>
      <c r="H402">
        <v>0</v>
      </c>
      <c r="I402" t="s">
        <v>379</v>
      </c>
      <c r="J402">
        <v>1000</v>
      </c>
      <c r="K402">
        <v>2</v>
      </c>
      <c r="L402">
        <v>1</v>
      </c>
      <c r="M402">
        <v>1</v>
      </c>
      <c r="N402"/>
      <c r="O402" t="s">
        <v>3544</v>
      </c>
      <c r="P402" s="33">
        <v>0.55000000000000004</v>
      </c>
      <c r="Q402">
        <v>550</v>
      </c>
      <c r="R402" t="s">
        <v>118</v>
      </c>
      <c r="S402">
        <v>1</v>
      </c>
      <c r="T402"/>
      <c r="U402" s="10"/>
      <c r="V402"/>
      <c r="W402"/>
      <c r="X402" s="10"/>
      <c r="Y402"/>
      <c r="Z402" s="10"/>
      <c r="AA402"/>
      <c r="AB402"/>
      <c r="AC402"/>
      <c r="AD402"/>
    </row>
    <row r="403" spans="1:30" x14ac:dyDescent="0.4">
      <c r="A403" t="s">
        <v>4537</v>
      </c>
      <c r="B403">
        <v>20180119</v>
      </c>
      <c r="C403">
        <v>8806173579747</v>
      </c>
      <c r="D403" t="s">
        <v>3067</v>
      </c>
      <c r="E403" t="s">
        <v>4309</v>
      </c>
      <c r="F403" t="s">
        <v>117</v>
      </c>
      <c r="G403" t="s">
        <v>3068</v>
      </c>
      <c r="H403">
        <v>0</v>
      </c>
      <c r="I403" t="s">
        <v>379</v>
      </c>
      <c r="J403">
        <v>4000</v>
      </c>
      <c r="K403">
        <v>3</v>
      </c>
      <c r="L403">
        <v>0</v>
      </c>
      <c r="M403">
        <v>0</v>
      </c>
      <c r="N403"/>
      <c r="O403" t="s">
        <v>3544</v>
      </c>
      <c r="P403" s="33">
        <v>0.55000000000000004</v>
      </c>
      <c r="Q403">
        <v>2200</v>
      </c>
      <c r="R403" t="s">
        <v>118</v>
      </c>
      <c r="S403">
        <v>3</v>
      </c>
      <c r="T403">
        <v>3</v>
      </c>
      <c r="U403"/>
      <c r="V403"/>
      <c r="W403"/>
      <c r="X403"/>
      <c r="Y403"/>
      <c r="Z403"/>
      <c r="AA403"/>
      <c r="AB403"/>
      <c r="AC403"/>
      <c r="AD403"/>
    </row>
    <row r="404" spans="1:30" x14ac:dyDescent="0.4">
      <c r="A404" t="s">
        <v>4538</v>
      </c>
      <c r="B404">
        <v>20180119</v>
      </c>
      <c r="C404">
        <v>8806173565870</v>
      </c>
      <c r="D404" t="s">
        <v>4539</v>
      </c>
      <c r="E404" t="s">
        <v>4540</v>
      </c>
      <c r="F404" t="s">
        <v>117</v>
      </c>
      <c r="G404" t="s">
        <v>4541</v>
      </c>
      <c r="H404">
        <v>0</v>
      </c>
      <c r="I404" t="s">
        <v>379</v>
      </c>
      <c r="J404">
        <v>3500</v>
      </c>
      <c r="K404">
        <v>1</v>
      </c>
      <c r="L404">
        <v>0</v>
      </c>
      <c r="M404">
        <v>1</v>
      </c>
      <c r="N404"/>
      <c r="O404" t="s">
        <v>3544</v>
      </c>
      <c r="P404" s="33">
        <v>0.55000000000000004</v>
      </c>
      <c r="Q404">
        <v>1925</v>
      </c>
      <c r="R404" t="s">
        <v>118</v>
      </c>
      <c r="S404">
        <v>0</v>
      </c>
      <c r="T404"/>
      <c r="U404" s="10"/>
      <c r="V404"/>
      <c r="W404"/>
      <c r="X404" s="10"/>
      <c r="Y404"/>
      <c r="Z404" s="10"/>
      <c r="AA404"/>
      <c r="AB404"/>
      <c r="AC404"/>
      <c r="AD404"/>
    </row>
    <row r="405" spans="1:30" x14ac:dyDescent="0.4">
      <c r="A405" t="s">
        <v>4542</v>
      </c>
      <c r="B405">
        <v>20180119</v>
      </c>
      <c r="C405">
        <v>8806173566365</v>
      </c>
      <c r="D405" t="s">
        <v>4543</v>
      </c>
      <c r="E405" t="s">
        <v>4544</v>
      </c>
      <c r="F405" t="s">
        <v>117</v>
      </c>
      <c r="G405" t="s">
        <v>4545</v>
      </c>
      <c r="H405">
        <v>0</v>
      </c>
      <c r="I405" t="s">
        <v>379</v>
      </c>
      <c r="J405">
        <v>35000</v>
      </c>
      <c r="K405">
        <v>5</v>
      </c>
      <c r="L405">
        <v>1</v>
      </c>
      <c r="M405">
        <v>4</v>
      </c>
      <c r="N405"/>
      <c r="O405" t="s">
        <v>3544</v>
      </c>
      <c r="P405" s="33">
        <v>0.55000000000000004</v>
      </c>
      <c r="Q405">
        <v>19250</v>
      </c>
      <c r="R405" t="s">
        <v>118</v>
      </c>
      <c r="S405">
        <v>1</v>
      </c>
      <c r="T405">
        <v>0</v>
      </c>
      <c r="U405" s="10">
        <v>43118</v>
      </c>
      <c r="V405" t="s">
        <v>3289</v>
      </c>
      <c r="W405">
        <v>4</v>
      </c>
      <c r="X405" s="10">
        <v>43120</v>
      </c>
      <c r="Y405"/>
      <c r="Z405" s="10"/>
      <c r="AA405"/>
      <c r="AB405"/>
      <c r="AC405"/>
      <c r="AD405"/>
    </row>
    <row r="406" spans="1:30" x14ac:dyDescent="0.4">
      <c r="A406" t="s">
        <v>4546</v>
      </c>
      <c r="B406">
        <v>20180119</v>
      </c>
      <c r="C406" s="36">
        <v>17012420000</v>
      </c>
      <c r="D406" t="s">
        <v>4547</v>
      </c>
      <c r="E406"/>
      <c r="F406" t="s">
        <v>117</v>
      </c>
      <c r="G406" t="s">
        <v>4548</v>
      </c>
      <c r="H406">
        <v>0</v>
      </c>
      <c r="I406" t="s">
        <v>379</v>
      </c>
      <c r="J406">
        <v>4000</v>
      </c>
      <c r="K406">
        <v>1</v>
      </c>
      <c r="L406">
        <v>0</v>
      </c>
      <c r="M406">
        <v>1</v>
      </c>
      <c r="N406"/>
      <c r="O406" t="s">
        <v>3544</v>
      </c>
      <c r="P406" s="33">
        <v>0.55000000000000004</v>
      </c>
      <c r="Q406">
        <v>2200</v>
      </c>
      <c r="R406" t="s">
        <v>118</v>
      </c>
      <c r="S406">
        <v>0</v>
      </c>
      <c r="T406"/>
      <c r="U406" s="10"/>
      <c r="V406"/>
      <c r="W406"/>
      <c r="X406" s="10"/>
      <c r="Y406"/>
      <c r="Z406" s="10"/>
      <c r="AA406"/>
      <c r="AB406"/>
      <c r="AC406"/>
      <c r="AD406"/>
    </row>
    <row r="407" spans="1:30" x14ac:dyDescent="0.4">
      <c r="A407" t="s">
        <v>4549</v>
      </c>
      <c r="B407">
        <v>20180119</v>
      </c>
      <c r="C407">
        <v>8809516527849</v>
      </c>
      <c r="D407" t="s">
        <v>4550</v>
      </c>
      <c r="E407" t="s">
        <v>550</v>
      </c>
      <c r="F407" t="s">
        <v>117</v>
      </c>
      <c r="G407" t="s">
        <v>4551</v>
      </c>
      <c r="H407">
        <v>0</v>
      </c>
      <c r="I407" t="s">
        <v>379</v>
      </c>
      <c r="J407">
        <v>22000</v>
      </c>
      <c r="K407">
        <v>1</v>
      </c>
      <c r="L407">
        <v>0</v>
      </c>
      <c r="M407">
        <v>1</v>
      </c>
      <c r="N407"/>
      <c r="O407" t="s">
        <v>3544</v>
      </c>
      <c r="P407" s="33">
        <v>0.55000000000000004</v>
      </c>
      <c r="Q407">
        <v>12100</v>
      </c>
      <c r="R407" t="s">
        <v>118</v>
      </c>
      <c r="S407">
        <v>0</v>
      </c>
      <c r="T407"/>
      <c r="U407" s="10"/>
      <c r="V407"/>
      <c r="W407"/>
      <c r="X407" s="10"/>
      <c r="Y407"/>
      <c r="Z407" s="10"/>
      <c r="AA407"/>
      <c r="AB407"/>
      <c r="AC407"/>
      <c r="AD407"/>
    </row>
    <row r="408" spans="1:30" x14ac:dyDescent="0.4">
      <c r="A408" t="s">
        <v>4552</v>
      </c>
      <c r="B408">
        <v>20180119</v>
      </c>
      <c r="C408">
        <v>8809516793473</v>
      </c>
      <c r="D408" t="s">
        <v>4553</v>
      </c>
      <c r="E408" t="s">
        <v>4554</v>
      </c>
      <c r="F408" t="s">
        <v>117</v>
      </c>
      <c r="G408" t="s">
        <v>4555</v>
      </c>
      <c r="H408">
        <v>0</v>
      </c>
      <c r="I408" t="s">
        <v>379</v>
      </c>
      <c r="J408">
        <v>7000</v>
      </c>
      <c r="K408">
        <v>1</v>
      </c>
      <c r="L408">
        <v>0</v>
      </c>
      <c r="M408">
        <v>1</v>
      </c>
      <c r="N408"/>
      <c r="O408" t="s">
        <v>3544</v>
      </c>
      <c r="P408" s="33">
        <v>0.55000000000000004</v>
      </c>
      <c r="Q408">
        <v>3850</v>
      </c>
      <c r="R408" t="s">
        <v>118</v>
      </c>
      <c r="S408">
        <v>0</v>
      </c>
      <c r="T408"/>
      <c r="U408" s="10"/>
      <c r="V408"/>
      <c r="W408"/>
      <c r="X408" s="10"/>
      <c r="Y408"/>
      <c r="Z408" s="10"/>
      <c r="AA408"/>
      <c r="AB408"/>
      <c r="AC408"/>
      <c r="AD408"/>
    </row>
    <row r="409" spans="1:30" x14ac:dyDescent="0.4">
      <c r="A409" t="s">
        <v>4556</v>
      </c>
      <c r="B409">
        <v>20180119</v>
      </c>
      <c r="C409">
        <v>8809516804926</v>
      </c>
      <c r="D409" t="s">
        <v>4557</v>
      </c>
      <c r="E409" t="s">
        <v>4558</v>
      </c>
      <c r="F409" t="s">
        <v>117</v>
      </c>
      <c r="G409" t="s">
        <v>4559</v>
      </c>
      <c r="H409">
        <v>0</v>
      </c>
      <c r="I409" t="s">
        <v>379</v>
      </c>
      <c r="J409">
        <v>8000</v>
      </c>
      <c r="K409">
        <v>2</v>
      </c>
      <c r="L409">
        <v>1</v>
      </c>
      <c r="M409">
        <v>1</v>
      </c>
      <c r="N409"/>
      <c r="O409" t="s">
        <v>3544</v>
      </c>
      <c r="P409" s="33">
        <v>0.55000000000000004</v>
      </c>
      <c r="Q409">
        <v>4400</v>
      </c>
      <c r="R409" t="s">
        <v>118</v>
      </c>
      <c r="S409">
        <v>1</v>
      </c>
      <c r="T409"/>
      <c r="U409" s="10"/>
      <c r="V409"/>
      <c r="W409"/>
      <c r="X409" s="10"/>
      <c r="Y409"/>
      <c r="Z409" s="10"/>
      <c r="AA409"/>
      <c r="AB409"/>
      <c r="AC409"/>
      <c r="AD409"/>
    </row>
    <row r="410" spans="1:30" x14ac:dyDescent="0.4">
      <c r="A410" t="s">
        <v>4560</v>
      </c>
      <c r="B410">
        <v>20180119</v>
      </c>
      <c r="C410">
        <v>8806173591770</v>
      </c>
      <c r="D410" t="s">
        <v>4561</v>
      </c>
      <c r="E410" t="s">
        <v>4562</v>
      </c>
      <c r="F410" t="s">
        <v>117</v>
      </c>
      <c r="G410" t="s">
        <v>4563</v>
      </c>
      <c r="H410">
        <v>3</v>
      </c>
      <c r="I410" t="s">
        <v>379</v>
      </c>
      <c r="J410">
        <v>10000</v>
      </c>
      <c r="K410">
        <v>2</v>
      </c>
      <c r="L410">
        <v>1</v>
      </c>
      <c r="M410">
        <v>1</v>
      </c>
      <c r="N410"/>
      <c r="O410" s="35" t="s">
        <v>3550</v>
      </c>
      <c r="P410" s="33">
        <v>0.55000000000000004</v>
      </c>
      <c r="Q410">
        <v>5500</v>
      </c>
      <c r="R410" t="s">
        <v>118</v>
      </c>
      <c r="S410">
        <v>1</v>
      </c>
      <c r="T410"/>
      <c r="U410" s="10"/>
      <c r="V410"/>
      <c r="W410"/>
      <c r="X410" s="10"/>
      <c r="Y410"/>
      <c r="Z410" s="10"/>
      <c r="AA410"/>
      <c r="AB410"/>
      <c r="AC410"/>
      <c r="AD410"/>
    </row>
    <row r="411" spans="1:30" x14ac:dyDescent="0.4">
      <c r="A411" t="s">
        <v>4564</v>
      </c>
      <c r="B411">
        <v>20180119</v>
      </c>
      <c r="C411">
        <v>8806173591428</v>
      </c>
      <c r="D411" t="s">
        <v>3079</v>
      </c>
      <c r="E411" t="s">
        <v>4521</v>
      </c>
      <c r="F411" t="s">
        <v>117</v>
      </c>
      <c r="G411" t="s">
        <v>3080</v>
      </c>
      <c r="H411">
        <v>0</v>
      </c>
      <c r="I411" t="s">
        <v>379</v>
      </c>
      <c r="J411">
        <v>6000</v>
      </c>
      <c r="K411">
        <v>1</v>
      </c>
      <c r="L411">
        <v>0</v>
      </c>
      <c r="M411">
        <v>0</v>
      </c>
      <c r="N411"/>
      <c r="O411" t="s">
        <v>3544</v>
      </c>
      <c r="P411" s="33">
        <v>0.55000000000000004</v>
      </c>
      <c r="Q411">
        <v>3300</v>
      </c>
      <c r="R411" t="s">
        <v>118</v>
      </c>
      <c r="S411">
        <v>1</v>
      </c>
      <c r="T411">
        <v>1</v>
      </c>
      <c r="U411"/>
      <c r="V411"/>
      <c r="W411"/>
      <c r="X411"/>
      <c r="Y411"/>
      <c r="Z411"/>
      <c r="AA411"/>
      <c r="AB411"/>
      <c r="AC411"/>
      <c r="AD411"/>
    </row>
    <row r="412" spans="1:30" x14ac:dyDescent="0.4">
      <c r="A412" t="s">
        <v>4565</v>
      </c>
      <c r="B412">
        <v>20180119</v>
      </c>
      <c r="C412">
        <v>8806173552771</v>
      </c>
      <c r="D412" t="s">
        <v>4566</v>
      </c>
      <c r="E412" t="s">
        <v>4567</v>
      </c>
      <c r="F412" t="s">
        <v>117</v>
      </c>
      <c r="G412" t="s">
        <v>4568</v>
      </c>
      <c r="H412">
        <v>0</v>
      </c>
      <c r="I412" t="s">
        <v>379</v>
      </c>
      <c r="J412">
        <v>1800</v>
      </c>
      <c r="K412">
        <v>3</v>
      </c>
      <c r="L412">
        <v>0</v>
      </c>
      <c r="M412">
        <v>3</v>
      </c>
      <c r="N412"/>
      <c r="O412" t="s">
        <v>3544</v>
      </c>
      <c r="P412" s="33">
        <v>0.55000000000000004</v>
      </c>
      <c r="Q412">
        <v>990</v>
      </c>
      <c r="R412" t="s">
        <v>118</v>
      </c>
      <c r="S412">
        <v>0</v>
      </c>
      <c r="T412"/>
      <c r="U412" s="10"/>
      <c r="V412"/>
      <c r="W412"/>
      <c r="X412" s="10"/>
      <c r="Y412"/>
      <c r="Z412" s="10"/>
      <c r="AA412"/>
      <c r="AB412"/>
      <c r="AC412"/>
      <c r="AD412"/>
    </row>
    <row r="413" spans="1:30" x14ac:dyDescent="0.4">
      <c r="A413" t="s">
        <v>4569</v>
      </c>
      <c r="B413">
        <v>20180119</v>
      </c>
      <c r="C413">
        <v>8809560235356</v>
      </c>
      <c r="D413" t="s">
        <v>4570</v>
      </c>
      <c r="E413" t="s">
        <v>4281</v>
      </c>
      <c r="F413" t="s">
        <v>117</v>
      </c>
      <c r="G413" t="s">
        <v>4571</v>
      </c>
      <c r="H413">
        <v>0</v>
      </c>
      <c r="I413" t="s">
        <v>379</v>
      </c>
      <c r="J413">
        <v>4500</v>
      </c>
      <c r="K413">
        <v>6</v>
      </c>
      <c r="L413">
        <v>1</v>
      </c>
      <c r="M413">
        <v>5</v>
      </c>
      <c r="N413"/>
      <c r="O413" t="s">
        <v>3544</v>
      </c>
      <c r="P413" s="33">
        <v>0.55000000000000004</v>
      </c>
      <c r="Q413">
        <v>2475</v>
      </c>
      <c r="R413" t="s">
        <v>118</v>
      </c>
      <c r="S413">
        <v>1</v>
      </c>
      <c r="T413"/>
      <c r="U413" s="10"/>
      <c r="V413"/>
      <c r="W413"/>
      <c r="X413" s="10"/>
      <c r="Y413"/>
      <c r="Z413" s="10"/>
      <c r="AA413"/>
      <c r="AB413"/>
      <c r="AC413"/>
      <c r="AD413"/>
    </row>
    <row r="414" spans="1:30" x14ac:dyDescent="0.4">
      <c r="A414" t="s">
        <v>4572</v>
      </c>
      <c r="B414">
        <v>20180119</v>
      </c>
      <c r="C414">
        <v>8809516523186</v>
      </c>
      <c r="D414" t="s">
        <v>3081</v>
      </c>
      <c r="E414"/>
      <c r="F414" t="s">
        <v>117</v>
      </c>
      <c r="G414" t="s">
        <v>3082</v>
      </c>
      <c r="H414">
        <v>0</v>
      </c>
      <c r="I414" t="s">
        <v>379</v>
      </c>
      <c r="J414">
        <v>7500</v>
      </c>
      <c r="K414">
        <v>1</v>
      </c>
      <c r="L414">
        <v>0</v>
      </c>
      <c r="M414">
        <v>0</v>
      </c>
      <c r="N414"/>
      <c r="O414" t="s">
        <v>3544</v>
      </c>
      <c r="P414" s="33">
        <v>0.55000000000000004</v>
      </c>
      <c r="Q414">
        <v>4125</v>
      </c>
      <c r="R414" t="s">
        <v>118</v>
      </c>
      <c r="S414">
        <v>1</v>
      </c>
      <c r="T414">
        <v>1</v>
      </c>
      <c r="U414"/>
      <c r="V414"/>
      <c r="W414"/>
      <c r="X414"/>
      <c r="Y414"/>
      <c r="Z414"/>
      <c r="AA414"/>
      <c r="AB414"/>
      <c r="AC414"/>
      <c r="AD414"/>
    </row>
    <row r="415" spans="1:30" x14ac:dyDescent="0.4">
      <c r="A415" t="s">
        <v>4573</v>
      </c>
      <c r="B415">
        <v>20180119</v>
      </c>
      <c r="C415">
        <v>8809516813942</v>
      </c>
      <c r="D415" t="s">
        <v>4574</v>
      </c>
      <c r="E415" t="s">
        <v>4293</v>
      </c>
      <c r="F415" t="s">
        <v>117</v>
      </c>
      <c r="G415" t="s">
        <v>4575</v>
      </c>
      <c r="H415">
        <v>0</v>
      </c>
      <c r="I415" t="s">
        <v>379</v>
      </c>
      <c r="J415">
        <v>18000</v>
      </c>
      <c r="K415">
        <v>2</v>
      </c>
      <c r="L415">
        <v>0</v>
      </c>
      <c r="M415">
        <v>2</v>
      </c>
      <c r="N415"/>
      <c r="O415" t="s">
        <v>3544</v>
      </c>
      <c r="P415" s="33">
        <v>0.55000000000000004</v>
      </c>
      <c r="Q415">
        <v>9900</v>
      </c>
      <c r="R415" t="s">
        <v>118</v>
      </c>
      <c r="S415">
        <v>0</v>
      </c>
      <c r="T415"/>
      <c r="U415" s="10"/>
      <c r="V415"/>
      <c r="W415"/>
      <c r="X415" s="10"/>
      <c r="Y415"/>
      <c r="Z415" s="10"/>
      <c r="AA415"/>
      <c r="AB415"/>
      <c r="AC415"/>
      <c r="AD415"/>
    </row>
    <row r="416" spans="1:30" x14ac:dyDescent="0.4">
      <c r="A416" t="s">
        <v>4576</v>
      </c>
      <c r="B416">
        <v>20180119</v>
      </c>
      <c r="C416">
        <v>8809516790205</v>
      </c>
      <c r="D416" t="s">
        <v>4577</v>
      </c>
      <c r="E416" t="s">
        <v>4578</v>
      </c>
      <c r="F416" t="s">
        <v>117</v>
      </c>
      <c r="G416" t="s">
        <v>4579</v>
      </c>
      <c r="H416">
        <v>0</v>
      </c>
      <c r="I416" t="s">
        <v>379</v>
      </c>
      <c r="J416">
        <v>7000</v>
      </c>
      <c r="K416">
        <v>1</v>
      </c>
      <c r="L416">
        <v>0</v>
      </c>
      <c r="M416">
        <v>1</v>
      </c>
      <c r="N416"/>
      <c r="O416" t="s">
        <v>3544</v>
      </c>
      <c r="P416" s="33">
        <v>0.55000000000000004</v>
      </c>
      <c r="Q416">
        <v>3850</v>
      </c>
      <c r="R416" t="s">
        <v>118</v>
      </c>
      <c r="S416">
        <v>0</v>
      </c>
      <c r="T416"/>
      <c r="U416" s="10"/>
      <c r="V416"/>
      <c r="W416"/>
      <c r="X416" s="10"/>
      <c r="Y416"/>
      <c r="Z416" s="10"/>
      <c r="AA416"/>
      <c r="AB416"/>
      <c r="AC416"/>
      <c r="AD416"/>
    </row>
    <row r="417" spans="1:30" x14ac:dyDescent="0.4">
      <c r="A417" t="s">
        <v>4580</v>
      </c>
      <c r="B417">
        <v>20180119</v>
      </c>
      <c r="C417">
        <v>8809516807743</v>
      </c>
      <c r="D417" t="s">
        <v>4581</v>
      </c>
      <c r="E417" t="s">
        <v>4582</v>
      </c>
      <c r="F417" t="s">
        <v>117</v>
      </c>
      <c r="G417" t="s">
        <v>4583</v>
      </c>
      <c r="H417">
        <v>0</v>
      </c>
      <c r="I417" t="s">
        <v>379</v>
      </c>
      <c r="J417">
        <v>6500</v>
      </c>
      <c r="K417">
        <v>1</v>
      </c>
      <c r="L417">
        <v>0</v>
      </c>
      <c r="M417">
        <v>1</v>
      </c>
      <c r="N417"/>
      <c r="O417" t="s">
        <v>3544</v>
      </c>
      <c r="P417" s="33">
        <v>0.55000000000000004</v>
      </c>
      <c r="Q417">
        <v>3575</v>
      </c>
      <c r="R417" t="s">
        <v>118</v>
      </c>
      <c r="S417">
        <v>0</v>
      </c>
      <c r="T417"/>
      <c r="U417" s="10"/>
      <c r="V417"/>
      <c r="W417"/>
      <c r="X417" s="10"/>
      <c r="Y417"/>
      <c r="Z417" s="10"/>
      <c r="AA417"/>
      <c r="AB417"/>
      <c r="AC417"/>
      <c r="AD417"/>
    </row>
    <row r="418" spans="1:30" x14ac:dyDescent="0.4">
      <c r="A418" t="s">
        <v>4584</v>
      </c>
      <c r="B418">
        <v>20180119</v>
      </c>
      <c r="C418">
        <v>8806173530588</v>
      </c>
      <c r="D418" t="s">
        <v>4585</v>
      </c>
      <c r="E418" t="s">
        <v>4586</v>
      </c>
      <c r="F418" t="s">
        <v>117</v>
      </c>
      <c r="G418" t="s">
        <v>4587</v>
      </c>
      <c r="H418">
        <v>0</v>
      </c>
      <c r="I418" t="s">
        <v>379</v>
      </c>
      <c r="J418">
        <v>2000</v>
      </c>
      <c r="K418">
        <v>1</v>
      </c>
      <c r="L418">
        <v>0</v>
      </c>
      <c r="M418">
        <v>1</v>
      </c>
      <c r="N418"/>
      <c r="O418" t="s">
        <v>3544</v>
      </c>
      <c r="P418" s="33">
        <v>0.55000000000000004</v>
      </c>
      <c r="Q418">
        <v>1100</v>
      </c>
      <c r="R418" t="s">
        <v>118</v>
      </c>
      <c r="S418">
        <v>0</v>
      </c>
      <c r="T418"/>
      <c r="U418" s="10"/>
      <c r="V418"/>
      <c r="W418"/>
      <c r="X418" s="10"/>
      <c r="Y418"/>
      <c r="Z418" s="10"/>
      <c r="AA418"/>
      <c r="AB418"/>
      <c r="AC418"/>
      <c r="AD418"/>
    </row>
    <row r="419" spans="1:30" x14ac:dyDescent="0.4">
      <c r="A419" t="s">
        <v>4588</v>
      </c>
      <c r="B419">
        <v>20180119</v>
      </c>
      <c r="C419">
        <v>8806173565931</v>
      </c>
      <c r="D419" t="s">
        <v>4589</v>
      </c>
      <c r="E419" t="s">
        <v>4590</v>
      </c>
      <c r="F419" t="s">
        <v>117</v>
      </c>
      <c r="G419" t="s">
        <v>4591</v>
      </c>
      <c r="H419">
        <v>0</v>
      </c>
      <c r="I419" t="s">
        <v>379</v>
      </c>
      <c r="J419">
        <v>3000</v>
      </c>
      <c r="K419">
        <v>2</v>
      </c>
      <c r="L419">
        <v>0</v>
      </c>
      <c r="M419">
        <v>2</v>
      </c>
      <c r="N419"/>
      <c r="O419" s="35" t="s">
        <v>3550</v>
      </c>
      <c r="P419" s="33">
        <v>0.55000000000000004</v>
      </c>
      <c r="Q419">
        <v>1650</v>
      </c>
      <c r="R419" t="s">
        <v>118</v>
      </c>
      <c r="S419">
        <v>0</v>
      </c>
      <c r="T419"/>
      <c r="U419" s="10"/>
      <c r="V419"/>
      <c r="W419"/>
      <c r="X419" s="10"/>
      <c r="Y419"/>
      <c r="Z419" s="10"/>
      <c r="AA419"/>
      <c r="AB419"/>
      <c r="AC419"/>
      <c r="AD419"/>
    </row>
    <row r="420" spans="1:30" x14ac:dyDescent="0.4">
      <c r="A420" t="s">
        <v>4592</v>
      </c>
      <c r="B420">
        <v>20180119</v>
      </c>
      <c r="C420">
        <v>8806173532292</v>
      </c>
      <c r="D420" t="s">
        <v>4593</v>
      </c>
      <c r="E420" t="s">
        <v>4594</v>
      </c>
      <c r="F420" t="s">
        <v>117</v>
      </c>
      <c r="G420" t="s">
        <v>4595</v>
      </c>
      <c r="H420">
        <v>0</v>
      </c>
      <c r="I420" t="s">
        <v>379</v>
      </c>
      <c r="J420">
        <v>28000</v>
      </c>
      <c r="K420">
        <v>2</v>
      </c>
      <c r="L420">
        <v>0</v>
      </c>
      <c r="M420">
        <v>2</v>
      </c>
      <c r="N420"/>
      <c r="O420" t="s">
        <v>3544</v>
      </c>
      <c r="P420" s="33">
        <v>0.55000000000000004</v>
      </c>
      <c r="Q420">
        <v>15400</v>
      </c>
      <c r="R420" t="s">
        <v>118</v>
      </c>
      <c r="S420">
        <v>0</v>
      </c>
      <c r="T420"/>
      <c r="U420" s="10"/>
      <c r="V420"/>
      <c r="W420"/>
      <c r="X420" s="10"/>
      <c r="Y420"/>
      <c r="Z420" s="10"/>
      <c r="AA420"/>
      <c r="AB420"/>
      <c r="AC420"/>
      <c r="AD420"/>
    </row>
    <row r="421" spans="1:30" x14ac:dyDescent="0.4">
      <c r="A421" t="s">
        <v>4596</v>
      </c>
      <c r="B421">
        <v>20180119</v>
      </c>
      <c r="C421">
        <v>8809516803059</v>
      </c>
      <c r="D421" t="s">
        <v>4597</v>
      </c>
      <c r="E421" t="s">
        <v>2568</v>
      </c>
      <c r="F421" t="s">
        <v>117</v>
      </c>
      <c r="G421" t="s">
        <v>4598</v>
      </c>
      <c r="H421">
        <v>0</v>
      </c>
      <c r="I421" t="s">
        <v>379</v>
      </c>
      <c r="J421">
        <v>20000</v>
      </c>
      <c r="K421">
        <v>2</v>
      </c>
      <c r="L421">
        <v>1</v>
      </c>
      <c r="M421">
        <v>1</v>
      </c>
      <c r="N421"/>
      <c r="O421" t="s">
        <v>3544</v>
      </c>
      <c r="P421" s="33">
        <v>0.55000000000000004</v>
      </c>
      <c r="Q421">
        <v>11000</v>
      </c>
      <c r="R421" t="s">
        <v>118</v>
      </c>
      <c r="S421">
        <v>1</v>
      </c>
      <c r="T421"/>
      <c r="U421" s="10"/>
      <c r="V421"/>
      <c r="W421"/>
      <c r="X421" s="10"/>
      <c r="Y421"/>
      <c r="Z421" s="10"/>
      <c r="AA421"/>
      <c r="AB421"/>
      <c r="AC421"/>
      <c r="AD421"/>
    </row>
    <row r="422" spans="1:30" x14ac:dyDescent="0.4">
      <c r="A422" t="s">
        <v>4599</v>
      </c>
      <c r="B422">
        <v>20180119</v>
      </c>
      <c r="C422">
        <v>8806173500291</v>
      </c>
      <c r="D422" t="s">
        <v>4600</v>
      </c>
      <c r="E422" t="s">
        <v>3888</v>
      </c>
      <c r="F422" t="s">
        <v>117</v>
      </c>
      <c r="G422" t="s">
        <v>4601</v>
      </c>
      <c r="H422">
        <v>0</v>
      </c>
      <c r="I422" t="s">
        <v>379</v>
      </c>
      <c r="J422">
        <v>16000</v>
      </c>
      <c r="K422">
        <v>1</v>
      </c>
      <c r="L422">
        <v>0</v>
      </c>
      <c r="M422">
        <v>1</v>
      </c>
      <c r="N422"/>
      <c r="O422" t="s">
        <v>3544</v>
      </c>
      <c r="P422" s="33">
        <v>0.55000000000000004</v>
      </c>
      <c r="Q422">
        <v>8800</v>
      </c>
      <c r="R422" t="s">
        <v>118</v>
      </c>
      <c r="S422">
        <v>0</v>
      </c>
      <c r="T422"/>
      <c r="U422" s="10"/>
      <c r="V422"/>
      <c r="W422"/>
      <c r="X422" s="10"/>
      <c r="Y422"/>
      <c r="Z422" s="10"/>
      <c r="AA422"/>
      <c r="AB422"/>
      <c r="AC422"/>
      <c r="AD422"/>
    </row>
    <row r="423" spans="1:30" x14ac:dyDescent="0.4">
      <c r="A423" t="s">
        <v>4602</v>
      </c>
      <c r="B423">
        <v>20180119</v>
      </c>
      <c r="C423">
        <v>8809516527719</v>
      </c>
      <c r="D423" t="s">
        <v>4603</v>
      </c>
      <c r="E423" t="s">
        <v>4375</v>
      </c>
      <c r="F423" t="s">
        <v>117</v>
      </c>
      <c r="G423" t="s">
        <v>4604</v>
      </c>
      <c r="H423">
        <v>0</v>
      </c>
      <c r="I423" t="s">
        <v>379</v>
      </c>
      <c r="J423">
        <v>6000</v>
      </c>
      <c r="K423">
        <v>2</v>
      </c>
      <c r="L423">
        <v>0</v>
      </c>
      <c r="M423">
        <v>2</v>
      </c>
      <c r="N423"/>
      <c r="O423" t="s">
        <v>3544</v>
      </c>
      <c r="P423" s="33">
        <v>0.55000000000000004</v>
      </c>
      <c r="Q423">
        <v>3300</v>
      </c>
      <c r="R423" t="s">
        <v>118</v>
      </c>
      <c r="S423">
        <v>0</v>
      </c>
      <c r="T423"/>
      <c r="U423" s="10"/>
      <c r="V423"/>
      <c r="W423"/>
      <c r="X423" s="10"/>
      <c r="Y423"/>
      <c r="Z423" s="10"/>
      <c r="AA423"/>
      <c r="AB423"/>
      <c r="AC423"/>
      <c r="AD423"/>
    </row>
    <row r="424" spans="1:30" x14ac:dyDescent="0.4">
      <c r="A424" t="s">
        <v>4605</v>
      </c>
      <c r="B424">
        <v>20180119</v>
      </c>
      <c r="C424">
        <v>8806173509379</v>
      </c>
      <c r="D424" t="s">
        <v>4606</v>
      </c>
      <c r="E424" t="s">
        <v>4607</v>
      </c>
      <c r="F424" t="s">
        <v>117</v>
      </c>
      <c r="G424" t="s">
        <v>4608</v>
      </c>
      <c r="H424">
        <v>0</v>
      </c>
      <c r="I424" t="s">
        <v>379</v>
      </c>
      <c r="J424">
        <v>18000</v>
      </c>
      <c r="K424">
        <v>6</v>
      </c>
      <c r="L424">
        <v>0</v>
      </c>
      <c r="M424">
        <v>6</v>
      </c>
      <c r="N424"/>
      <c r="O424" t="s">
        <v>3544</v>
      </c>
      <c r="P424" s="33">
        <v>0.55000000000000004</v>
      </c>
      <c r="Q424">
        <v>9900</v>
      </c>
      <c r="R424" t="s">
        <v>118</v>
      </c>
      <c r="S424">
        <v>0</v>
      </c>
      <c r="T424"/>
      <c r="U424" s="10"/>
      <c r="V424"/>
      <c r="W424"/>
      <c r="X424" s="10"/>
      <c r="Y424"/>
      <c r="Z424" s="10"/>
      <c r="AA424"/>
      <c r="AB424"/>
      <c r="AC424"/>
      <c r="AD424"/>
    </row>
    <row r="425" spans="1:30" x14ac:dyDescent="0.4">
      <c r="A425" t="s">
        <v>4609</v>
      </c>
      <c r="B425">
        <v>20180119</v>
      </c>
      <c r="C425">
        <v>8809516792124</v>
      </c>
      <c r="D425" t="s">
        <v>4610</v>
      </c>
      <c r="E425" t="s">
        <v>3927</v>
      </c>
      <c r="F425" t="s">
        <v>117</v>
      </c>
      <c r="G425" t="s">
        <v>4611</v>
      </c>
      <c r="H425">
        <v>0</v>
      </c>
      <c r="I425" t="s">
        <v>379</v>
      </c>
      <c r="J425">
        <v>20000</v>
      </c>
      <c r="K425">
        <v>1</v>
      </c>
      <c r="L425">
        <v>0</v>
      </c>
      <c r="M425">
        <v>1</v>
      </c>
      <c r="N425"/>
      <c r="O425" t="s">
        <v>3544</v>
      </c>
      <c r="P425" s="33">
        <v>0.55000000000000004</v>
      </c>
      <c r="Q425">
        <v>11000</v>
      </c>
      <c r="R425" t="s">
        <v>118</v>
      </c>
      <c r="S425">
        <v>0</v>
      </c>
      <c r="T425"/>
      <c r="U425" s="10"/>
      <c r="V425"/>
      <c r="W425"/>
      <c r="X425" s="10"/>
      <c r="Y425"/>
      <c r="Z425" s="10"/>
      <c r="AA425"/>
      <c r="AB425"/>
      <c r="AC425"/>
      <c r="AD425"/>
    </row>
    <row r="426" spans="1:30" x14ac:dyDescent="0.4">
      <c r="A426" t="s">
        <v>4612</v>
      </c>
      <c r="B426">
        <v>20180119</v>
      </c>
      <c r="C426">
        <v>8806173537075</v>
      </c>
      <c r="D426" t="s">
        <v>4613</v>
      </c>
      <c r="E426" t="s">
        <v>4614</v>
      </c>
      <c r="F426" t="s">
        <v>117</v>
      </c>
      <c r="G426" t="s">
        <v>4615</v>
      </c>
      <c r="H426">
        <v>0</v>
      </c>
      <c r="I426" t="s">
        <v>379</v>
      </c>
      <c r="J426">
        <v>30000</v>
      </c>
      <c r="K426">
        <v>1</v>
      </c>
      <c r="L426">
        <v>0</v>
      </c>
      <c r="M426">
        <v>1</v>
      </c>
      <c r="N426"/>
      <c r="O426" t="s">
        <v>3544</v>
      </c>
      <c r="P426" s="33">
        <v>0.55000000000000004</v>
      </c>
      <c r="Q426">
        <v>16500</v>
      </c>
      <c r="R426" t="s">
        <v>118</v>
      </c>
      <c r="S426">
        <v>0</v>
      </c>
      <c r="T426"/>
      <c r="U426" s="10"/>
      <c r="V426"/>
      <c r="W426"/>
      <c r="X426" s="10"/>
      <c r="Y426"/>
      <c r="Z426" s="10"/>
      <c r="AA426"/>
      <c r="AB426"/>
      <c r="AC426"/>
      <c r="AD426"/>
    </row>
    <row r="427" spans="1:30" x14ac:dyDescent="0.4">
      <c r="A427" t="s">
        <v>4616</v>
      </c>
      <c r="B427">
        <v>20180119</v>
      </c>
      <c r="C427">
        <v>8806173521678</v>
      </c>
      <c r="D427" t="s">
        <v>4617</v>
      </c>
      <c r="E427" t="s">
        <v>4618</v>
      </c>
      <c r="F427" t="s">
        <v>117</v>
      </c>
      <c r="G427" t="s">
        <v>4619</v>
      </c>
      <c r="H427">
        <v>0</v>
      </c>
      <c r="I427" t="s">
        <v>379</v>
      </c>
      <c r="J427">
        <v>9000</v>
      </c>
      <c r="K427">
        <v>1</v>
      </c>
      <c r="L427">
        <v>0</v>
      </c>
      <c r="M427">
        <v>1</v>
      </c>
      <c r="N427"/>
      <c r="O427" t="s">
        <v>3544</v>
      </c>
      <c r="P427" s="33">
        <v>0.55000000000000004</v>
      </c>
      <c r="Q427">
        <v>4950</v>
      </c>
      <c r="R427" t="s">
        <v>118</v>
      </c>
      <c r="S427">
        <v>0</v>
      </c>
      <c r="T427"/>
      <c r="U427" s="10"/>
      <c r="V427"/>
      <c r="W427"/>
      <c r="X427" s="10"/>
      <c r="Y427"/>
      <c r="Z427" s="10"/>
      <c r="AA427"/>
      <c r="AB427"/>
      <c r="AC427"/>
      <c r="AD427"/>
    </row>
    <row r="428" spans="1:30" x14ac:dyDescent="0.4">
      <c r="A428" t="s">
        <v>4620</v>
      </c>
      <c r="B428">
        <v>20180119</v>
      </c>
      <c r="C428">
        <v>8806173531660</v>
      </c>
      <c r="D428" t="s">
        <v>4621</v>
      </c>
      <c r="E428" t="s">
        <v>4622</v>
      </c>
      <c r="F428" t="s">
        <v>117</v>
      </c>
      <c r="G428" t="s">
        <v>4623</v>
      </c>
      <c r="H428">
        <v>0</v>
      </c>
      <c r="I428" t="s">
        <v>379</v>
      </c>
      <c r="J428">
        <v>5000</v>
      </c>
      <c r="K428">
        <v>1</v>
      </c>
      <c r="L428">
        <v>0</v>
      </c>
      <c r="M428">
        <v>1</v>
      </c>
      <c r="N428"/>
      <c r="O428" t="s">
        <v>3544</v>
      </c>
      <c r="P428" s="33">
        <v>0.55000000000000004</v>
      </c>
      <c r="Q428">
        <v>2750</v>
      </c>
      <c r="R428" t="s">
        <v>118</v>
      </c>
      <c r="S428">
        <v>0</v>
      </c>
      <c r="T428"/>
      <c r="U428" s="10"/>
      <c r="V428"/>
      <c r="W428"/>
      <c r="X428" s="10"/>
      <c r="Y428"/>
      <c r="Z428" s="10"/>
      <c r="AA428"/>
      <c r="AB428"/>
      <c r="AC428"/>
      <c r="AD428"/>
    </row>
    <row r="429" spans="1:30" x14ac:dyDescent="0.4">
      <c r="A429" t="s">
        <v>4624</v>
      </c>
      <c r="B429">
        <v>20180119</v>
      </c>
      <c r="C429">
        <v>8806173532018</v>
      </c>
      <c r="D429" t="s">
        <v>4625</v>
      </c>
      <c r="E429" t="s">
        <v>4626</v>
      </c>
      <c r="F429" t="s">
        <v>117</v>
      </c>
      <c r="G429" t="s">
        <v>4627</v>
      </c>
      <c r="H429">
        <v>0</v>
      </c>
      <c r="I429" t="s">
        <v>379</v>
      </c>
      <c r="J429">
        <v>10000</v>
      </c>
      <c r="K429">
        <v>1</v>
      </c>
      <c r="L429">
        <v>0</v>
      </c>
      <c r="M429">
        <v>1</v>
      </c>
      <c r="N429"/>
      <c r="O429" t="s">
        <v>3544</v>
      </c>
      <c r="P429" s="33">
        <v>0.55000000000000004</v>
      </c>
      <c r="Q429">
        <v>5500</v>
      </c>
      <c r="R429" t="s">
        <v>118</v>
      </c>
      <c r="S429">
        <v>0</v>
      </c>
      <c r="T429"/>
      <c r="U429" s="10"/>
      <c r="V429"/>
      <c r="W429"/>
      <c r="X429" s="10"/>
      <c r="Y429"/>
      <c r="Z429" s="10"/>
      <c r="AA429"/>
      <c r="AB429"/>
      <c r="AC429"/>
      <c r="AD429"/>
    </row>
    <row r="430" spans="1:30" x14ac:dyDescent="0.4">
      <c r="A430" t="s">
        <v>4628</v>
      </c>
      <c r="B430">
        <v>20180119</v>
      </c>
      <c r="C430">
        <v>8806173565726</v>
      </c>
      <c r="D430" t="s">
        <v>4629</v>
      </c>
      <c r="E430" t="s">
        <v>1570</v>
      </c>
      <c r="F430" t="s">
        <v>117</v>
      </c>
      <c r="G430" t="s">
        <v>4630</v>
      </c>
      <c r="H430">
        <v>0</v>
      </c>
      <c r="I430" t="s">
        <v>379</v>
      </c>
      <c r="J430">
        <v>2000</v>
      </c>
      <c r="K430">
        <v>1</v>
      </c>
      <c r="L430">
        <v>0</v>
      </c>
      <c r="M430">
        <v>1</v>
      </c>
      <c r="N430"/>
      <c r="O430" t="s">
        <v>3544</v>
      </c>
      <c r="P430" s="33">
        <v>0.55000000000000004</v>
      </c>
      <c r="Q430">
        <v>1100</v>
      </c>
      <c r="R430" t="s">
        <v>118</v>
      </c>
      <c r="S430">
        <v>0</v>
      </c>
      <c r="T430"/>
      <c r="U430" s="10"/>
      <c r="V430"/>
      <c r="W430"/>
      <c r="X430" s="10"/>
      <c r="Y430"/>
      <c r="Z430" s="10"/>
      <c r="AA430"/>
      <c r="AB430"/>
      <c r="AC430"/>
      <c r="AD430"/>
    </row>
    <row r="431" spans="1:30" x14ac:dyDescent="0.4">
      <c r="A431" t="s">
        <v>4631</v>
      </c>
      <c r="B431">
        <v>20180119</v>
      </c>
      <c r="C431">
        <v>8806173578719</v>
      </c>
      <c r="D431" t="s">
        <v>3097</v>
      </c>
      <c r="E431" t="s">
        <v>4632</v>
      </c>
      <c r="F431" t="s">
        <v>117</v>
      </c>
      <c r="G431" t="s">
        <v>3098</v>
      </c>
      <c r="H431">
        <v>0</v>
      </c>
      <c r="I431" t="s">
        <v>379</v>
      </c>
      <c r="J431">
        <v>42000</v>
      </c>
      <c r="K431">
        <v>1</v>
      </c>
      <c r="L431">
        <v>0</v>
      </c>
      <c r="M431">
        <v>-1</v>
      </c>
      <c r="N431"/>
      <c r="O431" t="s">
        <v>3544</v>
      </c>
      <c r="P431" s="33">
        <v>0.55000000000000004</v>
      </c>
      <c r="Q431">
        <v>23100</v>
      </c>
      <c r="R431" t="s">
        <v>118</v>
      </c>
      <c r="S431">
        <v>2</v>
      </c>
      <c r="T431">
        <v>2</v>
      </c>
      <c r="U431"/>
      <c r="V431"/>
      <c r="W431"/>
      <c r="X431"/>
      <c r="Y431"/>
      <c r="Z431"/>
      <c r="AA431"/>
      <c r="AB431"/>
      <c r="AC431"/>
      <c r="AD431"/>
    </row>
    <row r="432" spans="1:30" x14ac:dyDescent="0.4">
      <c r="A432" t="s">
        <v>4633</v>
      </c>
      <c r="B432">
        <v>20180119</v>
      </c>
      <c r="C432" s="36">
        <v>16999520000</v>
      </c>
      <c r="D432" t="s">
        <v>4634</v>
      </c>
      <c r="E432"/>
      <c r="F432" t="s">
        <v>117</v>
      </c>
      <c r="G432" t="s">
        <v>4635</v>
      </c>
      <c r="H432">
        <v>0</v>
      </c>
      <c r="I432" t="s">
        <v>379</v>
      </c>
      <c r="J432">
        <v>4000</v>
      </c>
      <c r="K432">
        <v>2</v>
      </c>
      <c r="L432">
        <v>0</v>
      </c>
      <c r="M432">
        <v>2</v>
      </c>
      <c r="N432"/>
      <c r="O432" t="s">
        <v>3544</v>
      </c>
      <c r="P432" s="33">
        <v>0.55000000000000004</v>
      </c>
      <c r="Q432">
        <v>2200</v>
      </c>
      <c r="R432" t="s">
        <v>118</v>
      </c>
      <c r="S432">
        <v>0</v>
      </c>
      <c r="T432"/>
      <c r="U432" s="10"/>
      <c r="V432"/>
      <c r="W432"/>
      <c r="X432" s="10"/>
      <c r="Y432"/>
      <c r="Z432" s="10"/>
      <c r="AA432"/>
      <c r="AB432"/>
      <c r="AC432"/>
      <c r="AD432"/>
    </row>
    <row r="433" spans="1:30" x14ac:dyDescent="0.4">
      <c r="A433" t="s">
        <v>4636</v>
      </c>
      <c r="B433">
        <v>20180119</v>
      </c>
      <c r="C433" s="36">
        <v>16999620000</v>
      </c>
      <c r="D433" t="s">
        <v>4637</v>
      </c>
      <c r="E433"/>
      <c r="F433" t="s">
        <v>117</v>
      </c>
      <c r="G433" t="s">
        <v>4638</v>
      </c>
      <c r="H433">
        <v>0</v>
      </c>
      <c r="I433" t="s">
        <v>379</v>
      </c>
      <c r="J433">
        <v>4000</v>
      </c>
      <c r="K433">
        <v>2</v>
      </c>
      <c r="L433">
        <v>0</v>
      </c>
      <c r="M433">
        <v>2</v>
      </c>
      <c r="N433"/>
      <c r="O433" t="s">
        <v>3544</v>
      </c>
      <c r="P433" s="33">
        <v>0.55000000000000004</v>
      </c>
      <c r="Q433">
        <v>2200</v>
      </c>
      <c r="R433" t="s">
        <v>118</v>
      </c>
      <c r="S433">
        <v>0</v>
      </c>
      <c r="T433"/>
      <c r="U433" s="10"/>
      <c r="V433"/>
      <c r="W433"/>
      <c r="X433" s="10"/>
      <c r="Y433"/>
      <c r="Z433" s="10"/>
      <c r="AA433"/>
      <c r="AB433"/>
      <c r="AC433"/>
      <c r="AD433"/>
    </row>
    <row r="434" spans="1:30" x14ac:dyDescent="0.4">
      <c r="A434" t="s">
        <v>4639</v>
      </c>
      <c r="B434">
        <v>20180119</v>
      </c>
      <c r="C434" s="36">
        <v>16999720000</v>
      </c>
      <c r="D434" t="s">
        <v>4640</v>
      </c>
      <c r="E434"/>
      <c r="F434" t="s">
        <v>117</v>
      </c>
      <c r="G434" t="s">
        <v>4641</v>
      </c>
      <c r="H434">
        <v>0</v>
      </c>
      <c r="I434" t="s">
        <v>379</v>
      </c>
      <c r="J434">
        <v>4000</v>
      </c>
      <c r="K434">
        <v>3</v>
      </c>
      <c r="L434">
        <v>0</v>
      </c>
      <c r="M434">
        <v>3</v>
      </c>
      <c r="N434"/>
      <c r="O434" t="s">
        <v>3544</v>
      </c>
      <c r="P434" s="33">
        <v>0.55000000000000004</v>
      </c>
      <c r="Q434">
        <v>2200</v>
      </c>
      <c r="R434" t="s">
        <v>118</v>
      </c>
      <c r="S434">
        <v>0</v>
      </c>
      <c r="T434"/>
      <c r="U434" s="10"/>
      <c r="V434"/>
      <c r="W434"/>
      <c r="X434" s="10"/>
      <c r="Y434"/>
      <c r="Z434" s="10"/>
      <c r="AA434"/>
      <c r="AB434"/>
      <c r="AC434"/>
      <c r="AD434"/>
    </row>
    <row r="435" spans="1:30" x14ac:dyDescent="0.4">
      <c r="A435" t="s">
        <v>4642</v>
      </c>
      <c r="B435">
        <v>20180119</v>
      </c>
      <c r="C435">
        <v>8806146971516</v>
      </c>
      <c r="D435" t="s">
        <v>4643</v>
      </c>
      <c r="E435" t="s">
        <v>4644</v>
      </c>
      <c r="F435" t="s">
        <v>117</v>
      </c>
      <c r="G435" t="s">
        <v>4645</v>
      </c>
      <c r="H435">
        <v>0</v>
      </c>
      <c r="I435" t="s">
        <v>379</v>
      </c>
      <c r="J435">
        <v>14000</v>
      </c>
      <c r="K435">
        <v>2</v>
      </c>
      <c r="L435">
        <v>0</v>
      </c>
      <c r="M435">
        <v>2</v>
      </c>
      <c r="N435"/>
      <c r="O435" t="s">
        <v>3544</v>
      </c>
      <c r="P435" s="33">
        <v>0.55000000000000004</v>
      </c>
      <c r="Q435">
        <v>7700</v>
      </c>
      <c r="R435" t="s">
        <v>118</v>
      </c>
      <c r="S435">
        <v>0</v>
      </c>
      <c r="T435"/>
      <c r="U435" s="10"/>
      <c r="V435"/>
      <c r="W435"/>
      <c r="X435" s="10"/>
      <c r="Y435"/>
      <c r="Z435" s="10"/>
      <c r="AA435"/>
      <c r="AB435"/>
      <c r="AC435"/>
      <c r="AD435"/>
    </row>
    <row r="436" spans="1:30" x14ac:dyDescent="0.4">
      <c r="A436" t="s">
        <v>4646</v>
      </c>
      <c r="B436">
        <v>20180119</v>
      </c>
      <c r="C436">
        <v>8809560240008</v>
      </c>
      <c r="D436" t="s">
        <v>3099</v>
      </c>
      <c r="E436" t="s">
        <v>4647</v>
      </c>
      <c r="F436" t="s">
        <v>117</v>
      </c>
      <c r="G436" t="s">
        <v>3100</v>
      </c>
      <c r="H436">
        <v>0</v>
      </c>
      <c r="I436" t="s">
        <v>379</v>
      </c>
      <c r="J436">
        <v>25000</v>
      </c>
      <c r="K436">
        <v>6</v>
      </c>
      <c r="L436">
        <v>2</v>
      </c>
      <c r="M436">
        <v>4</v>
      </c>
      <c r="N436"/>
      <c r="O436" t="s">
        <v>3544</v>
      </c>
      <c r="P436" s="33">
        <v>0.55000000000000004</v>
      </c>
      <c r="Q436">
        <v>13750</v>
      </c>
      <c r="R436" t="s">
        <v>118</v>
      </c>
      <c r="S436">
        <v>2</v>
      </c>
      <c r="T436">
        <v>0</v>
      </c>
      <c r="U436" s="10">
        <v>43118</v>
      </c>
      <c r="V436" t="s">
        <v>3289</v>
      </c>
      <c r="W436">
        <v>3</v>
      </c>
      <c r="X436" s="10">
        <v>43119</v>
      </c>
      <c r="Y436"/>
      <c r="Z436" s="10"/>
      <c r="AA436"/>
      <c r="AB436"/>
      <c r="AC436"/>
      <c r="AD436"/>
    </row>
    <row r="437" spans="1:30" x14ac:dyDescent="0.4">
      <c r="A437" t="s">
        <v>4648</v>
      </c>
      <c r="B437">
        <v>20180119</v>
      </c>
      <c r="C437">
        <v>8.8061735847234202E+18</v>
      </c>
      <c r="D437" t="s">
        <v>3101</v>
      </c>
      <c r="E437" t="s">
        <v>4649</v>
      </c>
      <c r="F437" t="s">
        <v>117</v>
      </c>
      <c r="G437" t="s">
        <v>3102</v>
      </c>
      <c r="H437">
        <v>0</v>
      </c>
      <c r="I437" t="s">
        <v>379</v>
      </c>
      <c r="J437">
        <v>25000</v>
      </c>
      <c r="K437">
        <v>2</v>
      </c>
      <c r="L437">
        <v>0</v>
      </c>
      <c r="M437">
        <v>1</v>
      </c>
      <c r="N437"/>
      <c r="O437" t="s">
        <v>3544</v>
      </c>
      <c r="P437" s="33">
        <v>0.55000000000000004</v>
      </c>
      <c r="Q437">
        <v>13750</v>
      </c>
      <c r="R437" t="s">
        <v>118</v>
      </c>
      <c r="S437">
        <v>1</v>
      </c>
      <c r="T437">
        <v>1</v>
      </c>
      <c r="U437" s="10"/>
      <c r="V437"/>
      <c r="W437"/>
      <c r="X437" s="10"/>
      <c r="Y437"/>
      <c r="Z437" s="10"/>
      <c r="AA437"/>
      <c r="AB437"/>
      <c r="AC437"/>
      <c r="AD437"/>
    </row>
    <row r="438" spans="1:30" x14ac:dyDescent="0.4">
      <c r="A438" t="s">
        <v>4650</v>
      </c>
      <c r="B438">
        <v>20180119</v>
      </c>
      <c r="C438" s="36">
        <v>16997420000</v>
      </c>
      <c r="D438" t="s">
        <v>3103</v>
      </c>
      <c r="E438"/>
      <c r="F438" t="s">
        <v>117</v>
      </c>
      <c r="G438" t="s">
        <v>3104</v>
      </c>
      <c r="H438">
        <v>0</v>
      </c>
      <c r="I438" t="s">
        <v>379</v>
      </c>
      <c r="J438">
        <v>25000</v>
      </c>
      <c r="K438">
        <v>1</v>
      </c>
      <c r="L438">
        <v>0</v>
      </c>
      <c r="M438">
        <v>0</v>
      </c>
      <c r="N438"/>
      <c r="O438" t="s">
        <v>3544</v>
      </c>
      <c r="P438" s="33">
        <v>0.55000000000000004</v>
      </c>
      <c r="Q438">
        <v>13750</v>
      </c>
      <c r="R438" t="s">
        <v>118</v>
      </c>
      <c r="S438">
        <v>1</v>
      </c>
      <c r="T438">
        <v>1</v>
      </c>
      <c r="U438"/>
      <c r="V438"/>
      <c r="W438"/>
      <c r="X438"/>
      <c r="Y438"/>
      <c r="Z438"/>
      <c r="AA438"/>
      <c r="AB438"/>
      <c r="AC438"/>
      <c r="AD438"/>
    </row>
    <row r="439" spans="1:30" x14ac:dyDescent="0.4">
      <c r="A439" t="s">
        <v>4651</v>
      </c>
      <c r="B439">
        <v>20180119</v>
      </c>
      <c r="C439">
        <v>8806173522194</v>
      </c>
      <c r="D439" t="s">
        <v>460</v>
      </c>
      <c r="E439" t="s">
        <v>470</v>
      </c>
      <c r="F439" t="s">
        <v>117</v>
      </c>
      <c r="G439" t="s">
        <v>461</v>
      </c>
      <c r="H439">
        <v>2</v>
      </c>
      <c r="I439" t="s">
        <v>379</v>
      </c>
      <c r="J439">
        <v>18000</v>
      </c>
      <c r="K439">
        <v>3</v>
      </c>
      <c r="L439">
        <v>0</v>
      </c>
      <c r="M439">
        <v>2</v>
      </c>
      <c r="N439"/>
      <c r="O439" s="35" t="s">
        <v>3550</v>
      </c>
      <c r="P439" s="33">
        <v>0.55000000000000004</v>
      </c>
      <c r="Q439">
        <v>9900</v>
      </c>
      <c r="R439" t="s">
        <v>118</v>
      </c>
      <c r="S439">
        <v>1</v>
      </c>
      <c r="T439">
        <v>1</v>
      </c>
      <c r="U439" s="10"/>
      <c r="V439"/>
      <c r="W439"/>
      <c r="X439" s="10"/>
      <c r="Y439"/>
      <c r="Z439" s="10"/>
      <c r="AA439"/>
      <c r="AB439"/>
      <c r="AC439"/>
      <c r="AD439"/>
    </row>
    <row r="440" spans="1:30" x14ac:dyDescent="0.4">
      <c r="A440" t="s">
        <v>4652</v>
      </c>
      <c r="B440">
        <v>20180119</v>
      </c>
      <c r="C440">
        <v>8809516791776</v>
      </c>
      <c r="D440" t="s">
        <v>4653</v>
      </c>
      <c r="E440" t="s">
        <v>4654</v>
      </c>
      <c r="F440" t="s">
        <v>117</v>
      </c>
      <c r="G440" t="s">
        <v>4655</v>
      </c>
      <c r="H440">
        <v>0</v>
      </c>
      <c r="I440" t="s">
        <v>379</v>
      </c>
      <c r="J440">
        <v>8000</v>
      </c>
      <c r="K440">
        <v>1</v>
      </c>
      <c r="L440">
        <v>0</v>
      </c>
      <c r="M440">
        <v>1</v>
      </c>
      <c r="N440"/>
      <c r="O440" t="s">
        <v>3544</v>
      </c>
      <c r="P440" s="33">
        <v>0.55000000000000004</v>
      </c>
      <c r="Q440">
        <v>4400</v>
      </c>
      <c r="R440" t="s">
        <v>118</v>
      </c>
      <c r="S440">
        <v>0</v>
      </c>
      <c r="T440"/>
      <c r="U440" s="10"/>
      <c r="V440"/>
      <c r="W440"/>
      <c r="X440" s="10"/>
      <c r="Y440"/>
      <c r="Z440" s="10"/>
      <c r="AA440"/>
      <c r="AB440"/>
      <c r="AC440"/>
      <c r="AD440"/>
    </row>
    <row r="441" spans="1:30" x14ac:dyDescent="0.4">
      <c r="A441" t="s">
        <v>4656</v>
      </c>
      <c r="B441">
        <v>20180119</v>
      </c>
      <c r="C441">
        <v>8809516790403</v>
      </c>
      <c r="D441" t="s">
        <v>4657</v>
      </c>
      <c r="E441" t="s">
        <v>4658</v>
      </c>
      <c r="F441" t="s">
        <v>117</v>
      </c>
      <c r="G441" t="s">
        <v>4659</v>
      </c>
      <c r="H441">
        <v>0</v>
      </c>
      <c r="I441" t="s">
        <v>379</v>
      </c>
      <c r="J441">
        <v>5000</v>
      </c>
      <c r="K441">
        <v>1</v>
      </c>
      <c r="L441">
        <v>0</v>
      </c>
      <c r="M441">
        <v>1</v>
      </c>
      <c r="N441"/>
      <c r="O441" t="s">
        <v>3544</v>
      </c>
      <c r="P441" s="33">
        <v>0.55000000000000004</v>
      </c>
      <c r="Q441">
        <v>2750</v>
      </c>
      <c r="R441" t="s">
        <v>118</v>
      </c>
      <c r="S441">
        <v>0</v>
      </c>
      <c r="T441"/>
      <c r="U441" s="10"/>
      <c r="V441"/>
      <c r="W441"/>
      <c r="X441" s="10"/>
      <c r="Y441"/>
      <c r="Z441" s="10"/>
      <c r="AA441"/>
      <c r="AB441"/>
      <c r="AC441"/>
      <c r="AD441"/>
    </row>
    <row r="442" spans="1:30" x14ac:dyDescent="0.4">
      <c r="A442" t="s">
        <v>4660</v>
      </c>
      <c r="B442">
        <v>20180119</v>
      </c>
      <c r="C442">
        <v>8809454022079</v>
      </c>
      <c r="D442" t="s">
        <v>4661</v>
      </c>
      <c r="E442" t="s">
        <v>4662</v>
      </c>
      <c r="F442" t="s">
        <v>123</v>
      </c>
      <c r="G442" t="s">
        <v>4663</v>
      </c>
      <c r="H442">
        <v>0</v>
      </c>
      <c r="I442" t="s">
        <v>379</v>
      </c>
      <c r="J442">
        <v>10800</v>
      </c>
      <c r="K442">
        <v>2</v>
      </c>
      <c r="L442">
        <v>0</v>
      </c>
      <c r="M442">
        <v>2</v>
      </c>
      <c r="N442"/>
      <c r="O442" t="s">
        <v>3544</v>
      </c>
      <c r="P442" s="33">
        <v>0.45</v>
      </c>
      <c r="Q442">
        <v>4860</v>
      </c>
      <c r="R442" t="s">
        <v>124</v>
      </c>
      <c r="S442">
        <v>0</v>
      </c>
      <c r="T442"/>
      <c r="U442" s="10"/>
      <c r="V442"/>
      <c r="W442"/>
      <c r="X442" s="10"/>
      <c r="Y442"/>
      <c r="Z442" s="10"/>
      <c r="AA442"/>
      <c r="AB442"/>
      <c r="AC442"/>
      <c r="AD442"/>
    </row>
    <row r="443" spans="1:30" x14ac:dyDescent="0.4">
      <c r="A443" t="s">
        <v>4664</v>
      </c>
      <c r="B443">
        <v>20180119</v>
      </c>
      <c r="C443">
        <v>8809454022017</v>
      </c>
      <c r="D443" t="s">
        <v>4665</v>
      </c>
      <c r="E443" t="s">
        <v>2671</v>
      </c>
      <c r="F443" t="s">
        <v>123</v>
      </c>
      <c r="G443" t="s">
        <v>4666</v>
      </c>
      <c r="H443">
        <v>0</v>
      </c>
      <c r="I443" t="s">
        <v>379</v>
      </c>
      <c r="J443">
        <v>9800</v>
      </c>
      <c r="K443">
        <v>3</v>
      </c>
      <c r="L443">
        <v>2</v>
      </c>
      <c r="M443">
        <v>1</v>
      </c>
      <c r="N443"/>
      <c r="O443" t="s">
        <v>3544</v>
      </c>
      <c r="P443" s="33">
        <v>0.45</v>
      </c>
      <c r="Q443">
        <v>4410</v>
      </c>
      <c r="R443" t="s">
        <v>124</v>
      </c>
      <c r="S443">
        <v>2</v>
      </c>
      <c r="T443"/>
      <c r="U443" s="10"/>
      <c r="V443"/>
      <c r="W443"/>
      <c r="X443" s="10"/>
      <c r="Y443"/>
      <c r="Z443" s="10"/>
      <c r="AA443"/>
      <c r="AB443"/>
      <c r="AC443"/>
      <c r="AD443"/>
    </row>
    <row r="444" spans="1:30" x14ac:dyDescent="0.4">
      <c r="A444" t="s">
        <v>4667</v>
      </c>
      <c r="B444">
        <v>20180119</v>
      </c>
      <c r="C444">
        <v>8809241887409</v>
      </c>
      <c r="D444" t="s">
        <v>4668</v>
      </c>
      <c r="E444" t="s">
        <v>3627</v>
      </c>
      <c r="F444" t="s">
        <v>123</v>
      </c>
      <c r="G444" t="s">
        <v>4669</v>
      </c>
      <c r="H444">
        <v>1</v>
      </c>
      <c r="I444" t="s">
        <v>379</v>
      </c>
      <c r="J444">
        <v>8800</v>
      </c>
      <c r="K444">
        <v>5</v>
      </c>
      <c r="L444">
        <v>4</v>
      </c>
      <c r="M444">
        <v>1</v>
      </c>
      <c r="N444"/>
      <c r="O444" t="s">
        <v>3544</v>
      </c>
      <c r="P444" s="33">
        <v>0.45</v>
      </c>
      <c r="Q444">
        <v>3960</v>
      </c>
      <c r="R444" t="s">
        <v>124</v>
      </c>
      <c r="S444">
        <v>4</v>
      </c>
      <c r="T444"/>
      <c r="U444" s="10"/>
      <c r="V444"/>
      <c r="W444"/>
      <c r="X444" s="10"/>
      <c r="Y444"/>
      <c r="Z444" s="10"/>
      <c r="AA444"/>
      <c r="AB444"/>
      <c r="AC444"/>
      <c r="AD444"/>
    </row>
    <row r="445" spans="1:30" x14ac:dyDescent="0.4">
      <c r="A445" t="s">
        <v>4670</v>
      </c>
      <c r="B445">
        <v>20180119</v>
      </c>
      <c r="C445">
        <v>8809241887447</v>
      </c>
      <c r="D445" t="s">
        <v>1322</v>
      </c>
      <c r="E445" t="s">
        <v>653</v>
      </c>
      <c r="F445" t="s">
        <v>123</v>
      </c>
      <c r="G445" t="s">
        <v>1323</v>
      </c>
      <c r="H445">
        <v>0</v>
      </c>
      <c r="I445" t="s">
        <v>379</v>
      </c>
      <c r="J445">
        <v>6800</v>
      </c>
      <c r="K445">
        <v>1</v>
      </c>
      <c r="L445">
        <v>0</v>
      </c>
      <c r="M445">
        <v>1</v>
      </c>
      <c r="N445"/>
      <c r="O445" t="s">
        <v>3544</v>
      </c>
      <c r="P445" s="33">
        <v>0.45</v>
      </c>
      <c r="Q445">
        <v>3060</v>
      </c>
      <c r="R445" t="s">
        <v>124</v>
      </c>
      <c r="S445">
        <v>0</v>
      </c>
      <c r="T445"/>
      <c r="U445" s="10"/>
      <c r="V445"/>
      <c r="W445"/>
      <c r="X445" s="10"/>
      <c r="Y445"/>
      <c r="Z445" s="10"/>
      <c r="AA445"/>
      <c r="AB445"/>
      <c r="AC445"/>
      <c r="AD445"/>
    </row>
    <row r="446" spans="1:30" x14ac:dyDescent="0.4">
      <c r="A446" t="s">
        <v>4671</v>
      </c>
      <c r="B446">
        <v>20180119</v>
      </c>
      <c r="C446">
        <v>8809323739947</v>
      </c>
      <c r="D446" t="s">
        <v>4672</v>
      </c>
      <c r="E446" t="s">
        <v>4673</v>
      </c>
      <c r="F446" t="s">
        <v>123</v>
      </c>
      <c r="G446" t="s">
        <v>4674</v>
      </c>
      <c r="H446">
        <v>2</v>
      </c>
      <c r="I446" t="s">
        <v>379</v>
      </c>
      <c r="J446">
        <v>2500</v>
      </c>
      <c r="K446">
        <v>5</v>
      </c>
      <c r="L446">
        <v>0</v>
      </c>
      <c r="M446">
        <v>5</v>
      </c>
      <c r="N446"/>
      <c r="O446" s="35" t="s">
        <v>3550</v>
      </c>
      <c r="P446" s="33">
        <v>0.45</v>
      </c>
      <c r="Q446">
        <v>1125</v>
      </c>
      <c r="R446" t="s">
        <v>124</v>
      </c>
      <c r="S446">
        <v>0</v>
      </c>
      <c r="T446"/>
      <c r="U446" s="10"/>
      <c r="V446"/>
      <c r="W446"/>
      <c r="X446" s="10"/>
      <c r="Y446"/>
      <c r="Z446" s="10"/>
      <c r="AA446"/>
      <c r="AB446"/>
      <c r="AC446"/>
      <c r="AD446"/>
    </row>
    <row r="447" spans="1:30" x14ac:dyDescent="0.4">
      <c r="A447" t="s">
        <v>4675</v>
      </c>
      <c r="B447">
        <v>20180119</v>
      </c>
      <c r="C447">
        <v>8809454021102</v>
      </c>
      <c r="D447" t="s">
        <v>1786</v>
      </c>
      <c r="E447" t="s">
        <v>2462</v>
      </c>
      <c r="F447" t="s">
        <v>123</v>
      </c>
      <c r="G447" t="s">
        <v>1787</v>
      </c>
      <c r="H447">
        <v>0</v>
      </c>
      <c r="I447" t="s">
        <v>379</v>
      </c>
      <c r="J447">
        <v>6500</v>
      </c>
      <c r="K447" s="34">
        <v>30</v>
      </c>
      <c r="L447">
        <v>10</v>
      </c>
      <c r="M447">
        <v>20</v>
      </c>
      <c r="N447"/>
      <c r="O447" t="s">
        <v>3544</v>
      </c>
      <c r="P447" s="33">
        <v>0.45</v>
      </c>
      <c r="Q447">
        <v>2925</v>
      </c>
      <c r="R447" t="s">
        <v>124</v>
      </c>
      <c r="S447">
        <v>10</v>
      </c>
      <c r="T447"/>
      <c r="U447" s="10">
        <v>43117</v>
      </c>
      <c r="V447" t="s">
        <v>3289</v>
      </c>
      <c r="W447">
        <v>20</v>
      </c>
      <c r="X447" s="10">
        <v>43118</v>
      </c>
      <c r="Y447"/>
      <c r="Z447" s="10"/>
      <c r="AA447"/>
      <c r="AB447"/>
      <c r="AC447"/>
      <c r="AD447"/>
    </row>
    <row r="448" spans="1:30" x14ac:dyDescent="0.4">
      <c r="A448" t="s">
        <v>4676</v>
      </c>
      <c r="B448">
        <v>20180119</v>
      </c>
      <c r="C448">
        <v>8809323730722</v>
      </c>
      <c r="D448" t="s">
        <v>4677</v>
      </c>
      <c r="E448" t="s">
        <v>4678</v>
      </c>
      <c r="F448" t="s">
        <v>123</v>
      </c>
      <c r="G448" t="s">
        <v>4679</v>
      </c>
      <c r="H448">
        <v>0</v>
      </c>
      <c r="I448" t="s">
        <v>379</v>
      </c>
      <c r="J448">
        <v>3900</v>
      </c>
      <c r="K448">
        <v>1</v>
      </c>
      <c r="L448">
        <v>0</v>
      </c>
      <c r="M448">
        <v>1</v>
      </c>
      <c r="N448"/>
      <c r="O448" t="s">
        <v>3544</v>
      </c>
      <c r="P448" s="33">
        <v>0.45</v>
      </c>
      <c r="Q448">
        <v>1755</v>
      </c>
      <c r="R448" t="s">
        <v>124</v>
      </c>
      <c r="S448">
        <v>0</v>
      </c>
      <c r="T448"/>
      <c r="U448" s="10"/>
      <c r="V448"/>
      <c r="W448"/>
      <c r="X448" s="10"/>
      <c r="Y448"/>
      <c r="Z448" s="10"/>
      <c r="AA448"/>
      <c r="AB448"/>
      <c r="AC448"/>
      <c r="AD448"/>
    </row>
    <row r="449" spans="1:30" x14ac:dyDescent="0.4">
      <c r="A449" t="s">
        <v>4680</v>
      </c>
      <c r="B449">
        <v>20180119</v>
      </c>
      <c r="C449">
        <v>8809241889809</v>
      </c>
      <c r="D449" t="s">
        <v>4681</v>
      </c>
      <c r="E449" t="s">
        <v>4682</v>
      </c>
      <c r="F449" t="s">
        <v>123</v>
      </c>
      <c r="G449" t="s">
        <v>4683</v>
      </c>
      <c r="H449">
        <v>0</v>
      </c>
      <c r="I449" t="s">
        <v>379</v>
      </c>
      <c r="J449">
        <v>6000</v>
      </c>
      <c r="K449">
        <v>1</v>
      </c>
      <c r="L449">
        <v>0</v>
      </c>
      <c r="M449">
        <v>1</v>
      </c>
      <c r="N449"/>
      <c r="O449" t="s">
        <v>3544</v>
      </c>
      <c r="P449" s="33">
        <v>0.45</v>
      </c>
      <c r="Q449">
        <v>2700</v>
      </c>
      <c r="R449" t="s">
        <v>124</v>
      </c>
      <c r="S449">
        <v>0</v>
      </c>
      <c r="T449"/>
      <c r="U449" s="10"/>
      <c r="V449"/>
      <c r="W449"/>
      <c r="X449" s="10"/>
      <c r="Y449"/>
      <c r="Z449" s="10"/>
      <c r="AA449"/>
      <c r="AB449"/>
      <c r="AC449"/>
      <c r="AD449"/>
    </row>
    <row r="450" spans="1:30" x14ac:dyDescent="0.4">
      <c r="A450" t="s">
        <v>4684</v>
      </c>
      <c r="B450">
        <v>20180119</v>
      </c>
      <c r="C450">
        <v>8809454026046</v>
      </c>
      <c r="D450" t="s">
        <v>4685</v>
      </c>
      <c r="E450" t="s">
        <v>4686</v>
      </c>
      <c r="F450" t="s">
        <v>123</v>
      </c>
      <c r="G450" t="s">
        <v>4687</v>
      </c>
      <c r="H450">
        <v>0</v>
      </c>
      <c r="I450" t="s">
        <v>379</v>
      </c>
      <c r="J450">
        <v>2900</v>
      </c>
      <c r="K450">
        <v>1</v>
      </c>
      <c r="L450">
        <v>0</v>
      </c>
      <c r="M450">
        <v>1</v>
      </c>
      <c r="N450"/>
      <c r="O450" t="s">
        <v>3544</v>
      </c>
      <c r="P450" s="33">
        <v>0.45</v>
      </c>
      <c r="Q450">
        <v>1305</v>
      </c>
      <c r="R450" t="s">
        <v>124</v>
      </c>
      <c r="S450">
        <v>0</v>
      </c>
      <c r="T450"/>
      <c r="U450" s="10"/>
      <c r="V450"/>
      <c r="W450"/>
      <c r="X450" s="10"/>
      <c r="Y450"/>
      <c r="Z450" s="10"/>
      <c r="AA450"/>
      <c r="AB450"/>
      <c r="AC450"/>
      <c r="AD450"/>
    </row>
    <row r="451" spans="1:30" x14ac:dyDescent="0.4">
      <c r="A451" t="s">
        <v>4688</v>
      </c>
      <c r="B451">
        <v>20180119</v>
      </c>
      <c r="C451">
        <v>8809323733310</v>
      </c>
      <c r="D451" t="s">
        <v>4689</v>
      </c>
      <c r="E451" t="s">
        <v>4690</v>
      </c>
      <c r="F451" t="s">
        <v>123</v>
      </c>
      <c r="G451" t="s">
        <v>4691</v>
      </c>
      <c r="H451">
        <v>0</v>
      </c>
      <c r="I451" t="s">
        <v>379</v>
      </c>
      <c r="J451">
        <v>6500</v>
      </c>
      <c r="K451">
        <v>1</v>
      </c>
      <c r="L451">
        <v>0</v>
      </c>
      <c r="M451">
        <v>1</v>
      </c>
      <c r="N451"/>
      <c r="O451" t="s">
        <v>3544</v>
      </c>
      <c r="P451" s="33">
        <v>0.45</v>
      </c>
      <c r="Q451">
        <v>2925</v>
      </c>
      <c r="R451" t="s">
        <v>124</v>
      </c>
      <c r="S451">
        <v>0</v>
      </c>
      <c r="T451"/>
      <c r="U451" s="10"/>
      <c r="V451"/>
      <c r="W451"/>
      <c r="X451" s="10"/>
      <c r="Y451"/>
      <c r="Z451" s="10"/>
      <c r="AA451"/>
      <c r="AB451"/>
      <c r="AC451"/>
      <c r="AD451"/>
    </row>
    <row r="452" spans="1:30" x14ac:dyDescent="0.4">
      <c r="A452" t="s">
        <v>4692</v>
      </c>
      <c r="B452">
        <v>20180119</v>
      </c>
      <c r="C452">
        <v>8809323739015</v>
      </c>
      <c r="D452" t="s">
        <v>4693</v>
      </c>
      <c r="E452" t="s">
        <v>1265</v>
      </c>
      <c r="F452" t="s">
        <v>123</v>
      </c>
      <c r="G452" t="s">
        <v>4694</v>
      </c>
      <c r="H452">
        <v>0</v>
      </c>
      <c r="I452" t="s">
        <v>379</v>
      </c>
      <c r="J452">
        <v>17000</v>
      </c>
      <c r="K452">
        <v>1</v>
      </c>
      <c r="L452">
        <v>0</v>
      </c>
      <c r="M452">
        <v>1</v>
      </c>
      <c r="N452"/>
      <c r="O452" t="s">
        <v>3544</v>
      </c>
      <c r="P452" s="33">
        <v>0.45</v>
      </c>
      <c r="Q452">
        <v>7650</v>
      </c>
      <c r="R452" t="s">
        <v>124</v>
      </c>
      <c r="S452">
        <v>0</v>
      </c>
      <c r="T452"/>
      <c r="U452" s="10"/>
      <c r="V452"/>
      <c r="W452"/>
      <c r="X452" s="10"/>
      <c r="Y452"/>
      <c r="Z452" s="10"/>
      <c r="AA452"/>
      <c r="AB452"/>
      <c r="AC452"/>
      <c r="AD452"/>
    </row>
    <row r="453" spans="1:30" x14ac:dyDescent="0.4">
      <c r="A453" t="s">
        <v>4695</v>
      </c>
      <c r="B453">
        <v>20180119</v>
      </c>
      <c r="C453">
        <v>8809454022901</v>
      </c>
      <c r="D453" t="s">
        <v>2594</v>
      </c>
      <c r="E453" t="s">
        <v>2602</v>
      </c>
      <c r="F453" t="s">
        <v>123</v>
      </c>
      <c r="G453" t="s">
        <v>2595</v>
      </c>
      <c r="H453">
        <v>0</v>
      </c>
      <c r="I453" t="s">
        <v>379</v>
      </c>
      <c r="J453">
        <v>6000</v>
      </c>
      <c r="K453">
        <v>1</v>
      </c>
      <c r="L453">
        <v>0</v>
      </c>
      <c r="M453">
        <v>1</v>
      </c>
      <c r="N453"/>
      <c r="O453" t="s">
        <v>3544</v>
      </c>
      <c r="P453" s="33">
        <v>0.45</v>
      </c>
      <c r="Q453">
        <v>2700</v>
      </c>
      <c r="R453" t="s">
        <v>124</v>
      </c>
      <c r="S453">
        <v>0</v>
      </c>
      <c r="T453"/>
      <c r="U453" s="10"/>
      <c r="V453"/>
      <c r="W453"/>
      <c r="X453" s="10"/>
      <c r="Y453"/>
      <c r="Z453" s="10"/>
      <c r="AA453"/>
      <c r="AB453"/>
      <c r="AC453"/>
      <c r="AD453"/>
    </row>
    <row r="454" spans="1:30" x14ac:dyDescent="0.4">
      <c r="A454" t="s">
        <v>4696</v>
      </c>
      <c r="B454">
        <v>20180119</v>
      </c>
      <c r="C454">
        <v>8809454022888</v>
      </c>
      <c r="D454" t="s">
        <v>2586</v>
      </c>
      <c r="E454" t="s">
        <v>1808</v>
      </c>
      <c r="F454" t="s">
        <v>123</v>
      </c>
      <c r="G454" t="s">
        <v>2587</v>
      </c>
      <c r="H454">
        <v>0</v>
      </c>
      <c r="I454" t="s">
        <v>379</v>
      </c>
      <c r="J454">
        <v>6000</v>
      </c>
      <c r="K454">
        <v>1</v>
      </c>
      <c r="L454">
        <v>0</v>
      </c>
      <c r="M454">
        <v>1</v>
      </c>
      <c r="N454"/>
      <c r="O454" t="s">
        <v>3544</v>
      </c>
      <c r="P454" s="33">
        <v>0.45</v>
      </c>
      <c r="Q454">
        <v>2700</v>
      </c>
      <c r="R454" t="s">
        <v>124</v>
      </c>
      <c r="S454">
        <v>0</v>
      </c>
      <c r="T454"/>
      <c r="U454" s="10"/>
      <c r="V454"/>
      <c r="W454"/>
      <c r="X454" s="10"/>
      <c r="Y454"/>
      <c r="Z454" s="10"/>
      <c r="AA454"/>
      <c r="AB454"/>
      <c r="AC454"/>
      <c r="AD454"/>
    </row>
    <row r="455" spans="1:30" x14ac:dyDescent="0.4">
      <c r="A455" t="s">
        <v>4697</v>
      </c>
      <c r="B455">
        <v>20180119</v>
      </c>
      <c r="C455">
        <v>8809323734157</v>
      </c>
      <c r="D455" t="s">
        <v>4698</v>
      </c>
      <c r="E455" t="s">
        <v>4699</v>
      </c>
      <c r="F455" t="s">
        <v>123</v>
      </c>
      <c r="G455" t="s">
        <v>4700</v>
      </c>
      <c r="H455">
        <v>0</v>
      </c>
      <c r="I455" t="s">
        <v>379</v>
      </c>
      <c r="J455">
        <v>2500</v>
      </c>
      <c r="K455" s="34">
        <v>12</v>
      </c>
      <c r="L455">
        <v>0</v>
      </c>
      <c r="M455">
        <v>12</v>
      </c>
      <c r="N455"/>
      <c r="O455" t="s">
        <v>3544</v>
      </c>
      <c r="P455" s="33">
        <v>0.45</v>
      </c>
      <c r="Q455">
        <v>1125</v>
      </c>
      <c r="R455" t="s">
        <v>124</v>
      </c>
      <c r="S455">
        <v>0</v>
      </c>
      <c r="T455"/>
      <c r="U455" s="10"/>
      <c r="V455"/>
      <c r="W455"/>
      <c r="X455" s="10"/>
      <c r="Y455"/>
      <c r="Z455" s="10"/>
      <c r="AA455"/>
      <c r="AB455"/>
      <c r="AC455"/>
      <c r="AD455"/>
    </row>
    <row r="456" spans="1:30" x14ac:dyDescent="0.4">
      <c r="A456" t="s">
        <v>4701</v>
      </c>
      <c r="B456">
        <v>20180119</v>
      </c>
      <c r="C456">
        <v>8809241888888</v>
      </c>
      <c r="D456" t="s">
        <v>4702</v>
      </c>
      <c r="E456" t="s">
        <v>4703</v>
      </c>
      <c r="F456" t="s">
        <v>123</v>
      </c>
      <c r="G456" t="s">
        <v>4704</v>
      </c>
      <c r="H456">
        <v>0</v>
      </c>
      <c r="I456" t="s">
        <v>379</v>
      </c>
      <c r="J456">
        <v>7000</v>
      </c>
      <c r="K456">
        <v>3</v>
      </c>
      <c r="L456">
        <v>0</v>
      </c>
      <c r="M456">
        <v>3</v>
      </c>
      <c r="N456"/>
      <c r="O456" t="s">
        <v>3544</v>
      </c>
      <c r="P456" s="33">
        <v>0.45</v>
      </c>
      <c r="Q456">
        <v>3150</v>
      </c>
      <c r="R456" t="s">
        <v>124</v>
      </c>
      <c r="S456">
        <v>0</v>
      </c>
      <c r="T456"/>
      <c r="U456" s="10"/>
      <c r="V456"/>
      <c r="W456"/>
      <c r="X456" s="10"/>
      <c r="Y456"/>
      <c r="Z456" s="10"/>
      <c r="AA456"/>
      <c r="AB456"/>
      <c r="AC456"/>
      <c r="AD456"/>
    </row>
    <row r="457" spans="1:30" x14ac:dyDescent="0.4">
      <c r="A457" t="s">
        <v>4705</v>
      </c>
      <c r="B457">
        <v>20180119</v>
      </c>
      <c r="C457">
        <v>8809323731637</v>
      </c>
      <c r="D457" t="s">
        <v>4706</v>
      </c>
      <c r="E457" t="s">
        <v>4707</v>
      </c>
      <c r="F457" t="s">
        <v>123</v>
      </c>
      <c r="G457" t="s">
        <v>4708</v>
      </c>
      <c r="H457">
        <v>0</v>
      </c>
      <c r="I457" t="s">
        <v>379</v>
      </c>
      <c r="J457">
        <v>14800</v>
      </c>
      <c r="K457" s="34">
        <v>30</v>
      </c>
      <c r="L457">
        <v>0</v>
      </c>
      <c r="M457">
        <v>30</v>
      </c>
      <c r="N457"/>
      <c r="O457" t="s">
        <v>3544</v>
      </c>
      <c r="P457" s="33">
        <v>0.45</v>
      </c>
      <c r="Q457">
        <v>6660</v>
      </c>
      <c r="R457" t="s">
        <v>124</v>
      </c>
      <c r="S457">
        <v>0</v>
      </c>
      <c r="T457"/>
      <c r="U457" s="10"/>
      <c r="V457"/>
      <c r="W457"/>
      <c r="X457" s="10"/>
      <c r="Y457"/>
      <c r="Z457" s="10"/>
      <c r="AA457"/>
      <c r="AB457"/>
      <c r="AC457"/>
      <c r="AD457"/>
    </row>
    <row r="458" spans="1:30" x14ac:dyDescent="0.4">
      <c r="A458" t="s">
        <v>4709</v>
      </c>
      <c r="B458">
        <v>20180119</v>
      </c>
      <c r="C458">
        <v>8809454021911</v>
      </c>
      <c r="D458" t="s">
        <v>3290</v>
      </c>
      <c r="E458" t="s">
        <v>4710</v>
      </c>
      <c r="F458" t="s">
        <v>123</v>
      </c>
      <c r="G458" t="s">
        <v>3291</v>
      </c>
      <c r="H458">
        <v>0</v>
      </c>
      <c r="I458" t="s">
        <v>379</v>
      </c>
      <c r="J458">
        <v>1000</v>
      </c>
      <c r="K458" s="34">
        <v>10</v>
      </c>
      <c r="L458">
        <v>7</v>
      </c>
      <c r="M458">
        <v>3</v>
      </c>
      <c r="N458"/>
      <c r="O458" t="s">
        <v>3544</v>
      </c>
      <c r="P458" s="33">
        <v>0.45</v>
      </c>
      <c r="Q458">
        <v>450</v>
      </c>
      <c r="R458" t="s">
        <v>124</v>
      </c>
      <c r="S458">
        <v>7</v>
      </c>
      <c r="T458"/>
      <c r="U458" s="10">
        <v>43117</v>
      </c>
      <c r="V458" t="s">
        <v>3289</v>
      </c>
      <c r="W458">
        <v>3</v>
      </c>
      <c r="X458" s="10">
        <v>43118</v>
      </c>
      <c r="Y458"/>
      <c r="Z458" s="10"/>
      <c r="AA458"/>
      <c r="AB458"/>
      <c r="AC458"/>
      <c r="AD458"/>
    </row>
    <row r="459" spans="1:30" x14ac:dyDescent="0.4">
      <c r="A459" t="s">
        <v>4711</v>
      </c>
      <c r="B459">
        <v>20180119</v>
      </c>
      <c r="C459">
        <v>8809454029399</v>
      </c>
      <c r="D459" t="s">
        <v>4712</v>
      </c>
      <c r="E459"/>
      <c r="F459" t="s">
        <v>123</v>
      </c>
      <c r="G459" t="s">
        <v>4713</v>
      </c>
      <c r="H459">
        <v>0</v>
      </c>
      <c r="I459" t="s">
        <v>379</v>
      </c>
      <c r="J459">
        <v>22000</v>
      </c>
      <c r="K459">
        <v>1</v>
      </c>
      <c r="L459">
        <v>0</v>
      </c>
      <c r="M459">
        <v>1</v>
      </c>
      <c r="N459"/>
      <c r="O459" t="s">
        <v>3544</v>
      </c>
      <c r="P459" s="33">
        <v>0.45</v>
      </c>
      <c r="Q459">
        <v>9900</v>
      </c>
      <c r="R459" t="s">
        <v>124</v>
      </c>
      <c r="S459">
        <v>0</v>
      </c>
      <c r="T459"/>
      <c r="U459" s="10"/>
      <c r="V459"/>
      <c r="W459"/>
      <c r="X459" s="10"/>
      <c r="Y459"/>
      <c r="Z459" s="10"/>
      <c r="AA459"/>
      <c r="AB459"/>
      <c r="AC459"/>
      <c r="AD459"/>
    </row>
    <row r="460" spans="1:30" x14ac:dyDescent="0.4">
      <c r="A460" t="s">
        <v>4714</v>
      </c>
      <c r="B460">
        <v>20180119</v>
      </c>
      <c r="C460">
        <v>8809323732191</v>
      </c>
      <c r="D460" t="s">
        <v>4715</v>
      </c>
      <c r="E460" t="s">
        <v>1588</v>
      </c>
      <c r="F460" t="s">
        <v>123</v>
      </c>
      <c r="G460" t="s">
        <v>4716</v>
      </c>
      <c r="H460">
        <v>0</v>
      </c>
      <c r="I460" t="s">
        <v>379</v>
      </c>
      <c r="J460">
        <v>19000</v>
      </c>
      <c r="K460">
        <v>1</v>
      </c>
      <c r="L460">
        <v>0</v>
      </c>
      <c r="M460">
        <v>1</v>
      </c>
      <c r="N460"/>
      <c r="O460" t="s">
        <v>3544</v>
      </c>
      <c r="P460" s="33">
        <v>0.45</v>
      </c>
      <c r="Q460">
        <v>8550</v>
      </c>
      <c r="R460" t="s">
        <v>124</v>
      </c>
      <c r="S460">
        <v>0</v>
      </c>
      <c r="T460"/>
      <c r="U460" s="10"/>
      <c r="V460"/>
      <c r="W460"/>
      <c r="X460" s="10"/>
      <c r="Y460"/>
      <c r="Z460" s="10"/>
      <c r="AA460"/>
      <c r="AB460"/>
      <c r="AC460"/>
      <c r="AD460"/>
    </row>
    <row r="461" spans="1:30" x14ac:dyDescent="0.4">
      <c r="A461" t="s">
        <v>4717</v>
      </c>
      <c r="B461">
        <v>20180119</v>
      </c>
      <c r="C461">
        <v>8809241887911</v>
      </c>
      <c r="D461" t="s">
        <v>4718</v>
      </c>
      <c r="E461" t="s">
        <v>4719</v>
      </c>
      <c r="F461" t="s">
        <v>123</v>
      </c>
      <c r="G461" t="s">
        <v>4720</v>
      </c>
      <c r="H461">
        <v>1</v>
      </c>
      <c r="I461" t="s">
        <v>379</v>
      </c>
      <c r="J461">
        <v>14000</v>
      </c>
      <c r="K461">
        <v>2</v>
      </c>
      <c r="L461">
        <v>0</v>
      </c>
      <c r="M461">
        <v>2</v>
      </c>
      <c r="N461"/>
      <c r="O461" s="35" t="s">
        <v>3550</v>
      </c>
      <c r="P461" s="33">
        <v>0.45</v>
      </c>
      <c r="Q461">
        <v>6300</v>
      </c>
      <c r="R461" t="s">
        <v>124</v>
      </c>
      <c r="S461">
        <v>0</v>
      </c>
      <c r="T461"/>
      <c r="U461" s="10"/>
      <c r="V461"/>
      <c r="W461"/>
      <c r="X461" s="10"/>
      <c r="Y461"/>
      <c r="Z461" s="10"/>
      <c r="AA461"/>
      <c r="AB461"/>
      <c r="AC461"/>
      <c r="AD461"/>
    </row>
    <row r="462" spans="1:30" x14ac:dyDescent="0.4">
      <c r="A462" t="s">
        <v>4721</v>
      </c>
      <c r="B462">
        <v>20180119</v>
      </c>
      <c r="C462">
        <v>8809194388114</v>
      </c>
      <c r="D462" t="s">
        <v>4722</v>
      </c>
      <c r="E462" t="s">
        <v>2419</v>
      </c>
      <c r="F462" t="s">
        <v>123</v>
      </c>
      <c r="G462" t="s">
        <v>4723</v>
      </c>
      <c r="H462">
        <v>2</v>
      </c>
      <c r="I462" t="s">
        <v>379</v>
      </c>
      <c r="J462">
        <v>12000</v>
      </c>
      <c r="K462">
        <v>2</v>
      </c>
      <c r="L462">
        <v>1</v>
      </c>
      <c r="M462">
        <v>1</v>
      </c>
      <c r="N462"/>
      <c r="O462" s="35" t="s">
        <v>3550</v>
      </c>
      <c r="P462" s="33">
        <v>0.45</v>
      </c>
      <c r="Q462">
        <v>5400</v>
      </c>
      <c r="R462" t="s">
        <v>124</v>
      </c>
      <c r="S462">
        <v>1</v>
      </c>
      <c r="T462"/>
      <c r="U462" s="10"/>
      <c r="V462"/>
      <c r="W462"/>
      <c r="X462" s="10"/>
      <c r="Y462"/>
      <c r="Z462" s="10"/>
      <c r="AA462"/>
      <c r="AB462"/>
      <c r="AC462"/>
      <c r="AD462"/>
    </row>
    <row r="463" spans="1:30" x14ac:dyDescent="0.4">
      <c r="A463" t="s">
        <v>4724</v>
      </c>
      <c r="B463">
        <v>20180119</v>
      </c>
      <c r="C463">
        <v>8809194380774</v>
      </c>
      <c r="D463" t="s">
        <v>4725</v>
      </c>
      <c r="E463" t="s">
        <v>4726</v>
      </c>
      <c r="F463" t="s">
        <v>123</v>
      </c>
      <c r="G463" t="s">
        <v>4727</v>
      </c>
      <c r="H463">
        <v>3</v>
      </c>
      <c r="I463" t="s">
        <v>379</v>
      </c>
      <c r="J463">
        <v>12000</v>
      </c>
      <c r="K463">
        <v>1</v>
      </c>
      <c r="L463">
        <v>0</v>
      </c>
      <c r="M463">
        <v>1</v>
      </c>
      <c r="N463"/>
      <c r="O463" s="35" t="s">
        <v>3550</v>
      </c>
      <c r="P463" s="33">
        <v>0.45</v>
      </c>
      <c r="Q463">
        <v>5400</v>
      </c>
      <c r="R463" t="s">
        <v>124</v>
      </c>
      <c r="S463">
        <v>0</v>
      </c>
      <c r="T463"/>
      <c r="U463" s="10"/>
      <c r="V463"/>
      <c r="W463"/>
      <c r="X463" s="10"/>
      <c r="Y463"/>
      <c r="Z463" s="10"/>
      <c r="AA463"/>
      <c r="AB463"/>
      <c r="AC463"/>
      <c r="AD463"/>
    </row>
    <row r="464" spans="1:30" x14ac:dyDescent="0.4">
      <c r="A464" t="s">
        <v>4728</v>
      </c>
      <c r="B464">
        <v>20180119</v>
      </c>
      <c r="C464">
        <v>8809241884767</v>
      </c>
      <c r="D464" t="s">
        <v>4729</v>
      </c>
      <c r="E464" t="s">
        <v>1176</v>
      </c>
      <c r="F464" t="s">
        <v>123</v>
      </c>
      <c r="G464" t="s">
        <v>4730</v>
      </c>
      <c r="H464">
        <v>0</v>
      </c>
      <c r="I464" t="s">
        <v>379</v>
      </c>
      <c r="J464">
        <v>22000</v>
      </c>
      <c r="K464">
        <v>1</v>
      </c>
      <c r="L464">
        <v>0</v>
      </c>
      <c r="M464">
        <v>1</v>
      </c>
      <c r="N464"/>
      <c r="O464" s="35" t="s">
        <v>3550</v>
      </c>
      <c r="P464" s="33">
        <v>0.45</v>
      </c>
      <c r="Q464">
        <v>9900</v>
      </c>
      <c r="R464" t="s">
        <v>124</v>
      </c>
      <c r="S464">
        <v>0</v>
      </c>
      <c r="T464"/>
      <c r="U464" s="10"/>
      <c r="V464"/>
      <c r="W464"/>
      <c r="X464" s="10"/>
      <c r="Y464"/>
      <c r="Z464" s="10"/>
      <c r="AA464"/>
      <c r="AB464"/>
      <c r="AC464"/>
      <c r="AD464"/>
    </row>
    <row r="465" spans="1:30" x14ac:dyDescent="0.4">
      <c r="A465" t="s">
        <v>4731</v>
      </c>
      <c r="B465">
        <v>20180119</v>
      </c>
      <c r="C465">
        <v>8809323730760</v>
      </c>
      <c r="D465" t="s">
        <v>4732</v>
      </c>
      <c r="E465" t="s">
        <v>4733</v>
      </c>
      <c r="F465" t="s">
        <v>123</v>
      </c>
      <c r="G465" t="s">
        <v>4734</v>
      </c>
      <c r="H465">
        <v>1</v>
      </c>
      <c r="I465" t="s">
        <v>379</v>
      </c>
      <c r="J465">
        <v>65000</v>
      </c>
      <c r="K465">
        <v>5</v>
      </c>
      <c r="L465">
        <v>3</v>
      </c>
      <c r="M465">
        <v>2</v>
      </c>
      <c r="N465"/>
      <c r="O465" s="35" t="s">
        <v>3550</v>
      </c>
      <c r="P465" s="33">
        <v>0.45</v>
      </c>
      <c r="Q465">
        <v>29250</v>
      </c>
      <c r="R465" t="s">
        <v>124</v>
      </c>
      <c r="S465">
        <v>3</v>
      </c>
      <c r="T465"/>
      <c r="U465" s="10"/>
      <c r="V465"/>
      <c r="W465"/>
      <c r="X465" s="10"/>
      <c r="Y465"/>
      <c r="Z465" s="10"/>
      <c r="AA465"/>
      <c r="AB465"/>
      <c r="AC465"/>
      <c r="AD465"/>
    </row>
    <row r="466" spans="1:30" x14ac:dyDescent="0.4">
      <c r="A466" t="s">
        <v>4735</v>
      </c>
      <c r="B466">
        <v>20180119</v>
      </c>
      <c r="C466">
        <v>8809454024721</v>
      </c>
      <c r="D466" t="s">
        <v>4736</v>
      </c>
      <c r="E466" t="s">
        <v>4737</v>
      </c>
      <c r="F466" t="s">
        <v>123</v>
      </c>
      <c r="G466" t="s">
        <v>4738</v>
      </c>
      <c r="H466">
        <v>3</v>
      </c>
      <c r="I466" t="s">
        <v>379</v>
      </c>
      <c r="J466">
        <v>2500</v>
      </c>
      <c r="K466">
        <v>8</v>
      </c>
      <c r="L466">
        <v>0</v>
      </c>
      <c r="M466">
        <v>8</v>
      </c>
      <c r="N466"/>
      <c r="O466" s="35" t="s">
        <v>3550</v>
      </c>
      <c r="P466" s="33">
        <v>0.45</v>
      </c>
      <c r="Q466">
        <v>1125</v>
      </c>
      <c r="R466" t="s">
        <v>124</v>
      </c>
      <c r="S466">
        <v>0</v>
      </c>
      <c r="T466"/>
      <c r="U466" s="10"/>
      <c r="V466"/>
      <c r="W466"/>
      <c r="X466" s="10"/>
      <c r="Y466"/>
      <c r="Z466" s="10"/>
      <c r="AA466"/>
      <c r="AB466"/>
      <c r="AC466"/>
      <c r="AD466"/>
    </row>
    <row r="467" spans="1:30" x14ac:dyDescent="0.4">
      <c r="A467" t="s">
        <v>4739</v>
      </c>
      <c r="B467">
        <v>20180119</v>
      </c>
      <c r="C467">
        <v>8809241887744</v>
      </c>
      <c r="D467" t="s">
        <v>4740</v>
      </c>
      <c r="E467" t="s">
        <v>4741</v>
      </c>
      <c r="F467" t="s">
        <v>123</v>
      </c>
      <c r="G467" t="s">
        <v>4742</v>
      </c>
      <c r="H467">
        <v>0</v>
      </c>
      <c r="I467" t="s">
        <v>379</v>
      </c>
      <c r="J467">
        <v>3300</v>
      </c>
      <c r="K467">
        <v>2</v>
      </c>
      <c r="L467">
        <v>1</v>
      </c>
      <c r="M467">
        <v>1</v>
      </c>
      <c r="N467"/>
      <c r="O467" t="s">
        <v>3544</v>
      </c>
      <c r="P467" s="33">
        <v>0.45</v>
      </c>
      <c r="Q467">
        <v>1485</v>
      </c>
      <c r="R467" t="s">
        <v>124</v>
      </c>
      <c r="S467">
        <v>1</v>
      </c>
      <c r="T467"/>
      <c r="U467" s="10"/>
      <c r="V467"/>
      <c r="W467"/>
      <c r="X467" s="10"/>
      <c r="Y467"/>
      <c r="Z467" s="10"/>
      <c r="AA467"/>
      <c r="AB467"/>
      <c r="AC467"/>
      <c r="AD467"/>
    </row>
    <row r="468" spans="1:30" x14ac:dyDescent="0.4">
      <c r="A468" t="s">
        <v>4743</v>
      </c>
      <c r="B468">
        <v>20180119</v>
      </c>
      <c r="C468">
        <v>8809416470870</v>
      </c>
      <c r="D468" t="s">
        <v>4744</v>
      </c>
      <c r="E468" t="s">
        <v>518</v>
      </c>
      <c r="F468" t="s">
        <v>158</v>
      </c>
      <c r="G468" t="s">
        <v>4745</v>
      </c>
      <c r="H468">
        <v>0</v>
      </c>
      <c r="I468" t="s">
        <v>379</v>
      </c>
      <c r="J468">
        <v>23000</v>
      </c>
      <c r="K468">
        <v>4</v>
      </c>
      <c r="L468">
        <v>3</v>
      </c>
      <c r="M468">
        <v>1</v>
      </c>
      <c r="N468"/>
      <c r="O468" t="s">
        <v>3544</v>
      </c>
      <c r="P468" s="33" t="s">
        <v>3567</v>
      </c>
      <c r="Q468" s="37">
        <v>12650</v>
      </c>
      <c r="R468" t="s">
        <v>261</v>
      </c>
      <c r="S468">
        <v>3</v>
      </c>
      <c r="T468"/>
      <c r="U468" s="10"/>
      <c r="V468"/>
      <c r="W468"/>
      <c r="X468" s="10"/>
      <c r="Y468"/>
      <c r="Z468" s="10"/>
      <c r="AA468"/>
      <c r="AB468"/>
      <c r="AC468"/>
      <c r="AD468"/>
    </row>
    <row r="469" spans="1:30" x14ac:dyDescent="0.4">
      <c r="A469" t="s">
        <v>4746</v>
      </c>
      <c r="B469">
        <v>20180119</v>
      </c>
      <c r="C469" s="36">
        <v>16938320000</v>
      </c>
      <c r="D469" t="s">
        <v>2991</v>
      </c>
      <c r="E469"/>
      <c r="F469" t="s">
        <v>158</v>
      </c>
      <c r="G469" t="s">
        <v>2992</v>
      </c>
      <c r="H469">
        <v>0</v>
      </c>
      <c r="I469" t="s">
        <v>379</v>
      </c>
      <c r="J469">
        <v>13000</v>
      </c>
      <c r="K469">
        <v>1</v>
      </c>
      <c r="L469">
        <v>0</v>
      </c>
      <c r="M469">
        <v>1</v>
      </c>
      <c r="N469"/>
      <c r="O469" t="s">
        <v>3544</v>
      </c>
      <c r="P469" s="33" t="s">
        <v>3567</v>
      </c>
      <c r="Q469" s="37">
        <v>7150</v>
      </c>
      <c r="R469" t="s">
        <v>261</v>
      </c>
      <c r="S469">
        <v>0</v>
      </c>
      <c r="T469">
        <v>0</v>
      </c>
      <c r="U469" s="10">
        <v>43118</v>
      </c>
      <c r="V469" t="s">
        <v>3797</v>
      </c>
      <c r="W469">
        <v>1</v>
      </c>
      <c r="X469" s="10">
        <v>43119</v>
      </c>
      <c r="Y469"/>
      <c r="Z469" s="10"/>
      <c r="AA469"/>
      <c r="AB469"/>
      <c r="AC469"/>
      <c r="AD469"/>
    </row>
    <row r="470" spans="1:30" x14ac:dyDescent="0.4">
      <c r="A470" t="s">
        <v>4747</v>
      </c>
      <c r="B470">
        <v>20180119</v>
      </c>
      <c r="C470">
        <v>8809115025012</v>
      </c>
      <c r="D470" t="s">
        <v>3238</v>
      </c>
      <c r="E470" t="s">
        <v>4748</v>
      </c>
      <c r="F470" t="s">
        <v>4749</v>
      </c>
      <c r="G470" t="s">
        <v>3239</v>
      </c>
      <c r="H470">
        <v>2</v>
      </c>
      <c r="I470" t="s">
        <v>379</v>
      </c>
      <c r="J470">
        <v>12900</v>
      </c>
      <c r="K470" s="34">
        <v>13</v>
      </c>
      <c r="L470">
        <v>3</v>
      </c>
      <c r="M470">
        <v>5</v>
      </c>
      <c r="N470"/>
      <c r="O470" t="s">
        <v>3544</v>
      </c>
      <c r="P470" s="33">
        <v>1</v>
      </c>
      <c r="Q470">
        <v>12900</v>
      </c>
      <c r="R470" t="s">
        <v>4749</v>
      </c>
      <c r="S470">
        <v>8</v>
      </c>
      <c r="T470">
        <v>5</v>
      </c>
      <c r="U470" s="10">
        <v>43118</v>
      </c>
      <c r="V470" t="s">
        <v>3797</v>
      </c>
      <c r="W470">
        <v>1</v>
      </c>
      <c r="X470" s="10">
        <v>43119</v>
      </c>
      <c r="Y470"/>
      <c r="Z470" s="10"/>
      <c r="AA470"/>
      <c r="AB470"/>
      <c r="AC470"/>
      <c r="AD470"/>
    </row>
    <row r="471" spans="1:30" x14ac:dyDescent="0.4">
      <c r="A471" t="s">
        <v>4750</v>
      </c>
      <c r="B471">
        <v>20180119</v>
      </c>
      <c r="C471">
        <v>8809526218980</v>
      </c>
      <c r="D471" t="s">
        <v>4751</v>
      </c>
      <c r="E471" t="s">
        <v>4752</v>
      </c>
      <c r="F471" t="s">
        <v>171</v>
      </c>
      <c r="G471" t="s">
        <v>4753</v>
      </c>
      <c r="H471">
        <v>0</v>
      </c>
      <c r="I471" t="s">
        <v>379</v>
      </c>
      <c r="J471">
        <v>16000</v>
      </c>
      <c r="K471">
        <v>1</v>
      </c>
      <c r="L471">
        <v>0</v>
      </c>
      <c r="M471">
        <v>1</v>
      </c>
      <c r="N471"/>
      <c r="O471" t="s">
        <v>3544</v>
      </c>
      <c r="P471" s="33">
        <v>0.6</v>
      </c>
      <c r="Q471">
        <v>9600</v>
      </c>
      <c r="R471" t="s">
        <v>172</v>
      </c>
      <c r="S471">
        <v>0</v>
      </c>
      <c r="T471"/>
      <c r="U471" s="10"/>
      <c r="V471"/>
      <c r="W471"/>
      <c r="X471" s="10"/>
      <c r="Y471"/>
      <c r="Z471" s="10"/>
      <c r="AA471"/>
      <c r="AB471"/>
      <c r="AC471"/>
      <c r="AD471"/>
    </row>
    <row r="472" spans="1:30" x14ac:dyDescent="0.4">
      <c r="A472" t="s">
        <v>4754</v>
      </c>
      <c r="B472">
        <v>20180119</v>
      </c>
      <c r="C472">
        <v>8809526210250</v>
      </c>
      <c r="D472" t="s">
        <v>3164</v>
      </c>
      <c r="E472" t="s">
        <v>4755</v>
      </c>
      <c r="F472" t="s">
        <v>171</v>
      </c>
      <c r="G472" t="s">
        <v>3165</v>
      </c>
      <c r="H472">
        <v>0</v>
      </c>
      <c r="I472" t="s">
        <v>379</v>
      </c>
      <c r="J472">
        <v>16000</v>
      </c>
      <c r="K472">
        <v>1</v>
      </c>
      <c r="L472">
        <v>0</v>
      </c>
      <c r="M472">
        <v>0</v>
      </c>
      <c r="N472"/>
      <c r="O472" t="s">
        <v>3544</v>
      </c>
      <c r="P472" s="33">
        <v>0.6</v>
      </c>
      <c r="Q472">
        <v>9600</v>
      </c>
      <c r="R472" t="s">
        <v>172</v>
      </c>
      <c r="S472">
        <v>1</v>
      </c>
      <c r="T472">
        <v>1</v>
      </c>
      <c r="U472"/>
      <c r="V472"/>
      <c r="W472"/>
      <c r="X472"/>
      <c r="Y472"/>
      <c r="Z472"/>
      <c r="AA472"/>
      <c r="AB472"/>
      <c r="AC472"/>
      <c r="AD472"/>
    </row>
    <row r="473" spans="1:30" x14ac:dyDescent="0.4">
      <c r="A473" t="s">
        <v>4756</v>
      </c>
      <c r="B473">
        <v>20180119</v>
      </c>
      <c r="C473">
        <v>8809526210052</v>
      </c>
      <c r="D473" t="s">
        <v>3166</v>
      </c>
      <c r="E473" t="s">
        <v>4757</v>
      </c>
      <c r="F473" t="s">
        <v>171</v>
      </c>
      <c r="G473" t="s">
        <v>3167</v>
      </c>
      <c r="H473">
        <v>0</v>
      </c>
      <c r="I473" t="s">
        <v>379</v>
      </c>
      <c r="J473">
        <v>13000</v>
      </c>
      <c r="K473">
        <v>1</v>
      </c>
      <c r="L473">
        <v>0</v>
      </c>
      <c r="M473">
        <v>0</v>
      </c>
      <c r="N473"/>
      <c r="O473" t="s">
        <v>3544</v>
      </c>
      <c r="P473" s="33">
        <v>0.6</v>
      </c>
      <c r="Q473">
        <v>7800</v>
      </c>
      <c r="R473" t="s">
        <v>172</v>
      </c>
      <c r="S473">
        <v>1</v>
      </c>
      <c r="T473">
        <v>1</v>
      </c>
      <c r="U473"/>
      <c r="V473"/>
      <c r="W473"/>
      <c r="X473"/>
      <c r="Y473"/>
      <c r="Z473"/>
      <c r="AA473"/>
      <c r="AB473"/>
      <c r="AC473"/>
      <c r="AD473"/>
    </row>
    <row r="474" spans="1:30" x14ac:dyDescent="0.4">
      <c r="A474" t="s">
        <v>4758</v>
      </c>
      <c r="B474">
        <v>20180119</v>
      </c>
      <c r="C474">
        <v>8809347978988</v>
      </c>
      <c r="D474" t="s">
        <v>3168</v>
      </c>
      <c r="E474"/>
      <c r="F474" t="s">
        <v>171</v>
      </c>
      <c r="G474" t="s">
        <v>3169</v>
      </c>
      <c r="H474">
        <v>0</v>
      </c>
      <c r="I474" t="s">
        <v>379</v>
      </c>
      <c r="J474">
        <v>32000</v>
      </c>
      <c r="K474">
        <v>1</v>
      </c>
      <c r="L474">
        <v>0</v>
      </c>
      <c r="M474">
        <v>0</v>
      </c>
      <c r="N474"/>
      <c r="O474" t="s">
        <v>3544</v>
      </c>
      <c r="P474" s="33">
        <v>0.6</v>
      </c>
      <c r="Q474">
        <v>19200</v>
      </c>
      <c r="R474" t="s">
        <v>172</v>
      </c>
      <c r="S474">
        <v>1</v>
      </c>
      <c r="T474">
        <v>1</v>
      </c>
      <c r="U474"/>
      <c r="V474"/>
      <c r="W474"/>
      <c r="X474"/>
      <c r="Y474"/>
      <c r="Z474"/>
      <c r="AA474"/>
      <c r="AB474"/>
      <c r="AC474"/>
      <c r="AD474"/>
    </row>
    <row r="475" spans="1:30" x14ac:dyDescent="0.4">
      <c r="A475" t="s">
        <v>4759</v>
      </c>
      <c r="B475">
        <v>20180119</v>
      </c>
      <c r="C475">
        <v>8806194007564</v>
      </c>
      <c r="D475" t="s">
        <v>4760</v>
      </c>
      <c r="E475" t="s">
        <v>4761</v>
      </c>
      <c r="F475" t="s">
        <v>135</v>
      </c>
      <c r="G475" t="s">
        <v>4762</v>
      </c>
      <c r="H475">
        <v>0</v>
      </c>
      <c r="I475" t="s">
        <v>379</v>
      </c>
      <c r="J475">
        <v>20000</v>
      </c>
      <c r="K475">
        <v>1</v>
      </c>
      <c r="L475">
        <v>0</v>
      </c>
      <c r="M475">
        <v>1</v>
      </c>
      <c r="N475"/>
      <c r="O475" t="s">
        <v>3544</v>
      </c>
      <c r="P475" s="33">
        <v>0.55000000000000004</v>
      </c>
      <c r="Q475">
        <v>11000</v>
      </c>
      <c r="R475" t="s">
        <v>136</v>
      </c>
      <c r="S475">
        <v>0</v>
      </c>
      <c r="T475"/>
      <c r="U475" s="10"/>
      <c r="V475"/>
      <c r="W475"/>
      <c r="X475" s="10"/>
      <c r="Y475"/>
      <c r="Z475" s="10"/>
      <c r="AA475"/>
      <c r="AB475"/>
      <c r="AC475"/>
      <c r="AD475"/>
    </row>
    <row r="476" spans="1:30" x14ac:dyDescent="0.4">
      <c r="A476" t="s">
        <v>4763</v>
      </c>
      <c r="B476">
        <v>20180119</v>
      </c>
      <c r="C476">
        <v>8806358513238</v>
      </c>
      <c r="D476" t="s">
        <v>3117</v>
      </c>
      <c r="E476" t="s">
        <v>4764</v>
      </c>
      <c r="F476" t="s">
        <v>135</v>
      </c>
      <c r="G476" t="s">
        <v>3118</v>
      </c>
      <c r="H476">
        <v>1</v>
      </c>
      <c r="I476" t="s">
        <v>379</v>
      </c>
      <c r="J476">
        <v>2500</v>
      </c>
      <c r="K476">
        <v>3</v>
      </c>
      <c r="L476">
        <v>0</v>
      </c>
      <c r="M476">
        <v>1</v>
      </c>
      <c r="N476"/>
      <c r="O476" s="35" t="s">
        <v>3550</v>
      </c>
      <c r="P476" s="33">
        <v>0.55000000000000004</v>
      </c>
      <c r="Q476">
        <v>1375</v>
      </c>
      <c r="R476" t="s">
        <v>136</v>
      </c>
      <c r="S476">
        <v>2</v>
      </c>
      <c r="T476">
        <v>2</v>
      </c>
      <c r="U476" s="10"/>
      <c r="V476"/>
      <c r="W476"/>
      <c r="X476" s="10"/>
      <c r="Y476"/>
      <c r="Z476" s="10"/>
      <c r="AA476"/>
      <c r="AB476"/>
      <c r="AC476"/>
      <c r="AD476"/>
    </row>
    <row r="477" spans="1:30" x14ac:dyDescent="0.4">
      <c r="A477" t="s">
        <v>4765</v>
      </c>
      <c r="B477">
        <v>20180119</v>
      </c>
      <c r="C477">
        <v>8806358513245</v>
      </c>
      <c r="D477" t="s">
        <v>4766</v>
      </c>
      <c r="E477" t="s">
        <v>4767</v>
      </c>
      <c r="F477" t="s">
        <v>135</v>
      </c>
      <c r="G477" t="s">
        <v>4768</v>
      </c>
      <c r="H477">
        <v>0</v>
      </c>
      <c r="I477" t="s">
        <v>379</v>
      </c>
      <c r="J477">
        <v>2500</v>
      </c>
      <c r="K477">
        <v>7</v>
      </c>
      <c r="L477">
        <v>0</v>
      </c>
      <c r="M477">
        <v>7</v>
      </c>
      <c r="N477"/>
      <c r="O477" s="35" t="s">
        <v>3550</v>
      </c>
      <c r="P477" s="33">
        <v>0.55000000000000004</v>
      </c>
      <c r="Q477">
        <v>1375</v>
      </c>
      <c r="R477" t="s">
        <v>136</v>
      </c>
      <c r="S477">
        <v>0</v>
      </c>
      <c r="T477"/>
      <c r="U477" s="10"/>
      <c r="V477"/>
      <c r="W477"/>
      <c r="X477" s="10"/>
      <c r="Y477"/>
      <c r="Z477" s="10"/>
      <c r="AA477"/>
      <c r="AB477"/>
      <c r="AC477"/>
      <c r="AD477"/>
    </row>
    <row r="478" spans="1:30" x14ac:dyDescent="0.4">
      <c r="A478" t="s">
        <v>4769</v>
      </c>
      <c r="B478">
        <v>20180119</v>
      </c>
      <c r="C478">
        <v>8806358558604</v>
      </c>
      <c r="D478" t="s">
        <v>3119</v>
      </c>
      <c r="E478" t="s">
        <v>1013</v>
      </c>
      <c r="F478" t="s">
        <v>135</v>
      </c>
      <c r="G478" t="s">
        <v>3120</v>
      </c>
      <c r="H478">
        <v>0</v>
      </c>
      <c r="I478" t="s">
        <v>379</v>
      </c>
      <c r="J478">
        <v>2000</v>
      </c>
      <c r="K478">
        <v>2</v>
      </c>
      <c r="L478">
        <v>0</v>
      </c>
      <c r="M478">
        <v>0</v>
      </c>
      <c r="N478"/>
      <c r="O478" t="s">
        <v>3544</v>
      </c>
      <c r="P478" s="33">
        <v>0.55000000000000004</v>
      </c>
      <c r="Q478">
        <v>1100</v>
      </c>
      <c r="R478" t="s">
        <v>136</v>
      </c>
      <c r="S478">
        <v>2</v>
      </c>
      <c r="T478">
        <v>2</v>
      </c>
      <c r="U478"/>
      <c r="V478"/>
      <c r="W478"/>
      <c r="X478"/>
      <c r="Y478"/>
      <c r="Z478"/>
      <c r="AA478"/>
      <c r="AB478"/>
      <c r="AC478"/>
      <c r="AD478"/>
    </row>
    <row r="479" spans="1:30" x14ac:dyDescent="0.4">
      <c r="A479" t="s">
        <v>4770</v>
      </c>
      <c r="B479">
        <v>20180119</v>
      </c>
      <c r="C479">
        <v>8806358558666</v>
      </c>
      <c r="D479" t="s">
        <v>3121</v>
      </c>
      <c r="E479" t="s">
        <v>4425</v>
      </c>
      <c r="F479" t="s">
        <v>135</v>
      </c>
      <c r="G479" t="s">
        <v>3122</v>
      </c>
      <c r="H479">
        <v>0</v>
      </c>
      <c r="I479" t="s">
        <v>379</v>
      </c>
      <c r="J479">
        <v>2000</v>
      </c>
      <c r="K479">
        <v>2</v>
      </c>
      <c r="L479">
        <v>0</v>
      </c>
      <c r="M479">
        <v>0</v>
      </c>
      <c r="N479"/>
      <c r="O479" t="s">
        <v>3544</v>
      </c>
      <c r="P479" s="33">
        <v>0.55000000000000004</v>
      </c>
      <c r="Q479">
        <v>1100</v>
      </c>
      <c r="R479" t="s">
        <v>136</v>
      </c>
      <c r="S479">
        <v>2</v>
      </c>
      <c r="T479">
        <v>2</v>
      </c>
      <c r="U479"/>
      <c r="V479"/>
      <c r="W479"/>
      <c r="X479"/>
      <c r="Y479"/>
      <c r="Z479"/>
      <c r="AA479"/>
      <c r="AB479"/>
      <c r="AC479"/>
      <c r="AD479"/>
    </row>
    <row r="480" spans="1:30" x14ac:dyDescent="0.4">
      <c r="A480" t="s">
        <v>4771</v>
      </c>
      <c r="B480">
        <v>20180119</v>
      </c>
      <c r="C480">
        <v>8806358564742</v>
      </c>
      <c r="D480" t="s">
        <v>4772</v>
      </c>
      <c r="E480" t="s">
        <v>4773</v>
      </c>
      <c r="F480" t="s">
        <v>135</v>
      </c>
      <c r="G480" t="s">
        <v>4774</v>
      </c>
      <c r="H480">
        <v>0</v>
      </c>
      <c r="I480" t="s">
        <v>379</v>
      </c>
      <c r="J480">
        <v>10800</v>
      </c>
      <c r="K480">
        <v>1</v>
      </c>
      <c r="L480">
        <v>0</v>
      </c>
      <c r="M480">
        <v>1</v>
      </c>
      <c r="N480"/>
      <c r="O480" t="s">
        <v>3544</v>
      </c>
      <c r="P480" s="33">
        <v>0.55000000000000004</v>
      </c>
      <c r="Q480">
        <v>5940</v>
      </c>
      <c r="R480" t="s">
        <v>136</v>
      </c>
      <c r="S480">
        <v>0</v>
      </c>
      <c r="T480"/>
      <c r="U480" s="10"/>
      <c r="V480"/>
      <c r="W480"/>
      <c r="X480" s="10"/>
      <c r="Y480"/>
      <c r="Z480" s="10"/>
      <c r="AA480"/>
      <c r="AB480"/>
      <c r="AC480"/>
      <c r="AD480"/>
    </row>
    <row r="481" spans="1:30" x14ac:dyDescent="0.4">
      <c r="A481" t="s">
        <v>4775</v>
      </c>
      <c r="B481">
        <v>20180119</v>
      </c>
      <c r="C481">
        <v>8806358567842</v>
      </c>
      <c r="D481" t="s">
        <v>3123</v>
      </c>
      <c r="E481" t="s">
        <v>4776</v>
      </c>
      <c r="F481" t="s">
        <v>135</v>
      </c>
      <c r="G481" t="s">
        <v>3124</v>
      </c>
      <c r="H481">
        <v>0</v>
      </c>
      <c r="I481" t="s">
        <v>379</v>
      </c>
      <c r="J481">
        <v>6800</v>
      </c>
      <c r="K481">
        <v>1</v>
      </c>
      <c r="L481">
        <v>0</v>
      </c>
      <c r="M481">
        <v>0</v>
      </c>
      <c r="N481"/>
      <c r="O481" t="s">
        <v>3544</v>
      </c>
      <c r="P481" s="33">
        <v>0.55000000000000004</v>
      </c>
      <c r="Q481">
        <v>3740</v>
      </c>
      <c r="R481" t="s">
        <v>136</v>
      </c>
      <c r="S481">
        <v>1</v>
      </c>
      <c r="T481">
        <v>1</v>
      </c>
      <c r="U481"/>
      <c r="V481"/>
      <c r="W481"/>
      <c r="X481"/>
      <c r="Y481"/>
      <c r="Z481"/>
      <c r="AA481"/>
      <c r="AB481"/>
      <c r="AC481"/>
      <c r="AD481"/>
    </row>
    <row r="482" spans="1:30" x14ac:dyDescent="0.4">
      <c r="A482" t="s">
        <v>4777</v>
      </c>
      <c r="B482">
        <v>20180119</v>
      </c>
      <c r="C482">
        <v>8806358563233</v>
      </c>
      <c r="D482" t="s">
        <v>3125</v>
      </c>
      <c r="E482" t="s">
        <v>984</v>
      </c>
      <c r="F482" t="s">
        <v>135</v>
      </c>
      <c r="G482" t="s">
        <v>3126</v>
      </c>
      <c r="H482">
        <v>0</v>
      </c>
      <c r="I482" t="s">
        <v>379</v>
      </c>
      <c r="J482">
        <v>8000</v>
      </c>
      <c r="K482">
        <v>1</v>
      </c>
      <c r="L482">
        <v>0</v>
      </c>
      <c r="M482">
        <v>0</v>
      </c>
      <c r="N482"/>
      <c r="O482" t="s">
        <v>3544</v>
      </c>
      <c r="P482" s="33">
        <v>0.55000000000000004</v>
      </c>
      <c r="Q482">
        <v>4400</v>
      </c>
      <c r="R482" t="s">
        <v>136</v>
      </c>
      <c r="S482">
        <v>1</v>
      </c>
      <c r="T482">
        <v>1</v>
      </c>
      <c r="U482"/>
      <c r="V482"/>
      <c r="W482"/>
      <c r="X482"/>
      <c r="Y482"/>
      <c r="Z482"/>
      <c r="AA482"/>
      <c r="AB482"/>
      <c r="AC482"/>
      <c r="AD482"/>
    </row>
    <row r="483" spans="1:30" x14ac:dyDescent="0.4">
      <c r="A483" t="s">
        <v>4778</v>
      </c>
      <c r="B483">
        <v>20180119</v>
      </c>
      <c r="C483">
        <v>8809414861182</v>
      </c>
      <c r="D483" t="s">
        <v>4779</v>
      </c>
      <c r="E483" t="s">
        <v>4780</v>
      </c>
      <c r="F483" t="s">
        <v>135</v>
      </c>
      <c r="G483" t="s">
        <v>4781</v>
      </c>
      <c r="H483">
        <v>0</v>
      </c>
      <c r="I483" t="s">
        <v>379</v>
      </c>
      <c r="J483">
        <v>3000</v>
      </c>
      <c r="K483">
        <v>1</v>
      </c>
      <c r="L483">
        <v>0</v>
      </c>
      <c r="M483">
        <v>1</v>
      </c>
      <c r="N483"/>
      <c r="O483" t="s">
        <v>3544</v>
      </c>
      <c r="P483" s="33">
        <v>0.55000000000000004</v>
      </c>
      <c r="Q483">
        <v>1650</v>
      </c>
      <c r="R483" t="s">
        <v>136</v>
      </c>
      <c r="S483">
        <v>0</v>
      </c>
      <c r="T483"/>
      <c r="U483" s="10"/>
      <c r="V483"/>
      <c r="W483"/>
      <c r="X483" s="10"/>
      <c r="Y483"/>
      <c r="Z483" s="10"/>
      <c r="AA483"/>
      <c r="AB483"/>
      <c r="AC483"/>
      <c r="AD483"/>
    </row>
    <row r="484" spans="1:30" x14ac:dyDescent="0.4">
      <c r="A484" t="s">
        <v>4782</v>
      </c>
      <c r="B484">
        <v>20180119</v>
      </c>
      <c r="C484">
        <v>8806358556402</v>
      </c>
      <c r="D484" t="s">
        <v>3127</v>
      </c>
      <c r="E484" t="s">
        <v>4783</v>
      </c>
      <c r="F484" t="s">
        <v>135</v>
      </c>
      <c r="G484" t="s">
        <v>3128</v>
      </c>
      <c r="H484">
        <v>2</v>
      </c>
      <c r="I484" t="s">
        <v>379</v>
      </c>
      <c r="J484">
        <v>12800</v>
      </c>
      <c r="K484">
        <v>5</v>
      </c>
      <c r="L484">
        <v>2</v>
      </c>
      <c r="M484">
        <v>1</v>
      </c>
      <c r="N484"/>
      <c r="O484" s="35" t="s">
        <v>3550</v>
      </c>
      <c r="P484" s="33">
        <v>0.55000000000000004</v>
      </c>
      <c r="Q484">
        <v>7040</v>
      </c>
      <c r="R484" t="s">
        <v>136</v>
      </c>
      <c r="S484">
        <v>4</v>
      </c>
      <c r="T484">
        <v>2</v>
      </c>
      <c r="U484" s="10"/>
      <c r="V484"/>
      <c r="W484"/>
      <c r="X484" s="10"/>
      <c r="Y484"/>
      <c r="Z484" s="10"/>
      <c r="AA484"/>
      <c r="AB484"/>
      <c r="AC484"/>
      <c r="AD484"/>
    </row>
    <row r="485" spans="1:30" x14ac:dyDescent="0.4">
      <c r="A485" t="s">
        <v>4784</v>
      </c>
      <c r="B485">
        <v>20180119</v>
      </c>
      <c r="C485">
        <v>8806194014401</v>
      </c>
      <c r="D485" t="s">
        <v>3129</v>
      </c>
      <c r="E485" t="s">
        <v>4785</v>
      </c>
      <c r="F485" t="s">
        <v>135</v>
      </c>
      <c r="G485" t="s">
        <v>3130</v>
      </c>
      <c r="H485">
        <v>0</v>
      </c>
      <c r="I485" t="s">
        <v>379</v>
      </c>
      <c r="J485">
        <v>12800</v>
      </c>
      <c r="K485">
        <v>1</v>
      </c>
      <c r="L485">
        <v>0</v>
      </c>
      <c r="M485">
        <v>0</v>
      </c>
      <c r="N485"/>
      <c r="O485" t="s">
        <v>3544</v>
      </c>
      <c r="P485" s="33">
        <v>0.55000000000000004</v>
      </c>
      <c r="Q485">
        <v>7040</v>
      </c>
      <c r="R485" t="s">
        <v>136</v>
      </c>
      <c r="S485">
        <v>1</v>
      </c>
      <c r="T485">
        <v>1</v>
      </c>
      <c r="U485"/>
      <c r="V485"/>
      <c r="W485"/>
      <c r="X485"/>
      <c r="Y485"/>
      <c r="Z485"/>
      <c r="AA485"/>
      <c r="AB485"/>
      <c r="AC485"/>
      <c r="AD485"/>
    </row>
    <row r="486" spans="1:30" x14ac:dyDescent="0.4">
      <c r="A486" t="s">
        <v>4786</v>
      </c>
      <c r="B486">
        <v>20180119</v>
      </c>
      <c r="C486">
        <v>8806358513481</v>
      </c>
      <c r="D486" t="s">
        <v>3131</v>
      </c>
      <c r="E486" t="s">
        <v>3684</v>
      </c>
      <c r="F486" t="s">
        <v>135</v>
      </c>
      <c r="G486" t="s">
        <v>3132</v>
      </c>
      <c r="H486">
        <v>0</v>
      </c>
      <c r="I486" t="s">
        <v>379</v>
      </c>
      <c r="J486">
        <v>9000</v>
      </c>
      <c r="K486">
        <v>1</v>
      </c>
      <c r="L486">
        <v>0</v>
      </c>
      <c r="M486">
        <v>0</v>
      </c>
      <c r="N486"/>
      <c r="O486" t="s">
        <v>3544</v>
      </c>
      <c r="P486" s="33">
        <v>0.55000000000000004</v>
      </c>
      <c r="Q486">
        <v>4950</v>
      </c>
      <c r="R486" t="s">
        <v>136</v>
      </c>
      <c r="S486">
        <v>1</v>
      </c>
      <c r="T486">
        <v>1</v>
      </c>
      <c r="U486"/>
      <c r="V486"/>
      <c r="W486"/>
      <c r="X486"/>
      <c r="Y486"/>
      <c r="Z486"/>
      <c r="AA486"/>
      <c r="AB486"/>
      <c r="AC486"/>
      <c r="AD486"/>
    </row>
    <row r="487" spans="1:30" x14ac:dyDescent="0.4">
      <c r="A487" t="s">
        <v>4787</v>
      </c>
      <c r="B487">
        <v>20180119</v>
      </c>
      <c r="C487">
        <v>8806358570552</v>
      </c>
      <c r="D487" t="s">
        <v>4788</v>
      </c>
      <c r="E487" t="s">
        <v>4789</v>
      </c>
      <c r="F487" t="s">
        <v>135</v>
      </c>
      <c r="G487" t="s">
        <v>4790</v>
      </c>
      <c r="H487">
        <v>0</v>
      </c>
      <c r="I487" t="s">
        <v>379</v>
      </c>
      <c r="J487">
        <v>9900</v>
      </c>
      <c r="K487">
        <v>1</v>
      </c>
      <c r="L487">
        <v>0</v>
      </c>
      <c r="M487">
        <v>1</v>
      </c>
      <c r="N487"/>
      <c r="O487" t="s">
        <v>3544</v>
      </c>
      <c r="P487" s="33">
        <v>0.55000000000000004</v>
      </c>
      <c r="Q487">
        <v>5445</v>
      </c>
      <c r="R487" t="s">
        <v>136</v>
      </c>
      <c r="S487">
        <v>0</v>
      </c>
      <c r="T487"/>
      <c r="U487" s="10"/>
      <c r="V487"/>
      <c r="W487"/>
      <c r="X487" s="10"/>
      <c r="Y487"/>
      <c r="Z487" s="10"/>
      <c r="AA487"/>
      <c r="AB487"/>
      <c r="AC487"/>
      <c r="AD487"/>
    </row>
    <row r="488" spans="1:30" x14ac:dyDescent="0.4">
      <c r="A488" t="s">
        <v>4791</v>
      </c>
      <c r="B488">
        <v>20180119</v>
      </c>
      <c r="C488">
        <v>8806358551421</v>
      </c>
      <c r="D488" t="s">
        <v>3133</v>
      </c>
      <c r="E488" t="s">
        <v>4792</v>
      </c>
      <c r="F488" t="s">
        <v>135</v>
      </c>
      <c r="G488" t="s">
        <v>3134</v>
      </c>
      <c r="H488">
        <v>0</v>
      </c>
      <c r="I488" t="s">
        <v>379</v>
      </c>
      <c r="J488">
        <v>7800</v>
      </c>
      <c r="K488">
        <v>1</v>
      </c>
      <c r="L488">
        <v>0</v>
      </c>
      <c r="M488">
        <v>0</v>
      </c>
      <c r="N488"/>
      <c r="O488" t="s">
        <v>3544</v>
      </c>
      <c r="P488" s="33">
        <v>0.55000000000000004</v>
      </c>
      <c r="Q488">
        <v>4290</v>
      </c>
      <c r="R488" t="s">
        <v>136</v>
      </c>
      <c r="S488">
        <v>1</v>
      </c>
      <c r="T488">
        <v>1</v>
      </c>
      <c r="U488"/>
      <c r="V488"/>
      <c r="W488"/>
      <c r="X488"/>
      <c r="Y488"/>
      <c r="Z488"/>
      <c r="AA488"/>
      <c r="AB488"/>
      <c r="AC488"/>
      <c r="AD488"/>
    </row>
    <row r="489" spans="1:30" x14ac:dyDescent="0.4">
      <c r="A489" t="s">
        <v>4793</v>
      </c>
      <c r="B489">
        <v>20180119</v>
      </c>
      <c r="C489">
        <v>8806358551445</v>
      </c>
      <c r="D489" t="s">
        <v>3135</v>
      </c>
      <c r="E489" t="s">
        <v>4794</v>
      </c>
      <c r="F489" t="s">
        <v>135</v>
      </c>
      <c r="G489" t="s">
        <v>3136</v>
      </c>
      <c r="H489">
        <v>0</v>
      </c>
      <c r="I489" t="s">
        <v>379</v>
      </c>
      <c r="J489">
        <v>7800</v>
      </c>
      <c r="K489">
        <v>1</v>
      </c>
      <c r="L489">
        <v>0</v>
      </c>
      <c r="M489">
        <v>0</v>
      </c>
      <c r="N489"/>
      <c r="O489" t="s">
        <v>3544</v>
      </c>
      <c r="P489" s="33">
        <v>0.55000000000000004</v>
      </c>
      <c r="Q489">
        <v>4290</v>
      </c>
      <c r="R489" t="s">
        <v>136</v>
      </c>
      <c r="S489">
        <v>1</v>
      </c>
      <c r="T489">
        <v>1</v>
      </c>
      <c r="U489"/>
      <c r="V489"/>
      <c r="W489"/>
      <c r="X489"/>
      <c r="Y489"/>
      <c r="Z489"/>
      <c r="AA489"/>
      <c r="AB489"/>
      <c r="AC489"/>
      <c r="AD489"/>
    </row>
    <row r="490" spans="1:30" x14ac:dyDescent="0.4">
      <c r="A490" t="s">
        <v>4795</v>
      </c>
      <c r="B490">
        <v>20180119</v>
      </c>
      <c r="C490">
        <v>8806194013053</v>
      </c>
      <c r="D490" t="s">
        <v>3137</v>
      </c>
      <c r="E490" t="s">
        <v>4796</v>
      </c>
      <c r="F490" t="s">
        <v>135</v>
      </c>
      <c r="G490" t="s">
        <v>3138</v>
      </c>
      <c r="H490">
        <v>0</v>
      </c>
      <c r="I490" t="s">
        <v>379</v>
      </c>
      <c r="J490">
        <v>10800</v>
      </c>
      <c r="K490" s="34">
        <v>10</v>
      </c>
      <c r="L490">
        <v>6</v>
      </c>
      <c r="M490">
        <v>0</v>
      </c>
      <c r="N490"/>
      <c r="O490" t="s">
        <v>3544</v>
      </c>
      <c r="P490" s="33">
        <v>0.55000000000000004</v>
      </c>
      <c r="Q490">
        <v>5940</v>
      </c>
      <c r="R490" t="s">
        <v>136</v>
      </c>
      <c r="S490">
        <v>10</v>
      </c>
      <c r="T490">
        <v>4</v>
      </c>
      <c r="U490"/>
      <c r="V490"/>
      <c r="W490"/>
      <c r="X490"/>
      <c r="Y490"/>
      <c r="Z490"/>
      <c r="AA490"/>
      <c r="AB490"/>
      <c r="AC490"/>
      <c r="AD490"/>
    </row>
    <row r="491" spans="1:30" x14ac:dyDescent="0.4">
      <c r="A491" t="s">
        <v>4797</v>
      </c>
      <c r="B491">
        <v>20180119</v>
      </c>
      <c r="C491">
        <v>8806358529635</v>
      </c>
      <c r="D491" t="s">
        <v>4798</v>
      </c>
      <c r="E491" t="s">
        <v>3786</v>
      </c>
      <c r="F491" t="s">
        <v>135</v>
      </c>
      <c r="G491" t="s">
        <v>4799</v>
      </c>
      <c r="H491">
        <v>1</v>
      </c>
      <c r="I491" t="s">
        <v>379</v>
      </c>
      <c r="J491">
        <v>5900</v>
      </c>
      <c r="K491">
        <v>1</v>
      </c>
      <c r="L491">
        <v>0</v>
      </c>
      <c r="M491">
        <v>1</v>
      </c>
      <c r="N491"/>
      <c r="O491" s="35" t="s">
        <v>3550</v>
      </c>
      <c r="P491" s="33">
        <v>0.55000000000000004</v>
      </c>
      <c r="Q491">
        <v>3245</v>
      </c>
      <c r="R491" t="s">
        <v>136</v>
      </c>
      <c r="S491">
        <v>0</v>
      </c>
      <c r="T491"/>
      <c r="U491" s="10"/>
      <c r="V491"/>
      <c r="W491"/>
      <c r="X491" s="10"/>
      <c r="Y491"/>
      <c r="Z491" s="10"/>
      <c r="AA491"/>
      <c r="AB491"/>
      <c r="AC491"/>
      <c r="AD491"/>
    </row>
    <row r="492" spans="1:30" x14ac:dyDescent="0.4">
      <c r="A492" t="s">
        <v>4800</v>
      </c>
      <c r="B492">
        <v>20180119</v>
      </c>
      <c r="C492">
        <v>8806358560997</v>
      </c>
      <c r="D492" t="s">
        <v>822</v>
      </c>
      <c r="E492" t="s">
        <v>832</v>
      </c>
      <c r="F492" t="s">
        <v>135</v>
      </c>
      <c r="G492" t="s">
        <v>823</v>
      </c>
      <c r="H492">
        <v>0</v>
      </c>
      <c r="I492" t="s">
        <v>379</v>
      </c>
      <c r="J492">
        <v>9800</v>
      </c>
      <c r="K492">
        <v>1</v>
      </c>
      <c r="L492">
        <v>0</v>
      </c>
      <c r="M492">
        <v>1</v>
      </c>
      <c r="N492"/>
      <c r="O492" t="s">
        <v>3544</v>
      </c>
      <c r="P492" s="33">
        <v>0.55000000000000004</v>
      </c>
      <c r="Q492">
        <v>5390</v>
      </c>
      <c r="R492" t="s">
        <v>136</v>
      </c>
      <c r="S492">
        <v>0</v>
      </c>
      <c r="T492"/>
      <c r="U492" s="10"/>
      <c r="V492"/>
      <c r="W492"/>
      <c r="X492" s="10"/>
      <c r="Y492"/>
      <c r="Z492" s="10"/>
      <c r="AA492"/>
      <c r="AB492"/>
      <c r="AC492"/>
      <c r="AD492"/>
    </row>
    <row r="493" spans="1:30" x14ac:dyDescent="0.4">
      <c r="A493" t="s">
        <v>4801</v>
      </c>
      <c r="B493">
        <v>20180119</v>
      </c>
      <c r="C493">
        <v>8806358561215</v>
      </c>
      <c r="D493" t="s">
        <v>2386</v>
      </c>
      <c r="E493" t="s">
        <v>1991</v>
      </c>
      <c r="F493" t="s">
        <v>135</v>
      </c>
      <c r="G493" t="s">
        <v>2388</v>
      </c>
      <c r="H493">
        <v>0</v>
      </c>
      <c r="I493" t="s">
        <v>379</v>
      </c>
      <c r="J493">
        <v>9800</v>
      </c>
      <c r="K493">
        <v>1</v>
      </c>
      <c r="L493">
        <v>0</v>
      </c>
      <c r="M493">
        <v>1</v>
      </c>
      <c r="N493"/>
      <c r="O493" t="s">
        <v>3544</v>
      </c>
      <c r="P493" s="33">
        <v>0.55000000000000004</v>
      </c>
      <c r="Q493">
        <v>5390</v>
      </c>
      <c r="R493" t="s">
        <v>136</v>
      </c>
      <c r="S493">
        <v>0</v>
      </c>
      <c r="T493"/>
      <c r="U493" s="10"/>
      <c r="V493"/>
      <c r="W493"/>
      <c r="X493" s="10"/>
      <c r="Y493"/>
      <c r="Z493" s="10"/>
      <c r="AA493"/>
      <c r="AB493"/>
      <c r="AC493"/>
      <c r="AD493"/>
    </row>
    <row r="494" spans="1:30" x14ac:dyDescent="0.4">
      <c r="A494" t="s">
        <v>4802</v>
      </c>
      <c r="B494">
        <v>20180119</v>
      </c>
      <c r="C494">
        <v>8806358517458</v>
      </c>
      <c r="D494" t="s">
        <v>811</v>
      </c>
      <c r="E494" t="s">
        <v>819</v>
      </c>
      <c r="F494" t="s">
        <v>135</v>
      </c>
      <c r="G494" t="s">
        <v>812</v>
      </c>
      <c r="H494">
        <v>2</v>
      </c>
      <c r="I494" t="s">
        <v>379</v>
      </c>
      <c r="J494">
        <v>6500</v>
      </c>
      <c r="K494">
        <v>2</v>
      </c>
      <c r="L494">
        <v>0</v>
      </c>
      <c r="M494">
        <v>2</v>
      </c>
      <c r="N494"/>
      <c r="O494" s="35" t="s">
        <v>3550</v>
      </c>
      <c r="P494" s="33">
        <v>0.55000000000000004</v>
      </c>
      <c r="Q494">
        <v>3575</v>
      </c>
      <c r="R494" t="s">
        <v>136</v>
      </c>
      <c r="S494">
        <v>0</v>
      </c>
      <c r="T494"/>
      <c r="U494" s="10"/>
      <c r="V494"/>
      <c r="W494"/>
      <c r="X494" s="10"/>
      <c r="Y494"/>
      <c r="Z494" s="10"/>
      <c r="AA494"/>
      <c r="AB494"/>
      <c r="AC494"/>
      <c r="AD494"/>
    </row>
    <row r="495" spans="1:30" x14ac:dyDescent="0.4">
      <c r="A495" t="s">
        <v>4803</v>
      </c>
      <c r="B495">
        <v>20180119</v>
      </c>
      <c r="C495">
        <v>8806358597252</v>
      </c>
      <c r="D495" t="s">
        <v>4804</v>
      </c>
      <c r="E495" t="s">
        <v>4805</v>
      </c>
      <c r="F495" t="s">
        <v>135</v>
      </c>
      <c r="G495" t="s">
        <v>4806</v>
      </c>
      <c r="H495">
        <v>0</v>
      </c>
      <c r="I495" t="s">
        <v>379</v>
      </c>
      <c r="J495">
        <v>9900</v>
      </c>
      <c r="K495">
        <v>1</v>
      </c>
      <c r="L495">
        <v>0</v>
      </c>
      <c r="M495">
        <v>1</v>
      </c>
      <c r="N495"/>
      <c r="O495" t="s">
        <v>3544</v>
      </c>
      <c r="P495" s="33">
        <v>0.55000000000000004</v>
      </c>
      <c r="Q495">
        <v>5445</v>
      </c>
      <c r="R495" t="s">
        <v>136</v>
      </c>
      <c r="S495">
        <v>0</v>
      </c>
      <c r="T495"/>
      <c r="U495" s="10"/>
      <c r="V495"/>
      <c r="W495"/>
      <c r="X495" s="10"/>
      <c r="Y495"/>
      <c r="Z495" s="10"/>
      <c r="AA495"/>
      <c r="AB495"/>
      <c r="AC495"/>
      <c r="AD495"/>
    </row>
    <row r="496" spans="1:30" x14ac:dyDescent="0.4">
      <c r="A496" t="s">
        <v>4807</v>
      </c>
      <c r="B496">
        <v>20180119</v>
      </c>
      <c r="C496">
        <v>8806194005478</v>
      </c>
      <c r="D496" t="s">
        <v>4808</v>
      </c>
      <c r="E496" t="s">
        <v>4809</v>
      </c>
      <c r="F496" t="s">
        <v>135</v>
      </c>
      <c r="G496" t="s">
        <v>4810</v>
      </c>
      <c r="H496">
        <v>0</v>
      </c>
      <c r="I496" t="s">
        <v>379</v>
      </c>
      <c r="J496">
        <v>3300</v>
      </c>
      <c r="K496">
        <v>1</v>
      </c>
      <c r="L496">
        <v>0</v>
      </c>
      <c r="M496">
        <v>1</v>
      </c>
      <c r="N496"/>
      <c r="O496" t="s">
        <v>3544</v>
      </c>
      <c r="P496" s="33">
        <v>0.55000000000000004</v>
      </c>
      <c r="Q496">
        <v>1815</v>
      </c>
      <c r="R496" t="s">
        <v>136</v>
      </c>
      <c r="S496">
        <v>0</v>
      </c>
      <c r="T496"/>
      <c r="U496" s="10"/>
      <c r="V496"/>
      <c r="W496"/>
      <c r="X496" s="10"/>
      <c r="Y496"/>
      <c r="Z496" s="10"/>
      <c r="AA496"/>
      <c r="AB496"/>
      <c r="AC496"/>
      <c r="AD496"/>
    </row>
    <row r="497" spans="1:30" x14ac:dyDescent="0.4">
      <c r="A497" t="s">
        <v>4811</v>
      </c>
      <c r="B497">
        <v>20180119</v>
      </c>
      <c r="C497">
        <v>8806358568016</v>
      </c>
      <c r="D497" t="s">
        <v>4812</v>
      </c>
      <c r="E497" t="s">
        <v>4813</v>
      </c>
      <c r="F497" t="s">
        <v>135</v>
      </c>
      <c r="G497" t="s">
        <v>4814</v>
      </c>
      <c r="H497">
        <v>0</v>
      </c>
      <c r="I497" t="s">
        <v>379</v>
      </c>
      <c r="J497">
        <v>9500</v>
      </c>
      <c r="K497">
        <v>1</v>
      </c>
      <c r="L497">
        <v>0</v>
      </c>
      <c r="M497">
        <v>1</v>
      </c>
      <c r="N497"/>
      <c r="O497" t="s">
        <v>3544</v>
      </c>
      <c r="P497" s="33">
        <v>0.55000000000000004</v>
      </c>
      <c r="Q497">
        <v>5225</v>
      </c>
      <c r="R497" t="s">
        <v>136</v>
      </c>
      <c r="S497">
        <v>0</v>
      </c>
      <c r="T497"/>
      <c r="U497" s="10"/>
      <c r="V497"/>
      <c r="W497"/>
      <c r="X497" s="10"/>
      <c r="Y497"/>
      <c r="Z497" s="10"/>
      <c r="AA497"/>
      <c r="AB497"/>
      <c r="AC497"/>
      <c r="AD497"/>
    </row>
    <row r="498" spans="1:30" x14ac:dyDescent="0.4">
      <c r="A498" t="s">
        <v>4815</v>
      </c>
      <c r="B498">
        <v>20180119</v>
      </c>
      <c r="C498">
        <v>8806358568412</v>
      </c>
      <c r="D498" t="s">
        <v>1005</v>
      </c>
      <c r="E498" t="s">
        <v>1013</v>
      </c>
      <c r="F498" t="s">
        <v>135</v>
      </c>
      <c r="G498" t="s">
        <v>1006</v>
      </c>
      <c r="H498">
        <v>0</v>
      </c>
      <c r="I498" t="s">
        <v>379</v>
      </c>
      <c r="J498">
        <v>9800</v>
      </c>
      <c r="K498">
        <v>1</v>
      </c>
      <c r="L498">
        <v>0</v>
      </c>
      <c r="M498">
        <v>1</v>
      </c>
      <c r="N498"/>
      <c r="O498" t="s">
        <v>3544</v>
      </c>
      <c r="P498" s="33">
        <v>0.55000000000000004</v>
      </c>
      <c r="Q498">
        <v>5390</v>
      </c>
      <c r="R498" t="s">
        <v>136</v>
      </c>
      <c r="S498">
        <v>0</v>
      </c>
      <c r="T498"/>
      <c r="U498" s="10"/>
      <c r="V498"/>
      <c r="W498"/>
      <c r="X498" s="10"/>
      <c r="Y498"/>
      <c r="Z498" s="10"/>
      <c r="AA498"/>
      <c r="AB498"/>
      <c r="AC498"/>
      <c r="AD498"/>
    </row>
    <row r="499" spans="1:30" x14ac:dyDescent="0.4">
      <c r="A499" t="s">
        <v>4816</v>
      </c>
      <c r="B499">
        <v>20180119</v>
      </c>
      <c r="C499">
        <v>8806358568405</v>
      </c>
      <c r="D499" t="s">
        <v>2578</v>
      </c>
      <c r="E499" t="s">
        <v>2585</v>
      </c>
      <c r="F499" t="s">
        <v>135</v>
      </c>
      <c r="G499" t="s">
        <v>2579</v>
      </c>
      <c r="H499">
        <v>0</v>
      </c>
      <c r="I499" t="s">
        <v>379</v>
      </c>
      <c r="J499">
        <v>9800</v>
      </c>
      <c r="K499">
        <v>1</v>
      </c>
      <c r="L499">
        <v>0</v>
      </c>
      <c r="M499">
        <v>1</v>
      </c>
      <c r="N499"/>
      <c r="O499" t="s">
        <v>3544</v>
      </c>
      <c r="P499" s="33">
        <v>0.55000000000000004</v>
      </c>
      <c r="Q499">
        <v>5390</v>
      </c>
      <c r="R499" t="s">
        <v>136</v>
      </c>
      <c r="S499">
        <v>0</v>
      </c>
      <c r="T499"/>
      <c r="U499" s="10"/>
      <c r="V499"/>
      <c r="W499"/>
      <c r="X499" s="10"/>
      <c r="Y499"/>
      <c r="Z499" s="10"/>
      <c r="AA499"/>
      <c r="AB499"/>
      <c r="AC499"/>
      <c r="AD499"/>
    </row>
    <row r="500" spans="1:30" x14ac:dyDescent="0.4">
      <c r="A500" t="s">
        <v>4817</v>
      </c>
      <c r="B500">
        <v>20180119</v>
      </c>
      <c r="C500">
        <v>8809077129407</v>
      </c>
      <c r="D500" t="s">
        <v>2993</v>
      </c>
      <c r="E500" t="s">
        <v>889</v>
      </c>
      <c r="F500" t="s">
        <v>4818</v>
      </c>
      <c r="G500" t="s">
        <v>2994</v>
      </c>
      <c r="H500">
        <v>0</v>
      </c>
      <c r="I500" t="s">
        <v>379</v>
      </c>
      <c r="J500">
        <v>16000</v>
      </c>
      <c r="K500">
        <v>1</v>
      </c>
      <c r="L500">
        <v>0</v>
      </c>
      <c r="M500">
        <v>-2</v>
      </c>
      <c r="N500"/>
      <c r="O500" t="s">
        <v>3544</v>
      </c>
      <c r="P500" s="33" t="s">
        <v>3567</v>
      </c>
      <c r="Q500" s="37">
        <v>7360</v>
      </c>
      <c r="R500" t="s">
        <v>261</v>
      </c>
      <c r="S500">
        <v>3</v>
      </c>
      <c r="T500">
        <v>3</v>
      </c>
      <c r="U500"/>
      <c r="V500"/>
      <c r="W500"/>
      <c r="X500"/>
      <c r="Y500"/>
      <c r="Z500"/>
      <c r="AA500"/>
      <c r="AB500"/>
      <c r="AC500"/>
      <c r="AD500"/>
    </row>
    <row r="501" spans="1:30" x14ac:dyDescent="0.4">
      <c r="A501" t="s">
        <v>4819</v>
      </c>
      <c r="B501">
        <v>20180119</v>
      </c>
      <c r="C501">
        <v>8809276013330</v>
      </c>
      <c r="D501" t="s">
        <v>2995</v>
      </c>
      <c r="E501" t="s">
        <v>4820</v>
      </c>
      <c r="F501" t="s">
        <v>4818</v>
      </c>
      <c r="G501" t="s">
        <v>2996</v>
      </c>
      <c r="H501">
        <v>0</v>
      </c>
      <c r="I501" t="s">
        <v>379</v>
      </c>
      <c r="J501">
        <v>19800</v>
      </c>
      <c r="K501">
        <v>1</v>
      </c>
      <c r="L501">
        <v>0</v>
      </c>
      <c r="M501">
        <v>-2</v>
      </c>
      <c r="N501"/>
      <c r="O501" t="s">
        <v>3544</v>
      </c>
      <c r="P501" s="33" t="s">
        <v>3567</v>
      </c>
      <c r="Q501" s="37">
        <v>8712</v>
      </c>
      <c r="R501" t="s">
        <v>261</v>
      </c>
      <c r="S501">
        <v>3</v>
      </c>
      <c r="T501">
        <v>3</v>
      </c>
      <c r="U501"/>
      <c r="V501"/>
      <c r="W501"/>
      <c r="X501"/>
      <c r="Y501"/>
      <c r="Z501"/>
      <c r="AA501"/>
      <c r="AB501"/>
      <c r="AC501"/>
      <c r="AD501"/>
    </row>
    <row r="502" spans="1:30" x14ac:dyDescent="0.4">
      <c r="A502" t="s">
        <v>4821</v>
      </c>
      <c r="B502">
        <v>20180119</v>
      </c>
      <c r="C502">
        <v>8809077129568</v>
      </c>
      <c r="D502" t="s">
        <v>4822</v>
      </c>
      <c r="E502" t="s">
        <v>4823</v>
      </c>
      <c r="F502" t="s">
        <v>4818</v>
      </c>
      <c r="G502" t="s">
        <v>4824</v>
      </c>
      <c r="H502">
        <v>0</v>
      </c>
      <c r="I502" t="s">
        <v>379</v>
      </c>
      <c r="J502">
        <v>9900</v>
      </c>
      <c r="K502">
        <v>1</v>
      </c>
      <c r="L502">
        <v>0</v>
      </c>
      <c r="M502">
        <v>1</v>
      </c>
      <c r="N502"/>
      <c r="O502" t="s">
        <v>3544</v>
      </c>
      <c r="P502" s="33" t="s">
        <v>3567</v>
      </c>
      <c r="Q502" s="37">
        <v>4554</v>
      </c>
      <c r="R502" t="s">
        <v>261</v>
      </c>
      <c r="S502">
        <v>0</v>
      </c>
      <c r="T502"/>
      <c r="U502" s="10"/>
      <c r="V502"/>
      <c r="W502"/>
      <c r="X502" s="10"/>
      <c r="Y502"/>
      <c r="Z502" s="10"/>
      <c r="AA502"/>
      <c r="AB502"/>
      <c r="AC502"/>
      <c r="AD502"/>
    </row>
    <row r="503" spans="1:30" x14ac:dyDescent="0.4">
      <c r="A503" t="s">
        <v>4825</v>
      </c>
      <c r="B503">
        <v>20180119</v>
      </c>
      <c r="C503" s="36">
        <v>16839820000</v>
      </c>
      <c r="D503" t="s">
        <v>2997</v>
      </c>
      <c r="E503"/>
      <c r="F503" t="s">
        <v>4818</v>
      </c>
      <c r="G503" t="s">
        <v>2998</v>
      </c>
      <c r="H503">
        <v>0</v>
      </c>
      <c r="I503" t="s">
        <v>379</v>
      </c>
      <c r="J503">
        <v>14000</v>
      </c>
      <c r="K503">
        <v>1</v>
      </c>
      <c r="L503">
        <v>0</v>
      </c>
      <c r="M503">
        <v>-2</v>
      </c>
      <c r="N503"/>
      <c r="O503" t="s">
        <v>3544</v>
      </c>
      <c r="P503" s="33" t="s">
        <v>3567</v>
      </c>
      <c r="Q503" s="37">
        <v>6580</v>
      </c>
      <c r="R503" t="s">
        <v>261</v>
      </c>
      <c r="S503">
        <v>3</v>
      </c>
      <c r="T503">
        <v>3</v>
      </c>
      <c r="U503"/>
      <c r="V503"/>
      <c r="W503"/>
      <c r="X503"/>
      <c r="Y503"/>
      <c r="Z503"/>
      <c r="AA503"/>
      <c r="AB503"/>
      <c r="AC503"/>
      <c r="AD503"/>
    </row>
    <row r="504" spans="1:30" x14ac:dyDescent="0.4">
      <c r="A504" t="s">
        <v>4826</v>
      </c>
      <c r="B504">
        <v>20180119</v>
      </c>
      <c r="C504">
        <v>8809420561915</v>
      </c>
      <c r="D504" t="s">
        <v>3170</v>
      </c>
      <c r="E504" t="s">
        <v>4827</v>
      </c>
      <c r="F504" t="s">
        <v>176</v>
      </c>
      <c r="G504" t="s">
        <v>3171</v>
      </c>
      <c r="H504">
        <v>0</v>
      </c>
      <c r="I504" t="s">
        <v>379</v>
      </c>
      <c r="J504">
        <v>7000</v>
      </c>
      <c r="K504">
        <v>2</v>
      </c>
      <c r="L504">
        <v>0</v>
      </c>
      <c r="M504">
        <v>1</v>
      </c>
      <c r="N504"/>
      <c r="O504" t="s">
        <v>3544</v>
      </c>
      <c r="P504" s="33">
        <v>0.6</v>
      </c>
      <c r="Q504">
        <v>4200</v>
      </c>
      <c r="R504" t="s">
        <v>172</v>
      </c>
      <c r="S504">
        <v>1</v>
      </c>
      <c r="T504">
        <v>1</v>
      </c>
      <c r="U504" s="10"/>
      <c r="V504"/>
      <c r="W504"/>
      <c r="X504" s="10"/>
      <c r="Y504"/>
      <c r="Z504" s="10"/>
      <c r="AA504"/>
      <c r="AB504"/>
      <c r="AC504"/>
      <c r="AD504"/>
    </row>
    <row r="505" spans="1:30" x14ac:dyDescent="0.4">
      <c r="A505" t="s">
        <v>4828</v>
      </c>
      <c r="B505">
        <v>20180119</v>
      </c>
      <c r="C505">
        <v>8809526213923</v>
      </c>
      <c r="D505" t="s">
        <v>4829</v>
      </c>
      <c r="E505" t="s">
        <v>4830</v>
      </c>
      <c r="F505" t="s">
        <v>176</v>
      </c>
      <c r="G505" t="s">
        <v>4831</v>
      </c>
      <c r="H505">
        <v>0</v>
      </c>
      <c r="I505" t="s">
        <v>379</v>
      </c>
      <c r="J505">
        <v>16000</v>
      </c>
      <c r="K505">
        <v>2</v>
      </c>
      <c r="L505">
        <v>1</v>
      </c>
      <c r="M505">
        <v>1</v>
      </c>
      <c r="N505"/>
      <c r="O505" t="s">
        <v>3544</v>
      </c>
      <c r="P505" s="33">
        <v>0.6</v>
      </c>
      <c r="Q505">
        <v>9600</v>
      </c>
      <c r="R505" t="s">
        <v>172</v>
      </c>
      <c r="S505">
        <v>1</v>
      </c>
      <c r="T505"/>
      <c r="U505" s="10"/>
      <c r="V505"/>
      <c r="W505"/>
      <c r="X505" s="10"/>
      <c r="Y505"/>
      <c r="Z505" s="10"/>
      <c r="AA505"/>
      <c r="AB505"/>
      <c r="AC505"/>
      <c r="AD505"/>
    </row>
    <row r="506" spans="1:30" x14ac:dyDescent="0.4">
      <c r="A506" t="s">
        <v>4832</v>
      </c>
      <c r="B506">
        <v>20180119</v>
      </c>
      <c r="C506">
        <v>8809544394154</v>
      </c>
      <c r="D506" t="s">
        <v>3172</v>
      </c>
      <c r="E506" t="s">
        <v>535</v>
      </c>
      <c r="F506" t="s">
        <v>176</v>
      </c>
      <c r="G506" t="s">
        <v>3173</v>
      </c>
      <c r="H506">
        <v>0</v>
      </c>
      <c r="I506" t="s">
        <v>379</v>
      </c>
      <c r="J506">
        <v>9000</v>
      </c>
      <c r="K506">
        <v>6</v>
      </c>
      <c r="L506">
        <v>4</v>
      </c>
      <c r="M506">
        <v>-1</v>
      </c>
      <c r="N506"/>
      <c r="O506" t="s">
        <v>3544</v>
      </c>
      <c r="P506" s="33">
        <v>0.6</v>
      </c>
      <c r="Q506">
        <v>5400</v>
      </c>
      <c r="R506" t="s">
        <v>172</v>
      </c>
      <c r="S506">
        <v>7</v>
      </c>
      <c r="T506">
        <v>3</v>
      </c>
      <c r="U506"/>
      <c r="V506"/>
      <c r="W506"/>
      <c r="X506"/>
      <c r="Y506"/>
      <c r="Z506"/>
      <c r="AA506"/>
      <c r="AB506"/>
      <c r="AC506"/>
      <c r="AD506"/>
    </row>
    <row r="507" spans="1:30" x14ac:dyDescent="0.4">
      <c r="A507" t="s">
        <v>4833</v>
      </c>
      <c r="B507">
        <v>20180119</v>
      </c>
      <c r="C507">
        <v>8809526217198</v>
      </c>
      <c r="D507" t="s">
        <v>3174</v>
      </c>
      <c r="E507" t="s">
        <v>4834</v>
      </c>
      <c r="F507" t="s">
        <v>176</v>
      </c>
      <c r="G507" t="s">
        <v>3175</v>
      </c>
      <c r="H507">
        <v>0</v>
      </c>
      <c r="I507" t="s">
        <v>379</v>
      </c>
      <c r="J507">
        <v>12000</v>
      </c>
      <c r="K507">
        <v>2</v>
      </c>
      <c r="L507">
        <v>0</v>
      </c>
      <c r="M507">
        <v>0</v>
      </c>
      <c r="N507"/>
      <c r="O507" t="s">
        <v>3544</v>
      </c>
      <c r="P507" s="33">
        <v>0.6</v>
      </c>
      <c r="Q507">
        <v>7200</v>
      </c>
      <c r="R507" t="s">
        <v>172</v>
      </c>
      <c r="S507">
        <v>2</v>
      </c>
      <c r="T507">
        <v>2</v>
      </c>
      <c r="U507"/>
      <c r="V507"/>
      <c r="W507"/>
      <c r="X507"/>
      <c r="Y507"/>
      <c r="Z507"/>
      <c r="AA507"/>
      <c r="AB507"/>
      <c r="AC507"/>
      <c r="AD507"/>
    </row>
    <row r="508" spans="1:30" x14ac:dyDescent="0.4">
      <c r="A508" t="s">
        <v>4835</v>
      </c>
      <c r="B508">
        <v>20180119</v>
      </c>
      <c r="C508">
        <v>8801042689909</v>
      </c>
      <c r="D508" t="s">
        <v>2571</v>
      </c>
      <c r="E508" t="s">
        <v>2307</v>
      </c>
      <c r="F508" t="s">
        <v>212</v>
      </c>
      <c r="G508" t="s">
        <v>2572</v>
      </c>
      <c r="H508">
        <v>0</v>
      </c>
      <c r="I508" t="s">
        <v>379</v>
      </c>
      <c r="J508">
        <v>30000</v>
      </c>
      <c r="K508">
        <v>1</v>
      </c>
      <c r="L508">
        <v>0</v>
      </c>
      <c r="M508">
        <v>1</v>
      </c>
      <c r="N508"/>
      <c r="O508" t="s">
        <v>3544</v>
      </c>
      <c r="P508" s="33">
        <v>0.62</v>
      </c>
      <c r="Q508">
        <v>18600</v>
      </c>
      <c r="R508" t="s">
        <v>206</v>
      </c>
      <c r="S508">
        <v>0</v>
      </c>
      <c r="T508"/>
      <c r="U508" s="10"/>
      <c r="V508"/>
      <c r="W508"/>
      <c r="X508" s="10"/>
      <c r="Y508"/>
      <c r="Z508" s="10"/>
      <c r="AA508"/>
      <c r="AB508"/>
      <c r="AC508"/>
      <c r="AD508"/>
    </row>
    <row r="509" spans="1:30" x14ac:dyDescent="0.4">
      <c r="A509" t="s">
        <v>4836</v>
      </c>
      <c r="B509">
        <v>20180119</v>
      </c>
      <c r="C509">
        <v>8809422532234</v>
      </c>
      <c r="D509" t="s">
        <v>4837</v>
      </c>
      <c r="E509" t="s">
        <v>3553</v>
      </c>
      <c r="F509" t="s">
        <v>4838</v>
      </c>
      <c r="G509" t="s">
        <v>4839</v>
      </c>
      <c r="H509">
        <v>0</v>
      </c>
      <c r="I509" t="s">
        <v>379</v>
      </c>
      <c r="J509">
        <v>18000</v>
      </c>
      <c r="K509">
        <v>1</v>
      </c>
      <c r="L509">
        <v>0</v>
      </c>
      <c r="M509">
        <v>1</v>
      </c>
      <c r="N509"/>
      <c r="O509" t="s">
        <v>3544</v>
      </c>
      <c r="P509" s="33" t="s">
        <v>3567</v>
      </c>
      <c r="Q509" s="37">
        <v>9000</v>
      </c>
      <c r="R509" t="s">
        <v>261</v>
      </c>
      <c r="S509">
        <v>0</v>
      </c>
      <c r="T509"/>
      <c r="U509" s="10"/>
      <c r="V509"/>
      <c r="W509"/>
      <c r="X509" s="10"/>
      <c r="Y509"/>
      <c r="Z509" s="10"/>
      <c r="AA509"/>
      <c r="AB509"/>
      <c r="AC509"/>
      <c r="AD509"/>
    </row>
    <row r="510" spans="1:30" x14ac:dyDescent="0.4">
      <c r="A510" t="s">
        <v>4840</v>
      </c>
      <c r="B510">
        <v>20180119</v>
      </c>
      <c r="C510">
        <v>8809422532159</v>
      </c>
      <c r="D510" t="s">
        <v>4841</v>
      </c>
      <c r="E510" t="s">
        <v>4842</v>
      </c>
      <c r="F510" t="s">
        <v>4838</v>
      </c>
      <c r="G510" t="s">
        <v>4843</v>
      </c>
      <c r="H510">
        <v>0</v>
      </c>
      <c r="I510" t="s">
        <v>379</v>
      </c>
      <c r="J510">
        <v>28000</v>
      </c>
      <c r="K510">
        <v>1</v>
      </c>
      <c r="L510">
        <v>0</v>
      </c>
      <c r="M510">
        <v>1</v>
      </c>
      <c r="N510"/>
      <c r="O510" t="s">
        <v>3544</v>
      </c>
      <c r="P510" s="33" t="s">
        <v>3567</v>
      </c>
      <c r="Q510" s="37">
        <v>14000</v>
      </c>
      <c r="R510" t="s">
        <v>261</v>
      </c>
      <c r="S510">
        <v>0</v>
      </c>
      <c r="T510"/>
      <c r="U510" s="10"/>
      <c r="V510"/>
      <c r="W510"/>
      <c r="X510" s="10"/>
      <c r="Y510"/>
      <c r="Z510" s="10"/>
      <c r="AA510"/>
      <c r="AB510"/>
      <c r="AC510"/>
      <c r="AD510"/>
    </row>
    <row r="511" spans="1:30" x14ac:dyDescent="0.4">
      <c r="A511" t="s">
        <v>4844</v>
      </c>
      <c r="B511">
        <v>20180119</v>
      </c>
      <c r="C511">
        <v>8809422531985</v>
      </c>
      <c r="D511" t="s">
        <v>4845</v>
      </c>
      <c r="E511" t="s">
        <v>4846</v>
      </c>
      <c r="F511" t="s">
        <v>4838</v>
      </c>
      <c r="G511" t="s">
        <v>4847</v>
      </c>
      <c r="H511">
        <v>0</v>
      </c>
      <c r="I511" t="s">
        <v>379</v>
      </c>
      <c r="J511">
        <v>25000</v>
      </c>
      <c r="K511">
        <v>1</v>
      </c>
      <c r="L511">
        <v>0</v>
      </c>
      <c r="M511">
        <v>1</v>
      </c>
      <c r="N511"/>
      <c r="O511" t="s">
        <v>3544</v>
      </c>
      <c r="P511" s="33" t="s">
        <v>3567</v>
      </c>
      <c r="Q511" s="37">
        <v>12500</v>
      </c>
      <c r="R511" t="s">
        <v>261</v>
      </c>
      <c r="S511">
        <v>0</v>
      </c>
      <c r="T511"/>
      <c r="U511" s="10"/>
      <c r="V511"/>
      <c r="W511"/>
      <c r="X511" s="10"/>
      <c r="Y511"/>
      <c r="Z511" s="10"/>
      <c r="AA511"/>
      <c r="AB511"/>
      <c r="AC511"/>
      <c r="AD511"/>
    </row>
    <row r="512" spans="1:30" x14ac:dyDescent="0.4">
      <c r="A512" t="s">
        <v>4848</v>
      </c>
      <c r="B512">
        <v>20180119</v>
      </c>
      <c r="C512">
        <v>8809422531336</v>
      </c>
      <c r="D512" t="s">
        <v>4849</v>
      </c>
      <c r="E512" t="s">
        <v>4850</v>
      </c>
      <c r="F512" t="s">
        <v>4838</v>
      </c>
      <c r="G512" t="s">
        <v>4851</v>
      </c>
      <c r="H512">
        <v>0</v>
      </c>
      <c r="I512" t="s">
        <v>379</v>
      </c>
      <c r="J512">
        <v>32000</v>
      </c>
      <c r="K512">
        <v>1</v>
      </c>
      <c r="L512">
        <v>0</v>
      </c>
      <c r="M512">
        <v>1</v>
      </c>
      <c r="N512"/>
      <c r="O512" t="s">
        <v>3544</v>
      </c>
      <c r="P512" s="33" t="s">
        <v>3567</v>
      </c>
      <c r="Q512" s="37">
        <v>16000</v>
      </c>
      <c r="R512" t="s">
        <v>261</v>
      </c>
      <c r="S512">
        <v>0</v>
      </c>
      <c r="T512"/>
      <c r="U512" s="10"/>
      <c r="V512"/>
      <c r="W512"/>
      <c r="X512" s="10"/>
      <c r="Y512"/>
      <c r="Z512" s="10"/>
      <c r="AA512"/>
      <c r="AB512"/>
      <c r="AC512"/>
      <c r="AD512"/>
    </row>
    <row r="513" spans="1:30" x14ac:dyDescent="0.4">
      <c r="A513" t="s">
        <v>4852</v>
      </c>
      <c r="B513">
        <v>20180119</v>
      </c>
      <c r="C513">
        <v>8809559343963</v>
      </c>
      <c r="D513" t="s">
        <v>744</v>
      </c>
      <c r="E513" t="s">
        <v>752</v>
      </c>
      <c r="F513" t="s">
        <v>107</v>
      </c>
      <c r="G513" t="s">
        <v>745</v>
      </c>
      <c r="H513">
        <v>0</v>
      </c>
      <c r="I513" t="s">
        <v>379</v>
      </c>
      <c r="J513">
        <v>85000</v>
      </c>
      <c r="K513">
        <v>3</v>
      </c>
      <c r="L513">
        <v>0</v>
      </c>
      <c r="M513">
        <v>3</v>
      </c>
      <c r="N513"/>
      <c r="O513" t="s">
        <v>3544</v>
      </c>
      <c r="P513" s="33">
        <v>0.65</v>
      </c>
      <c r="Q513">
        <v>55250</v>
      </c>
      <c r="R513" t="s">
        <v>77</v>
      </c>
      <c r="S513">
        <v>0</v>
      </c>
      <c r="T513"/>
      <c r="U513" s="10"/>
      <c r="V513"/>
      <c r="W513"/>
      <c r="X513" s="10"/>
      <c r="Y513"/>
      <c r="Z513" s="10"/>
      <c r="AA513"/>
      <c r="AB513"/>
      <c r="AC513"/>
      <c r="AD513"/>
    </row>
    <row r="514" spans="1:30" x14ac:dyDescent="0.4">
      <c r="A514" t="s">
        <v>4853</v>
      </c>
      <c r="B514">
        <v>20180119</v>
      </c>
      <c r="C514">
        <v>8801042784536</v>
      </c>
      <c r="D514" t="s">
        <v>4854</v>
      </c>
      <c r="E514" t="s">
        <v>2188</v>
      </c>
      <c r="F514" t="s">
        <v>107</v>
      </c>
      <c r="G514" t="s">
        <v>4855</v>
      </c>
      <c r="H514">
        <v>0</v>
      </c>
      <c r="I514" t="s">
        <v>379</v>
      </c>
      <c r="J514">
        <v>32000</v>
      </c>
      <c r="K514">
        <v>1</v>
      </c>
      <c r="L514">
        <v>0</v>
      </c>
      <c r="M514">
        <v>1</v>
      </c>
      <c r="N514"/>
      <c r="O514" t="s">
        <v>3544</v>
      </c>
      <c r="P514" s="33">
        <v>0.65</v>
      </c>
      <c r="Q514">
        <v>20800</v>
      </c>
      <c r="R514" t="s">
        <v>77</v>
      </c>
      <c r="S514">
        <v>0</v>
      </c>
      <c r="T514"/>
      <c r="U514" s="10"/>
      <c r="V514"/>
      <c r="W514"/>
      <c r="X514" s="10"/>
      <c r="Y514"/>
      <c r="Z514" s="10"/>
      <c r="AA514"/>
      <c r="AB514"/>
      <c r="AC514"/>
      <c r="AD514"/>
    </row>
    <row r="515" spans="1:30" x14ac:dyDescent="0.4">
      <c r="A515" t="s">
        <v>4856</v>
      </c>
      <c r="B515">
        <v>20180119</v>
      </c>
      <c r="C515">
        <v>8806390565837</v>
      </c>
      <c r="D515" t="s">
        <v>3013</v>
      </c>
      <c r="E515"/>
      <c r="F515" t="s">
        <v>107</v>
      </c>
      <c r="G515" t="s">
        <v>3014</v>
      </c>
      <c r="H515">
        <v>0</v>
      </c>
      <c r="I515" t="s">
        <v>379</v>
      </c>
      <c r="J515">
        <v>45000</v>
      </c>
      <c r="K515">
        <v>1</v>
      </c>
      <c r="L515">
        <v>0</v>
      </c>
      <c r="M515">
        <v>0</v>
      </c>
      <c r="N515"/>
      <c r="O515" t="s">
        <v>3544</v>
      </c>
      <c r="P515" s="33">
        <v>0.65</v>
      </c>
      <c r="Q515">
        <v>29250</v>
      </c>
      <c r="R515" t="s">
        <v>77</v>
      </c>
      <c r="S515">
        <v>1</v>
      </c>
      <c r="T515">
        <v>1</v>
      </c>
      <c r="U515"/>
      <c r="V515"/>
      <c r="W515"/>
      <c r="X515"/>
      <c r="Y515"/>
      <c r="Z515"/>
      <c r="AA515"/>
      <c r="AB515"/>
      <c r="AC515"/>
      <c r="AD515"/>
    </row>
    <row r="516" spans="1:30" x14ac:dyDescent="0.4">
      <c r="A516" t="s">
        <v>4857</v>
      </c>
      <c r="B516">
        <v>20180119</v>
      </c>
      <c r="C516">
        <v>8806390599726</v>
      </c>
      <c r="D516" t="s">
        <v>3015</v>
      </c>
      <c r="E516"/>
      <c r="F516" t="s">
        <v>107</v>
      </c>
      <c r="G516" t="s">
        <v>3016</v>
      </c>
      <c r="H516">
        <v>0</v>
      </c>
      <c r="I516" t="s">
        <v>379</v>
      </c>
      <c r="J516">
        <v>45000</v>
      </c>
      <c r="K516">
        <v>1</v>
      </c>
      <c r="L516">
        <v>0</v>
      </c>
      <c r="M516">
        <v>0</v>
      </c>
      <c r="N516"/>
      <c r="O516" t="s">
        <v>3544</v>
      </c>
      <c r="P516" s="33">
        <v>0.65</v>
      </c>
      <c r="Q516">
        <v>29250</v>
      </c>
      <c r="R516" t="s">
        <v>77</v>
      </c>
      <c r="S516">
        <v>1</v>
      </c>
      <c r="T516">
        <v>1</v>
      </c>
      <c r="U516"/>
      <c r="V516"/>
      <c r="W516"/>
      <c r="X516"/>
      <c r="Y516"/>
      <c r="Z516"/>
      <c r="AA516"/>
      <c r="AB516"/>
      <c r="AC516"/>
      <c r="AD516"/>
    </row>
    <row r="517" spans="1:30" x14ac:dyDescent="0.4">
      <c r="A517" t="s">
        <v>4858</v>
      </c>
      <c r="B517">
        <v>20180119</v>
      </c>
      <c r="C517">
        <v>8806390599719</v>
      </c>
      <c r="D517" t="s">
        <v>3017</v>
      </c>
      <c r="E517" t="s">
        <v>2451</v>
      </c>
      <c r="F517" t="s">
        <v>107</v>
      </c>
      <c r="G517" t="s">
        <v>3018</v>
      </c>
      <c r="H517">
        <v>0</v>
      </c>
      <c r="I517" t="s">
        <v>379</v>
      </c>
      <c r="J517">
        <v>43000</v>
      </c>
      <c r="K517">
        <v>1</v>
      </c>
      <c r="L517">
        <v>0</v>
      </c>
      <c r="M517">
        <v>0</v>
      </c>
      <c r="N517"/>
      <c r="O517" t="s">
        <v>3544</v>
      </c>
      <c r="P517" s="33">
        <v>0.65</v>
      </c>
      <c r="Q517">
        <v>27950</v>
      </c>
      <c r="R517" t="s">
        <v>77</v>
      </c>
      <c r="S517">
        <v>1</v>
      </c>
      <c r="T517">
        <v>1</v>
      </c>
      <c r="U517"/>
      <c r="V517"/>
      <c r="W517"/>
      <c r="X517"/>
      <c r="Y517"/>
      <c r="Z517"/>
      <c r="AA517"/>
      <c r="AB517"/>
      <c r="AC517"/>
      <c r="AD517"/>
    </row>
    <row r="518" spans="1:30" x14ac:dyDescent="0.4">
      <c r="A518" t="s">
        <v>4859</v>
      </c>
      <c r="B518">
        <v>20180119</v>
      </c>
      <c r="C518">
        <v>8801042560154</v>
      </c>
      <c r="D518" t="s">
        <v>2259</v>
      </c>
      <c r="E518" t="s">
        <v>4860</v>
      </c>
      <c r="F518" t="s">
        <v>107</v>
      </c>
      <c r="G518" t="s">
        <v>2261</v>
      </c>
      <c r="H518">
        <v>0</v>
      </c>
      <c r="I518" t="s">
        <v>379</v>
      </c>
      <c r="J518">
        <v>30000</v>
      </c>
      <c r="K518">
        <v>4</v>
      </c>
      <c r="L518">
        <v>0</v>
      </c>
      <c r="M518">
        <v>4</v>
      </c>
      <c r="N518"/>
      <c r="O518" t="s">
        <v>3544</v>
      </c>
      <c r="P518" s="33">
        <v>0.65</v>
      </c>
      <c r="Q518">
        <v>19500</v>
      </c>
      <c r="R518" t="s">
        <v>77</v>
      </c>
      <c r="S518">
        <v>0</v>
      </c>
      <c r="T518"/>
      <c r="U518" s="10"/>
      <c r="V518"/>
      <c r="W518"/>
      <c r="X518" s="10"/>
      <c r="Y518"/>
      <c r="Z518" s="10"/>
      <c r="AA518"/>
      <c r="AB518"/>
      <c r="AC518"/>
      <c r="AD518"/>
    </row>
    <row r="519" spans="1:30" x14ac:dyDescent="0.4">
      <c r="A519" t="s">
        <v>4861</v>
      </c>
      <c r="B519">
        <v>20180119</v>
      </c>
      <c r="C519">
        <v>8801042655904</v>
      </c>
      <c r="D519" t="s">
        <v>782</v>
      </c>
      <c r="E519" t="s">
        <v>791</v>
      </c>
      <c r="F519" t="s">
        <v>107</v>
      </c>
      <c r="G519" t="s">
        <v>783</v>
      </c>
      <c r="H519">
        <v>0</v>
      </c>
      <c r="I519" t="s">
        <v>379</v>
      </c>
      <c r="J519">
        <v>28000</v>
      </c>
      <c r="K519">
        <v>1</v>
      </c>
      <c r="L519">
        <v>0</v>
      </c>
      <c r="M519">
        <v>1</v>
      </c>
      <c r="N519"/>
      <c r="O519" t="s">
        <v>3544</v>
      </c>
      <c r="P519" s="33">
        <v>0.65</v>
      </c>
      <c r="Q519">
        <v>18200</v>
      </c>
      <c r="R519" t="s">
        <v>77</v>
      </c>
      <c r="S519">
        <v>0</v>
      </c>
      <c r="T519"/>
      <c r="U519" s="10"/>
      <c r="V519"/>
      <c r="W519"/>
      <c r="X519" s="10"/>
      <c r="Y519"/>
      <c r="Z519" s="10"/>
      <c r="AA519"/>
      <c r="AB519"/>
      <c r="AC519"/>
      <c r="AD519"/>
    </row>
    <row r="520" spans="1:30" x14ac:dyDescent="0.4">
      <c r="A520" t="s">
        <v>4862</v>
      </c>
      <c r="B520">
        <v>20180119</v>
      </c>
      <c r="C520">
        <v>8809539428062</v>
      </c>
      <c r="D520" t="s">
        <v>2321</v>
      </c>
      <c r="E520" t="s">
        <v>1808</v>
      </c>
      <c r="F520" t="s">
        <v>107</v>
      </c>
      <c r="G520" t="s">
        <v>2322</v>
      </c>
      <c r="H520">
        <v>0</v>
      </c>
      <c r="I520" t="s">
        <v>379</v>
      </c>
      <c r="J520">
        <v>68000</v>
      </c>
      <c r="K520">
        <v>2</v>
      </c>
      <c r="L520">
        <v>0</v>
      </c>
      <c r="M520">
        <v>2</v>
      </c>
      <c r="N520"/>
      <c r="O520" t="s">
        <v>3544</v>
      </c>
      <c r="P520" s="33">
        <v>0.65</v>
      </c>
      <c r="Q520">
        <v>44200</v>
      </c>
      <c r="R520" t="s">
        <v>77</v>
      </c>
      <c r="S520">
        <v>0</v>
      </c>
      <c r="T520"/>
      <c r="U520" s="10"/>
      <c r="V520"/>
      <c r="W520"/>
      <c r="X520" s="10"/>
      <c r="Y520"/>
      <c r="Z520" s="10"/>
      <c r="AA520"/>
      <c r="AB520"/>
      <c r="AC520"/>
      <c r="AD520"/>
    </row>
    <row r="521" spans="1:30" x14ac:dyDescent="0.4">
      <c r="A521" t="s">
        <v>4863</v>
      </c>
      <c r="B521">
        <v>20180119</v>
      </c>
      <c r="C521">
        <v>8809539431161</v>
      </c>
      <c r="D521" t="s">
        <v>4864</v>
      </c>
      <c r="E521" t="s">
        <v>3756</v>
      </c>
      <c r="F521" t="s">
        <v>107</v>
      </c>
      <c r="G521" t="s">
        <v>4865</v>
      </c>
      <c r="H521">
        <v>0</v>
      </c>
      <c r="I521" t="s">
        <v>379</v>
      </c>
      <c r="J521">
        <v>65000</v>
      </c>
      <c r="K521">
        <v>1</v>
      </c>
      <c r="L521">
        <v>0</v>
      </c>
      <c r="M521">
        <v>1</v>
      </c>
      <c r="N521"/>
      <c r="O521" t="s">
        <v>3544</v>
      </c>
      <c r="P521" s="33">
        <v>0.65</v>
      </c>
      <c r="Q521">
        <v>42250</v>
      </c>
      <c r="R521" t="s">
        <v>77</v>
      </c>
      <c r="S521">
        <v>0</v>
      </c>
      <c r="T521"/>
      <c r="U521" s="10"/>
      <c r="V521"/>
      <c r="W521"/>
      <c r="X521" s="10"/>
      <c r="Y521"/>
      <c r="Z521" s="10"/>
      <c r="AA521"/>
      <c r="AB521"/>
      <c r="AC521"/>
      <c r="AD521"/>
    </row>
    <row r="522" spans="1:30" x14ac:dyDescent="0.4">
      <c r="A522" t="s">
        <v>4866</v>
      </c>
      <c r="B522">
        <v>20180119</v>
      </c>
      <c r="C522">
        <v>8809516836736</v>
      </c>
      <c r="D522" t="s">
        <v>2443</v>
      </c>
      <c r="E522" t="s">
        <v>2451</v>
      </c>
      <c r="F522" t="s">
        <v>107</v>
      </c>
      <c r="G522" t="s">
        <v>2444</v>
      </c>
      <c r="H522">
        <v>0</v>
      </c>
      <c r="I522" t="s">
        <v>379</v>
      </c>
      <c r="J522">
        <v>26000</v>
      </c>
      <c r="K522">
        <v>2</v>
      </c>
      <c r="L522">
        <v>0</v>
      </c>
      <c r="M522">
        <v>2</v>
      </c>
      <c r="N522"/>
      <c r="O522" t="s">
        <v>3544</v>
      </c>
      <c r="P522" s="33">
        <v>0.65</v>
      </c>
      <c r="Q522">
        <v>16900</v>
      </c>
      <c r="R522" t="s">
        <v>77</v>
      </c>
      <c r="S522">
        <v>0</v>
      </c>
      <c r="T522"/>
      <c r="U522" s="10"/>
      <c r="V522"/>
      <c r="W522"/>
      <c r="X522" s="10"/>
      <c r="Y522"/>
      <c r="Z522" s="10"/>
      <c r="AA522"/>
      <c r="AB522"/>
      <c r="AC522"/>
      <c r="AD522"/>
    </row>
    <row r="523" spans="1:30" x14ac:dyDescent="0.4">
      <c r="A523" t="s">
        <v>4867</v>
      </c>
      <c r="B523">
        <v>20180119</v>
      </c>
      <c r="C523">
        <v>8801042792142</v>
      </c>
      <c r="D523" t="s">
        <v>2545</v>
      </c>
      <c r="E523" t="s">
        <v>631</v>
      </c>
      <c r="F523" t="s">
        <v>107</v>
      </c>
      <c r="G523" t="s">
        <v>2546</v>
      </c>
      <c r="H523">
        <v>0</v>
      </c>
      <c r="I523" t="s">
        <v>379</v>
      </c>
      <c r="J523">
        <v>50000</v>
      </c>
      <c r="K523">
        <v>1</v>
      </c>
      <c r="L523">
        <v>0</v>
      </c>
      <c r="M523">
        <v>1</v>
      </c>
      <c r="N523"/>
      <c r="O523" t="s">
        <v>3544</v>
      </c>
      <c r="P523" s="33">
        <v>0.65</v>
      </c>
      <c r="Q523">
        <v>32500</v>
      </c>
      <c r="R523" t="s">
        <v>77</v>
      </c>
      <c r="S523">
        <v>0</v>
      </c>
      <c r="T523"/>
      <c r="U523" s="10"/>
      <c r="V523"/>
      <c r="W523"/>
      <c r="X523" s="10"/>
      <c r="Y523"/>
      <c r="Z523" s="10"/>
      <c r="AA523"/>
      <c r="AB523"/>
      <c r="AC523"/>
      <c r="AD523"/>
    </row>
    <row r="524" spans="1:30" x14ac:dyDescent="0.4">
      <c r="A524" t="s">
        <v>4868</v>
      </c>
      <c r="B524">
        <v>20180119</v>
      </c>
      <c r="C524">
        <v>8806390512428</v>
      </c>
      <c r="D524" t="s">
        <v>3019</v>
      </c>
      <c r="E524" t="s">
        <v>4869</v>
      </c>
      <c r="F524" t="s">
        <v>107</v>
      </c>
      <c r="G524" t="s">
        <v>3020</v>
      </c>
      <c r="H524">
        <v>0</v>
      </c>
      <c r="I524" t="s">
        <v>379</v>
      </c>
      <c r="J524">
        <v>21000</v>
      </c>
      <c r="K524">
        <v>1</v>
      </c>
      <c r="L524">
        <v>0</v>
      </c>
      <c r="M524">
        <v>1</v>
      </c>
      <c r="N524"/>
      <c r="O524" t="s">
        <v>3544</v>
      </c>
      <c r="P524" s="33">
        <v>0.65</v>
      </c>
      <c r="Q524">
        <v>13650</v>
      </c>
      <c r="R524" t="s">
        <v>77</v>
      </c>
      <c r="S524">
        <v>0</v>
      </c>
      <c r="T524">
        <v>0</v>
      </c>
      <c r="U524" s="10">
        <v>43118</v>
      </c>
      <c r="V524" t="s">
        <v>3289</v>
      </c>
      <c r="W524">
        <v>1</v>
      </c>
      <c r="X524" s="10">
        <v>43119</v>
      </c>
      <c r="Y524"/>
      <c r="Z524" s="10"/>
      <c r="AA524"/>
      <c r="AB524"/>
      <c r="AC524"/>
      <c r="AD524"/>
    </row>
    <row r="525" spans="1:30" x14ac:dyDescent="0.4">
      <c r="A525" t="s">
        <v>4870</v>
      </c>
      <c r="B525">
        <v>20180119</v>
      </c>
      <c r="C525">
        <v>8809481760029</v>
      </c>
      <c r="D525" t="s">
        <v>2999</v>
      </c>
      <c r="E525" t="s">
        <v>4353</v>
      </c>
      <c r="F525" t="s">
        <v>4871</v>
      </c>
      <c r="G525" t="s">
        <v>3000</v>
      </c>
      <c r="H525">
        <v>0</v>
      </c>
      <c r="I525" t="s">
        <v>379</v>
      </c>
      <c r="J525">
        <v>32000</v>
      </c>
      <c r="K525">
        <v>1</v>
      </c>
      <c r="L525">
        <v>0</v>
      </c>
      <c r="M525">
        <v>-2</v>
      </c>
      <c r="N525"/>
      <c r="O525" t="s">
        <v>3544</v>
      </c>
      <c r="P525" s="33" t="s">
        <v>3567</v>
      </c>
      <c r="Q525" s="37">
        <v>16960</v>
      </c>
      <c r="R525" t="s">
        <v>261</v>
      </c>
      <c r="S525">
        <v>3</v>
      </c>
      <c r="T525">
        <v>3</v>
      </c>
      <c r="U525"/>
      <c r="V525"/>
      <c r="W525"/>
      <c r="X525"/>
      <c r="Y525"/>
      <c r="Z525"/>
      <c r="AA525"/>
      <c r="AB525"/>
      <c r="AC525"/>
      <c r="AD525"/>
    </row>
    <row r="526" spans="1:30" x14ac:dyDescent="0.4">
      <c r="A526" t="s">
        <v>4872</v>
      </c>
      <c r="B526">
        <v>20180119</v>
      </c>
      <c r="C526">
        <v>8806334369460</v>
      </c>
      <c r="D526" t="s">
        <v>4873</v>
      </c>
      <c r="E526" t="s">
        <v>4874</v>
      </c>
      <c r="F526" t="s">
        <v>203</v>
      </c>
      <c r="G526" t="s">
        <v>4875</v>
      </c>
      <c r="H526">
        <v>0</v>
      </c>
      <c r="I526" t="s">
        <v>379</v>
      </c>
      <c r="J526">
        <v>17000</v>
      </c>
      <c r="K526">
        <v>1</v>
      </c>
      <c r="L526">
        <v>0</v>
      </c>
      <c r="M526">
        <v>1</v>
      </c>
      <c r="N526"/>
      <c r="O526" t="s">
        <v>3544</v>
      </c>
      <c r="P526" s="33">
        <v>0.46</v>
      </c>
      <c r="Q526">
        <v>7820</v>
      </c>
      <c r="R526" t="s">
        <v>204</v>
      </c>
      <c r="S526">
        <v>0</v>
      </c>
      <c r="T526"/>
      <c r="U526" s="10"/>
      <c r="V526"/>
      <c r="W526"/>
      <c r="X526" s="10"/>
      <c r="Y526"/>
      <c r="Z526" s="10"/>
      <c r="AA526"/>
      <c r="AB526"/>
      <c r="AC526"/>
      <c r="AD526"/>
    </row>
    <row r="527" spans="1:30" x14ac:dyDescent="0.4">
      <c r="A527" t="s">
        <v>4876</v>
      </c>
      <c r="B527">
        <v>20180119</v>
      </c>
      <c r="C527">
        <v>8806334333317</v>
      </c>
      <c r="D527" t="s">
        <v>2813</v>
      </c>
      <c r="E527" t="s">
        <v>3946</v>
      </c>
      <c r="F527" t="s">
        <v>203</v>
      </c>
      <c r="G527" t="s">
        <v>2814</v>
      </c>
      <c r="H527">
        <v>0</v>
      </c>
      <c r="I527" t="s">
        <v>379</v>
      </c>
      <c r="J527">
        <v>8800</v>
      </c>
      <c r="K527">
        <v>1</v>
      </c>
      <c r="L527">
        <v>0</v>
      </c>
      <c r="M527">
        <v>0</v>
      </c>
      <c r="N527"/>
      <c r="O527" t="s">
        <v>3544</v>
      </c>
      <c r="P527" s="33">
        <v>0.46</v>
      </c>
      <c r="Q527">
        <v>4048</v>
      </c>
      <c r="R527" t="s">
        <v>204</v>
      </c>
      <c r="S527">
        <v>1</v>
      </c>
      <c r="T527">
        <v>1</v>
      </c>
      <c r="U527"/>
      <c r="V527"/>
      <c r="W527"/>
      <c r="X527"/>
      <c r="Y527"/>
      <c r="Z527"/>
      <c r="AA527"/>
      <c r="AB527"/>
      <c r="AC527"/>
      <c r="AD527"/>
    </row>
    <row r="528" spans="1:30" x14ac:dyDescent="0.4">
      <c r="A528" t="s">
        <v>4877</v>
      </c>
      <c r="B528">
        <v>20180119</v>
      </c>
      <c r="C528">
        <v>8806334369675</v>
      </c>
      <c r="D528" t="s">
        <v>2817</v>
      </c>
      <c r="E528" t="s">
        <v>4878</v>
      </c>
      <c r="F528" t="s">
        <v>203</v>
      </c>
      <c r="G528" t="s">
        <v>2818</v>
      </c>
      <c r="H528">
        <v>0</v>
      </c>
      <c r="I528" t="s">
        <v>379</v>
      </c>
      <c r="J528">
        <v>3900</v>
      </c>
      <c r="K528">
        <v>3</v>
      </c>
      <c r="L528">
        <v>0</v>
      </c>
      <c r="M528">
        <v>1</v>
      </c>
      <c r="N528"/>
      <c r="O528" t="s">
        <v>3544</v>
      </c>
      <c r="P528" s="33">
        <v>0.46</v>
      </c>
      <c r="Q528">
        <v>1794</v>
      </c>
      <c r="R528" t="s">
        <v>204</v>
      </c>
      <c r="S528">
        <v>2</v>
      </c>
      <c r="T528">
        <v>2</v>
      </c>
      <c r="U528" s="10"/>
      <c r="V528"/>
      <c r="W528"/>
      <c r="X528" s="10"/>
      <c r="Y528"/>
      <c r="Z528" s="10"/>
      <c r="AA528"/>
      <c r="AB528"/>
      <c r="AC528"/>
      <c r="AD528"/>
    </row>
    <row r="529" spans="1:30" x14ac:dyDescent="0.4">
      <c r="A529" t="s">
        <v>4879</v>
      </c>
      <c r="B529">
        <v>20180119</v>
      </c>
      <c r="C529">
        <v>8806334356637</v>
      </c>
      <c r="D529" t="s">
        <v>2819</v>
      </c>
      <c r="E529" t="s">
        <v>4880</v>
      </c>
      <c r="F529" t="s">
        <v>203</v>
      </c>
      <c r="G529" t="s">
        <v>2820</v>
      </c>
      <c r="H529">
        <v>0</v>
      </c>
      <c r="I529" t="s">
        <v>379</v>
      </c>
      <c r="J529">
        <v>4900</v>
      </c>
      <c r="K529">
        <v>3</v>
      </c>
      <c r="L529">
        <v>2</v>
      </c>
      <c r="M529">
        <v>0</v>
      </c>
      <c r="N529"/>
      <c r="O529" t="s">
        <v>3544</v>
      </c>
      <c r="P529" s="33">
        <v>0.46</v>
      </c>
      <c r="Q529">
        <v>2254</v>
      </c>
      <c r="R529" t="s">
        <v>204</v>
      </c>
      <c r="S529">
        <v>3</v>
      </c>
      <c r="T529">
        <v>1</v>
      </c>
      <c r="U529"/>
      <c r="V529"/>
      <c r="W529"/>
      <c r="X529"/>
      <c r="Y529"/>
      <c r="Z529"/>
      <c r="AA529"/>
      <c r="AB529"/>
      <c r="AC529"/>
      <c r="AD529"/>
    </row>
    <row r="530" spans="1:30" x14ac:dyDescent="0.4">
      <c r="A530" t="s">
        <v>4881</v>
      </c>
      <c r="B530">
        <v>20180119</v>
      </c>
      <c r="C530">
        <v>8806334353247</v>
      </c>
      <c r="D530" t="s">
        <v>2821</v>
      </c>
      <c r="E530" t="s">
        <v>4882</v>
      </c>
      <c r="F530" t="s">
        <v>203</v>
      </c>
      <c r="G530" t="s">
        <v>2822</v>
      </c>
      <c r="H530">
        <v>0</v>
      </c>
      <c r="I530" t="s">
        <v>379</v>
      </c>
      <c r="J530">
        <v>9900</v>
      </c>
      <c r="K530">
        <v>1</v>
      </c>
      <c r="L530">
        <v>0</v>
      </c>
      <c r="M530">
        <v>0</v>
      </c>
      <c r="N530"/>
      <c r="O530" t="s">
        <v>3544</v>
      </c>
      <c r="P530" s="33">
        <v>0.46</v>
      </c>
      <c r="Q530">
        <v>4554</v>
      </c>
      <c r="R530" t="s">
        <v>204</v>
      </c>
      <c r="S530">
        <v>1</v>
      </c>
      <c r="T530">
        <v>1</v>
      </c>
      <c r="U530"/>
      <c r="V530"/>
      <c r="W530"/>
      <c r="X530"/>
      <c r="Y530"/>
      <c r="Z530"/>
      <c r="AA530"/>
      <c r="AB530"/>
      <c r="AC530"/>
      <c r="AD530"/>
    </row>
    <row r="531" spans="1:30" x14ac:dyDescent="0.4">
      <c r="A531" t="s">
        <v>4883</v>
      </c>
      <c r="B531">
        <v>20180119</v>
      </c>
      <c r="C531">
        <v>8806334353254</v>
      </c>
      <c r="D531" t="s">
        <v>2823</v>
      </c>
      <c r="E531"/>
      <c r="F531" t="s">
        <v>203</v>
      </c>
      <c r="G531" t="s">
        <v>2824</v>
      </c>
      <c r="H531">
        <v>0</v>
      </c>
      <c r="I531" t="s">
        <v>379</v>
      </c>
      <c r="J531">
        <v>10900</v>
      </c>
      <c r="K531">
        <v>2</v>
      </c>
      <c r="L531">
        <v>0</v>
      </c>
      <c r="M531">
        <v>1</v>
      </c>
      <c r="N531"/>
      <c r="O531" t="s">
        <v>3544</v>
      </c>
      <c r="P531" s="33">
        <v>0.46</v>
      </c>
      <c r="Q531">
        <v>5014</v>
      </c>
      <c r="R531" t="s">
        <v>204</v>
      </c>
      <c r="S531">
        <v>1</v>
      </c>
      <c r="T531">
        <v>1</v>
      </c>
      <c r="U531" s="10"/>
      <c r="V531"/>
      <c r="W531"/>
      <c r="X531" s="10"/>
      <c r="Y531"/>
      <c r="Z531" s="10"/>
      <c r="AA531"/>
      <c r="AB531"/>
      <c r="AC531"/>
      <c r="AD531"/>
    </row>
    <row r="532" spans="1:30" x14ac:dyDescent="0.4">
      <c r="A532" t="s">
        <v>4884</v>
      </c>
      <c r="B532">
        <v>20180119</v>
      </c>
      <c r="C532">
        <v>8806334365462</v>
      </c>
      <c r="D532" t="s">
        <v>4885</v>
      </c>
      <c r="E532" t="s">
        <v>4450</v>
      </c>
      <c r="F532" t="s">
        <v>203</v>
      </c>
      <c r="G532" t="s">
        <v>4886</v>
      </c>
      <c r="H532">
        <v>0</v>
      </c>
      <c r="I532" t="s">
        <v>379</v>
      </c>
      <c r="J532">
        <v>12900</v>
      </c>
      <c r="K532">
        <v>1</v>
      </c>
      <c r="L532">
        <v>0</v>
      </c>
      <c r="M532">
        <v>1</v>
      </c>
      <c r="N532"/>
      <c r="O532" t="s">
        <v>3544</v>
      </c>
      <c r="P532" s="33">
        <v>0.46</v>
      </c>
      <c r="Q532">
        <v>5934</v>
      </c>
      <c r="R532" t="s">
        <v>204</v>
      </c>
      <c r="S532">
        <v>0</v>
      </c>
      <c r="T532"/>
      <c r="U532" s="10"/>
      <c r="V532"/>
      <c r="W532"/>
      <c r="X532" s="10"/>
      <c r="Y532"/>
      <c r="Z532" s="10"/>
      <c r="AA532"/>
      <c r="AB532"/>
      <c r="AC532"/>
      <c r="AD532"/>
    </row>
    <row r="533" spans="1:30" x14ac:dyDescent="0.4">
      <c r="A533" t="s">
        <v>4887</v>
      </c>
      <c r="B533">
        <v>20180119</v>
      </c>
      <c r="C533">
        <v>8806334371487</v>
      </c>
      <c r="D533" t="s">
        <v>2825</v>
      </c>
      <c r="E533" t="s">
        <v>4888</v>
      </c>
      <c r="F533" t="s">
        <v>203</v>
      </c>
      <c r="G533" t="s">
        <v>2826</v>
      </c>
      <c r="H533">
        <v>0</v>
      </c>
      <c r="I533" t="s">
        <v>379</v>
      </c>
      <c r="J533">
        <v>4000</v>
      </c>
      <c r="K533" s="34">
        <v>10</v>
      </c>
      <c r="L533">
        <v>0</v>
      </c>
      <c r="M533">
        <v>0</v>
      </c>
      <c r="N533"/>
      <c r="O533" t="s">
        <v>3544</v>
      </c>
      <c r="P533" s="33">
        <v>0.46</v>
      </c>
      <c r="Q533">
        <v>1840</v>
      </c>
      <c r="R533" t="s">
        <v>204</v>
      </c>
      <c r="S533">
        <v>10</v>
      </c>
      <c r="T533">
        <v>10</v>
      </c>
      <c r="U533"/>
      <c r="V533"/>
      <c r="W533"/>
      <c r="X533"/>
      <c r="Y533"/>
      <c r="Z533"/>
      <c r="AA533"/>
      <c r="AB533"/>
      <c r="AC533"/>
      <c r="AD533"/>
    </row>
    <row r="534" spans="1:30" x14ac:dyDescent="0.4">
      <c r="A534" t="s">
        <v>4889</v>
      </c>
      <c r="B534">
        <v>20180119</v>
      </c>
      <c r="C534">
        <v>8806334373948</v>
      </c>
      <c r="D534" t="s">
        <v>2827</v>
      </c>
      <c r="E534" t="s">
        <v>4890</v>
      </c>
      <c r="F534" t="s">
        <v>203</v>
      </c>
      <c r="G534" t="s">
        <v>2828</v>
      </c>
      <c r="H534">
        <v>0</v>
      </c>
      <c r="I534" t="s">
        <v>379</v>
      </c>
      <c r="J534">
        <v>9500</v>
      </c>
      <c r="K534">
        <v>1</v>
      </c>
      <c r="L534">
        <v>0</v>
      </c>
      <c r="M534">
        <v>0</v>
      </c>
      <c r="N534"/>
      <c r="O534" t="s">
        <v>3544</v>
      </c>
      <c r="P534" s="33">
        <v>0.46</v>
      </c>
      <c r="Q534">
        <v>4370</v>
      </c>
      <c r="R534" t="s">
        <v>204</v>
      </c>
      <c r="S534">
        <v>1</v>
      </c>
      <c r="T534">
        <v>1</v>
      </c>
      <c r="U534"/>
      <c r="V534"/>
      <c r="W534"/>
      <c r="X534"/>
      <c r="Y534"/>
      <c r="Z534"/>
      <c r="AA534"/>
      <c r="AB534"/>
      <c r="AC534"/>
      <c r="AD534"/>
    </row>
    <row r="535" spans="1:30" x14ac:dyDescent="0.4">
      <c r="A535" t="s">
        <v>4891</v>
      </c>
      <c r="B535">
        <v>20180119</v>
      </c>
      <c r="C535">
        <v>8806334348472</v>
      </c>
      <c r="D535" t="s">
        <v>2829</v>
      </c>
      <c r="E535" t="s">
        <v>4892</v>
      </c>
      <c r="F535" t="s">
        <v>203</v>
      </c>
      <c r="G535" t="s">
        <v>2830</v>
      </c>
      <c r="H535">
        <v>1</v>
      </c>
      <c r="I535" t="s">
        <v>379</v>
      </c>
      <c r="J535">
        <v>13500</v>
      </c>
      <c r="K535">
        <v>2</v>
      </c>
      <c r="L535">
        <v>0</v>
      </c>
      <c r="M535">
        <v>2</v>
      </c>
      <c r="N535"/>
      <c r="O535" s="35" t="s">
        <v>3550</v>
      </c>
      <c r="P535" s="33">
        <v>0.46</v>
      </c>
      <c r="Q535">
        <v>6210</v>
      </c>
      <c r="R535" t="s">
        <v>204</v>
      </c>
      <c r="S535">
        <v>0</v>
      </c>
      <c r="T535">
        <v>0</v>
      </c>
      <c r="U535" s="10">
        <v>43118</v>
      </c>
      <c r="V535" t="s">
        <v>3289</v>
      </c>
      <c r="W535">
        <v>1</v>
      </c>
      <c r="X535" s="10">
        <v>43120</v>
      </c>
      <c r="Y535"/>
      <c r="Z535" s="10"/>
      <c r="AA535"/>
      <c r="AB535"/>
      <c r="AC535"/>
      <c r="AD535"/>
    </row>
    <row r="536" spans="1:30" x14ac:dyDescent="0.4">
      <c r="A536" t="s">
        <v>4893</v>
      </c>
      <c r="B536">
        <v>20180119</v>
      </c>
      <c r="C536">
        <v>8806334348458</v>
      </c>
      <c r="D536" t="s">
        <v>2832</v>
      </c>
      <c r="E536" t="s">
        <v>4894</v>
      </c>
      <c r="F536" t="s">
        <v>203</v>
      </c>
      <c r="G536" t="s">
        <v>2833</v>
      </c>
      <c r="H536">
        <v>0</v>
      </c>
      <c r="I536" t="s">
        <v>379</v>
      </c>
      <c r="J536">
        <v>13500</v>
      </c>
      <c r="K536">
        <v>1</v>
      </c>
      <c r="L536">
        <v>0</v>
      </c>
      <c r="M536">
        <v>0</v>
      </c>
      <c r="N536"/>
      <c r="O536" t="s">
        <v>3544</v>
      </c>
      <c r="P536" s="33">
        <v>0.46</v>
      </c>
      <c r="Q536">
        <v>6210</v>
      </c>
      <c r="R536" t="s">
        <v>204</v>
      </c>
      <c r="S536">
        <v>1</v>
      </c>
      <c r="T536">
        <v>1</v>
      </c>
      <c r="U536"/>
      <c r="V536"/>
      <c r="W536"/>
      <c r="X536"/>
      <c r="Y536"/>
      <c r="Z536"/>
      <c r="AA536"/>
      <c r="AB536"/>
      <c r="AC536"/>
      <c r="AD536"/>
    </row>
    <row r="537" spans="1:30" x14ac:dyDescent="0.4">
      <c r="A537" t="s">
        <v>4895</v>
      </c>
      <c r="B537">
        <v>20180119</v>
      </c>
      <c r="C537">
        <v>8806334371920</v>
      </c>
      <c r="D537" t="s">
        <v>3332</v>
      </c>
      <c r="E537" t="s">
        <v>3546</v>
      </c>
      <c r="F537" t="s">
        <v>203</v>
      </c>
      <c r="G537" t="s">
        <v>3333</v>
      </c>
      <c r="H537">
        <v>0</v>
      </c>
      <c r="I537" t="s">
        <v>379</v>
      </c>
      <c r="J537">
        <v>15000</v>
      </c>
      <c r="K537">
        <v>1</v>
      </c>
      <c r="L537">
        <v>0</v>
      </c>
      <c r="M537">
        <v>1</v>
      </c>
      <c r="N537"/>
      <c r="O537" t="s">
        <v>3544</v>
      </c>
      <c r="P537" s="33">
        <v>0.46</v>
      </c>
      <c r="Q537">
        <v>6900</v>
      </c>
      <c r="R537" t="s">
        <v>204</v>
      </c>
      <c r="S537">
        <v>0</v>
      </c>
      <c r="T537"/>
      <c r="U537" s="10">
        <v>43116</v>
      </c>
      <c r="V537" t="s">
        <v>3289</v>
      </c>
      <c r="W537">
        <v>1</v>
      </c>
      <c r="X537" s="10">
        <v>43118</v>
      </c>
      <c r="Y537"/>
      <c r="Z537" s="10"/>
      <c r="AA537"/>
      <c r="AB537"/>
      <c r="AC537"/>
      <c r="AD537"/>
    </row>
    <row r="538" spans="1:30" x14ac:dyDescent="0.4">
      <c r="A538" t="s">
        <v>4896</v>
      </c>
      <c r="B538">
        <v>20180119</v>
      </c>
      <c r="C538">
        <v>8806334347710</v>
      </c>
      <c r="D538" t="s">
        <v>4897</v>
      </c>
      <c r="E538" t="s">
        <v>4898</v>
      </c>
      <c r="F538" t="s">
        <v>203</v>
      </c>
      <c r="G538" t="s">
        <v>4899</v>
      </c>
      <c r="H538">
        <v>0</v>
      </c>
      <c r="I538" t="s">
        <v>379</v>
      </c>
      <c r="J538">
        <v>4200</v>
      </c>
      <c r="K538">
        <v>1</v>
      </c>
      <c r="L538">
        <v>0</v>
      </c>
      <c r="M538">
        <v>1</v>
      </c>
      <c r="N538"/>
      <c r="O538" t="s">
        <v>3544</v>
      </c>
      <c r="P538" s="33">
        <v>0.46</v>
      </c>
      <c r="Q538">
        <v>1932</v>
      </c>
      <c r="R538" t="s">
        <v>204</v>
      </c>
      <c r="S538">
        <v>0</v>
      </c>
      <c r="T538"/>
      <c r="U538" s="10"/>
      <c r="V538"/>
      <c r="W538"/>
      <c r="X538" s="10"/>
      <c r="Y538"/>
      <c r="Z538" s="10"/>
      <c r="AA538"/>
      <c r="AB538"/>
      <c r="AC538"/>
      <c r="AD538"/>
    </row>
    <row r="539" spans="1:30" x14ac:dyDescent="0.4">
      <c r="A539" t="s">
        <v>4900</v>
      </c>
      <c r="B539">
        <v>20180119</v>
      </c>
      <c r="C539">
        <v>8806334369798</v>
      </c>
      <c r="D539" t="s">
        <v>4901</v>
      </c>
      <c r="E539" t="s">
        <v>3828</v>
      </c>
      <c r="F539" t="s">
        <v>203</v>
      </c>
      <c r="G539" t="s">
        <v>4902</v>
      </c>
      <c r="H539">
        <v>0</v>
      </c>
      <c r="I539" t="s">
        <v>379</v>
      </c>
      <c r="J539">
        <v>6900</v>
      </c>
      <c r="K539">
        <v>1</v>
      </c>
      <c r="L539">
        <v>0</v>
      </c>
      <c r="M539">
        <v>1</v>
      </c>
      <c r="N539"/>
      <c r="O539" t="s">
        <v>3544</v>
      </c>
      <c r="P539" s="33">
        <v>0.46</v>
      </c>
      <c r="Q539">
        <v>3174</v>
      </c>
      <c r="R539" t="s">
        <v>204</v>
      </c>
      <c r="S539">
        <v>0</v>
      </c>
      <c r="T539"/>
      <c r="U539" s="10"/>
      <c r="V539"/>
      <c r="W539"/>
      <c r="X539" s="10"/>
      <c r="Y539"/>
      <c r="Z539" s="10"/>
      <c r="AA539"/>
      <c r="AB539"/>
      <c r="AC539"/>
      <c r="AD539"/>
    </row>
    <row r="540" spans="1:30" x14ac:dyDescent="0.4">
      <c r="A540" t="s">
        <v>4903</v>
      </c>
      <c r="B540">
        <v>20180119</v>
      </c>
      <c r="C540">
        <v>8806334369804</v>
      </c>
      <c r="D540" t="s">
        <v>2834</v>
      </c>
      <c r="E540" t="s">
        <v>1865</v>
      </c>
      <c r="F540" t="s">
        <v>203</v>
      </c>
      <c r="G540" t="s">
        <v>2835</v>
      </c>
      <c r="H540">
        <v>0</v>
      </c>
      <c r="I540" t="s">
        <v>379</v>
      </c>
      <c r="J540">
        <v>6900</v>
      </c>
      <c r="K540">
        <v>1</v>
      </c>
      <c r="L540">
        <v>0</v>
      </c>
      <c r="M540">
        <v>0</v>
      </c>
      <c r="N540"/>
      <c r="O540" t="s">
        <v>3544</v>
      </c>
      <c r="P540" s="33">
        <v>0.46</v>
      </c>
      <c r="Q540">
        <v>3174</v>
      </c>
      <c r="R540" t="s">
        <v>204</v>
      </c>
      <c r="S540">
        <v>1</v>
      </c>
      <c r="T540">
        <v>1</v>
      </c>
      <c r="U540"/>
      <c r="V540"/>
      <c r="W540"/>
      <c r="X540"/>
      <c r="Y540"/>
      <c r="Z540"/>
      <c r="AA540"/>
      <c r="AB540"/>
      <c r="AC540"/>
      <c r="AD540"/>
    </row>
    <row r="541" spans="1:30" x14ac:dyDescent="0.4">
      <c r="A541" t="s">
        <v>4904</v>
      </c>
      <c r="B541">
        <v>20180119</v>
      </c>
      <c r="C541">
        <v>8806334339845</v>
      </c>
      <c r="D541" t="s">
        <v>4905</v>
      </c>
      <c r="E541" t="s">
        <v>4562</v>
      </c>
      <c r="F541" t="s">
        <v>203</v>
      </c>
      <c r="G541" t="s">
        <v>4906</v>
      </c>
      <c r="H541">
        <v>0</v>
      </c>
      <c r="I541" t="s">
        <v>379</v>
      </c>
      <c r="J541">
        <v>4900</v>
      </c>
      <c r="K541">
        <v>1</v>
      </c>
      <c r="L541">
        <v>0</v>
      </c>
      <c r="M541">
        <v>1</v>
      </c>
      <c r="N541"/>
      <c r="O541" t="s">
        <v>3544</v>
      </c>
      <c r="P541" s="33">
        <v>0.46</v>
      </c>
      <c r="Q541">
        <v>2254</v>
      </c>
      <c r="R541" t="s">
        <v>204</v>
      </c>
      <c r="S541">
        <v>0</v>
      </c>
      <c r="T541"/>
      <c r="U541" s="10"/>
      <c r="V541"/>
      <c r="W541"/>
      <c r="X541" s="10"/>
      <c r="Y541"/>
      <c r="Z541" s="10"/>
      <c r="AA541"/>
      <c r="AB541"/>
      <c r="AC541"/>
      <c r="AD541"/>
    </row>
    <row r="542" spans="1:30" x14ac:dyDescent="0.4">
      <c r="A542" t="s">
        <v>4907</v>
      </c>
      <c r="B542">
        <v>20180119</v>
      </c>
      <c r="C542">
        <v>8806334357931</v>
      </c>
      <c r="D542" t="s">
        <v>2842</v>
      </c>
      <c r="E542"/>
      <c r="F542" t="s">
        <v>203</v>
      </c>
      <c r="G542" t="s">
        <v>2843</v>
      </c>
      <c r="H542">
        <v>0</v>
      </c>
      <c r="I542" t="s">
        <v>379</v>
      </c>
      <c r="J542">
        <v>7900</v>
      </c>
      <c r="K542">
        <v>1</v>
      </c>
      <c r="L542">
        <v>0</v>
      </c>
      <c r="M542">
        <v>0</v>
      </c>
      <c r="N542"/>
      <c r="O542" t="s">
        <v>3544</v>
      </c>
      <c r="P542" s="33">
        <v>0.46</v>
      </c>
      <c r="Q542">
        <v>3634</v>
      </c>
      <c r="R542" t="s">
        <v>204</v>
      </c>
      <c r="S542">
        <v>1</v>
      </c>
      <c r="T542">
        <v>1</v>
      </c>
      <c r="U542"/>
      <c r="V542"/>
      <c r="W542"/>
      <c r="X542"/>
      <c r="Y542"/>
      <c r="Z542"/>
      <c r="AA542"/>
      <c r="AB542"/>
      <c r="AC542"/>
      <c r="AD542"/>
    </row>
    <row r="543" spans="1:30" x14ac:dyDescent="0.4">
      <c r="A543" t="s">
        <v>4908</v>
      </c>
      <c r="B543">
        <v>20180119</v>
      </c>
      <c r="C543">
        <v>8806334341862</v>
      </c>
      <c r="D543" t="s">
        <v>4909</v>
      </c>
      <c r="E543" t="s">
        <v>4910</v>
      </c>
      <c r="F543" t="s">
        <v>203</v>
      </c>
      <c r="G543" t="s">
        <v>4911</v>
      </c>
      <c r="H543">
        <v>0</v>
      </c>
      <c r="I543" t="s">
        <v>379</v>
      </c>
      <c r="J543">
        <v>6900</v>
      </c>
      <c r="K543">
        <v>2</v>
      </c>
      <c r="L543">
        <v>1</v>
      </c>
      <c r="M543">
        <v>1</v>
      </c>
      <c r="N543"/>
      <c r="O543" t="s">
        <v>3544</v>
      </c>
      <c r="P543" s="33">
        <v>0.46</v>
      </c>
      <c r="Q543">
        <v>3174</v>
      </c>
      <c r="R543" t="s">
        <v>204</v>
      </c>
      <c r="S543">
        <v>1</v>
      </c>
      <c r="T543"/>
      <c r="U543" s="10"/>
      <c r="V543"/>
      <c r="W543"/>
      <c r="X543" s="10"/>
      <c r="Y543"/>
      <c r="Z543" s="10"/>
      <c r="AA543"/>
      <c r="AB543"/>
      <c r="AC543"/>
      <c r="AD543"/>
    </row>
    <row r="544" spans="1:30" x14ac:dyDescent="0.4">
      <c r="A544" t="s">
        <v>4912</v>
      </c>
      <c r="B544">
        <v>20180119</v>
      </c>
      <c r="C544">
        <v>8806334372545</v>
      </c>
      <c r="D544" t="s">
        <v>2844</v>
      </c>
      <c r="E544" t="s">
        <v>4913</v>
      </c>
      <c r="F544" t="s">
        <v>203</v>
      </c>
      <c r="G544" t="s">
        <v>2845</v>
      </c>
      <c r="H544">
        <v>0</v>
      </c>
      <c r="I544" t="s">
        <v>379</v>
      </c>
      <c r="J544">
        <v>5900</v>
      </c>
      <c r="K544">
        <v>1</v>
      </c>
      <c r="L544">
        <v>0</v>
      </c>
      <c r="M544">
        <v>0</v>
      </c>
      <c r="N544"/>
      <c r="O544" t="s">
        <v>3544</v>
      </c>
      <c r="P544" s="33">
        <v>0.46</v>
      </c>
      <c r="Q544">
        <v>2714</v>
      </c>
      <c r="R544" t="s">
        <v>204</v>
      </c>
      <c r="S544">
        <v>1</v>
      </c>
      <c r="T544">
        <v>1</v>
      </c>
      <c r="U544"/>
      <c r="V544"/>
      <c r="W544"/>
      <c r="X544"/>
      <c r="Y544"/>
      <c r="Z544"/>
      <c r="AA544"/>
      <c r="AB544"/>
      <c r="AC544"/>
      <c r="AD544"/>
    </row>
    <row r="545" spans="1:30" x14ac:dyDescent="0.4">
      <c r="A545" t="s">
        <v>4914</v>
      </c>
      <c r="B545">
        <v>20180119</v>
      </c>
      <c r="C545">
        <v>8806334372514</v>
      </c>
      <c r="D545" t="s">
        <v>4915</v>
      </c>
      <c r="E545" t="s">
        <v>4916</v>
      </c>
      <c r="F545" t="s">
        <v>203</v>
      </c>
      <c r="G545" t="s">
        <v>4917</v>
      </c>
      <c r="H545">
        <v>0</v>
      </c>
      <c r="I545" t="s">
        <v>379</v>
      </c>
      <c r="J545">
        <v>4900</v>
      </c>
      <c r="K545">
        <v>1</v>
      </c>
      <c r="L545">
        <v>0</v>
      </c>
      <c r="M545">
        <v>1</v>
      </c>
      <c r="N545"/>
      <c r="O545" t="s">
        <v>3544</v>
      </c>
      <c r="P545" s="33">
        <v>0.46</v>
      </c>
      <c r="Q545">
        <v>2254</v>
      </c>
      <c r="R545" t="s">
        <v>204</v>
      </c>
      <c r="S545">
        <v>0</v>
      </c>
      <c r="T545"/>
      <c r="U545" s="10"/>
      <c r="V545"/>
      <c r="W545"/>
      <c r="X545" s="10"/>
      <c r="Y545"/>
      <c r="Z545" s="10"/>
      <c r="AA545"/>
      <c r="AB545"/>
      <c r="AC545"/>
      <c r="AD545"/>
    </row>
    <row r="546" spans="1:30" x14ac:dyDescent="0.4">
      <c r="A546" t="s">
        <v>4918</v>
      </c>
      <c r="B546">
        <v>20180119</v>
      </c>
      <c r="C546">
        <v>8801051961799</v>
      </c>
      <c r="D546" t="s">
        <v>1216</v>
      </c>
      <c r="E546" t="s">
        <v>1224</v>
      </c>
      <c r="F546" t="s">
        <v>189</v>
      </c>
      <c r="G546" t="s">
        <v>1217</v>
      </c>
      <c r="H546">
        <v>0</v>
      </c>
      <c r="I546" t="s">
        <v>379</v>
      </c>
      <c r="J546">
        <v>18000</v>
      </c>
      <c r="K546">
        <v>2</v>
      </c>
      <c r="L546">
        <v>0</v>
      </c>
      <c r="M546">
        <v>2</v>
      </c>
      <c r="N546"/>
      <c r="O546" t="s">
        <v>3544</v>
      </c>
      <c r="P546" s="33">
        <v>0.75</v>
      </c>
      <c r="Q546">
        <v>13500</v>
      </c>
      <c r="R546" t="s">
        <v>190</v>
      </c>
      <c r="S546">
        <v>0</v>
      </c>
      <c r="T546"/>
      <c r="U546" s="10"/>
      <c r="V546"/>
      <c r="W546"/>
      <c r="X546" s="10"/>
      <c r="Y546"/>
      <c r="Z546" s="10"/>
      <c r="AA546"/>
      <c r="AB546"/>
      <c r="AC546"/>
      <c r="AD546"/>
    </row>
    <row r="547" spans="1:3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 s="10"/>
      <c r="V547"/>
      <c r="W547"/>
      <c r="X547" s="10"/>
      <c r="Y547"/>
      <c r="Z547" s="10"/>
      <c r="AA547"/>
      <c r="AB547"/>
      <c r="AC547"/>
      <c r="AD547"/>
    </row>
    <row r="548" spans="1:3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 s="10"/>
      <c r="V548"/>
      <c r="W548"/>
      <c r="X548" s="10"/>
      <c r="Y548"/>
      <c r="Z548" s="10"/>
      <c r="AA548"/>
      <c r="AB548"/>
      <c r="AC548"/>
      <c r="AD548"/>
    </row>
    <row r="549" spans="1:3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 s="10"/>
      <c r="V549"/>
      <c r="W549"/>
      <c r="X549" s="10"/>
      <c r="Y549"/>
      <c r="Z549" s="10"/>
      <c r="AA549"/>
      <c r="AB549"/>
      <c r="AC549"/>
      <c r="AD549"/>
    </row>
    <row r="550" spans="1:3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 s="10"/>
      <c r="V550"/>
      <c r="W550"/>
      <c r="X550" s="10"/>
      <c r="Y550"/>
      <c r="Z550" s="10"/>
      <c r="AA550"/>
      <c r="AB550"/>
      <c r="AC550"/>
      <c r="AD550"/>
    </row>
    <row r="551" spans="1:3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 s="10"/>
      <c r="V551"/>
      <c r="W551"/>
      <c r="X551" s="10"/>
      <c r="Y551"/>
      <c r="Z551" s="10"/>
      <c r="AA551"/>
      <c r="AB551"/>
      <c r="AC551"/>
      <c r="AD551"/>
    </row>
    <row r="552" spans="1:3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 s="10"/>
      <c r="V552"/>
      <c r="W552"/>
      <c r="X552" s="10"/>
      <c r="Y552"/>
      <c r="Z552" s="10"/>
      <c r="AA552"/>
      <c r="AB552"/>
      <c r="AC552"/>
      <c r="AD552"/>
    </row>
    <row r="553" spans="1:3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 s="10"/>
      <c r="V553"/>
      <c r="W553"/>
      <c r="X553" s="10"/>
      <c r="Y553"/>
      <c r="Z553" s="10"/>
      <c r="AA553"/>
      <c r="AB553"/>
      <c r="AC553"/>
      <c r="AD553"/>
    </row>
    <row r="554" spans="1:3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 s="10"/>
      <c r="V554"/>
      <c r="W554"/>
      <c r="X554" s="10"/>
      <c r="Y554"/>
      <c r="Z554" s="10"/>
      <c r="AA554"/>
      <c r="AB554"/>
      <c r="AC554"/>
      <c r="AD554"/>
    </row>
    <row r="555" spans="1:3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 s="10"/>
      <c r="V555"/>
      <c r="W555"/>
      <c r="X555" s="10"/>
      <c r="Y555"/>
      <c r="Z555" s="10"/>
      <c r="AA555"/>
      <c r="AB555"/>
      <c r="AC555"/>
      <c r="AD555"/>
    </row>
    <row r="556" spans="1:3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 s="10"/>
      <c r="V556"/>
      <c r="W556"/>
      <c r="X556" s="10"/>
      <c r="Y556"/>
      <c r="Z556" s="10"/>
      <c r="AA556"/>
      <c r="AB556"/>
      <c r="AC556"/>
      <c r="AD556"/>
    </row>
    <row r="557" spans="1:3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 s="10"/>
      <c r="V557"/>
      <c r="W557"/>
      <c r="X557" s="10"/>
      <c r="Y557"/>
      <c r="Z557" s="10"/>
      <c r="AA557"/>
      <c r="AB557"/>
      <c r="AC557"/>
      <c r="AD557"/>
    </row>
    <row r="558" spans="1:3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 s="10"/>
      <c r="V558"/>
      <c r="W558"/>
      <c r="X558" s="10"/>
      <c r="Y558"/>
      <c r="Z558" s="10"/>
      <c r="AA558"/>
      <c r="AB558"/>
      <c r="AC558"/>
      <c r="AD558"/>
    </row>
    <row r="559" spans="1:3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 s="10"/>
      <c r="V559"/>
      <c r="W559"/>
      <c r="X559" s="10"/>
      <c r="Y559"/>
      <c r="Z559" s="10"/>
      <c r="AA559"/>
      <c r="AB559"/>
      <c r="AC559"/>
      <c r="AD559"/>
    </row>
    <row r="560" spans="1:3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 s="10"/>
      <c r="V560"/>
      <c r="W560"/>
      <c r="X560" s="10"/>
      <c r="Y560"/>
      <c r="Z560" s="10"/>
      <c r="AA560"/>
      <c r="AB560"/>
      <c r="AC560"/>
      <c r="AD560"/>
    </row>
    <row r="561" spans="1:3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 s="10"/>
      <c r="V561"/>
      <c r="W561"/>
      <c r="X561" s="10"/>
      <c r="Y561"/>
      <c r="Z561" s="10"/>
      <c r="AA561"/>
      <c r="AB561"/>
      <c r="AC561"/>
      <c r="AD561"/>
    </row>
    <row r="562" spans="1:3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 s="10"/>
      <c r="V562"/>
      <c r="W562"/>
      <c r="X562" s="10"/>
      <c r="Y562"/>
      <c r="Z562" s="10"/>
      <c r="AA562"/>
      <c r="AB562"/>
      <c r="AC562"/>
      <c r="AD562"/>
    </row>
    <row r="563" spans="1:3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 s="10"/>
      <c r="V563"/>
      <c r="W563"/>
      <c r="X563" s="10"/>
      <c r="Y563"/>
      <c r="Z563" s="10"/>
      <c r="AA563"/>
      <c r="AB563"/>
      <c r="AC563"/>
      <c r="AD563"/>
    </row>
    <row r="564" spans="1:30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 s="10"/>
      <c r="V564"/>
      <c r="W564"/>
      <c r="X564" s="10"/>
      <c r="Y564"/>
      <c r="Z564" s="10"/>
      <c r="AA564"/>
      <c r="AB564"/>
      <c r="AC564"/>
      <c r="AD564"/>
    </row>
    <row r="565" spans="1:30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 s="10"/>
      <c r="V565"/>
      <c r="W565"/>
      <c r="X565" s="10"/>
      <c r="Y565"/>
      <c r="Z565" s="10"/>
      <c r="AA565"/>
      <c r="AB565"/>
      <c r="AC565"/>
      <c r="AD565"/>
    </row>
    <row r="566" spans="1:30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 s="10"/>
      <c r="V566"/>
      <c r="W566"/>
      <c r="X566" s="10"/>
      <c r="Y566"/>
      <c r="Z566" s="10"/>
      <c r="AA566"/>
      <c r="AB566"/>
      <c r="AC566"/>
      <c r="AD566"/>
    </row>
    <row r="567" spans="1:30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 s="10"/>
      <c r="V567"/>
      <c r="W567"/>
      <c r="X567" s="10"/>
      <c r="Y567"/>
      <c r="Z567" s="10"/>
      <c r="AA567"/>
      <c r="AB567"/>
      <c r="AC567"/>
      <c r="AD567"/>
    </row>
    <row r="568" spans="1:30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 s="10"/>
      <c r="V568"/>
      <c r="W568"/>
      <c r="X568" s="10"/>
      <c r="Y568"/>
      <c r="Z568" s="10"/>
      <c r="AA568"/>
      <c r="AB568"/>
      <c r="AC568"/>
      <c r="AD568"/>
    </row>
    <row r="569" spans="1:30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 s="10"/>
      <c r="V569"/>
      <c r="W569"/>
      <c r="X569" s="10"/>
      <c r="Y569"/>
      <c r="Z569" s="10"/>
      <c r="AA569"/>
      <c r="AB569"/>
      <c r="AC569"/>
      <c r="AD569"/>
    </row>
    <row r="570" spans="1:30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 s="10"/>
      <c r="V570"/>
      <c r="W570"/>
      <c r="X570" s="10"/>
      <c r="Y570"/>
      <c r="Z570" s="10"/>
      <c r="AA570"/>
      <c r="AB570"/>
      <c r="AC570"/>
      <c r="AD570"/>
    </row>
    <row r="571" spans="1:30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 s="10"/>
      <c r="V571"/>
      <c r="W571"/>
      <c r="X571" s="10"/>
      <c r="Y571"/>
      <c r="Z571" s="10"/>
      <c r="AA571"/>
      <c r="AB571"/>
      <c r="AC571"/>
      <c r="AD571"/>
    </row>
    <row r="572" spans="1:30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 s="10"/>
      <c r="V572"/>
      <c r="W572"/>
      <c r="X572" s="10"/>
      <c r="Y572"/>
      <c r="Z572" s="10"/>
      <c r="AA572"/>
      <c r="AB572"/>
      <c r="AC572"/>
      <c r="AD572"/>
    </row>
    <row r="573" spans="1:30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 s="10"/>
      <c r="V573"/>
      <c r="W573"/>
      <c r="X573" s="10"/>
      <c r="Y573"/>
      <c r="Z573" s="10"/>
      <c r="AA573"/>
      <c r="AB573"/>
      <c r="AC573"/>
      <c r="AD573"/>
    </row>
    <row r="574" spans="1:30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 s="10"/>
      <c r="V574"/>
      <c r="W574"/>
      <c r="X574" s="10"/>
      <c r="Y574"/>
      <c r="Z574" s="10"/>
      <c r="AA574"/>
      <c r="AB574"/>
      <c r="AC574"/>
      <c r="AD574"/>
    </row>
    <row r="575" spans="1:30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 s="10"/>
      <c r="V575"/>
      <c r="W575"/>
      <c r="X575" s="10"/>
      <c r="Y575"/>
      <c r="Z575" s="10"/>
      <c r="AA575"/>
      <c r="AB575"/>
      <c r="AC575"/>
      <c r="AD575"/>
    </row>
    <row r="576" spans="1:30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 s="10"/>
      <c r="V576"/>
      <c r="W576"/>
      <c r="X576" s="10"/>
      <c r="Y576"/>
      <c r="Z576" s="10"/>
      <c r="AA576"/>
      <c r="AB576"/>
      <c r="AC576"/>
      <c r="AD576"/>
    </row>
    <row r="577" spans="1:30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 s="10"/>
      <c r="V577"/>
      <c r="W577"/>
      <c r="X577" s="10"/>
      <c r="Y577"/>
      <c r="Z577" s="10"/>
      <c r="AA577"/>
      <c r="AB577"/>
      <c r="AC577"/>
      <c r="AD577"/>
    </row>
    <row r="578" spans="1:30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 s="10"/>
      <c r="V578"/>
      <c r="W578"/>
      <c r="X578" s="10"/>
      <c r="Y578"/>
      <c r="Z578" s="10"/>
      <c r="AA578"/>
      <c r="AB578"/>
      <c r="AC578"/>
      <c r="AD578"/>
    </row>
    <row r="579" spans="1:30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 s="10"/>
      <c r="V579"/>
      <c r="W579"/>
      <c r="X579" s="10"/>
      <c r="Y579"/>
      <c r="Z579" s="10"/>
      <c r="AA579"/>
      <c r="AB579"/>
      <c r="AC579"/>
      <c r="AD579"/>
    </row>
    <row r="580" spans="1:30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 s="10"/>
      <c r="V580"/>
      <c r="W580"/>
      <c r="X580" s="10"/>
      <c r="Y580"/>
      <c r="Z580" s="10"/>
      <c r="AA580"/>
      <c r="AB580"/>
      <c r="AC580"/>
      <c r="AD580"/>
    </row>
    <row r="581" spans="1:30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 s="10"/>
      <c r="V581"/>
      <c r="W581"/>
      <c r="X581" s="10"/>
      <c r="Y581"/>
      <c r="Z581" s="10"/>
      <c r="AA581"/>
      <c r="AB581"/>
      <c r="AC581"/>
      <c r="AD581"/>
    </row>
    <row r="582" spans="1:30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 s="10"/>
      <c r="V582"/>
      <c r="W582"/>
      <c r="X582" s="10"/>
      <c r="Y582"/>
      <c r="Z582" s="10"/>
      <c r="AA582"/>
      <c r="AB582"/>
      <c r="AC582"/>
      <c r="AD582"/>
    </row>
    <row r="583" spans="1:30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 s="10"/>
      <c r="V583"/>
      <c r="W583"/>
      <c r="X583" s="10"/>
      <c r="Y583"/>
      <c r="Z583" s="10"/>
      <c r="AA583"/>
      <c r="AB583"/>
      <c r="AC583"/>
      <c r="AD583"/>
    </row>
    <row r="584" spans="1:30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 s="10"/>
      <c r="V584"/>
      <c r="W584"/>
      <c r="X584" s="10"/>
      <c r="Y584"/>
      <c r="Z584" s="10"/>
      <c r="AA584"/>
      <c r="AB584"/>
      <c r="AC584"/>
      <c r="AD584"/>
    </row>
    <row r="585" spans="1:30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 s="10"/>
      <c r="V585"/>
      <c r="W585"/>
      <c r="X585" s="10"/>
      <c r="Y585"/>
      <c r="Z585" s="10"/>
      <c r="AA585"/>
      <c r="AB585"/>
      <c r="AC585"/>
      <c r="AD585"/>
    </row>
    <row r="586" spans="1:30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 s="10"/>
      <c r="V586"/>
      <c r="W586"/>
      <c r="X586" s="10"/>
      <c r="Y586"/>
      <c r="Z586" s="10"/>
      <c r="AA586"/>
      <c r="AB586"/>
      <c r="AC586"/>
      <c r="AD586"/>
    </row>
    <row r="587" spans="1:30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 s="10"/>
      <c r="V587"/>
      <c r="W587"/>
      <c r="X587" s="10"/>
      <c r="Y587"/>
      <c r="Z587" s="10"/>
      <c r="AA587"/>
      <c r="AB587"/>
      <c r="AC587"/>
      <c r="AD587"/>
    </row>
    <row r="588" spans="1:30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 s="10"/>
      <c r="V588"/>
      <c r="W588"/>
      <c r="X588" s="10"/>
      <c r="Y588"/>
      <c r="Z588" s="10"/>
      <c r="AA588"/>
      <c r="AB588"/>
      <c r="AC588"/>
      <c r="AD588"/>
    </row>
    <row r="589" spans="1:30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 s="10"/>
      <c r="V589"/>
      <c r="W589"/>
      <c r="X589" s="10"/>
      <c r="Y589"/>
      <c r="Z589" s="10"/>
      <c r="AA589"/>
      <c r="AB589"/>
      <c r="AC589"/>
      <c r="AD589"/>
    </row>
    <row r="590" spans="1:30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 s="10"/>
      <c r="V590"/>
      <c r="W590"/>
      <c r="X590" s="10"/>
      <c r="Y590"/>
      <c r="Z590" s="10"/>
      <c r="AA590"/>
      <c r="AB590"/>
      <c r="AC590"/>
      <c r="AD590"/>
    </row>
    <row r="591" spans="1:30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 s="10"/>
      <c r="V591"/>
      <c r="W591"/>
      <c r="X591" s="10"/>
      <c r="Y591"/>
      <c r="Z591" s="10"/>
      <c r="AA591"/>
      <c r="AB591"/>
      <c r="AC591"/>
      <c r="AD591"/>
    </row>
    <row r="592" spans="1:30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 s="10"/>
      <c r="V592"/>
      <c r="W592"/>
      <c r="X592" s="10"/>
      <c r="Y592"/>
      <c r="Z592" s="10"/>
      <c r="AA592"/>
      <c r="AB592"/>
      <c r="AC592"/>
      <c r="AD592"/>
    </row>
    <row r="593" spans="1:30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 s="10"/>
      <c r="V593"/>
      <c r="W593"/>
      <c r="X593" s="10"/>
      <c r="Y593"/>
      <c r="Z593" s="10"/>
      <c r="AA593"/>
      <c r="AB593"/>
      <c r="AC593"/>
      <c r="AD593"/>
    </row>
    <row r="594" spans="1:30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 s="10"/>
      <c r="V594"/>
      <c r="W594"/>
      <c r="X594" s="10"/>
      <c r="Y594"/>
      <c r="Z594" s="10"/>
      <c r="AA594"/>
      <c r="AB594"/>
      <c r="AC594"/>
      <c r="AD594"/>
    </row>
    <row r="595" spans="1:30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 s="10"/>
      <c r="V595"/>
      <c r="W595"/>
      <c r="X595" s="10"/>
      <c r="Y595"/>
      <c r="Z595" s="10"/>
      <c r="AA595"/>
      <c r="AB595"/>
      <c r="AC595"/>
      <c r="AD595"/>
    </row>
    <row r="596" spans="1:30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 s="10"/>
      <c r="V596"/>
      <c r="W596"/>
      <c r="X596" s="10"/>
      <c r="Y596"/>
      <c r="Z596" s="10"/>
      <c r="AA596"/>
      <c r="AB596"/>
      <c r="AC596"/>
      <c r="AD596"/>
    </row>
    <row r="597" spans="1:30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 s="10"/>
      <c r="V597"/>
      <c r="W597"/>
      <c r="X597" s="10"/>
      <c r="Y597"/>
      <c r="Z597" s="10"/>
      <c r="AA597"/>
      <c r="AB597"/>
      <c r="AC597"/>
      <c r="AD597"/>
    </row>
    <row r="598" spans="1:30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 s="10"/>
      <c r="V598"/>
      <c r="W598"/>
      <c r="X598" s="10"/>
      <c r="Y598"/>
      <c r="Z598" s="10"/>
      <c r="AA598"/>
      <c r="AB598"/>
      <c r="AC598"/>
      <c r="AD598"/>
    </row>
    <row r="599" spans="1:30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 s="10"/>
      <c r="V599"/>
      <c r="W599"/>
      <c r="X599" s="10"/>
      <c r="Y599"/>
      <c r="Z599" s="10"/>
      <c r="AA599"/>
      <c r="AB599"/>
      <c r="AC599"/>
      <c r="AD599"/>
    </row>
    <row r="600" spans="1:30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 s="10"/>
      <c r="V600"/>
      <c r="W600"/>
      <c r="X600" s="10"/>
      <c r="Y600"/>
      <c r="Z600" s="10"/>
      <c r="AA600"/>
      <c r="AB600"/>
      <c r="AC600"/>
      <c r="AD600"/>
    </row>
    <row r="601" spans="1:30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 s="10"/>
      <c r="V601"/>
      <c r="W601"/>
      <c r="X601" s="10"/>
      <c r="Y601"/>
      <c r="Z601" s="10"/>
      <c r="AA601"/>
      <c r="AB601"/>
      <c r="AC601"/>
      <c r="AD601"/>
    </row>
    <row r="602" spans="1:30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 s="10"/>
      <c r="V602"/>
      <c r="W602"/>
      <c r="X602" s="10"/>
      <c r="Y602"/>
      <c r="Z602" s="10"/>
      <c r="AA602"/>
      <c r="AB602"/>
      <c r="AC602"/>
      <c r="AD602"/>
    </row>
    <row r="603" spans="1:30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 s="10"/>
      <c r="V603"/>
      <c r="W603"/>
      <c r="X603" s="10"/>
      <c r="Y603"/>
      <c r="Z603" s="10"/>
      <c r="AA603"/>
      <c r="AB603"/>
      <c r="AC603"/>
      <c r="AD603"/>
    </row>
    <row r="604" spans="1:30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 s="10"/>
      <c r="V604"/>
      <c r="W604"/>
      <c r="X604" s="10"/>
      <c r="Y604"/>
      <c r="Z604" s="10"/>
      <c r="AA604"/>
      <c r="AB604"/>
      <c r="AC604"/>
      <c r="AD604"/>
    </row>
    <row r="605" spans="1:30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 s="10"/>
      <c r="V605"/>
      <c r="W605"/>
      <c r="X605" s="10"/>
      <c r="Y605"/>
      <c r="Z605" s="10"/>
      <c r="AA605"/>
      <c r="AB605"/>
      <c r="AC605"/>
      <c r="AD605"/>
    </row>
    <row r="606" spans="1:30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 s="10"/>
      <c r="V606"/>
      <c r="W606"/>
      <c r="X606" s="10"/>
      <c r="Y606"/>
      <c r="Z606" s="10"/>
      <c r="AA606"/>
      <c r="AB606"/>
      <c r="AC606"/>
      <c r="AD606"/>
    </row>
    <row r="607" spans="1:30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 s="10"/>
      <c r="V607"/>
      <c r="W607"/>
      <c r="X607" s="10"/>
      <c r="Y607"/>
      <c r="Z607" s="10"/>
      <c r="AA607"/>
      <c r="AB607"/>
      <c r="AC607"/>
      <c r="AD607"/>
    </row>
    <row r="608" spans="1:30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 s="10"/>
      <c r="V608"/>
      <c r="W608"/>
      <c r="X608" s="10"/>
      <c r="Y608"/>
      <c r="Z608" s="10"/>
      <c r="AA608"/>
      <c r="AB608"/>
      <c r="AC608"/>
      <c r="AD608"/>
    </row>
    <row r="609" spans="1:30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 s="10"/>
      <c r="V609"/>
      <c r="W609"/>
      <c r="X609" s="10"/>
      <c r="Y609"/>
      <c r="Z609" s="10"/>
      <c r="AA609"/>
      <c r="AB609"/>
      <c r="AC609"/>
      <c r="AD609"/>
    </row>
    <row r="610" spans="1:30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 s="10"/>
      <c r="V610"/>
      <c r="W610"/>
      <c r="X610" s="10"/>
      <c r="Y610"/>
      <c r="Z610" s="10"/>
      <c r="AA610"/>
      <c r="AB610"/>
      <c r="AC610"/>
      <c r="AD610"/>
    </row>
    <row r="611" spans="1:30" x14ac:dyDescent="0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 s="10"/>
      <c r="V611"/>
      <c r="W611"/>
      <c r="X611" s="10"/>
      <c r="Y611"/>
      <c r="Z611" s="10"/>
      <c r="AA611"/>
      <c r="AB611"/>
      <c r="AC611"/>
      <c r="AD611"/>
    </row>
    <row r="612" spans="1:30" x14ac:dyDescent="0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 s="10"/>
      <c r="V612"/>
      <c r="W612"/>
      <c r="X612" s="10"/>
      <c r="Y612"/>
      <c r="Z612" s="10"/>
      <c r="AA612"/>
      <c r="AB612"/>
      <c r="AC612"/>
      <c r="AD612"/>
    </row>
    <row r="613" spans="1:30" x14ac:dyDescent="0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 s="10"/>
      <c r="V613"/>
      <c r="W613"/>
      <c r="X613" s="10"/>
      <c r="Y613"/>
      <c r="Z613" s="10"/>
      <c r="AA613"/>
      <c r="AB613"/>
      <c r="AC613"/>
      <c r="AD613"/>
    </row>
    <row r="614" spans="1:30" x14ac:dyDescent="0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 s="10"/>
      <c r="V614"/>
      <c r="W614"/>
      <c r="X614" s="10"/>
      <c r="Y614"/>
      <c r="Z614" s="10"/>
      <c r="AA614"/>
      <c r="AB614"/>
      <c r="AC614"/>
      <c r="AD614"/>
    </row>
    <row r="615" spans="1:30" x14ac:dyDescent="0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 s="10"/>
      <c r="V615"/>
      <c r="W615"/>
      <c r="X615" s="10"/>
      <c r="Y615"/>
      <c r="Z615" s="10"/>
      <c r="AA615"/>
      <c r="AB615"/>
      <c r="AC615"/>
      <c r="AD615"/>
    </row>
    <row r="616" spans="1:30" x14ac:dyDescent="0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 s="10"/>
      <c r="V616"/>
      <c r="W616"/>
      <c r="X616" s="10"/>
      <c r="Y616"/>
      <c r="Z616" s="10"/>
      <c r="AA616"/>
      <c r="AB616"/>
      <c r="AC616"/>
      <c r="AD616"/>
    </row>
    <row r="617" spans="1:30" x14ac:dyDescent="0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 s="10"/>
      <c r="V617"/>
      <c r="W617"/>
      <c r="X617" s="10"/>
      <c r="Y617"/>
      <c r="Z617" s="10"/>
      <c r="AA617"/>
      <c r="AB617"/>
      <c r="AC617"/>
      <c r="AD617"/>
    </row>
    <row r="618" spans="1:30" x14ac:dyDescent="0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 s="10"/>
      <c r="V618"/>
      <c r="W618"/>
      <c r="X618" s="10"/>
      <c r="Y618"/>
      <c r="Z618" s="10"/>
      <c r="AA618"/>
      <c r="AB618"/>
      <c r="AC618"/>
      <c r="AD618"/>
    </row>
    <row r="619" spans="1:30" x14ac:dyDescent="0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 s="10"/>
      <c r="V619"/>
      <c r="W619"/>
      <c r="X619" s="10"/>
      <c r="Y619"/>
      <c r="Z619" s="10"/>
      <c r="AA619"/>
      <c r="AB619"/>
      <c r="AC619"/>
      <c r="AD619"/>
    </row>
    <row r="620" spans="1:30" x14ac:dyDescent="0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 s="10"/>
      <c r="V620"/>
      <c r="W620"/>
      <c r="X620" s="10"/>
      <c r="Y620"/>
      <c r="Z620" s="10"/>
      <c r="AA620"/>
      <c r="AB620"/>
      <c r="AC620"/>
      <c r="AD620"/>
    </row>
    <row r="621" spans="1:30" x14ac:dyDescent="0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 s="10"/>
      <c r="V621"/>
      <c r="W621"/>
      <c r="X621" s="10"/>
      <c r="Y621"/>
      <c r="Z621" s="10"/>
      <c r="AA621"/>
      <c r="AB621"/>
      <c r="AC621"/>
      <c r="AD621"/>
    </row>
    <row r="622" spans="1:30" x14ac:dyDescent="0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 s="10"/>
      <c r="V622"/>
      <c r="W622"/>
      <c r="X622" s="10"/>
      <c r="Y622"/>
      <c r="Z622" s="10"/>
      <c r="AA622"/>
      <c r="AB622"/>
      <c r="AC622"/>
      <c r="AD622"/>
    </row>
    <row r="623" spans="1:30" x14ac:dyDescent="0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 s="10"/>
      <c r="V623"/>
      <c r="W623"/>
      <c r="X623" s="10"/>
      <c r="Y623"/>
      <c r="Z623" s="10"/>
      <c r="AA623"/>
      <c r="AB623"/>
      <c r="AC623"/>
      <c r="AD623"/>
    </row>
    <row r="624" spans="1:30" x14ac:dyDescent="0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 s="10"/>
      <c r="V624"/>
      <c r="W624"/>
      <c r="X624" s="10"/>
      <c r="Y624"/>
      <c r="Z624" s="10"/>
      <c r="AA624"/>
      <c r="AB624"/>
      <c r="AC624"/>
      <c r="AD624"/>
    </row>
    <row r="625" spans="1:30" x14ac:dyDescent="0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 s="10"/>
      <c r="V625"/>
      <c r="W625"/>
      <c r="X625" s="10"/>
      <c r="Y625"/>
      <c r="Z625" s="10"/>
      <c r="AA625"/>
      <c r="AB625"/>
      <c r="AC625"/>
      <c r="AD625"/>
    </row>
    <row r="626" spans="1:30" x14ac:dyDescent="0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 s="10"/>
      <c r="V626"/>
      <c r="W626"/>
      <c r="X626" s="10"/>
      <c r="Y626"/>
      <c r="Z626" s="10"/>
      <c r="AA626"/>
      <c r="AB626"/>
      <c r="AC626"/>
      <c r="AD626"/>
    </row>
    <row r="627" spans="1:30" x14ac:dyDescent="0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 s="10"/>
      <c r="V627"/>
      <c r="W627"/>
      <c r="X627" s="10"/>
      <c r="Y627"/>
      <c r="Z627" s="10"/>
      <c r="AA627"/>
      <c r="AB627"/>
      <c r="AC627"/>
      <c r="AD627"/>
    </row>
    <row r="628" spans="1:30" x14ac:dyDescent="0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 s="10"/>
      <c r="V628"/>
      <c r="W628"/>
      <c r="X628" s="10"/>
      <c r="Y628"/>
      <c r="Z628" s="10"/>
      <c r="AA628"/>
      <c r="AB628"/>
      <c r="AC628"/>
      <c r="AD628"/>
    </row>
    <row r="629" spans="1:30" x14ac:dyDescent="0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 s="10"/>
      <c r="V629"/>
      <c r="W629"/>
      <c r="X629" s="10"/>
      <c r="Y629"/>
      <c r="Z629" s="10"/>
      <c r="AA629"/>
      <c r="AB629"/>
      <c r="AC629"/>
      <c r="AD629"/>
    </row>
    <row r="630" spans="1:30" x14ac:dyDescent="0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 s="10"/>
      <c r="V630"/>
      <c r="W630"/>
      <c r="X630" s="10"/>
      <c r="Y630"/>
      <c r="Z630" s="10"/>
      <c r="AA630"/>
      <c r="AB630"/>
      <c r="AC630"/>
      <c r="AD630"/>
    </row>
    <row r="631" spans="1:30" x14ac:dyDescent="0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 s="10"/>
      <c r="V631"/>
      <c r="W631"/>
      <c r="X631" s="10"/>
      <c r="Y631"/>
      <c r="Z631" s="10"/>
      <c r="AA631"/>
      <c r="AB631"/>
      <c r="AC631"/>
      <c r="AD631"/>
    </row>
    <row r="632" spans="1:30" x14ac:dyDescent="0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 s="10"/>
      <c r="V632"/>
      <c r="W632"/>
      <c r="X632" s="10"/>
      <c r="Y632"/>
      <c r="Z632" s="10"/>
      <c r="AA632"/>
      <c r="AB632"/>
      <c r="AC632"/>
      <c r="AD632"/>
    </row>
    <row r="633" spans="1:30" x14ac:dyDescent="0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 s="10"/>
      <c r="V633"/>
      <c r="W633"/>
      <c r="X633" s="10"/>
      <c r="Y633"/>
      <c r="Z633" s="10"/>
      <c r="AA633"/>
      <c r="AB633"/>
      <c r="AC633"/>
      <c r="AD633"/>
    </row>
    <row r="634" spans="1:30" x14ac:dyDescent="0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 s="10"/>
      <c r="V634"/>
      <c r="W634"/>
      <c r="X634" s="10"/>
      <c r="Y634"/>
      <c r="Z634" s="10"/>
      <c r="AA634"/>
      <c r="AB634"/>
      <c r="AC634"/>
      <c r="AD634"/>
    </row>
    <row r="635" spans="1:30" x14ac:dyDescent="0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 s="10"/>
      <c r="V635"/>
      <c r="W635"/>
      <c r="X635" s="10"/>
      <c r="Y635"/>
      <c r="Z635" s="10"/>
      <c r="AA635"/>
      <c r="AB635"/>
      <c r="AC635"/>
      <c r="AD635"/>
    </row>
    <row r="636" spans="1:30" x14ac:dyDescent="0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 s="10"/>
      <c r="V636"/>
      <c r="W636"/>
      <c r="X636" s="10"/>
      <c r="Y636"/>
      <c r="Z636" s="10"/>
      <c r="AA636"/>
      <c r="AB636"/>
      <c r="AC636"/>
      <c r="AD636"/>
    </row>
    <row r="637" spans="1:30" x14ac:dyDescent="0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 s="10"/>
      <c r="V637"/>
      <c r="W637"/>
      <c r="X637" s="10"/>
      <c r="Y637"/>
      <c r="Z637" s="10"/>
      <c r="AA637"/>
      <c r="AB637"/>
      <c r="AC637"/>
      <c r="AD637"/>
    </row>
    <row r="638" spans="1:30" x14ac:dyDescent="0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 s="10"/>
      <c r="V638"/>
      <c r="W638"/>
      <c r="X638" s="10"/>
      <c r="Y638"/>
      <c r="Z638" s="10"/>
      <c r="AA638"/>
      <c r="AB638"/>
      <c r="AC638"/>
      <c r="AD638"/>
    </row>
    <row r="639" spans="1:30" x14ac:dyDescent="0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 s="10"/>
      <c r="V639"/>
      <c r="W639"/>
      <c r="X639" s="10"/>
      <c r="Y639"/>
      <c r="Z639" s="10"/>
      <c r="AA639"/>
      <c r="AB639"/>
      <c r="AC639"/>
      <c r="AD639"/>
    </row>
    <row r="640" spans="1:30" x14ac:dyDescent="0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 s="10"/>
      <c r="V640"/>
      <c r="W640"/>
      <c r="X640" s="10"/>
      <c r="Y640"/>
      <c r="Z640" s="10"/>
      <c r="AA640"/>
      <c r="AB640"/>
      <c r="AC640"/>
      <c r="AD640"/>
    </row>
    <row r="641" spans="1:30" x14ac:dyDescent="0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 s="10"/>
      <c r="V641"/>
      <c r="W641"/>
      <c r="X641" s="10"/>
      <c r="Y641"/>
      <c r="Z641" s="10"/>
      <c r="AA641"/>
      <c r="AB641"/>
      <c r="AC641"/>
      <c r="AD641"/>
    </row>
    <row r="642" spans="1:30" x14ac:dyDescent="0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 s="10"/>
      <c r="V642"/>
      <c r="W642"/>
      <c r="X642" s="10"/>
      <c r="Y642"/>
      <c r="Z642" s="10"/>
      <c r="AA642"/>
      <c r="AB642"/>
      <c r="AC642"/>
      <c r="AD642"/>
    </row>
    <row r="643" spans="1:30" x14ac:dyDescent="0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 s="10"/>
      <c r="V643"/>
      <c r="W643"/>
      <c r="X643" s="10"/>
      <c r="Y643"/>
      <c r="Z643" s="10"/>
      <c r="AA643"/>
      <c r="AB643"/>
      <c r="AC643"/>
      <c r="AD643"/>
    </row>
    <row r="644" spans="1:30" x14ac:dyDescent="0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 s="10"/>
      <c r="V644"/>
      <c r="W644"/>
      <c r="X644" s="10"/>
      <c r="Y644"/>
      <c r="Z644" s="10"/>
      <c r="AA644"/>
      <c r="AB644"/>
      <c r="AC644"/>
      <c r="AD644"/>
    </row>
    <row r="645" spans="1:30" x14ac:dyDescent="0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 s="10"/>
      <c r="V645"/>
      <c r="W645"/>
      <c r="X645" s="10"/>
      <c r="Y645"/>
      <c r="Z645" s="10"/>
      <c r="AA645"/>
      <c r="AB645"/>
      <c r="AC645"/>
      <c r="AD645"/>
    </row>
    <row r="646" spans="1:30" x14ac:dyDescent="0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 s="10"/>
      <c r="V646"/>
      <c r="W646"/>
      <c r="X646" s="10"/>
      <c r="Y646"/>
      <c r="Z646" s="10"/>
      <c r="AA646"/>
      <c r="AB646"/>
      <c r="AC646"/>
      <c r="AD646"/>
    </row>
    <row r="647" spans="1:30" x14ac:dyDescent="0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 s="10"/>
      <c r="V647"/>
      <c r="W647"/>
      <c r="X647" s="10"/>
      <c r="Y647"/>
      <c r="Z647" s="10"/>
      <c r="AA647"/>
      <c r="AB647"/>
      <c r="AC647"/>
      <c r="AD647"/>
    </row>
    <row r="648" spans="1:30" x14ac:dyDescent="0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 s="10"/>
      <c r="V648"/>
      <c r="W648"/>
      <c r="X648" s="10"/>
      <c r="Y648"/>
      <c r="Z648" s="10"/>
      <c r="AA648"/>
      <c r="AB648"/>
      <c r="AC648"/>
      <c r="AD648"/>
    </row>
    <row r="649" spans="1:30" x14ac:dyDescent="0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 s="10"/>
      <c r="V649"/>
      <c r="W649"/>
      <c r="X649" s="10"/>
      <c r="Y649"/>
      <c r="Z649" s="10"/>
      <c r="AA649"/>
      <c r="AB649"/>
      <c r="AC649"/>
      <c r="AD649"/>
    </row>
    <row r="650" spans="1:30" x14ac:dyDescent="0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 s="10"/>
      <c r="V650"/>
      <c r="W650"/>
      <c r="X650" s="10"/>
      <c r="Y650"/>
      <c r="Z650" s="10"/>
      <c r="AA650"/>
      <c r="AB650"/>
      <c r="AC650"/>
      <c r="AD650"/>
    </row>
    <row r="651" spans="1:30" x14ac:dyDescent="0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 s="10"/>
      <c r="V651"/>
      <c r="W651"/>
      <c r="X651" s="10"/>
      <c r="Y651"/>
      <c r="Z651" s="10"/>
      <c r="AA651"/>
      <c r="AB651"/>
      <c r="AC651"/>
      <c r="AD651"/>
    </row>
    <row r="652" spans="1:30" x14ac:dyDescent="0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 s="10"/>
      <c r="V652"/>
      <c r="W652"/>
      <c r="X652" s="10"/>
      <c r="Y652"/>
      <c r="Z652" s="10"/>
      <c r="AA652"/>
      <c r="AB652"/>
      <c r="AC652"/>
      <c r="AD652"/>
    </row>
    <row r="653" spans="1:30" x14ac:dyDescent="0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 s="10"/>
      <c r="V653"/>
      <c r="W653"/>
      <c r="X653" s="10"/>
      <c r="Y653"/>
      <c r="Z653" s="10"/>
      <c r="AA653"/>
      <c r="AB653"/>
      <c r="AC653"/>
      <c r="AD653"/>
    </row>
    <row r="654" spans="1:30" x14ac:dyDescent="0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 s="10"/>
      <c r="V654"/>
      <c r="W654"/>
      <c r="X654" s="10"/>
      <c r="Y654"/>
      <c r="Z654" s="10"/>
      <c r="AA654"/>
      <c r="AB654"/>
      <c r="AC654"/>
      <c r="AD654"/>
    </row>
    <row r="655" spans="1:30" x14ac:dyDescent="0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 s="10"/>
      <c r="V655"/>
      <c r="W655"/>
      <c r="X655" s="10"/>
      <c r="Y655"/>
      <c r="Z655" s="10"/>
      <c r="AA655"/>
      <c r="AB655"/>
      <c r="AC655"/>
      <c r="AD655"/>
    </row>
    <row r="656" spans="1:30" x14ac:dyDescent="0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 s="10"/>
      <c r="V656"/>
      <c r="W656"/>
      <c r="X656" s="10"/>
      <c r="Y656"/>
      <c r="Z656" s="10"/>
      <c r="AA656"/>
      <c r="AB656"/>
      <c r="AC656"/>
      <c r="AD656"/>
    </row>
    <row r="657" spans="1:30" x14ac:dyDescent="0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 s="10"/>
      <c r="V657"/>
      <c r="W657"/>
      <c r="X657" s="10"/>
      <c r="Y657"/>
      <c r="Z657" s="10"/>
      <c r="AA657"/>
      <c r="AB657"/>
      <c r="AC657"/>
      <c r="AD657"/>
    </row>
    <row r="658" spans="1:30" x14ac:dyDescent="0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 s="10"/>
      <c r="V658"/>
      <c r="W658"/>
      <c r="X658" s="10"/>
      <c r="Y658"/>
      <c r="Z658" s="10"/>
      <c r="AA658"/>
      <c r="AB658"/>
      <c r="AC658"/>
      <c r="AD658"/>
    </row>
    <row r="659" spans="1:30" x14ac:dyDescent="0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 s="10"/>
      <c r="V659"/>
      <c r="W659"/>
      <c r="X659" s="10"/>
      <c r="Y659"/>
      <c r="Z659" s="10"/>
      <c r="AA659"/>
      <c r="AB659"/>
      <c r="AC659"/>
      <c r="AD659"/>
    </row>
    <row r="660" spans="1:30" x14ac:dyDescent="0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 s="10"/>
      <c r="V660"/>
      <c r="W660"/>
      <c r="X660" s="10"/>
      <c r="Y660"/>
      <c r="Z660" s="10"/>
      <c r="AA660"/>
      <c r="AB660"/>
      <c r="AC660"/>
      <c r="AD660"/>
    </row>
    <row r="661" spans="1:30" x14ac:dyDescent="0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 s="10"/>
      <c r="V661"/>
      <c r="W661"/>
      <c r="X661" s="10"/>
      <c r="Y661"/>
      <c r="Z661" s="10"/>
      <c r="AA661"/>
      <c r="AB661"/>
      <c r="AC661"/>
      <c r="AD661"/>
    </row>
    <row r="662" spans="1:30" x14ac:dyDescent="0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 s="10"/>
      <c r="V662"/>
      <c r="W662"/>
      <c r="X662" s="10"/>
      <c r="Y662"/>
      <c r="Z662" s="10"/>
      <c r="AA662"/>
      <c r="AB662"/>
      <c r="AC662"/>
      <c r="AD662"/>
    </row>
    <row r="663" spans="1:30" x14ac:dyDescent="0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 s="10"/>
      <c r="V663"/>
      <c r="W663"/>
      <c r="X663" s="10"/>
      <c r="Y663"/>
      <c r="Z663" s="10"/>
      <c r="AA663"/>
      <c r="AB663"/>
      <c r="AC663"/>
      <c r="AD663"/>
    </row>
    <row r="664" spans="1:30" x14ac:dyDescent="0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 s="10"/>
      <c r="V664"/>
      <c r="W664"/>
      <c r="X664" s="10"/>
      <c r="Y664"/>
      <c r="Z664" s="10"/>
      <c r="AA664"/>
      <c r="AB664"/>
      <c r="AC664"/>
      <c r="AD664"/>
    </row>
    <row r="665" spans="1:30" x14ac:dyDescent="0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 s="10"/>
      <c r="V665"/>
      <c r="W665"/>
      <c r="X665" s="10"/>
      <c r="Y665"/>
      <c r="Z665" s="10"/>
      <c r="AA665"/>
      <c r="AB665"/>
      <c r="AC665"/>
      <c r="AD665"/>
    </row>
    <row r="666" spans="1:30" x14ac:dyDescent="0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 s="10"/>
      <c r="V666"/>
      <c r="W666"/>
      <c r="X666" s="10"/>
      <c r="Y666"/>
      <c r="Z666" s="10"/>
      <c r="AA666"/>
      <c r="AB666"/>
      <c r="AC666"/>
      <c r="AD666"/>
    </row>
    <row r="667" spans="1:30" x14ac:dyDescent="0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 s="10"/>
      <c r="V667"/>
      <c r="W667"/>
      <c r="X667" s="10"/>
      <c r="Y667"/>
      <c r="Z667" s="10"/>
      <c r="AA667"/>
      <c r="AB667"/>
      <c r="AC667"/>
      <c r="AD667"/>
    </row>
    <row r="668" spans="1:30" x14ac:dyDescent="0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 s="10"/>
      <c r="V668"/>
      <c r="W668"/>
      <c r="X668" s="10"/>
      <c r="Y668"/>
      <c r="Z668" s="10"/>
      <c r="AA668"/>
      <c r="AB668"/>
      <c r="AC668"/>
      <c r="AD668"/>
    </row>
    <row r="669" spans="1:30" x14ac:dyDescent="0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 s="10"/>
      <c r="V669"/>
      <c r="W669"/>
      <c r="X669" s="10"/>
      <c r="Y669"/>
      <c r="Z669" s="10"/>
      <c r="AA669"/>
      <c r="AB669"/>
      <c r="AC669"/>
      <c r="AD669"/>
    </row>
    <row r="670" spans="1:30" x14ac:dyDescent="0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 s="10"/>
      <c r="V670"/>
      <c r="W670"/>
      <c r="X670" s="10"/>
      <c r="Y670"/>
      <c r="Z670" s="10"/>
      <c r="AA670"/>
      <c r="AB670"/>
      <c r="AC670"/>
      <c r="AD670"/>
    </row>
    <row r="671" spans="1:30" x14ac:dyDescent="0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 s="10"/>
      <c r="V671"/>
      <c r="W671"/>
      <c r="X671" s="10"/>
      <c r="Y671"/>
      <c r="Z671" s="10"/>
      <c r="AA671"/>
      <c r="AB671"/>
      <c r="AC671"/>
      <c r="AD671"/>
    </row>
    <row r="672" spans="1:30" x14ac:dyDescent="0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 s="10"/>
      <c r="V672"/>
      <c r="W672"/>
      <c r="X672" s="10"/>
      <c r="Y672"/>
      <c r="Z672" s="10"/>
      <c r="AA672"/>
      <c r="AB672"/>
      <c r="AC672"/>
      <c r="AD672"/>
    </row>
    <row r="673" spans="1:30" x14ac:dyDescent="0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 s="10"/>
      <c r="V673"/>
      <c r="W673"/>
      <c r="X673" s="10"/>
      <c r="Y673"/>
      <c r="Z673" s="10"/>
      <c r="AA673"/>
      <c r="AB673"/>
      <c r="AC673"/>
      <c r="AD673"/>
    </row>
    <row r="674" spans="1:30" x14ac:dyDescent="0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 s="10"/>
      <c r="V674"/>
      <c r="W674"/>
      <c r="X674" s="10"/>
      <c r="Y674"/>
      <c r="Z674" s="10"/>
      <c r="AA674"/>
      <c r="AB674"/>
      <c r="AC674"/>
      <c r="AD674"/>
    </row>
    <row r="675" spans="1:30" x14ac:dyDescent="0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 s="10"/>
      <c r="V675"/>
      <c r="W675"/>
      <c r="X675" s="10"/>
      <c r="Y675"/>
      <c r="Z675" s="10"/>
      <c r="AA675"/>
      <c r="AB675"/>
      <c r="AC675"/>
      <c r="AD675"/>
    </row>
    <row r="676" spans="1:30" x14ac:dyDescent="0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 s="10"/>
      <c r="V676"/>
      <c r="W676"/>
      <c r="X676" s="10"/>
      <c r="Y676"/>
      <c r="Z676" s="10"/>
      <c r="AA676"/>
      <c r="AB676"/>
      <c r="AC676"/>
      <c r="AD676"/>
    </row>
    <row r="677" spans="1:30" x14ac:dyDescent="0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 s="10"/>
      <c r="V677"/>
      <c r="W677"/>
      <c r="X677" s="10"/>
      <c r="Y677"/>
      <c r="Z677" s="10"/>
      <c r="AA677"/>
      <c r="AB677"/>
      <c r="AC677"/>
      <c r="AD677"/>
    </row>
    <row r="678" spans="1:30" x14ac:dyDescent="0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 s="10"/>
      <c r="V678"/>
      <c r="W678"/>
      <c r="X678" s="10"/>
      <c r="Y678"/>
      <c r="Z678" s="10"/>
      <c r="AA678"/>
      <c r="AB678"/>
      <c r="AC678"/>
      <c r="AD678"/>
    </row>
    <row r="679" spans="1:30" x14ac:dyDescent="0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 s="10"/>
      <c r="V679"/>
      <c r="W679"/>
      <c r="X679" s="10"/>
      <c r="Y679"/>
      <c r="Z679" s="10"/>
      <c r="AA679"/>
      <c r="AB679"/>
      <c r="AC679"/>
      <c r="AD679"/>
    </row>
    <row r="680" spans="1:30" x14ac:dyDescent="0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 s="10"/>
      <c r="V680"/>
      <c r="W680"/>
      <c r="X680" s="10"/>
      <c r="Y680"/>
      <c r="Z680" s="10"/>
      <c r="AA680"/>
      <c r="AB680"/>
      <c r="AC680"/>
      <c r="AD680"/>
    </row>
    <row r="681" spans="1:30" x14ac:dyDescent="0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 s="10"/>
      <c r="V681"/>
      <c r="W681"/>
      <c r="X681" s="10"/>
      <c r="Y681"/>
      <c r="Z681" s="10"/>
      <c r="AA681"/>
      <c r="AB681"/>
      <c r="AC681"/>
      <c r="AD681"/>
    </row>
    <row r="682" spans="1:30" x14ac:dyDescent="0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 s="10"/>
      <c r="V682"/>
      <c r="W682"/>
      <c r="X682" s="10"/>
      <c r="Y682"/>
      <c r="Z682" s="10"/>
      <c r="AA682"/>
      <c r="AB682"/>
      <c r="AC682"/>
      <c r="AD682"/>
    </row>
    <row r="683" spans="1:30" x14ac:dyDescent="0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 s="10"/>
      <c r="V683"/>
      <c r="W683"/>
      <c r="X683" s="10"/>
      <c r="Y683"/>
      <c r="Z683" s="10"/>
      <c r="AA683"/>
      <c r="AB683"/>
      <c r="AC683"/>
      <c r="AD683"/>
    </row>
    <row r="684" spans="1:30" x14ac:dyDescent="0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 s="10"/>
      <c r="V684"/>
      <c r="W684"/>
      <c r="X684" s="10"/>
      <c r="Y684"/>
      <c r="Z684" s="10"/>
      <c r="AA684"/>
      <c r="AB684"/>
      <c r="AC684"/>
      <c r="AD684"/>
    </row>
    <row r="685" spans="1:30" x14ac:dyDescent="0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 s="10"/>
      <c r="V685"/>
      <c r="W685"/>
      <c r="X685" s="10"/>
      <c r="Y685"/>
      <c r="Z685" s="10"/>
      <c r="AA685"/>
      <c r="AB685"/>
      <c r="AC685"/>
      <c r="AD685"/>
    </row>
    <row r="686" spans="1:30" x14ac:dyDescent="0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 s="10"/>
      <c r="V686"/>
      <c r="W686"/>
      <c r="X686" s="10"/>
      <c r="Y686"/>
      <c r="Z686" s="10"/>
      <c r="AA686"/>
      <c r="AB686"/>
      <c r="AC686"/>
      <c r="AD686"/>
    </row>
    <row r="687" spans="1:30" x14ac:dyDescent="0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 s="10"/>
      <c r="V687"/>
      <c r="W687"/>
      <c r="X687" s="10"/>
      <c r="Y687"/>
      <c r="Z687" s="10"/>
      <c r="AA687"/>
      <c r="AB687"/>
      <c r="AC687"/>
      <c r="AD687"/>
    </row>
    <row r="688" spans="1:30" x14ac:dyDescent="0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 s="10"/>
      <c r="V688"/>
      <c r="W688"/>
      <c r="X688" s="10"/>
      <c r="Y688"/>
      <c r="Z688" s="10"/>
      <c r="AA688"/>
      <c r="AB688"/>
      <c r="AC688"/>
      <c r="AD688"/>
    </row>
    <row r="689" spans="1:30" x14ac:dyDescent="0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 s="10"/>
      <c r="V689"/>
      <c r="W689"/>
      <c r="X689" s="10"/>
      <c r="Y689"/>
      <c r="Z689" s="10"/>
      <c r="AA689"/>
      <c r="AB689"/>
      <c r="AC689"/>
      <c r="AD689"/>
    </row>
    <row r="690" spans="1:30" x14ac:dyDescent="0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 s="10"/>
      <c r="V690"/>
      <c r="W690"/>
      <c r="X690" s="10"/>
      <c r="Y690"/>
      <c r="Z690" s="10"/>
      <c r="AA690"/>
      <c r="AB690"/>
      <c r="AC690"/>
      <c r="AD690"/>
    </row>
    <row r="691" spans="1:30" x14ac:dyDescent="0.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 s="10"/>
      <c r="V691"/>
      <c r="W691"/>
      <c r="X691" s="10"/>
      <c r="Y691"/>
      <c r="Z691" s="10"/>
      <c r="AA691"/>
      <c r="AB691"/>
      <c r="AC691"/>
      <c r="AD691"/>
    </row>
    <row r="692" spans="1:30" x14ac:dyDescent="0.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 s="10"/>
      <c r="V692"/>
      <c r="W692"/>
      <c r="X692" s="10"/>
      <c r="Y692"/>
      <c r="Z692" s="10"/>
      <c r="AA692"/>
      <c r="AB692"/>
      <c r="AC692"/>
      <c r="AD692"/>
    </row>
    <row r="693" spans="1:30" x14ac:dyDescent="0.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 s="10"/>
      <c r="V693"/>
      <c r="W693"/>
      <c r="X693" s="10"/>
      <c r="Y693"/>
      <c r="Z693" s="10"/>
      <c r="AA693"/>
      <c r="AB693"/>
      <c r="AC693"/>
      <c r="AD693"/>
    </row>
    <row r="694" spans="1:30" x14ac:dyDescent="0.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 s="10"/>
      <c r="V694"/>
      <c r="W694"/>
      <c r="X694" s="10"/>
      <c r="Y694"/>
      <c r="Z694" s="10"/>
      <c r="AA694"/>
      <c r="AB694"/>
      <c r="AC694"/>
      <c r="AD694"/>
    </row>
    <row r="695" spans="1:30" x14ac:dyDescent="0.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 s="10"/>
      <c r="V695"/>
      <c r="W695"/>
      <c r="X695" s="10"/>
      <c r="Y695"/>
      <c r="Z695" s="10"/>
      <c r="AA695"/>
      <c r="AB695"/>
      <c r="AC695"/>
      <c r="AD695"/>
    </row>
    <row r="696" spans="1:30" x14ac:dyDescent="0.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 s="10"/>
      <c r="V696"/>
      <c r="W696"/>
      <c r="X696" s="10"/>
      <c r="Y696"/>
      <c r="Z696" s="10"/>
      <c r="AA696"/>
      <c r="AB696"/>
      <c r="AC696"/>
      <c r="AD696"/>
    </row>
    <row r="697" spans="1:30" x14ac:dyDescent="0.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 s="10"/>
      <c r="V697"/>
      <c r="W697"/>
      <c r="X697" s="10"/>
      <c r="Y697"/>
      <c r="Z697" s="10"/>
      <c r="AA697"/>
      <c r="AB697"/>
      <c r="AC697"/>
      <c r="AD697"/>
    </row>
    <row r="698" spans="1:30" x14ac:dyDescent="0.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 s="10"/>
      <c r="V698"/>
      <c r="W698"/>
      <c r="X698" s="10"/>
      <c r="Y698"/>
      <c r="Z698" s="10"/>
      <c r="AA698"/>
      <c r="AB698"/>
      <c r="AC698"/>
      <c r="AD698"/>
    </row>
    <row r="699" spans="1:30" x14ac:dyDescent="0.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 s="10"/>
      <c r="V699"/>
      <c r="W699"/>
      <c r="X699" s="10"/>
      <c r="Y699"/>
      <c r="Z699" s="10"/>
      <c r="AA699"/>
      <c r="AB699"/>
      <c r="AC699"/>
      <c r="AD699"/>
    </row>
    <row r="700" spans="1:30" x14ac:dyDescent="0.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 s="10"/>
      <c r="V700"/>
      <c r="W700"/>
      <c r="X700" s="10"/>
      <c r="Y700"/>
      <c r="Z700" s="10"/>
      <c r="AA700"/>
      <c r="AB700"/>
      <c r="AC700"/>
      <c r="AD700"/>
    </row>
    <row r="701" spans="1:30" x14ac:dyDescent="0.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 s="10"/>
      <c r="V701"/>
      <c r="W701"/>
      <c r="X701" s="10"/>
      <c r="Y701"/>
      <c r="Z701" s="10"/>
      <c r="AA701"/>
      <c r="AB701"/>
      <c r="AC701"/>
      <c r="AD701"/>
    </row>
    <row r="702" spans="1:30" x14ac:dyDescent="0.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 s="10"/>
      <c r="V702"/>
      <c r="W702"/>
      <c r="X702" s="10"/>
      <c r="Y702"/>
      <c r="Z702" s="10"/>
      <c r="AA702"/>
      <c r="AB702"/>
      <c r="AC702"/>
      <c r="AD702"/>
    </row>
    <row r="703" spans="1:30" x14ac:dyDescent="0.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 s="10"/>
      <c r="V703"/>
      <c r="W703"/>
      <c r="X703" s="10"/>
      <c r="Y703"/>
      <c r="Z703" s="10"/>
      <c r="AA703"/>
      <c r="AB703"/>
      <c r="AC703"/>
      <c r="AD703"/>
    </row>
    <row r="704" spans="1:30" x14ac:dyDescent="0.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 s="10"/>
      <c r="V704"/>
      <c r="W704"/>
      <c r="X704" s="10"/>
      <c r="Y704"/>
      <c r="Z704" s="10"/>
      <c r="AA704"/>
      <c r="AB704"/>
      <c r="AC704"/>
      <c r="AD704"/>
    </row>
    <row r="705" spans="1:30" x14ac:dyDescent="0.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 s="10"/>
      <c r="V705"/>
      <c r="W705"/>
      <c r="X705" s="10"/>
      <c r="Y705"/>
      <c r="Z705" s="10"/>
      <c r="AA705"/>
      <c r="AB705"/>
      <c r="AC705"/>
      <c r="AD705"/>
    </row>
    <row r="706" spans="1:30" x14ac:dyDescent="0.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 s="10"/>
      <c r="V706"/>
      <c r="W706"/>
      <c r="X706" s="10"/>
      <c r="Y706"/>
      <c r="Z706" s="10"/>
      <c r="AA706"/>
      <c r="AB706"/>
      <c r="AC706"/>
      <c r="AD706"/>
    </row>
    <row r="707" spans="1:30" x14ac:dyDescent="0.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 s="10"/>
      <c r="V707"/>
      <c r="W707"/>
      <c r="X707" s="10"/>
      <c r="Y707"/>
      <c r="Z707" s="10"/>
      <c r="AA707"/>
      <c r="AB707"/>
      <c r="AC707"/>
      <c r="AD707"/>
    </row>
    <row r="708" spans="1:30" x14ac:dyDescent="0.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 s="10"/>
      <c r="V708"/>
      <c r="W708"/>
      <c r="X708" s="10"/>
      <c r="Y708"/>
      <c r="Z708" s="10"/>
      <c r="AA708"/>
      <c r="AB708"/>
      <c r="AC708"/>
      <c r="AD708"/>
    </row>
    <row r="709" spans="1:30" x14ac:dyDescent="0.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 s="10"/>
      <c r="V709"/>
      <c r="W709"/>
      <c r="X709" s="10"/>
      <c r="Y709"/>
      <c r="Z709" s="10"/>
      <c r="AA709"/>
      <c r="AB709"/>
      <c r="AC709"/>
      <c r="AD709"/>
    </row>
    <row r="710" spans="1:30" x14ac:dyDescent="0.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 s="10"/>
      <c r="V710"/>
      <c r="W710"/>
      <c r="X710" s="10"/>
      <c r="Y710"/>
      <c r="Z710" s="10"/>
      <c r="AA710"/>
      <c r="AB710"/>
      <c r="AC710"/>
      <c r="AD710"/>
    </row>
    <row r="711" spans="1:30" x14ac:dyDescent="0.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 s="10"/>
      <c r="V711"/>
      <c r="W711"/>
      <c r="X711" s="10"/>
      <c r="Y711"/>
      <c r="Z711" s="10"/>
      <c r="AA711"/>
      <c r="AB711"/>
      <c r="AC711"/>
      <c r="AD711"/>
    </row>
    <row r="712" spans="1:30" x14ac:dyDescent="0.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 s="10"/>
      <c r="V712"/>
      <c r="W712"/>
      <c r="X712" s="10"/>
      <c r="Y712"/>
      <c r="Z712" s="10"/>
      <c r="AA712"/>
      <c r="AB712"/>
      <c r="AC712"/>
      <c r="AD712"/>
    </row>
    <row r="713" spans="1:30" x14ac:dyDescent="0.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 s="10"/>
      <c r="V713"/>
      <c r="W713"/>
      <c r="X713" s="10"/>
      <c r="Y713"/>
      <c r="Z713" s="10"/>
      <c r="AA713"/>
      <c r="AB713"/>
      <c r="AC713"/>
      <c r="AD713"/>
    </row>
    <row r="714" spans="1:30" x14ac:dyDescent="0.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 s="10"/>
      <c r="V714"/>
      <c r="W714"/>
      <c r="X714" s="10"/>
      <c r="Y714"/>
      <c r="Z714" s="10"/>
      <c r="AA714"/>
      <c r="AB714"/>
      <c r="AC714"/>
      <c r="AD714"/>
    </row>
    <row r="715" spans="1:30" x14ac:dyDescent="0.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 s="10"/>
      <c r="V715"/>
      <c r="W715"/>
      <c r="X715" s="10"/>
      <c r="Y715"/>
      <c r="Z715" s="10"/>
      <c r="AA715"/>
      <c r="AB715"/>
      <c r="AC715"/>
      <c r="AD715"/>
    </row>
    <row r="716" spans="1:30" x14ac:dyDescent="0.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 s="10"/>
      <c r="V716"/>
      <c r="W716"/>
      <c r="X716" s="10"/>
      <c r="Y716"/>
      <c r="Z716" s="10"/>
      <c r="AA716"/>
      <c r="AB716"/>
      <c r="AC716"/>
      <c r="AD716"/>
    </row>
    <row r="717" spans="1:30" x14ac:dyDescent="0.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 s="10"/>
      <c r="V717"/>
      <c r="W717"/>
      <c r="X717" s="10"/>
      <c r="Y717"/>
      <c r="Z717" s="10"/>
      <c r="AA717"/>
      <c r="AB717"/>
      <c r="AC717"/>
      <c r="AD717"/>
    </row>
    <row r="718" spans="1:30" x14ac:dyDescent="0.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 s="10"/>
      <c r="V718"/>
      <c r="W718"/>
      <c r="X718" s="10"/>
      <c r="Y718"/>
      <c r="Z718" s="10"/>
      <c r="AA718"/>
      <c r="AB718"/>
      <c r="AC718"/>
      <c r="AD718"/>
    </row>
    <row r="719" spans="1:30" x14ac:dyDescent="0.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 s="10"/>
      <c r="V719"/>
      <c r="W719"/>
      <c r="X719" s="10"/>
      <c r="Y719"/>
      <c r="Z719" s="10"/>
      <c r="AA719"/>
      <c r="AB719"/>
      <c r="AC719"/>
      <c r="AD719"/>
    </row>
    <row r="720" spans="1:30" x14ac:dyDescent="0.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 s="10"/>
      <c r="V720"/>
      <c r="W720"/>
      <c r="X720" s="10"/>
      <c r="Y720"/>
      <c r="Z720" s="10"/>
      <c r="AA720"/>
      <c r="AB720"/>
      <c r="AC720"/>
      <c r="AD720"/>
    </row>
    <row r="721" spans="1:30" x14ac:dyDescent="0.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 s="10"/>
      <c r="V721"/>
      <c r="W721"/>
      <c r="X721" s="10"/>
      <c r="Y721"/>
      <c r="Z721" s="10"/>
      <c r="AA721"/>
      <c r="AB721"/>
      <c r="AC721"/>
      <c r="AD721"/>
    </row>
    <row r="722" spans="1:30" x14ac:dyDescent="0.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 s="10"/>
      <c r="V722"/>
      <c r="W722"/>
      <c r="X722" s="10"/>
      <c r="Y722"/>
      <c r="Z722" s="10"/>
      <c r="AA722"/>
      <c r="AB722"/>
      <c r="AC722"/>
      <c r="AD722"/>
    </row>
    <row r="723" spans="1:30" x14ac:dyDescent="0.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 s="10"/>
      <c r="V723"/>
      <c r="W723"/>
      <c r="X723" s="10"/>
      <c r="Y723"/>
      <c r="Z723" s="10"/>
      <c r="AA723"/>
      <c r="AB723"/>
      <c r="AC723"/>
      <c r="AD723"/>
    </row>
    <row r="724" spans="1:30" x14ac:dyDescent="0.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 s="10"/>
      <c r="V724"/>
      <c r="W724"/>
      <c r="X724" s="10"/>
      <c r="Y724"/>
      <c r="Z724" s="10"/>
      <c r="AA724"/>
      <c r="AB724"/>
      <c r="AC724"/>
      <c r="AD724"/>
    </row>
    <row r="725" spans="1:30" x14ac:dyDescent="0.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 s="10"/>
      <c r="V725"/>
      <c r="W725"/>
      <c r="X725" s="10"/>
      <c r="Y725"/>
      <c r="Z725" s="10"/>
      <c r="AA725"/>
      <c r="AB725"/>
      <c r="AC725"/>
      <c r="AD725"/>
    </row>
    <row r="726" spans="1:30" x14ac:dyDescent="0.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 s="10"/>
      <c r="V726"/>
      <c r="W726"/>
      <c r="X726" s="10"/>
      <c r="Y726"/>
      <c r="Z726" s="10"/>
      <c r="AA726"/>
      <c r="AB726"/>
      <c r="AC726"/>
      <c r="AD726"/>
    </row>
    <row r="727" spans="1:30" x14ac:dyDescent="0.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 s="10"/>
      <c r="V727"/>
      <c r="W727"/>
      <c r="X727" s="10"/>
      <c r="Y727"/>
      <c r="Z727" s="10"/>
      <c r="AA727"/>
      <c r="AB727"/>
      <c r="AC727"/>
      <c r="AD727"/>
    </row>
    <row r="728" spans="1:30" x14ac:dyDescent="0.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 s="10"/>
      <c r="V728"/>
      <c r="W728"/>
      <c r="X728" s="10"/>
      <c r="Y728"/>
      <c r="Z728" s="10"/>
      <c r="AA728"/>
      <c r="AB728"/>
      <c r="AC728"/>
      <c r="AD728"/>
    </row>
    <row r="729" spans="1:30" x14ac:dyDescent="0.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 s="10"/>
      <c r="V729"/>
      <c r="W729"/>
      <c r="X729" s="10"/>
      <c r="Y729"/>
      <c r="Z729" s="10"/>
      <c r="AA729"/>
      <c r="AB729"/>
      <c r="AC729"/>
      <c r="AD729"/>
    </row>
    <row r="730" spans="1:30" x14ac:dyDescent="0.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 s="10"/>
      <c r="V730"/>
      <c r="W730"/>
      <c r="X730" s="10"/>
      <c r="Y730"/>
      <c r="Z730" s="10"/>
      <c r="AA730"/>
      <c r="AB730"/>
      <c r="AC730"/>
      <c r="AD730"/>
    </row>
    <row r="731" spans="1:30" x14ac:dyDescent="0.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 s="10"/>
      <c r="V731"/>
      <c r="W731"/>
      <c r="X731" s="10"/>
      <c r="Y731"/>
      <c r="Z731" s="10"/>
      <c r="AA731"/>
      <c r="AB731"/>
      <c r="AC731"/>
      <c r="AD731"/>
    </row>
    <row r="732" spans="1:30" x14ac:dyDescent="0.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 s="10"/>
      <c r="V732"/>
      <c r="W732"/>
      <c r="X732" s="10"/>
      <c r="Y732"/>
      <c r="Z732" s="10"/>
      <c r="AA732"/>
      <c r="AB732"/>
      <c r="AC732"/>
      <c r="AD732"/>
    </row>
    <row r="733" spans="1:30" x14ac:dyDescent="0.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 s="10"/>
      <c r="V733"/>
      <c r="W733"/>
      <c r="X733" s="10"/>
      <c r="Y733"/>
      <c r="Z733" s="10"/>
      <c r="AA733"/>
      <c r="AB733"/>
      <c r="AC733"/>
      <c r="AD733"/>
    </row>
    <row r="734" spans="1:30" x14ac:dyDescent="0.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 s="10"/>
      <c r="V734"/>
      <c r="W734"/>
      <c r="X734" s="10"/>
      <c r="Y734"/>
      <c r="Z734" s="10"/>
      <c r="AA734"/>
      <c r="AB734"/>
      <c r="AC734"/>
      <c r="AD734"/>
    </row>
    <row r="735" spans="1:30" x14ac:dyDescent="0.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 s="10"/>
      <c r="V735"/>
      <c r="W735"/>
      <c r="X735" s="10"/>
      <c r="Y735"/>
      <c r="Z735" s="10"/>
      <c r="AA735"/>
      <c r="AB735"/>
      <c r="AC735"/>
      <c r="AD735"/>
    </row>
    <row r="736" spans="1:30" x14ac:dyDescent="0.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 s="10"/>
      <c r="V736"/>
      <c r="W736"/>
      <c r="X736" s="10"/>
      <c r="Y736"/>
      <c r="Z736" s="10"/>
      <c r="AA736"/>
      <c r="AB736"/>
      <c r="AC736"/>
      <c r="AD736"/>
    </row>
    <row r="737" spans="1:30" x14ac:dyDescent="0.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 s="10"/>
      <c r="V737"/>
      <c r="W737"/>
      <c r="X737" s="10"/>
      <c r="Y737"/>
      <c r="Z737" s="10"/>
      <c r="AA737"/>
      <c r="AB737"/>
      <c r="AC737"/>
      <c r="AD737"/>
    </row>
    <row r="738" spans="1:30" x14ac:dyDescent="0.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 s="10"/>
      <c r="V738"/>
      <c r="W738"/>
      <c r="X738" s="10"/>
      <c r="Y738"/>
      <c r="Z738" s="10"/>
      <c r="AA738"/>
      <c r="AB738"/>
      <c r="AC738"/>
      <c r="AD738"/>
    </row>
    <row r="739" spans="1:30" x14ac:dyDescent="0.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 s="10"/>
      <c r="V739"/>
      <c r="W739"/>
      <c r="X739" s="10"/>
      <c r="Y739"/>
      <c r="Z739" s="10"/>
      <c r="AA739"/>
      <c r="AB739"/>
      <c r="AC739"/>
      <c r="AD739"/>
    </row>
    <row r="740" spans="1:30" x14ac:dyDescent="0.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 s="10"/>
      <c r="V740"/>
      <c r="W740"/>
      <c r="X740" s="10"/>
      <c r="Y740"/>
      <c r="Z740" s="10"/>
      <c r="AA740"/>
      <c r="AB740"/>
      <c r="AC740"/>
      <c r="AD740"/>
    </row>
    <row r="741" spans="1:30" x14ac:dyDescent="0.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 s="10"/>
      <c r="V741"/>
      <c r="W741"/>
      <c r="X741" s="10"/>
      <c r="Y741"/>
      <c r="Z741" s="10"/>
      <c r="AA741"/>
      <c r="AB741"/>
      <c r="AC741"/>
      <c r="AD741"/>
    </row>
    <row r="742" spans="1:30" x14ac:dyDescent="0.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 s="10"/>
      <c r="V742"/>
      <c r="W742"/>
      <c r="X742" s="10"/>
      <c r="Y742"/>
      <c r="Z742" s="10"/>
      <c r="AA742"/>
      <c r="AB742"/>
      <c r="AC742"/>
      <c r="AD742"/>
    </row>
    <row r="743" spans="1:30" x14ac:dyDescent="0.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 s="10"/>
      <c r="V743"/>
      <c r="W743"/>
      <c r="X743" s="10"/>
      <c r="Y743"/>
      <c r="Z743" s="10"/>
      <c r="AA743"/>
      <c r="AB743"/>
      <c r="AC743"/>
      <c r="AD743"/>
    </row>
    <row r="744" spans="1:30" x14ac:dyDescent="0.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 s="10"/>
      <c r="V744"/>
      <c r="W744"/>
      <c r="X744" s="10"/>
      <c r="Y744"/>
      <c r="Z744" s="10"/>
      <c r="AA744"/>
      <c r="AB744"/>
      <c r="AC744"/>
      <c r="AD744"/>
    </row>
    <row r="745" spans="1:30" x14ac:dyDescent="0.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 s="10"/>
      <c r="V745"/>
      <c r="W745"/>
      <c r="X745" s="10"/>
      <c r="Y745"/>
      <c r="Z745" s="10"/>
      <c r="AA745"/>
      <c r="AB745"/>
      <c r="AC745"/>
      <c r="AD745"/>
    </row>
    <row r="746" spans="1:30" x14ac:dyDescent="0.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 s="10"/>
      <c r="V746"/>
      <c r="W746"/>
      <c r="X746" s="10"/>
      <c r="Y746"/>
      <c r="Z746" s="10"/>
      <c r="AA746"/>
      <c r="AB746"/>
      <c r="AC746"/>
      <c r="AD746"/>
    </row>
    <row r="747" spans="1:30" x14ac:dyDescent="0.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 s="10"/>
      <c r="V747"/>
      <c r="W747"/>
      <c r="X747" s="10"/>
      <c r="Y747"/>
      <c r="Z747" s="10"/>
      <c r="AA747"/>
      <c r="AB747"/>
      <c r="AC747"/>
      <c r="AD747"/>
    </row>
    <row r="748" spans="1:30" x14ac:dyDescent="0.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 s="10"/>
      <c r="V748"/>
      <c r="W748"/>
      <c r="X748" s="10"/>
      <c r="Y748"/>
      <c r="Z748" s="10"/>
      <c r="AA748"/>
      <c r="AB748"/>
      <c r="AC748"/>
      <c r="AD748"/>
    </row>
    <row r="749" spans="1:30" x14ac:dyDescent="0.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 s="10"/>
      <c r="V749"/>
      <c r="W749"/>
      <c r="X749" s="10"/>
      <c r="Y749"/>
      <c r="Z749" s="10"/>
      <c r="AA749"/>
      <c r="AB749"/>
      <c r="AC749"/>
      <c r="AD749"/>
    </row>
    <row r="750" spans="1:30" x14ac:dyDescent="0.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 s="10"/>
      <c r="V750"/>
      <c r="W750"/>
      <c r="X750" s="10"/>
      <c r="Y750"/>
      <c r="Z750" s="10"/>
      <c r="AA750"/>
      <c r="AB750"/>
      <c r="AC750"/>
      <c r="AD750"/>
    </row>
    <row r="751" spans="1:30" x14ac:dyDescent="0.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 s="10"/>
      <c r="V751"/>
      <c r="W751"/>
      <c r="X751" s="10"/>
      <c r="Y751"/>
      <c r="Z751" s="10"/>
      <c r="AA751"/>
      <c r="AB751"/>
      <c r="AC751"/>
      <c r="AD751"/>
    </row>
    <row r="752" spans="1:30" x14ac:dyDescent="0.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 s="10"/>
      <c r="V752"/>
      <c r="W752"/>
      <c r="X752" s="10"/>
      <c r="Y752"/>
      <c r="Z752" s="10"/>
      <c r="AA752"/>
      <c r="AB752"/>
      <c r="AC752"/>
      <c r="AD752"/>
    </row>
    <row r="753" spans="1:30" x14ac:dyDescent="0.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 s="10"/>
      <c r="V753"/>
      <c r="W753"/>
      <c r="X753" s="10"/>
      <c r="Y753"/>
      <c r="Z753" s="10"/>
      <c r="AA753"/>
      <c r="AB753"/>
      <c r="AC753"/>
      <c r="AD753"/>
    </row>
    <row r="754" spans="1:30" x14ac:dyDescent="0.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 s="10"/>
      <c r="V754"/>
      <c r="W754"/>
      <c r="X754" s="10"/>
      <c r="Y754"/>
      <c r="Z754" s="10"/>
      <c r="AA754"/>
      <c r="AB754"/>
      <c r="AC754"/>
      <c r="AD754"/>
    </row>
    <row r="755" spans="1:30" x14ac:dyDescent="0.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 s="10"/>
      <c r="V755"/>
      <c r="W755"/>
      <c r="X755" s="10"/>
      <c r="Y755"/>
      <c r="Z755" s="10"/>
      <c r="AA755"/>
      <c r="AB755"/>
      <c r="AC755"/>
      <c r="AD755"/>
    </row>
    <row r="756" spans="1:30" x14ac:dyDescent="0.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 s="10"/>
      <c r="V756"/>
      <c r="W756"/>
      <c r="X756" s="10"/>
      <c r="Y756"/>
      <c r="Z756" s="10"/>
      <c r="AA756"/>
      <c r="AB756"/>
      <c r="AC756"/>
      <c r="AD756"/>
    </row>
    <row r="757" spans="1:30" x14ac:dyDescent="0.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 s="10"/>
      <c r="V757"/>
      <c r="W757"/>
      <c r="X757" s="10"/>
      <c r="Y757"/>
      <c r="Z757" s="10"/>
      <c r="AA757"/>
      <c r="AB757"/>
      <c r="AC757"/>
      <c r="AD757"/>
    </row>
    <row r="758" spans="1:30" x14ac:dyDescent="0.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 s="10"/>
      <c r="V758"/>
      <c r="W758"/>
      <c r="X758" s="10"/>
      <c r="Y758"/>
      <c r="Z758" s="10"/>
      <c r="AA758"/>
      <c r="AB758"/>
      <c r="AC758"/>
      <c r="AD758"/>
    </row>
    <row r="759" spans="1:30" x14ac:dyDescent="0.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 s="10"/>
      <c r="V759"/>
      <c r="W759"/>
      <c r="X759" s="10"/>
      <c r="Y759"/>
      <c r="Z759" s="10"/>
      <c r="AA759"/>
      <c r="AB759"/>
      <c r="AC759"/>
      <c r="AD759"/>
    </row>
    <row r="760" spans="1:30" x14ac:dyDescent="0.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 s="10"/>
      <c r="V760"/>
      <c r="W760"/>
      <c r="X760" s="10"/>
      <c r="Y760"/>
      <c r="Z760" s="10"/>
      <c r="AA760"/>
      <c r="AB760"/>
      <c r="AC760"/>
      <c r="AD760"/>
    </row>
    <row r="761" spans="1:30" x14ac:dyDescent="0.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 s="10"/>
      <c r="V761"/>
      <c r="W761"/>
      <c r="X761" s="10"/>
      <c r="Y761"/>
      <c r="Z761" s="10"/>
      <c r="AA761"/>
      <c r="AB761"/>
      <c r="AC761"/>
      <c r="AD761"/>
    </row>
    <row r="762" spans="1:30" x14ac:dyDescent="0.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 s="10"/>
      <c r="V762"/>
      <c r="W762"/>
      <c r="X762" s="10"/>
      <c r="Y762"/>
      <c r="Z762" s="10"/>
      <c r="AA762"/>
      <c r="AB762"/>
      <c r="AC762"/>
      <c r="AD762"/>
    </row>
    <row r="763" spans="1:30" x14ac:dyDescent="0.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 s="10"/>
      <c r="V763"/>
      <c r="W763"/>
      <c r="X763" s="10"/>
      <c r="Y763"/>
      <c r="Z763" s="10"/>
      <c r="AA763"/>
      <c r="AB763"/>
      <c r="AC763"/>
      <c r="AD763"/>
    </row>
    <row r="764" spans="1:30" x14ac:dyDescent="0.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 s="10"/>
      <c r="V764"/>
      <c r="W764"/>
      <c r="X764" s="10"/>
      <c r="Y764"/>
      <c r="Z764" s="10"/>
      <c r="AA764"/>
      <c r="AB764"/>
      <c r="AC764"/>
      <c r="AD764"/>
    </row>
    <row r="765" spans="1:30" x14ac:dyDescent="0.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 s="10"/>
      <c r="V765"/>
      <c r="W765"/>
      <c r="X765" s="10"/>
      <c r="Y765"/>
      <c r="Z765" s="10"/>
      <c r="AA765"/>
      <c r="AB765"/>
      <c r="AC765"/>
      <c r="AD765"/>
    </row>
    <row r="766" spans="1:30" x14ac:dyDescent="0.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 s="10"/>
      <c r="V766"/>
      <c r="W766"/>
      <c r="X766" s="10"/>
      <c r="Y766"/>
      <c r="Z766" s="10"/>
      <c r="AA766"/>
      <c r="AB766"/>
      <c r="AC766"/>
      <c r="AD766"/>
    </row>
    <row r="767" spans="1:30" x14ac:dyDescent="0.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 s="10"/>
      <c r="V767"/>
      <c r="W767"/>
      <c r="X767" s="10"/>
      <c r="Y767"/>
      <c r="Z767" s="10"/>
      <c r="AA767"/>
      <c r="AB767"/>
      <c r="AC767"/>
      <c r="AD767"/>
    </row>
    <row r="768" spans="1:30" x14ac:dyDescent="0.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 s="10"/>
      <c r="V768"/>
      <c r="W768"/>
      <c r="X768" s="10"/>
      <c r="Y768"/>
      <c r="Z768" s="10"/>
      <c r="AA768"/>
      <c r="AB768"/>
      <c r="AC768"/>
      <c r="AD768"/>
    </row>
    <row r="769" spans="1:30" x14ac:dyDescent="0.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 s="10"/>
      <c r="V769"/>
      <c r="W769"/>
      <c r="X769" s="10"/>
      <c r="Y769"/>
      <c r="Z769" s="10"/>
      <c r="AA769"/>
      <c r="AB769"/>
      <c r="AC769"/>
      <c r="AD769"/>
    </row>
    <row r="770" spans="1:30" x14ac:dyDescent="0.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 s="10"/>
      <c r="V770"/>
      <c r="W770"/>
      <c r="X770" s="10"/>
      <c r="Y770"/>
      <c r="Z770" s="10"/>
      <c r="AA770"/>
      <c r="AB770"/>
      <c r="AC770"/>
      <c r="AD770"/>
    </row>
    <row r="771" spans="1:30" x14ac:dyDescent="0.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 s="10"/>
      <c r="V771"/>
      <c r="W771"/>
      <c r="X771" s="10"/>
      <c r="Y771"/>
      <c r="Z771" s="10"/>
      <c r="AA771"/>
      <c r="AB771"/>
      <c r="AC771"/>
      <c r="AD771"/>
    </row>
    <row r="772" spans="1:30" x14ac:dyDescent="0.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 s="10"/>
      <c r="V772"/>
      <c r="W772"/>
      <c r="X772" s="10"/>
      <c r="Y772"/>
      <c r="Z772" s="10"/>
      <c r="AA772"/>
      <c r="AB772"/>
      <c r="AC772"/>
      <c r="AD772"/>
    </row>
    <row r="773" spans="1:30" x14ac:dyDescent="0.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 s="10"/>
      <c r="V773"/>
      <c r="W773"/>
      <c r="X773" s="10"/>
      <c r="Y773"/>
      <c r="Z773" s="10"/>
      <c r="AA773"/>
      <c r="AB773"/>
      <c r="AC773"/>
      <c r="AD773"/>
    </row>
    <row r="774" spans="1:30" x14ac:dyDescent="0.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 s="10"/>
      <c r="V774"/>
      <c r="W774"/>
      <c r="X774" s="10"/>
      <c r="Y774"/>
      <c r="Z774" s="10"/>
      <c r="AA774"/>
      <c r="AB774"/>
      <c r="AC774"/>
      <c r="AD774"/>
    </row>
    <row r="775" spans="1:30" x14ac:dyDescent="0.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 s="10"/>
      <c r="V775"/>
      <c r="W775"/>
      <c r="X775" s="10"/>
      <c r="Y775"/>
      <c r="Z775" s="10"/>
      <c r="AA775"/>
      <c r="AB775"/>
      <c r="AC775"/>
      <c r="AD775"/>
    </row>
    <row r="776" spans="1:30" x14ac:dyDescent="0.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 s="10"/>
      <c r="V776"/>
      <c r="W776"/>
      <c r="X776" s="10"/>
      <c r="Y776"/>
      <c r="Z776" s="10"/>
      <c r="AA776"/>
      <c r="AB776"/>
      <c r="AC776"/>
      <c r="AD776"/>
    </row>
    <row r="777" spans="1:30" x14ac:dyDescent="0.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 s="10"/>
      <c r="V777"/>
      <c r="W777"/>
      <c r="X777" s="10"/>
      <c r="Y777"/>
      <c r="Z777" s="10"/>
      <c r="AA777"/>
      <c r="AB777"/>
      <c r="AC777"/>
      <c r="AD777"/>
    </row>
    <row r="778" spans="1:30" x14ac:dyDescent="0.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 s="10"/>
      <c r="V778"/>
      <c r="W778"/>
      <c r="X778" s="10"/>
      <c r="Y778"/>
      <c r="Z778" s="10"/>
      <c r="AA778"/>
      <c r="AB778"/>
      <c r="AC778"/>
      <c r="AD778"/>
    </row>
    <row r="779" spans="1:30" x14ac:dyDescent="0.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 s="10"/>
      <c r="V779"/>
      <c r="W779"/>
      <c r="X779" s="10"/>
      <c r="Y779"/>
      <c r="Z779" s="10"/>
      <c r="AA779"/>
      <c r="AB779"/>
      <c r="AC779"/>
      <c r="AD779"/>
    </row>
    <row r="780" spans="1:30" x14ac:dyDescent="0.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 s="10"/>
      <c r="V780"/>
      <c r="W780"/>
      <c r="X780" s="10"/>
      <c r="Y780"/>
      <c r="Z780" s="10"/>
      <c r="AA780"/>
      <c r="AB780"/>
      <c r="AC780"/>
      <c r="AD780"/>
    </row>
    <row r="781" spans="1:30" x14ac:dyDescent="0.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 s="10"/>
      <c r="V781"/>
      <c r="W781"/>
      <c r="X781" s="10"/>
      <c r="Y781"/>
      <c r="Z781" s="10"/>
      <c r="AA781"/>
      <c r="AB781"/>
      <c r="AC781"/>
      <c r="AD781"/>
    </row>
    <row r="782" spans="1:30" x14ac:dyDescent="0.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 s="10"/>
      <c r="V782"/>
      <c r="W782"/>
      <c r="X782" s="10"/>
      <c r="Y782"/>
      <c r="Z782" s="10"/>
      <c r="AA782"/>
      <c r="AB782"/>
      <c r="AC782"/>
      <c r="AD782"/>
    </row>
    <row r="783" spans="1:30" x14ac:dyDescent="0.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 s="10"/>
      <c r="V783"/>
      <c r="W783"/>
      <c r="X783" s="10"/>
      <c r="Y783"/>
      <c r="Z783" s="10"/>
      <c r="AA783"/>
      <c r="AB783"/>
      <c r="AC783"/>
      <c r="AD783"/>
    </row>
    <row r="784" spans="1:30" x14ac:dyDescent="0.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 s="10"/>
      <c r="V784"/>
      <c r="W784"/>
      <c r="X784" s="10"/>
      <c r="Y784"/>
      <c r="Z784" s="10"/>
      <c r="AA784"/>
      <c r="AB784"/>
      <c r="AC784"/>
      <c r="AD784"/>
    </row>
    <row r="785" spans="1:30" x14ac:dyDescent="0.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 s="10"/>
      <c r="V785"/>
      <c r="W785"/>
      <c r="X785" s="10"/>
      <c r="Y785"/>
      <c r="Z785" s="10"/>
      <c r="AA785"/>
      <c r="AB785"/>
      <c r="AC785"/>
      <c r="AD785"/>
    </row>
    <row r="786" spans="1:30" x14ac:dyDescent="0.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 s="10"/>
      <c r="V786"/>
      <c r="W786"/>
      <c r="X786" s="10"/>
      <c r="Y786"/>
      <c r="Z786" s="10"/>
      <c r="AA786"/>
      <c r="AB786"/>
      <c r="AC786"/>
      <c r="AD786"/>
    </row>
    <row r="787" spans="1:30" x14ac:dyDescent="0.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 s="10"/>
      <c r="V787"/>
      <c r="W787"/>
      <c r="X787" s="10"/>
      <c r="Y787"/>
      <c r="Z787" s="10"/>
      <c r="AA787"/>
      <c r="AB787"/>
      <c r="AC787"/>
      <c r="AD787"/>
    </row>
    <row r="788" spans="1:30" x14ac:dyDescent="0.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 s="10"/>
      <c r="V788"/>
      <c r="W788"/>
      <c r="X788" s="10"/>
      <c r="Y788"/>
      <c r="Z788" s="10"/>
      <c r="AA788"/>
      <c r="AB788"/>
      <c r="AC788"/>
      <c r="AD788"/>
    </row>
    <row r="789" spans="1:30" x14ac:dyDescent="0.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 s="10"/>
      <c r="V789"/>
      <c r="W789"/>
      <c r="X789" s="10"/>
      <c r="Y789"/>
      <c r="Z789" s="10"/>
      <c r="AA789"/>
      <c r="AB789"/>
      <c r="AC789"/>
      <c r="AD789"/>
    </row>
    <row r="790" spans="1:30" x14ac:dyDescent="0.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 s="10"/>
      <c r="V790"/>
      <c r="W790"/>
      <c r="X790" s="10"/>
      <c r="Y790"/>
      <c r="Z790" s="10"/>
      <c r="AA790"/>
      <c r="AB790"/>
      <c r="AC790"/>
      <c r="AD790"/>
    </row>
    <row r="791" spans="1:30" x14ac:dyDescent="0.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 s="10"/>
      <c r="V791"/>
      <c r="W791"/>
      <c r="X791" s="10"/>
      <c r="Y791"/>
      <c r="Z791" s="10"/>
      <c r="AA791"/>
      <c r="AB791"/>
      <c r="AC791"/>
      <c r="AD791"/>
    </row>
    <row r="792" spans="1:30" x14ac:dyDescent="0.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 s="10"/>
      <c r="V792"/>
      <c r="W792"/>
      <c r="X792" s="10"/>
      <c r="Y792"/>
      <c r="Z792" s="10"/>
      <c r="AA792"/>
      <c r="AB792"/>
      <c r="AC792"/>
      <c r="AD792"/>
    </row>
    <row r="793" spans="1:30" x14ac:dyDescent="0.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 s="10"/>
      <c r="V793"/>
      <c r="W793"/>
      <c r="X793" s="10"/>
      <c r="Y793"/>
      <c r="Z793" s="10"/>
      <c r="AA793"/>
      <c r="AB793"/>
      <c r="AC793"/>
      <c r="AD793"/>
    </row>
    <row r="794" spans="1:30" x14ac:dyDescent="0.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 s="10"/>
      <c r="V794"/>
      <c r="W794"/>
      <c r="X794" s="10"/>
      <c r="Y794"/>
      <c r="Z794" s="10"/>
      <c r="AA794"/>
      <c r="AB794"/>
      <c r="AC794"/>
      <c r="AD794"/>
    </row>
    <row r="795" spans="1:30" x14ac:dyDescent="0.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 s="10"/>
      <c r="V795"/>
      <c r="W795"/>
      <c r="X795" s="10"/>
      <c r="Y795"/>
      <c r="Z795" s="10"/>
      <c r="AA795"/>
      <c r="AB795"/>
      <c r="AC795"/>
      <c r="AD795"/>
    </row>
    <row r="796" spans="1:30" x14ac:dyDescent="0.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 s="10"/>
      <c r="V796"/>
      <c r="W796"/>
      <c r="X796" s="10"/>
      <c r="Y796"/>
      <c r="Z796" s="10"/>
      <c r="AA796"/>
      <c r="AB796"/>
      <c r="AC796"/>
      <c r="AD796"/>
    </row>
    <row r="797" spans="1:30" x14ac:dyDescent="0.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 s="10"/>
      <c r="V797"/>
      <c r="W797"/>
      <c r="X797" s="10"/>
      <c r="Y797"/>
      <c r="Z797" s="10"/>
      <c r="AA797"/>
      <c r="AB797"/>
      <c r="AC797"/>
      <c r="AD797"/>
    </row>
    <row r="798" spans="1:30" x14ac:dyDescent="0.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 s="10"/>
      <c r="V798"/>
      <c r="W798"/>
      <c r="X798" s="10"/>
      <c r="Y798"/>
      <c r="Z798" s="10"/>
      <c r="AA798"/>
      <c r="AB798"/>
      <c r="AC798"/>
      <c r="AD798"/>
    </row>
    <row r="799" spans="1:30" x14ac:dyDescent="0.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 s="10"/>
      <c r="V799"/>
      <c r="W799"/>
      <c r="X799" s="10"/>
      <c r="Y799"/>
      <c r="Z799" s="10"/>
      <c r="AA799"/>
      <c r="AB799"/>
      <c r="AC799"/>
      <c r="AD799"/>
    </row>
    <row r="800" spans="1:30" x14ac:dyDescent="0.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 s="10"/>
      <c r="V800"/>
      <c r="W800"/>
      <c r="X800" s="10"/>
      <c r="Y800"/>
      <c r="Z800" s="10"/>
      <c r="AA800"/>
      <c r="AB800"/>
      <c r="AC800"/>
      <c r="AD800"/>
    </row>
    <row r="801" spans="1:30" x14ac:dyDescent="0.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 s="10"/>
      <c r="V801"/>
      <c r="W801"/>
      <c r="X801" s="10"/>
      <c r="Y801"/>
      <c r="Z801" s="10"/>
      <c r="AA801"/>
      <c r="AB801"/>
      <c r="AC801"/>
      <c r="AD801"/>
    </row>
    <row r="802" spans="1:30" x14ac:dyDescent="0.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 s="10"/>
      <c r="V802"/>
      <c r="W802"/>
      <c r="X802" s="10"/>
      <c r="Y802"/>
      <c r="Z802" s="10"/>
      <c r="AA802"/>
      <c r="AB802"/>
      <c r="AC802"/>
      <c r="AD802"/>
    </row>
    <row r="803" spans="1:30" x14ac:dyDescent="0.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 s="10"/>
      <c r="V803"/>
      <c r="W803"/>
      <c r="X803" s="10"/>
      <c r="Y803"/>
      <c r="Z803" s="10"/>
      <c r="AA803"/>
      <c r="AB803"/>
      <c r="AC803"/>
      <c r="AD803"/>
    </row>
    <row r="804" spans="1:30" x14ac:dyDescent="0.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 s="10"/>
      <c r="V804"/>
      <c r="W804"/>
      <c r="X804" s="10"/>
      <c r="Y804"/>
      <c r="Z804" s="10"/>
      <c r="AA804"/>
      <c r="AB804"/>
      <c r="AC804"/>
      <c r="AD804"/>
    </row>
    <row r="805" spans="1:30" x14ac:dyDescent="0.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 s="10"/>
      <c r="V805"/>
      <c r="W805"/>
      <c r="X805" s="10"/>
      <c r="Y805"/>
      <c r="Z805" s="10"/>
      <c r="AA805"/>
      <c r="AB805"/>
      <c r="AC805"/>
      <c r="AD805"/>
    </row>
    <row r="806" spans="1:30" x14ac:dyDescent="0.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 s="10"/>
      <c r="V806"/>
      <c r="W806"/>
      <c r="X806" s="10"/>
      <c r="Y806"/>
      <c r="Z806" s="10"/>
      <c r="AA806"/>
      <c r="AB806"/>
      <c r="AC806"/>
      <c r="AD806"/>
    </row>
    <row r="807" spans="1:30" x14ac:dyDescent="0.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 s="10"/>
      <c r="V807"/>
      <c r="W807"/>
      <c r="X807" s="10"/>
      <c r="Y807"/>
      <c r="Z807" s="10"/>
      <c r="AA807"/>
      <c r="AB807"/>
      <c r="AC807"/>
      <c r="AD807"/>
    </row>
    <row r="808" spans="1:30" x14ac:dyDescent="0.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 s="10"/>
      <c r="V808"/>
      <c r="W808"/>
      <c r="X808" s="10"/>
      <c r="Y808"/>
      <c r="Z808" s="10"/>
      <c r="AA808"/>
      <c r="AB808"/>
      <c r="AC808"/>
      <c r="AD808"/>
    </row>
    <row r="809" spans="1:30" x14ac:dyDescent="0.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 s="10"/>
      <c r="V809"/>
      <c r="W809"/>
      <c r="X809" s="10"/>
      <c r="Y809"/>
      <c r="Z809" s="10"/>
      <c r="AA809"/>
      <c r="AB809"/>
      <c r="AC809"/>
      <c r="AD809"/>
    </row>
    <row r="810" spans="1:30" x14ac:dyDescent="0.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 s="10"/>
      <c r="V810"/>
      <c r="W810"/>
      <c r="X810" s="10"/>
      <c r="Y810"/>
      <c r="Z810" s="10"/>
      <c r="AA810"/>
      <c r="AB810"/>
      <c r="AC810"/>
      <c r="AD810"/>
    </row>
    <row r="811" spans="1:30" x14ac:dyDescent="0.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 s="10"/>
      <c r="V811"/>
      <c r="W811"/>
      <c r="X811" s="10"/>
      <c r="Y811"/>
      <c r="Z811" s="10"/>
      <c r="AA811"/>
      <c r="AB811"/>
      <c r="AC811"/>
      <c r="AD811"/>
    </row>
    <row r="812" spans="1:30" x14ac:dyDescent="0.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 s="10"/>
      <c r="V812"/>
      <c r="W812"/>
      <c r="X812" s="10"/>
      <c r="Y812"/>
      <c r="Z812" s="10"/>
      <c r="AA812"/>
      <c r="AB812"/>
      <c r="AC812"/>
      <c r="AD812"/>
    </row>
    <row r="813" spans="1:30" x14ac:dyDescent="0.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 s="10"/>
      <c r="V813"/>
      <c r="W813"/>
      <c r="X813" s="10"/>
      <c r="Y813"/>
      <c r="Z813" s="10"/>
      <c r="AA813"/>
      <c r="AB813"/>
      <c r="AC813"/>
      <c r="AD813"/>
    </row>
    <row r="814" spans="1:30" x14ac:dyDescent="0.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 s="10"/>
      <c r="V814"/>
      <c r="W814"/>
      <c r="X814" s="10"/>
      <c r="Y814"/>
      <c r="Z814" s="10"/>
      <c r="AA814"/>
      <c r="AB814"/>
      <c r="AC814"/>
      <c r="AD814"/>
    </row>
    <row r="815" spans="1:30" x14ac:dyDescent="0.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 s="10"/>
      <c r="V815"/>
      <c r="W815"/>
      <c r="X815" s="10"/>
      <c r="Y815"/>
      <c r="Z815" s="10"/>
      <c r="AA815"/>
      <c r="AB815"/>
      <c r="AC815"/>
      <c r="AD815"/>
    </row>
    <row r="816" spans="1:30" x14ac:dyDescent="0.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 s="10"/>
      <c r="V816"/>
      <c r="W816"/>
      <c r="X816" s="10"/>
      <c r="Y816"/>
      <c r="Z816" s="10"/>
      <c r="AA816"/>
      <c r="AB816"/>
      <c r="AC816"/>
      <c r="AD816"/>
    </row>
    <row r="817" spans="1:30" x14ac:dyDescent="0.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 s="10"/>
      <c r="V817"/>
      <c r="W817"/>
      <c r="X817" s="10"/>
      <c r="Y817"/>
      <c r="Z817" s="10"/>
      <c r="AA817"/>
      <c r="AB817"/>
      <c r="AC817"/>
      <c r="AD817"/>
    </row>
    <row r="818" spans="1:30" x14ac:dyDescent="0.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 s="10"/>
      <c r="V818"/>
      <c r="W818"/>
      <c r="X818" s="10"/>
      <c r="Y818"/>
      <c r="Z818" s="10"/>
      <c r="AA818"/>
      <c r="AB818"/>
      <c r="AC818"/>
      <c r="AD818"/>
    </row>
    <row r="819" spans="1:30" x14ac:dyDescent="0.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 s="10"/>
      <c r="V819"/>
      <c r="W819"/>
      <c r="X819" s="10"/>
      <c r="Y819"/>
      <c r="Z819" s="10"/>
      <c r="AA819"/>
      <c r="AB819"/>
      <c r="AC819"/>
      <c r="AD819"/>
    </row>
    <row r="820" spans="1:30" x14ac:dyDescent="0.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 s="10"/>
      <c r="V820"/>
      <c r="W820"/>
      <c r="X820" s="10"/>
      <c r="Y820"/>
      <c r="Z820" s="10"/>
      <c r="AA820"/>
      <c r="AB820"/>
      <c r="AC820"/>
      <c r="AD820"/>
    </row>
    <row r="821" spans="1:30" x14ac:dyDescent="0.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 s="10"/>
      <c r="V821"/>
      <c r="W821"/>
      <c r="X821" s="10"/>
      <c r="Y821"/>
      <c r="Z821" s="10"/>
      <c r="AA821"/>
      <c r="AB821"/>
      <c r="AC821"/>
      <c r="AD821"/>
    </row>
    <row r="822" spans="1:30" x14ac:dyDescent="0.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 s="10"/>
      <c r="V822"/>
      <c r="W822"/>
      <c r="X822" s="10"/>
      <c r="Y822"/>
      <c r="Z822" s="10"/>
      <c r="AA822"/>
      <c r="AB822"/>
      <c r="AC822"/>
      <c r="AD822"/>
    </row>
    <row r="823" spans="1:30" x14ac:dyDescent="0.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 s="10"/>
      <c r="V823"/>
      <c r="W823"/>
      <c r="X823" s="10"/>
      <c r="Y823"/>
      <c r="Z823" s="10"/>
      <c r="AA823"/>
      <c r="AB823"/>
      <c r="AC823"/>
      <c r="AD823"/>
    </row>
    <row r="824" spans="1:30" x14ac:dyDescent="0.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 s="10"/>
      <c r="V824"/>
      <c r="W824"/>
      <c r="X824" s="10"/>
      <c r="Y824"/>
      <c r="Z824" s="10"/>
      <c r="AA824"/>
      <c r="AB824"/>
      <c r="AC824"/>
      <c r="AD824"/>
    </row>
    <row r="825" spans="1:30" x14ac:dyDescent="0.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 s="10"/>
      <c r="V825"/>
      <c r="W825"/>
      <c r="X825" s="10"/>
      <c r="Y825"/>
      <c r="Z825" s="10"/>
      <c r="AA825"/>
      <c r="AB825"/>
      <c r="AC825"/>
      <c r="AD825"/>
    </row>
    <row r="826" spans="1:30" x14ac:dyDescent="0.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 s="10"/>
      <c r="V826"/>
      <c r="W826"/>
      <c r="X826" s="10"/>
      <c r="Y826"/>
      <c r="Z826" s="10"/>
      <c r="AA826"/>
      <c r="AB826"/>
      <c r="AC826"/>
      <c r="AD826"/>
    </row>
    <row r="827" spans="1:30" x14ac:dyDescent="0.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 s="10"/>
      <c r="V827"/>
      <c r="W827"/>
      <c r="X827" s="10"/>
      <c r="Y827"/>
      <c r="Z827" s="10"/>
      <c r="AA827"/>
      <c r="AB827"/>
      <c r="AC827"/>
      <c r="AD827"/>
    </row>
    <row r="828" spans="1:30" x14ac:dyDescent="0.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 s="10"/>
      <c r="V828"/>
      <c r="W828"/>
      <c r="X828" s="10"/>
      <c r="Y828"/>
      <c r="Z828" s="10"/>
      <c r="AA828"/>
      <c r="AB828"/>
      <c r="AC828"/>
      <c r="AD828"/>
    </row>
    <row r="829" spans="1:30" x14ac:dyDescent="0.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 s="10"/>
      <c r="V829"/>
      <c r="W829"/>
      <c r="X829" s="10"/>
      <c r="Y829"/>
      <c r="Z829" s="10"/>
      <c r="AA829"/>
      <c r="AB829"/>
      <c r="AC829"/>
      <c r="AD829"/>
    </row>
    <row r="830" spans="1:30" x14ac:dyDescent="0.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 s="10"/>
      <c r="V830"/>
      <c r="W830"/>
      <c r="X830" s="10"/>
      <c r="Y830"/>
      <c r="Z830" s="10"/>
      <c r="AA830"/>
      <c r="AB830"/>
      <c r="AC830"/>
      <c r="AD830"/>
    </row>
    <row r="831" spans="1:30" x14ac:dyDescent="0.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 s="10"/>
      <c r="V831"/>
      <c r="W831"/>
      <c r="X831" s="10"/>
      <c r="Y831"/>
      <c r="Z831" s="10"/>
      <c r="AA831"/>
      <c r="AB831"/>
      <c r="AC831"/>
      <c r="AD831"/>
    </row>
    <row r="832" spans="1:30" x14ac:dyDescent="0.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 s="10"/>
      <c r="V832"/>
      <c r="W832"/>
      <c r="X832" s="10"/>
      <c r="Y832"/>
      <c r="Z832" s="10"/>
      <c r="AA832"/>
      <c r="AB832"/>
      <c r="AC832"/>
      <c r="AD832"/>
    </row>
    <row r="833" spans="1:30" x14ac:dyDescent="0.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 s="10"/>
      <c r="V833"/>
      <c r="W833"/>
      <c r="X833" s="10"/>
      <c r="Y833"/>
      <c r="Z833" s="10"/>
      <c r="AA833"/>
      <c r="AB833"/>
      <c r="AC833"/>
      <c r="AD833"/>
    </row>
    <row r="834" spans="1:30" x14ac:dyDescent="0.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 s="10"/>
      <c r="V834"/>
      <c r="W834"/>
      <c r="X834" s="10"/>
      <c r="Y834"/>
      <c r="Z834" s="10"/>
      <c r="AA834"/>
      <c r="AB834"/>
      <c r="AC834"/>
      <c r="AD834"/>
    </row>
    <row r="835" spans="1:30" x14ac:dyDescent="0.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 s="10"/>
      <c r="V835"/>
      <c r="W835"/>
      <c r="X835" s="10"/>
      <c r="Y835"/>
      <c r="Z835" s="10"/>
      <c r="AA835"/>
      <c r="AB835"/>
      <c r="AC835"/>
      <c r="AD835"/>
    </row>
    <row r="836" spans="1:30" x14ac:dyDescent="0.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 s="10"/>
      <c r="V836"/>
      <c r="W836"/>
      <c r="X836" s="10"/>
      <c r="Y836"/>
      <c r="Z836" s="10"/>
      <c r="AA836"/>
      <c r="AB836"/>
      <c r="AC836"/>
      <c r="AD836"/>
    </row>
    <row r="837" spans="1:30" x14ac:dyDescent="0.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 s="10"/>
      <c r="V837"/>
      <c r="W837"/>
      <c r="X837" s="10"/>
      <c r="Y837"/>
      <c r="Z837" s="10"/>
      <c r="AA837"/>
      <c r="AB837"/>
      <c r="AC837"/>
      <c r="AD837"/>
    </row>
    <row r="838" spans="1:30" x14ac:dyDescent="0.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 s="10"/>
      <c r="V838"/>
      <c r="W838"/>
      <c r="X838" s="10"/>
      <c r="Y838"/>
      <c r="Z838" s="10"/>
      <c r="AA838"/>
      <c r="AB838"/>
      <c r="AC838"/>
      <c r="AD838"/>
    </row>
    <row r="839" spans="1:30" x14ac:dyDescent="0.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 s="10"/>
      <c r="V839"/>
      <c r="W839"/>
      <c r="X839" s="10"/>
      <c r="Y839"/>
      <c r="Z839" s="10"/>
      <c r="AA839"/>
      <c r="AB839"/>
      <c r="AC839"/>
      <c r="AD839"/>
    </row>
    <row r="840" spans="1:30" x14ac:dyDescent="0.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 s="10"/>
      <c r="V840"/>
      <c r="W840"/>
      <c r="X840" s="10"/>
      <c r="Y840"/>
      <c r="Z840" s="10"/>
      <c r="AA840"/>
      <c r="AB840"/>
      <c r="AC840"/>
      <c r="AD840"/>
    </row>
    <row r="841" spans="1:30" x14ac:dyDescent="0.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 s="10"/>
      <c r="V841"/>
      <c r="W841"/>
      <c r="X841" s="10"/>
      <c r="Y841"/>
      <c r="Z841" s="10"/>
      <c r="AA841"/>
      <c r="AB841"/>
      <c r="AC841"/>
      <c r="AD841"/>
    </row>
    <row r="842" spans="1:30" x14ac:dyDescent="0.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 s="10"/>
      <c r="V842"/>
      <c r="W842"/>
      <c r="X842" s="10"/>
      <c r="Y842"/>
      <c r="Z842" s="10"/>
      <c r="AA842"/>
      <c r="AB842"/>
      <c r="AC842"/>
      <c r="AD842"/>
    </row>
    <row r="843" spans="1:30" x14ac:dyDescent="0.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 s="10"/>
      <c r="V843"/>
      <c r="W843"/>
      <c r="X843" s="10"/>
      <c r="Y843"/>
      <c r="Z843" s="10"/>
      <c r="AA843"/>
      <c r="AB843"/>
      <c r="AC843"/>
      <c r="AD843"/>
    </row>
    <row r="844" spans="1:30" x14ac:dyDescent="0.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 s="10"/>
      <c r="V844"/>
      <c r="W844"/>
      <c r="X844" s="10"/>
      <c r="Y844"/>
      <c r="Z844" s="10"/>
      <c r="AA844"/>
      <c r="AB844"/>
      <c r="AC844"/>
      <c r="AD844"/>
    </row>
    <row r="845" spans="1:30" x14ac:dyDescent="0.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 s="10"/>
      <c r="V845"/>
      <c r="W845"/>
      <c r="X845" s="10"/>
      <c r="Y845"/>
      <c r="Z845" s="10"/>
      <c r="AA845"/>
      <c r="AB845"/>
      <c r="AC845"/>
      <c r="AD845"/>
    </row>
    <row r="846" spans="1:30" x14ac:dyDescent="0.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 s="10"/>
      <c r="V846"/>
      <c r="W846"/>
      <c r="X846" s="10"/>
      <c r="Y846"/>
      <c r="Z846" s="10"/>
      <c r="AA846"/>
      <c r="AB846"/>
      <c r="AC846"/>
      <c r="AD846"/>
    </row>
    <row r="847" spans="1:30" x14ac:dyDescent="0.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 s="10"/>
      <c r="V847"/>
      <c r="W847"/>
      <c r="X847" s="10"/>
      <c r="Y847"/>
      <c r="Z847" s="10"/>
      <c r="AA847"/>
      <c r="AB847"/>
      <c r="AC847"/>
      <c r="AD847"/>
    </row>
    <row r="848" spans="1:30" x14ac:dyDescent="0.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 s="10"/>
      <c r="V848"/>
      <c r="W848"/>
      <c r="X848" s="10"/>
      <c r="Y848"/>
      <c r="Z848" s="10"/>
      <c r="AA848"/>
      <c r="AB848"/>
      <c r="AC848"/>
      <c r="AD848"/>
    </row>
    <row r="849" spans="1:30" x14ac:dyDescent="0.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 s="10"/>
      <c r="V849"/>
      <c r="W849"/>
      <c r="X849" s="10"/>
      <c r="Y849"/>
      <c r="Z849" s="10"/>
      <c r="AA849"/>
      <c r="AB849"/>
      <c r="AC849"/>
      <c r="AD849"/>
    </row>
    <row r="850" spans="1:30" x14ac:dyDescent="0.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 s="10"/>
      <c r="V850"/>
      <c r="W850"/>
      <c r="X850" s="10"/>
      <c r="Y850"/>
      <c r="Z850" s="10"/>
      <c r="AA850"/>
      <c r="AB850"/>
      <c r="AC850"/>
      <c r="AD850"/>
    </row>
    <row r="851" spans="1:30" x14ac:dyDescent="0.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 s="10"/>
      <c r="V851"/>
      <c r="W851"/>
      <c r="X851" s="10"/>
      <c r="Y851"/>
      <c r="Z851" s="10"/>
      <c r="AA851"/>
      <c r="AB851"/>
      <c r="AC851"/>
      <c r="AD851"/>
    </row>
    <row r="852" spans="1:30" x14ac:dyDescent="0.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 s="10"/>
      <c r="V852"/>
      <c r="W852"/>
      <c r="X852" s="10"/>
      <c r="Y852"/>
      <c r="Z852" s="10"/>
      <c r="AA852"/>
      <c r="AB852"/>
      <c r="AC852"/>
      <c r="AD852"/>
    </row>
    <row r="853" spans="1:30" x14ac:dyDescent="0.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 s="10"/>
      <c r="V853"/>
      <c r="W853"/>
      <c r="X853" s="10"/>
      <c r="Y853"/>
      <c r="Z853" s="10"/>
      <c r="AA853"/>
      <c r="AB853"/>
      <c r="AC853"/>
      <c r="AD853"/>
    </row>
    <row r="854" spans="1:30" x14ac:dyDescent="0.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 s="10"/>
      <c r="V854"/>
      <c r="W854"/>
      <c r="X854" s="10"/>
      <c r="Y854"/>
      <c r="Z854" s="10"/>
      <c r="AA854"/>
      <c r="AB854"/>
      <c r="AC854"/>
      <c r="AD854"/>
    </row>
    <row r="855" spans="1:30" x14ac:dyDescent="0.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 s="10"/>
      <c r="V855"/>
      <c r="W855"/>
      <c r="X855" s="10"/>
      <c r="Y855"/>
      <c r="Z855" s="10"/>
      <c r="AA855"/>
      <c r="AB855"/>
      <c r="AC855"/>
      <c r="AD855"/>
    </row>
    <row r="856" spans="1:30" x14ac:dyDescent="0.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 s="10"/>
      <c r="V856"/>
      <c r="W856"/>
      <c r="X856" s="10"/>
      <c r="Y856"/>
      <c r="Z856" s="10"/>
      <c r="AA856"/>
      <c r="AB856"/>
      <c r="AC856"/>
      <c r="AD856"/>
    </row>
    <row r="857" spans="1:30" x14ac:dyDescent="0.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 s="10"/>
      <c r="V857"/>
      <c r="W857"/>
      <c r="X857" s="10"/>
      <c r="Y857"/>
      <c r="Z857" s="10"/>
      <c r="AA857"/>
      <c r="AB857"/>
      <c r="AC857"/>
      <c r="AD857"/>
    </row>
    <row r="858" spans="1:30" x14ac:dyDescent="0.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 s="10"/>
      <c r="V858"/>
      <c r="W858"/>
      <c r="X858" s="10"/>
      <c r="Y858"/>
      <c r="Z858" s="10"/>
      <c r="AA858"/>
      <c r="AB858"/>
      <c r="AC858"/>
      <c r="AD858"/>
    </row>
    <row r="859" spans="1:30" x14ac:dyDescent="0.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 s="10"/>
      <c r="V859"/>
      <c r="W859"/>
      <c r="X859" s="10"/>
      <c r="Y859"/>
      <c r="Z859" s="10"/>
      <c r="AA859"/>
      <c r="AB859"/>
      <c r="AC859"/>
      <c r="AD859"/>
    </row>
    <row r="860" spans="1:30" x14ac:dyDescent="0.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 s="10"/>
      <c r="V860"/>
      <c r="W860"/>
      <c r="X860" s="10"/>
      <c r="Y860"/>
      <c r="Z860" s="10"/>
      <c r="AA860"/>
      <c r="AB860"/>
      <c r="AC860"/>
      <c r="AD860"/>
    </row>
    <row r="861" spans="1:30" x14ac:dyDescent="0.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 s="10"/>
      <c r="V861"/>
      <c r="W861"/>
      <c r="X861" s="10"/>
      <c r="Y861"/>
      <c r="Z861" s="10"/>
      <c r="AA861"/>
      <c r="AB861"/>
      <c r="AC861"/>
      <c r="AD861"/>
    </row>
    <row r="862" spans="1:30" x14ac:dyDescent="0.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 s="10"/>
      <c r="V862"/>
      <c r="W862"/>
      <c r="X862" s="10"/>
      <c r="Y862"/>
      <c r="Z862" s="10"/>
      <c r="AA862"/>
      <c r="AB862"/>
      <c r="AC862"/>
      <c r="AD862"/>
    </row>
    <row r="863" spans="1:30" x14ac:dyDescent="0.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 s="10"/>
      <c r="V863"/>
      <c r="W863"/>
      <c r="X863" s="10"/>
      <c r="Y863"/>
      <c r="Z863" s="10"/>
      <c r="AA863"/>
      <c r="AB863"/>
      <c r="AC863"/>
      <c r="AD863"/>
    </row>
    <row r="864" spans="1:30" x14ac:dyDescent="0.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 s="10"/>
      <c r="V864"/>
      <c r="W864"/>
      <c r="X864" s="10"/>
      <c r="Y864"/>
      <c r="Z864" s="10"/>
      <c r="AA864"/>
      <c r="AB864"/>
      <c r="AC864"/>
      <c r="AD864"/>
    </row>
    <row r="865" spans="1:30" x14ac:dyDescent="0.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 s="10"/>
      <c r="V865"/>
      <c r="W865"/>
      <c r="X865" s="10"/>
      <c r="Y865"/>
      <c r="Z865" s="10"/>
      <c r="AA865"/>
      <c r="AB865"/>
      <c r="AC865"/>
      <c r="AD865"/>
    </row>
    <row r="866" spans="1:30" x14ac:dyDescent="0.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 s="10"/>
      <c r="V866"/>
      <c r="W866"/>
      <c r="X866" s="10"/>
      <c r="Y866"/>
      <c r="Z866" s="10"/>
      <c r="AA866"/>
      <c r="AB866"/>
      <c r="AC866"/>
      <c r="AD866"/>
    </row>
    <row r="867" spans="1:30" x14ac:dyDescent="0.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 s="10"/>
      <c r="V867"/>
      <c r="W867"/>
      <c r="X867" s="10"/>
      <c r="Y867"/>
      <c r="Z867" s="10"/>
      <c r="AA867"/>
      <c r="AB867"/>
      <c r="AC867"/>
      <c r="AD867"/>
    </row>
    <row r="868" spans="1:30" x14ac:dyDescent="0.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 s="10"/>
      <c r="V868"/>
      <c r="W868"/>
      <c r="X868" s="10"/>
      <c r="Y868"/>
      <c r="Z868" s="10"/>
      <c r="AA868"/>
      <c r="AB868"/>
      <c r="AC868"/>
      <c r="AD868"/>
    </row>
    <row r="869" spans="1:30" x14ac:dyDescent="0.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 s="10"/>
      <c r="V869"/>
      <c r="W869"/>
      <c r="X869" s="10"/>
      <c r="Y869"/>
      <c r="Z869" s="10"/>
      <c r="AA869"/>
      <c r="AB869"/>
      <c r="AC869"/>
      <c r="AD869"/>
    </row>
    <row r="870" spans="1:30" x14ac:dyDescent="0.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 s="10"/>
      <c r="V870"/>
      <c r="W870"/>
      <c r="X870" s="10"/>
      <c r="Y870"/>
      <c r="Z870" s="10"/>
      <c r="AA870"/>
      <c r="AB870"/>
      <c r="AC870"/>
      <c r="AD870"/>
    </row>
    <row r="871" spans="1:30" x14ac:dyDescent="0.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 s="10"/>
      <c r="V871"/>
      <c r="W871"/>
      <c r="X871" s="10"/>
      <c r="Y871"/>
      <c r="Z871" s="10"/>
      <c r="AA871"/>
      <c r="AB871"/>
      <c r="AC871"/>
      <c r="AD871"/>
    </row>
    <row r="872" spans="1:30" x14ac:dyDescent="0.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 s="10"/>
      <c r="V872"/>
      <c r="W872"/>
      <c r="X872" s="10"/>
      <c r="Y872"/>
      <c r="Z872" s="10"/>
      <c r="AA872"/>
      <c r="AB872"/>
      <c r="AC872"/>
      <c r="AD872"/>
    </row>
    <row r="873" spans="1:30" x14ac:dyDescent="0.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 s="10"/>
      <c r="V873"/>
      <c r="W873"/>
      <c r="X873" s="10"/>
      <c r="Y873"/>
      <c r="Z873" s="10"/>
      <c r="AA873"/>
      <c r="AB873"/>
      <c r="AC873"/>
      <c r="AD873"/>
    </row>
    <row r="874" spans="1:30" x14ac:dyDescent="0.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 s="10"/>
      <c r="V874"/>
      <c r="W874"/>
      <c r="X874" s="10"/>
      <c r="Y874"/>
      <c r="Z874" s="10"/>
      <c r="AA874"/>
      <c r="AB874"/>
      <c r="AC874"/>
      <c r="AD874"/>
    </row>
    <row r="875" spans="1:30" x14ac:dyDescent="0.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 s="10"/>
      <c r="V875"/>
      <c r="W875"/>
      <c r="X875" s="10"/>
      <c r="Y875"/>
      <c r="Z875" s="10"/>
      <c r="AA875"/>
      <c r="AB875"/>
      <c r="AC875"/>
      <c r="AD875"/>
    </row>
    <row r="876" spans="1:30" x14ac:dyDescent="0.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 s="10"/>
      <c r="V876"/>
      <c r="W876"/>
      <c r="X876" s="10"/>
      <c r="Y876"/>
      <c r="Z876" s="10"/>
      <c r="AA876"/>
      <c r="AB876"/>
      <c r="AC876"/>
      <c r="AD876"/>
    </row>
    <row r="877" spans="1:30" x14ac:dyDescent="0.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 s="10"/>
      <c r="V877"/>
      <c r="W877"/>
      <c r="X877" s="10"/>
      <c r="Y877"/>
      <c r="Z877" s="10"/>
      <c r="AA877"/>
      <c r="AB877"/>
      <c r="AC877"/>
      <c r="AD877"/>
    </row>
    <row r="878" spans="1:30" x14ac:dyDescent="0.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 s="10"/>
      <c r="V878"/>
      <c r="W878"/>
      <c r="X878" s="10"/>
      <c r="Y878"/>
      <c r="Z878" s="10"/>
      <c r="AA878"/>
      <c r="AB878"/>
      <c r="AC878"/>
      <c r="AD878"/>
    </row>
    <row r="879" spans="1:30" x14ac:dyDescent="0.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 s="10"/>
      <c r="V879"/>
      <c r="W879"/>
      <c r="X879" s="10"/>
      <c r="Y879"/>
      <c r="Z879" s="10"/>
      <c r="AA879"/>
      <c r="AB879"/>
      <c r="AC879"/>
      <c r="AD879"/>
    </row>
    <row r="880" spans="1:30" x14ac:dyDescent="0.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 s="10"/>
      <c r="V880"/>
      <c r="W880"/>
      <c r="X880" s="10"/>
      <c r="Y880"/>
      <c r="Z880" s="10"/>
      <c r="AA880"/>
      <c r="AB880"/>
      <c r="AC880"/>
      <c r="AD880"/>
    </row>
    <row r="881" spans="1:30" x14ac:dyDescent="0.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 s="10"/>
      <c r="V881"/>
      <c r="W881"/>
      <c r="X881" s="10"/>
      <c r="Y881"/>
      <c r="Z881" s="10"/>
      <c r="AA881"/>
      <c r="AB881"/>
      <c r="AC881"/>
      <c r="AD881"/>
    </row>
    <row r="882" spans="1:30" x14ac:dyDescent="0.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 s="10"/>
      <c r="V882"/>
      <c r="W882"/>
      <c r="X882" s="10"/>
      <c r="Y882"/>
      <c r="Z882" s="10"/>
      <c r="AA882"/>
      <c r="AB882"/>
      <c r="AC882"/>
      <c r="AD882"/>
    </row>
    <row r="883" spans="1:30" x14ac:dyDescent="0.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 s="10"/>
      <c r="V883"/>
      <c r="W883"/>
      <c r="X883" s="10"/>
      <c r="Y883"/>
      <c r="Z883" s="10"/>
      <c r="AA883"/>
      <c r="AB883"/>
      <c r="AC883"/>
      <c r="AD883"/>
    </row>
    <row r="884" spans="1:30" x14ac:dyDescent="0.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 s="10"/>
      <c r="V884"/>
      <c r="W884"/>
      <c r="X884" s="10"/>
      <c r="Y884"/>
      <c r="Z884" s="10"/>
      <c r="AA884"/>
      <c r="AB884"/>
      <c r="AC884"/>
      <c r="AD884"/>
    </row>
    <row r="885" spans="1:30" x14ac:dyDescent="0.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 s="10"/>
      <c r="V885"/>
      <c r="W885"/>
      <c r="X885" s="10"/>
      <c r="Y885"/>
      <c r="Z885" s="10"/>
      <c r="AA885"/>
      <c r="AB885"/>
      <c r="AC885"/>
      <c r="AD885"/>
    </row>
    <row r="886" spans="1:30" x14ac:dyDescent="0.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 s="10"/>
      <c r="V886"/>
      <c r="W886"/>
      <c r="X886" s="10"/>
      <c r="Y886"/>
      <c r="Z886" s="10"/>
      <c r="AA886"/>
      <c r="AB886"/>
      <c r="AC886"/>
      <c r="AD886"/>
    </row>
    <row r="887" spans="1:30" x14ac:dyDescent="0.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 s="10"/>
      <c r="V887"/>
      <c r="W887"/>
      <c r="X887" s="10"/>
      <c r="Y887"/>
      <c r="Z887" s="10"/>
      <c r="AA887"/>
      <c r="AB887"/>
      <c r="AC887"/>
      <c r="AD887"/>
    </row>
    <row r="888" spans="1:30" x14ac:dyDescent="0.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 s="10"/>
      <c r="V888"/>
      <c r="W888"/>
      <c r="X888" s="10"/>
      <c r="Y888"/>
      <c r="Z888" s="10"/>
      <c r="AA888"/>
      <c r="AB888"/>
      <c r="AC888"/>
      <c r="AD888"/>
    </row>
    <row r="889" spans="1:30" x14ac:dyDescent="0.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 s="10"/>
      <c r="V889"/>
      <c r="W889"/>
      <c r="X889" s="10"/>
      <c r="Y889"/>
      <c r="Z889" s="10"/>
      <c r="AA889"/>
      <c r="AB889"/>
      <c r="AC889"/>
      <c r="AD889"/>
    </row>
    <row r="890" spans="1:30" x14ac:dyDescent="0.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 s="10"/>
      <c r="V890"/>
      <c r="W890"/>
      <c r="X890" s="10"/>
      <c r="Y890"/>
      <c r="Z890" s="10"/>
      <c r="AA890"/>
      <c r="AB890"/>
      <c r="AC890"/>
      <c r="AD890"/>
    </row>
    <row r="891" spans="1:30" x14ac:dyDescent="0.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 s="10"/>
      <c r="V891"/>
      <c r="W891"/>
      <c r="X891" s="10"/>
      <c r="Y891"/>
      <c r="Z891" s="10"/>
      <c r="AA891"/>
      <c r="AB891"/>
      <c r="AC891"/>
      <c r="AD891"/>
    </row>
    <row r="892" spans="1:30" x14ac:dyDescent="0.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 s="10"/>
      <c r="V892"/>
      <c r="W892"/>
      <c r="X892" s="10"/>
      <c r="Y892"/>
      <c r="Z892" s="10"/>
      <c r="AA892"/>
      <c r="AB892"/>
      <c r="AC892"/>
      <c r="AD892"/>
    </row>
    <row r="893" spans="1:30" x14ac:dyDescent="0.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 s="10"/>
      <c r="V893"/>
      <c r="W893"/>
      <c r="X893" s="10"/>
      <c r="Y893"/>
      <c r="Z893" s="10"/>
      <c r="AA893"/>
      <c r="AB893"/>
      <c r="AC893"/>
      <c r="AD893"/>
    </row>
    <row r="894" spans="1:30" x14ac:dyDescent="0.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 s="10"/>
      <c r="V894"/>
      <c r="W894"/>
      <c r="X894" s="10"/>
      <c r="Y894"/>
      <c r="Z894" s="10"/>
      <c r="AA894"/>
      <c r="AB894"/>
      <c r="AC894"/>
      <c r="AD894"/>
    </row>
    <row r="895" spans="1:30" x14ac:dyDescent="0.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 s="10"/>
      <c r="V895"/>
      <c r="W895"/>
      <c r="X895" s="10"/>
      <c r="Y895"/>
      <c r="Z895" s="10"/>
      <c r="AA895"/>
      <c r="AB895"/>
      <c r="AC895"/>
      <c r="AD895"/>
    </row>
    <row r="896" spans="1:30" x14ac:dyDescent="0.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 s="10"/>
      <c r="V896"/>
      <c r="W896"/>
      <c r="X896" s="10"/>
      <c r="Y896"/>
      <c r="Z896" s="10"/>
      <c r="AA896"/>
      <c r="AB896"/>
      <c r="AC896"/>
      <c r="AD896"/>
    </row>
    <row r="897" spans="1:30" x14ac:dyDescent="0.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 s="10"/>
      <c r="V897"/>
      <c r="W897"/>
      <c r="X897" s="10"/>
      <c r="Y897"/>
      <c r="Z897" s="10"/>
      <c r="AA897"/>
      <c r="AB897"/>
      <c r="AC897"/>
      <c r="AD897"/>
    </row>
    <row r="898" spans="1:30" x14ac:dyDescent="0.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 s="10"/>
      <c r="V898"/>
      <c r="W898"/>
      <c r="X898" s="10"/>
      <c r="Y898"/>
      <c r="Z898" s="10"/>
      <c r="AA898"/>
      <c r="AB898"/>
      <c r="AC898"/>
      <c r="AD898"/>
    </row>
    <row r="899" spans="1:30" x14ac:dyDescent="0.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 s="10"/>
      <c r="V899"/>
      <c r="W899"/>
      <c r="X899" s="10"/>
      <c r="Y899"/>
      <c r="Z899" s="10"/>
      <c r="AA899"/>
      <c r="AB899"/>
      <c r="AC899"/>
      <c r="AD899"/>
    </row>
    <row r="900" spans="1:30" x14ac:dyDescent="0.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 s="10"/>
      <c r="V900"/>
      <c r="W900"/>
      <c r="X900" s="10"/>
      <c r="Y900"/>
      <c r="Z900" s="10"/>
      <c r="AA900"/>
      <c r="AB900"/>
      <c r="AC900"/>
      <c r="AD900"/>
    </row>
    <row r="901" spans="1:30" x14ac:dyDescent="0.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 s="10"/>
      <c r="V901"/>
      <c r="W901"/>
      <c r="X901" s="10"/>
      <c r="Y901"/>
      <c r="Z901" s="10"/>
      <c r="AA901"/>
      <c r="AB901"/>
      <c r="AC901"/>
      <c r="AD901"/>
    </row>
    <row r="902" spans="1:30" x14ac:dyDescent="0.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 s="10"/>
      <c r="V902"/>
      <c r="W902"/>
      <c r="X902" s="10"/>
      <c r="Y902"/>
      <c r="Z902" s="10"/>
      <c r="AA902"/>
      <c r="AB902"/>
      <c r="AC902"/>
      <c r="AD902"/>
    </row>
    <row r="903" spans="1:30" x14ac:dyDescent="0.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 s="10"/>
      <c r="V903"/>
      <c r="W903"/>
      <c r="X903" s="10"/>
      <c r="Y903"/>
      <c r="Z903" s="10"/>
      <c r="AA903"/>
      <c r="AB903"/>
      <c r="AC903"/>
      <c r="AD903"/>
    </row>
    <row r="904" spans="1:30" x14ac:dyDescent="0.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 s="10"/>
      <c r="V904"/>
      <c r="W904"/>
      <c r="X904" s="10"/>
      <c r="Y904"/>
      <c r="Z904" s="10"/>
      <c r="AA904"/>
      <c r="AB904"/>
      <c r="AC904"/>
      <c r="AD904"/>
    </row>
    <row r="905" spans="1:30" x14ac:dyDescent="0.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 s="10"/>
      <c r="V905"/>
      <c r="W905"/>
      <c r="X905" s="10"/>
      <c r="Y905"/>
      <c r="Z905" s="10"/>
      <c r="AA905"/>
      <c r="AB905"/>
      <c r="AC905"/>
      <c r="AD905"/>
    </row>
    <row r="906" spans="1:30" x14ac:dyDescent="0.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 s="10"/>
      <c r="V906"/>
      <c r="W906"/>
      <c r="X906" s="10"/>
      <c r="Y906"/>
      <c r="Z906" s="10"/>
      <c r="AA906"/>
      <c r="AB906"/>
      <c r="AC906"/>
      <c r="AD906"/>
    </row>
    <row r="907" spans="1:30" x14ac:dyDescent="0.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 s="10"/>
      <c r="V907"/>
      <c r="W907"/>
      <c r="X907" s="10"/>
      <c r="Y907"/>
      <c r="Z907" s="10"/>
      <c r="AA907"/>
      <c r="AB907"/>
      <c r="AC907"/>
      <c r="AD907"/>
    </row>
    <row r="908" spans="1:30" x14ac:dyDescent="0.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 s="10"/>
      <c r="V908"/>
      <c r="W908"/>
      <c r="X908" s="10"/>
      <c r="Y908"/>
      <c r="Z908" s="10"/>
      <c r="AA908"/>
      <c r="AB908"/>
      <c r="AC908"/>
      <c r="AD908"/>
    </row>
    <row r="909" spans="1:30" x14ac:dyDescent="0.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 s="10"/>
      <c r="V909"/>
      <c r="W909"/>
      <c r="X909" s="10"/>
      <c r="Y909"/>
      <c r="Z909" s="10"/>
      <c r="AA909"/>
      <c r="AB909"/>
      <c r="AC909"/>
      <c r="AD909"/>
    </row>
  </sheetData>
  <phoneticPr fontId="2" type="noConversion"/>
  <conditionalFormatting sqref="R1">
    <cfRule type="duplicateValues" dxfId="2" priority="1"/>
  </conditionalFormatting>
  <conditionalFormatting sqref="S1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zoomScale="70" zoomScaleNormal="70" workbookViewId="0">
      <selection activeCell="E11" sqref="E11"/>
    </sheetView>
  </sheetViews>
  <sheetFormatPr defaultColWidth="11.8984375" defaultRowHeight="17.399999999999999" x14ac:dyDescent="0.4"/>
  <cols>
    <col min="3" max="3" width="11.59765625" bestFit="1" customWidth="1"/>
    <col min="4" max="4" width="9.8984375" style="49" bestFit="1" customWidth="1"/>
    <col min="5" max="5" width="132.3984375" style="50" bestFit="1" customWidth="1"/>
  </cols>
  <sheetData>
    <row r="1" spans="1:9" x14ac:dyDescent="0.4">
      <c r="A1" s="71" t="s">
        <v>4979</v>
      </c>
      <c r="B1" s="71" t="s">
        <v>4980</v>
      </c>
      <c r="C1" s="72" t="s">
        <v>12</v>
      </c>
      <c r="D1" s="72" t="s">
        <v>2692</v>
      </c>
      <c r="E1" s="72" t="s">
        <v>4981</v>
      </c>
      <c r="F1" s="72" t="s">
        <v>3526</v>
      </c>
      <c r="G1" s="72" t="s">
        <v>1</v>
      </c>
      <c r="H1" s="73" t="s">
        <v>15</v>
      </c>
      <c r="I1" s="73" t="s">
        <v>4920</v>
      </c>
    </row>
    <row r="2" spans="1:9" x14ac:dyDescent="0.4">
      <c r="A2" s="71" t="s">
        <v>247</v>
      </c>
      <c r="B2" s="72" t="s">
        <v>243</v>
      </c>
      <c r="C2" s="71" t="s">
        <v>2953</v>
      </c>
      <c r="D2" s="74">
        <v>1</v>
      </c>
      <c r="E2" s="75" t="s">
        <v>2954</v>
      </c>
      <c r="F2" s="71">
        <v>25000</v>
      </c>
      <c r="G2" s="76" t="s">
        <v>3567</v>
      </c>
      <c r="H2" s="71">
        <v>11250</v>
      </c>
      <c r="I2" s="77">
        <f t="shared" ref="I2:I65" si="0">IF(G2="품목별",H2,F2*D2*G2)</f>
        <v>11250</v>
      </c>
    </row>
    <row r="3" spans="1:9" x14ac:dyDescent="0.4">
      <c r="A3" s="71" t="s">
        <v>247</v>
      </c>
      <c r="B3" s="72" t="s">
        <v>243</v>
      </c>
      <c r="C3" s="71" t="s">
        <v>3687</v>
      </c>
      <c r="D3" s="74">
        <v>96</v>
      </c>
      <c r="E3" s="75" t="s">
        <v>3688</v>
      </c>
      <c r="F3" s="71">
        <v>24000</v>
      </c>
      <c r="G3" s="76" t="s">
        <v>3567</v>
      </c>
      <c r="H3" s="71">
        <v>11520</v>
      </c>
      <c r="I3" s="71">
        <f t="shared" si="0"/>
        <v>11520</v>
      </c>
    </row>
    <row r="4" spans="1:9" x14ac:dyDescent="0.4">
      <c r="A4" s="71" t="s">
        <v>247</v>
      </c>
      <c r="B4" s="72" t="s">
        <v>243</v>
      </c>
      <c r="C4" s="71" t="s">
        <v>2956</v>
      </c>
      <c r="D4" s="74">
        <v>1</v>
      </c>
      <c r="E4" s="75" t="s">
        <v>2957</v>
      </c>
      <c r="F4" s="71">
        <v>40000</v>
      </c>
      <c r="G4" s="76" t="s">
        <v>3567</v>
      </c>
      <c r="H4" s="71">
        <v>13600</v>
      </c>
      <c r="I4" s="71">
        <f t="shared" si="0"/>
        <v>13600</v>
      </c>
    </row>
    <row r="5" spans="1:9" x14ac:dyDescent="0.4">
      <c r="A5" s="71" t="s">
        <v>247</v>
      </c>
      <c r="B5" s="71" t="s">
        <v>42</v>
      </c>
      <c r="C5" s="71" t="s">
        <v>3584</v>
      </c>
      <c r="D5" s="74">
        <v>3</v>
      </c>
      <c r="E5" s="75" t="s">
        <v>3586</v>
      </c>
      <c r="F5" s="71">
        <v>15900</v>
      </c>
      <c r="G5" s="76" t="s">
        <v>3567</v>
      </c>
      <c r="H5" s="71">
        <v>8510</v>
      </c>
      <c r="I5" s="77">
        <f t="shared" si="0"/>
        <v>8510</v>
      </c>
    </row>
    <row r="6" spans="1:9" x14ac:dyDescent="0.4">
      <c r="A6" s="71" t="s">
        <v>247</v>
      </c>
      <c r="B6" s="71" t="s">
        <v>42</v>
      </c>
      <c r="C6" s="71" t="s">
        <v>3605</v>
      </c>
      <c r="D6" s="74">
        <v>2</v>
      </c>
      <c r="E6" s="75" t="s">
        <v>3606</v>
      </c>
      <c r="F6" s="71">
        <v>1000</v>
      </c>
      <c r="G6" s="76" t="s">
        <v>3567</v>
      </c>
      <c r="H6" s="71">
        <v>350</v>
      </c>
      <c r="I6" s="71">
        <f t="shared" si="0"/>
        <v>350</v>
      </c>
    </row>
    <row r="7" spans="1:9" x14ac:dyDescent="0.4">
      <c r="A7" s="71" t="s">
        <v>247</v>
      </c>
      <c r="B7" s="71" t="s">
        <v>42</v>
      </c>
      <c r="C7" s="71" t="s">
        <v>3608</v>
      </c>
      <c r="D7" s="74">
        <v>3</v>
      </c>
      <c r="E7" s="75" t="s">
        <v>3609</v>
      </c>
      <c r="F7" s="71">
        <v>1000</v>
      </c>
      <c r="G7" s="76" t="s">
        <v>3567</v>
      </c>
      <c r="H7" s="71">
        <v>350</v>
      </c>
      <c r="I7" s="71">
        <f t="shared" si="0"/>
        <v>350</v>
      </c>
    </row>
    <row r="8" spans="1:9" x14ac:dyDescent="0.4">
      <c r="A8" s="71" t="s">
        <v>247</v>
      </c>
      <c r="B8" s="71" t="s">
        <v>42</v>
      </c>
      <c r="C8" s="71" t="s">
        <v>3611</v>
      </c>
      <c r="D8" s="74">
        <v>5</v>
      </c>
      <c r="E8" s="75" t="s">
        <v>3612</v>
      </c>
      <c r="F8" s="71">
        <v>1000</v>
      </c>
      <c r="G8" s="76" t="s">
        <v>3567</v>
      </c>
      <c r="H8" s="71">
        <v>350</v>
      </c>
      <c r="I8" s="71">
        <f t="shared" si="0"/>
        <v>350</v>
      </c>
    </row>
    <row r="9" spans="1:9" x14ac:dyDescent="0.4">
      <c r="A9" s="71" t="s">
        <v>247</v>
      </c>
      <c r="B9" s="71" t="s">
        <v>42</v>
      </c>
      <c r="C9" s="71" t="s">
        <v>3614</v>
      </c>
      <c r="D9" s="74">
        <v>1</v>
      </c>
      <c r="E9" s="75" t="s">
        <v>3615</v>
      </c>
      <c r="F9" s="71">
        <v>1000</v>
      </c>
      <c r="G9" s="76" t="s">
        <v>3567</v>
      </c>
      <c r="H9" s="71">
        <v>350</v>
      </c>
      <c r="I9" s="71">
        <f t="shared" si="0"/>
        <v>350</v>
      </c>
    </row>
    <row r="10" spans="1:9" x14ac:dyDescent="0.4">
      <c r="A10" s="71" t="s">
        <v>247</v>
      </c>
      <c r="B10" s="71" t="s">
        <v>42</v>
      </c>
      <c r="C10" s="71" t="s">
        <v>3617</v>
      </c>
      <c r="D10" s="74">
        <v>3</v>
      </c>
      <c r="E10" s="75" t="s">
        <v>3618</v>
      </c>
      <c r="F10" s="71">
        <v>1000</v>
      </c>
      <c r="G10" s="76" t="s">
        <v>3567</v>
      </c>
      <c r="H10" s="71">
        <v>350</v>
      </c>
      <c r="I10" s="71">
        <f t="shared" si="0"/>
        <v>350</v>
      </c>
    </row>
    <row r="11" spans="1:9" x14ac:dyDescent="0.4">
      <c r="A11" s="71" t="s">
        <v>247</v>
      </c>
      <c r="B11" s="71" t="s">
        <v>42</v>
      </c>
      <c r="C11" s="71" t="s">
        <v>3620</v>
      </c>
      <c r="D11" s="74">
        <v>1</v>
      </c>
      <c r="E11" s="75" t="s">
        <v>3621</v>
      </c>
      <c r="F11" s="71">
        <v>5000</v>
      </c>
      <c r="G11" s="76" t="s">
        <v>3567</v>
      </c>
      <c r="H11" s="71">
        <v>1750</v>
      </c>
      <c r="I11" s="71">
        <f t="shared" si="0"/>
        <v>1750</v>
      </c>
    </row>
    <row r="12" spans="1:9" x14ac:dyDescent="0.4">
      <c r="A12" s="71" t="s">
        <v>247</v>
      </c>
      <c r="B12" s="71" t="s">
        <v>42</v>
      </c>
      <c r="C12" s="71" t="s">
        <v>2964</v>
      </c>
      <c r="D12" s="74">
        <v>1</v>
      </c>
      <c r="E12" s="75" t="s">
        <v>2965</v>
      </c>
      <c r="F12" s="71">
        <v>12000</v>
      </c>
      <c r="G12" s="76" t="s">
        <v>3567</v>
      </c>
      <c r="H12" s="71">
        <v>6600</v>
      </c>
      <c r="I12" s="71">
        <f t="shared" si="0"/>
        <v>6600</v>
      </c>
    </row>
    <row r="13" spans="1:9" x14ac:dyDescent="0.4">
      <c r="A13" s="71" t="s">
        <v>247</v>
      </c>
      <c r="B13" s="71" t="s">
        <v>42</v>
      </c>
      <c r="C13" s="71" t="s">
        <v>2967</v>
      </c>
      <c r="D13" s="74">
        <v>1</v>
      </c>
      <c r="E13" s="75" t="s">
        <v>2968</v>
      </c>
      <c r="F13" s="71">
        <v>12000</v>
      </c>
      <c r="G13" s="76" t="s">
        <v>3567</v>
      </c>
      <c r="H13" s="71">
        <v>6600</v>
      </c>
      <c r="I13" s="71">
        <f t="shared" si="0"/>
        <v>6600</v>
      </c>
    </row>
    <row r="14" spans="1:9" x14ac:dyDescent="0.4">
      <c r="A14" s="71" t="s">
        <v>4982</v>
      </c>
      <c r="B14" s="71" t="s">
        <v>42</v>
      </c>
      <c r="C14" s="71" t="s">
        <v>2969</v>
      </c>
      <c r="D14" s="74">
        <v>1</v>
      </c>
      <c r="E14" s="75" t="s">
        <v>2970</v>
      </c>
      <c r="F14" s="71">
        <v>16000</v>
      </c>
      <c r="G14" s="76" t="s">
        <v>3567</v>
      </c>
      <c r="H14" s="71">
        <v>8800</v>
      </c>
      <c r="I14" s="71">
        <f t="shared" si="0"/>
        <v>8800</v>
      </c>
    </row>
    <row r="15" spans="1:9" x14ac:dyDescent="0.4">
      <c r="A15" s="71" t="s">
        <v>4982</v>
      </c>
      <c r="B15" s="71" t="s">
        <v>42</v>
      </c>
      <c r="C15" s="71" t="s">
        <v>2971</v>
      </c>
      <c r="D15" s="74">
        <v>12</v>
      </c>
      <c r="E15" s="75" t="s">
        <v>2972</v>
      </c>
      <c r="F15" s="71">
        <v>20000</v>
      </c>
      <c r="G15" s="76" t="s">
        <v>3567</v>
      </c>
      <c r="H15" s="71">
        <v>7000</v>
      </c>
      <c r="I15" s="71">
        <f t="shared" si="0"/>
        <v>7000</v>
      </c>
    </row>
    <row r="16" spans="1:9" x14ac:dyDescent="0.4">
      <c r="A16" s="71" t="s">
        <v>4982</v>
      </c>
      <c r="B16" s="71" t="s">
        <v>42</v>
      </c>
      <c r="C16" s="71" t="s">
        <v>2973</v>
      </c>
      <c r="D16" s="74">
        <v>1</v>
      </c>
      <c r="E16" s="75" t="s">
        <v>2974</v>
      </c>
      <c r="F16" s="71">
        <v>7000</v>
      </c>
      <c r="G16" s="76" t="s">
        <v>3567</v>
      </c>
      <c r="H16" s="71">
        <v>2450</v>
      </c>
      <c r="I16" s="71">
        <f t="shared" si="0"/>
        <v>2450</v>
      </c>
    </row>
    <row r="17" spans="1:9" x14ac:dyDescent="0.4">
      <c r="A17" s="71" t="s">
        <v>4982</v>
      </c>
      <c r="B17" s="71" t="s">
        <v>42</v>
      </c>
      <c r="C17" s="71" t="s">
        <v>4191</v>
      </c>
      <c r="D17" s="74">
        <v>2</v>
      </c>
      <c r="E17" s="75" t="s">
        <v>4192</v>
      </c>
      <c r="F17" s="71">
        <v>25000</v>
      </c>
      <c r="G17" s="76" t="s">
        <v>3567</v>
      </c>
      <c r="H17" s="71">
        <v>8750</v>
      </c>
      <c r="I17" s="71">
        <f t="shared" si="0"/>
        <v>8750</v>
      </c>
    </row>
    <row r="18" spans="1:9" x14ac:dyDescent="0.4">
      <c r="A18" s="71" t="s">
        <v>4982</v>
      </c>
      <c r="B18" s="71" t="s">
        <v>42</v>
      </c>
      <c r="C18" s="71" t="s">
        <v>2981</v>
      </c>
      <c r="D18" s="74">
        <v>1</v>
      </c>
      <c r="E18" s="75" t="s">
        <v>2982</v>
      </c>
      <c r="F18" s="71">
        <v>14000</v>
      </c>
      <c r="G18" s="76" t="s">
        <v>3567</v>
      </c>
      <c r="H18" s="71">
        <v>4900</v>
      </c>
      <c r="I18" s="71">
        <f t="shared" si="0"/>
        <v>4900</v>
      </c>
    </row>
    <row r="19" spans="1:9" x14ac:dyDescent="0.4">
      <c r="A19" s="71" t="s">
        <v>4982</v>
      </c>
      <c r="B19" s="71" t="s">
        <v>42</v>
      </c>
      <c r="C19" s="71" t="s">
        <v>2983</v>
      </c>
      <c r="D19" s="74">
        <v>1</v>
      </c>
      <c r="E19" s="75" t="s">
        <v>2984</v>
      </c>
      <c r="F19" s="71">
        <v>14000</v>
      </c>
      <c r="G19" s="76" t="s">
        <v>3567</v>
      </c>
      <c r="H19" s="71">
        <v>4900</v>
      </c>
      <c r="I19" s="71">
        <f t="shared" si="0"/>
        <v>4900</v>
      </c>
    </row>
    <row r="20" spans="1:9" x14ac:dyDescent="0.4">
      <c r="A20" s="71" t="s">
        <v>4982</v>
      </c>
      <c r="B20" s="71" t="s">
        <v>42</v>
      </c>
      <c r="C20" s="71" t="s">
        <v>4438</v>
      </c>
      <c r="D20" s="74">
        <v>1</v>
      </c>
      <c r="E20" s="75" t="s">
        <v>4439</v>
      </c>
      <c r="F20" s="71">
        <v>3500</v>
      </c>
      <c r="G20" s="76" t="s">
        <v>3567</v>
      </c>
      <c r="H20" s="71">
        <v>1330</v>
      </c>
      <c r="I20" s="71">
        <f t="shared" si="0"/>
        <v>1330</v>
      </c>
    </row>
    <row r="21" spans="1:9" x14ac:dyDescent="0.4">
      <c r="A21" s="71" t="s">
        <v>4982</v>
      </c>
      <c r="B21" s="71" t="s">
        <v>42</v>
      </c>
      <c r="C21" s="71" t="s">
        <v>4441</v>
      </c>
      <c r="D21" s="74">
        <v>4</v>
      </c>
      <c r="E21" s="75" t="s">
        <v>4443</v>
      </c>
      <c r="F21" s="71">
        <v>26000</v>
      </c>
      <c r="G21" s="76" t="s">
        <v>3567</v>
      </c>
      <c r="H21" s="71">
        <v>5100</v>
      </c>
      <c r="I21" s="71">
        <f t="shared" si="0"/>
        <v>5100</v>
      </c>
    </row>
    <row r="22" spans="1:9" x14ac:dyDescent="0.4">
      <c r="A22" s="71" t="s">
        <v>4982</v>
      </c>
      <c r="B22" s="71" t="s">
        <v>42</v>
      </c>
      <c r="C22" s="71" t="s">
        <v>4744</v>
      </c>
      <c r="D22" s="74">
        <v>1</v>
      </c>
      <c r="E22" s="75" t="s">
        <v>4745</v>
      </c>
      <c r="F22" s="71">
        <v>23000</v>
      </c>
      <c r="G22" s="76" t="s">
        <v>3567</v>
      </c>
      <c r="H22" s="71">
        <v>12650</v>
      </c>
      <c r="I22" s="71">
        <f t="shared" si="0"/>
        <v>12650</v>
      </c>
    </row>
    <row r="23" spans="1:9" x14ac:dyDescent="0.4">
      <c r="A23" s="71" t="s">
        <v>4982</v>
      </c>
      <c r="B23" s="71" t="s">
        <v>42</v>
      </c>
      <c r="C23" s="71" t="s">
        <v>2991</v>
      </c>
      <c r="D23" s="74">
        <v>1</v>
      </c>
      <c r="E23" s="75" t="s">
        <v>2992</v>
      </c>
      <c r="F23" s="71">
        <v>13000</v>
      </c>
      <c r="G23" s="76" t="s">
        <v>3567</v>
      </c>
      <c r="H23" s="71">
        <v>7150</v>
      </c>
      <c r="I23" s="71">
        <f t="shared" si="0"/>
        <v>7150</v>
      </c>
    </row>
    <row r="24" spans="1:9" x14ac:dyDescent="0.4">
      <c r="A24" s="71" t="s">
        <v>4982</v>
      </c>
      <c r="B24" s="71" t="s">
        <v>42</v>
      </c>
      <c r="C24" s="71" t="s">
        <v>4822</v>
      </c>
      <c r="D24" s="74">
        <v>1</v>
      </c>
      <c r="E24" s="75" t="s">
        <v>4824</v>
      </c>
      <c r="F24" s="71">
        <v>9900</v>
      </c>
      <c r="G24" s="76" t="s">
        <v>3567</v>
      </c>
      <c r="H24" s="71">
        <v>4554</v>
      </c>
      <c r="I24" s="71">
        <f t="shared" si="0"/>
        <v>4554</v>
      </c>
    </row>
    <row r="25" spans="1:9" x14ac:dyDescent="0.4">
      <c r="A25" s="71" t="s">
        <v>4982</v>
      </c>
      <c r="B25" s="71" t="s">
        <v>42</v>
      </c>
      <c r="C25" s="71" t="s">
        <v>4837</v>
      </c>
      <c r="D25" s="74">
        <v>1</v>
      </c>
      <c r="E25" s="75" t="s">
        <v>4839</v>
      </c>
      <c r="F25" s="71">
        <v>18000</v>
      </c>
      <c r="G25" s="76" t="s">
        <v>3567</v>
      </c>
      <c r="H25" s="71">
        <v>9000</v>
      </c>
      <c r="I25" s="71">
        <f t="shared" si="0"/>
        <v>9000</v>
      </c>
    </row>
    <row r="26" spans="1:9" x14ac:dyDescent="0.4">
      <c r="A26" s="71" t="s">
        <v>4982</v>
      </c>
      <c r="B26" s="71" t="s">
        <v>42</v>
      </c>
      <c r="C26" s="71" t="s">
        <v>4841</v>
      </c>
      <c r="D26" s="74">
        <v>1</v>
      </c>
      <c r="E26" s="75" t="s">
        <v>4843</v>
      </c>
      <c r="F26" s="71">
        <v>28000</v>
      </c>
      <c r="G26" s="76" t="s">
        <v>3567</v>
      </c>
      <c r="H26" s="71">
        <v>14000</v>
      </c>
      <c r="I26" s="71">
        <f t="shared" si="0"/>
        <v>14000</v>
      </c>
    </row>
    <row r="27" spans="1:9" x14ac:dyDescent="0.4">
      <c r="A27" s="71" t="s">
        <v>4982</v>
      </c>
      <c r="B27" s="71" t="s">
        <v>42</v>
      </c>
      <c r="C27" s="71" t="s">
        <v>4845</v>
      </c>
      <c r="D27" s="74">
        <v>1</v>
      </c>
      <c r="E27" s="75" t="s">
        <v>4847</v>
      </c>
      <c r="F27" s="71">
        <v>25000</v>
      </c>
      <c r="G27" s="76" t="s">
        <v>3567</v>
      </c>
      <c r="H27" s="71">
        <v>12500</v>
      </c>
      <c r="I27" s="71">
        <f t="shared" si="0"/>
        <v>12500</v>
      </c>
    </row>
    <row r="28" spans="1:9" x14ac:dyDescent="0.4">
      <c r="A28" s="71" t="s">
        <v>4982</v>
      </c>
      <c r="B28" s="71" t="s">
        <v>42</v>
      </c>
      <c r="C28" s="71" t="s">
        <v>4849</v>
      </c>
      <c r="D28" s="74">
        <v>1</v>
      </c>
      <c r="E28" s="75" t="s">
        <v>4851</v>
      </c>
      <c r="F28" s="71">
        <v>32000</v>
      </c>
      <c r="G28" s="76" t="s">
        <v>3567</v>
      </c>
      <c r="H28" s="71">
        <v>16000</v>
      </c>
      <c r="I28" s="71">
        <f t="shared" si="0"/>
        <v>16000</v>
      </c>
    </row>
    <row r="29" spans="1:9" x14ac:dyDescent="0.4">
      <c r="A29" s="71" t="s">
        <v>247</v>
      </c>
      <c r="B29" s="72" t="s">
        <v>4929</v>
      </c>
      <c r="C29" s="71" t="s">
        <v>4056</v>
      </c>
      <c r="D29" s="74">
        <v>1</v>
      </c>
      <c r="E29" s="75" t="s">
        <v>4058</v>
      </c>
      <c r="F29" s="71">
        <v>40000</v>
      </c>
      <c r="G29" s="76">
        <v>0.65</v>
      </c>
      <c r="H29" s="71">
        <v>26000</v>
      </c>
      <c r="I29" s="77">
        <f t="shared" si="0"/>
        <v>26000</v>
      </c>
    </row>
    <row r="30" spans="1:9" x14ac:dyDescent="0.4">
      <c r="A30" s="71" t="s">
        <v>247</v>
      </c>
      <c r="B30" s="72" t="s">
        <v>4929</v>
      </c>
      <c r="C30" s="71" t="s">
        <v>4062</v>
      </c>
      <c r="D30" s="74">
        <v>1</v>
      </c>
      <c r="E30" s="75" t="s">
        <v>4064</v>
      </c>
      <c r="F30" s="71">
        <v>40000</v>
      </c>
      <c r="G30" s="76">
        <v>0.65</v>
      </c>
      <c r="H30" s="71">
        <v>26000</v>
      </c>
      <c r="I30" s="71">
        <f t="shared" si="0"/>
        <v>26000</v>
      </c>
    </row>
    <row r="31" spans="1:9" x14ac:dyDescent="0.4">
      <c r="A31" s="71" t="s">
        <v>247</v>
      </c>
      <c r="B31" s="72" t="s">
        <v>4929</v>
      </c>
      <c r="C31" s="71" t="s">
        <v>4066</v>
      </c>
      <c r="D31" s="74">
        <v>1</v>
      </c>
      <c r="E31" s="75" t="s">
        <v>4068</v>
      </c>
      <c r="F31" s="71">
        <v>30000</v>
      </c>
      <c r="G31" s="76">
        <v>0.65</v>
      </c>
      <c r="H31" s="71">
        <v>19500</v>
      </c>
      <c r="I31" s="71">
        <f t="shared" si="0"/>
        <v>19500</v>
      </c>
    </row>
    <row r="32" spans="1:9" x14ac:dyDescent="0.4">
      <c r="A32" s="71" t="s">
        <v>247</v>
      </c>
      <c r="B32" s="72" t="s">
        <v>4929</v>
      </c>
      <c r="C32" s="71" t="s">
        <v>3009</v>
      </c>
      <c r="D32" s="74">
        <v>1</v>
      </c>
      <c r="E32" s="75" t="s">
        <v>3010</v>
      </c>
      <c r="F32" s="71">
        <v>50000</v>
      </c>
      <c r="G32" s="76">
        <v>0.65</v>
      </c>
      <c r="H32" s="71">
        <v>32500</v>
      </c>
      <c r="I32" s="71">
        <f t="shared" si="0"/>
        <v>32500</v>
      </c>
    </row>
    <row r="33" spans="1:9" x14ac:dyDescent="0.4">
      <c r="A33" s="71" t="s">
        <v>247</v>
      </c>
      <c r="B33" s="72" t="s">
        <v>4929</v>
      </c>
      <c r="C33" s="71" t="s">
        <v>3011</v>
      </c>
      <c r="D33" s="74">
        <v>1</v>
      </c>
      <c r="E33" s="75" t="s">
        <v>3012</v>
      </c>
      <c r="F33" s="71">
        <v>118000</v>
      </c>
      <c r="G33" s="76">
        <v>0.65</v>
      </c>
      <c r="H33" s="71">
        <v>76700</v>
      </c>
      <c r="I33" s="71">
        <f t="shared" si="0"/>
        <v>76700</v>
      </c>
    </row>
    <row r="34" spans="1:9" x14ac:dyDescent="0.4">
      <c r="A34" s="71" t="s">
        <v>247</v>
      </c>
      <c r="B34" s="72" t="s">
        <v>4929</v>
      </c>
      <c r="C34" s="71" t="s">
        <v>744</v>
      </c>
      <c r="D34" s="74">
        <v>3</v>
      </c>
      <c r="E34" s="75" t="s">
        <v>745</v>
      </c>
      <c r="F34" s="71">
        <v>85000</v>
      </c>
      <c r="G34" s="76">
        <v>0.65</v>
      </c>
      <c r="H34" s="71">
        <v>55250</v>
      </c>
      <c r="I34" s="71">
        <f t="shared" si="0"/>
        <v>165750</v>
      </c>
    </row>
    <row r="35" spans="1:9" x14ac:dyDescent="0.4">
      <c r="A35" s="71" t="s">
        <v>247</v>
      </c>
      <c r="B35" s="72" t="s">
        <v>4929</v>
      </c>
      <c r="C35" s="71" t="s">
        <v>4854</v>
      </c>
      <c r="D35" s="74">
        <v>1</v>
      </c>
      <c r="E35" s="75" t="s">
        <v>4855</v>
      </c>
      <c r="F35" s="71">
        <v>32000</v>
      </c>
      <c r="G35" s="76">
        <v>0.65</v>
      </c>
      <c r="H35" s="71">
        <v>20800</v>
      </c>
      <c r="I35" s="71">
        <f t="shared" si="0"/>
        <v>20800</v>
      </c>
    </row>
    <row r="36" spans="1:9" x14ac:dyDescent="0.4">
      <c r="A36" s="71" t="s">
        <v>247</v>
      </c>
      <c r="B36" s="72" t="s">
        <v>4929</v>
      </c>
      <c r="C36" s="71" t="s">
        <v>2259</v>
      </c>
      <c r="D36" s="74">
        <v>4</v>
      </c>
      <c r="E36" s="75" t="s">
        <v>2261</v>
      </c>
      <c r="F36" s="71">
        <v>30000</v>
      </c>
      <c r="G36" s="76">
        <v>0.65</v>
      </c>
      <c r="H36" s="71">
        <v>19500</v>
      </c>
      <c r="I36" s="71">
        <f t="shared" si="0"/>
        <v>78000</v>
      </c>
    </row>
    <row r="37" spans="1:9" x14ac:dyDescent="0.4">
      <c r="A37" s="71" t="s">
        <v>247</v>
      </c>
      <c r="B37" s="72" t="s">
        <v>4929</v>
      </c>
      <c r="C37" s="71" t="s">
        <v>782</v>
      </c>
      <c r="D37" s="74">
        <v>1</v>
      </c>
      <c r="E37" s="75" t="s">
        <v>783</v>
      </c>
      <c r="F37" s="71">
        <v>28000</v>
      </c>
      <c r="G37" s="76">
        <v>0.65</v>
      </c>
      <c r="H37" s="71">
        <v>18200</v>
      </c>
      <c r="I37" s="71">
        <f t="shared" si="0"/>
        <v>18200</v>
      </c>
    </row>
    <row r="38" spans="1:9" x14ac:dyDescent="0.4">
      <c r="A38" s="71" t="s">
        <v>247</v>
      </c>
      <c r="B38" s="72" t="s">
        <v>4929</v>
      </c>
      <c r="C38" s="71" t="s">
        <v>2321</v>
      </c>
      <c r="D38" s="74">
        <v>2</v>
      </c>
      <c r="E38" s="75" t="s">
        <v>2322</v>
      </c>
      <c r="F38" s="71">
        <v>68000</v>
      </c>
      <c r="G38" s="76">
        <v>0.65</v>
      </c>
      <c r="H38" s="71">
        <v>44200</v>
      </c>
      <c r="I38" s="71">
        <f t="shared" si="0"/>
        <v>88400</v>
      </c>
    </row>
    <row r="39" spans="1:9" x14ac:dyDescent="0.4">
      <c r="A39" s="71" t="s">
        <v>247</v>
      </c>
      <c r="B39" s="72" t="s">
        <v>4929</v>
      </c>
      <c r="C39" s="71" t="s">
        <v>4864</v>
      </c>
      <c r="D39" s="74">
        <v>1</v>
      </c>
      <c r="E39" s="75" t="s">
        <v>4865</v>
      </c>
      <c r="F39" s="71">
        <v>65000</v>
      </c>
      <c r="G39" s="76">
        <v>0.65</v>
      </c>
      <c r="H39" s="71">
        <v>42250</v>
      </c>
      <c r="I39" s="71">
        <f t="shared" si="0"/>
        <v>42250</v>
      </c>
    </row>
    <row r="40" spans="1:9" x14ac:dyDescent="0.4">
      <c r="A40" s="71" t="s">
        <v>247</v>
      </c>
      <c r="B40" s="72" t="s">
        <v>4929</v>
      </c>
      <c r="C40" s="71" t="s">
        <v>2443</v>
      </c>
      <c r="D40" s="74">
        <v>2</v>
      </c>
      <c r="E40" s="75" t="s">
        <v>2444</v>
      </c>
      <c r="F40" s="71">
        <v>26000</v>
      </c>
      <c r="G40" s="76">
        <v>0.65</v>
      </c>
      <c r="H40" s="71">
        <v>16900</v>
      </c>
      <c r="I40" s="71">
        <f t="shared" si="0"/>
        <v>33800</v>
      </c>
    </row>
    <row r="41" spans="1:9" x14ac:dyDescent="0.4">
      <c r="A41" s="71" t="s">
        <v>247</v>
      </c>
      <c r="B41" s="72" t="s">
        <v>4929</v>
      </c>
      <c r="C41" s="71" t="s">
        <v>2545</v>
      </c>
      <c r="D41" s="74">
        <v>1</v>
      </c>
      <c r="E41" s="75" t="s">
        <v>2546</v>
      </c>
      <c r="F41" s="71">
        <v>50000</v>
      </c>
      <c r="G41" s="76">
        <v>0.65</v>
      </c>
      <c r="H41" s="71">
        <v>32500</v>
      </c>
      <c r="I41" s="71">
        <f t="shared" si="0"/>
        <v>32500</v>
      </c>
    </row>
    <row r="42" spans="1:9" x14ac:dyDescent="0.4">
      <c r="A42" s="71" t="s">
        <v>247</v>
      </c>
      <c r="B42" s="72" t="s">
        <v>4929</v>
      </c>
      <c r="C42" s="71" t="s">
        <v>3019</v>
      </c>
      <c r="D42" s="74">
        <v>1</v>
      </c>
      <c r="E42" s="75" t="s">
        <v>3020</v>
      </c>
      <c r="F42" s="71">
        <v>21000</v>
      </c>
      <c r="G42" s="76">
        <v>0.65</v>
      </c>
      <c r="H42" s="71">
        <v>13650</v>
      </c>
      <c r="I42" s="71">
        <f t="shared" si="0"/>
        <v>13650</v>
      </c>
    </row>
    <row r="43" spans="1:9" x14ac:dyDescent="0.4">
      <c r="A43" s="71" t="s">
        <v>247</v>
      </c>
      <c r="B43" s="72" t="s">
        <v>4930</v>
      </c>
      <c r="C43" s="71" t="s">
        <v>3572</v>
      </c>
      <c r="D43" s="74">
        <v>1</v>
      </c>
      <c r="E43" s="75" t="s">
        <v>3574</v>
      </c>
      <c r="F43" s="71">
        <v>28000</v>
      </c>
      <c r="G43" s="76">
        <v>0.55000000000000004</v>
      </c>
      <c r="H43" s="71">
        <v>15400</v>
      </c>
      <c r="I43" s="77">
        <f t="shared" si="0"/>
        <v>15400.000000000002</v>
      </c>
    </row>
    <row r="44" spans="1:9" x14ac:dyDescent="0.4">
      <c r="A44" s="71" t="s">
        <v>247</v>
      </c>
      <c r="B44" s="72" t="s">
        <v>4930</v>
      </c>
      <c r="C44" s="71" t="s">
        <v>3021</v>
      </c>
      <c r="D44" s="74">
        <v>41</v>
      </c>
      <c r="E44" s="75" t="s">
        <v>3022</v>
      </c>
      <c r="F44" s="71">
        <v>25000</v>
      </c>
      <c r="G44" s="76">
        <v>0.55000000000000004</v>
      </c>
      <c r="H44" s="71">
        <v>13750</v>
      </c>
      <c r="I44" s="71">
        <f t="shared" si="0"/>
        <v>563750</v>
      </c>
    </row>
    <row r="45" spans="1:9" x14ac:dyDescent="0.4">
      <c r="A45" s="71" t="s">
        <v>247</v>
      </c>
      <c r="B45" s="72" t="s">
        <v>4930</v>
      </c>
      <c r="C45" s="71" t="s">
        <v>3578</v>
      </c>
      <c r="D45" s="74">
        <v>3</v>
      </c>
      <c r="E45" s="75" t="s">
        <v>3580</v>
      </c>
      <c r="F45" s="71">
        <v>28000</v>
      </c>
      <c r="G45" s="76">
        <v>0.55000000000000004</v>
      </c>
      <c r="H45" s="71">
        <v>15400</v>
      </c>
      <c r="I45" s="71">
        <f t="shared" si="0"/>
        <v>46200.000000000007</v>
      </c>
    </row>
    <row r="46" spans="1:9" x14ac:dyDescent="0.4">
      <c r="A46" s="71" t="s">
        <v>247</v>
      </c>
      <c r="B46" s="72" t="s">
        <v>4930</v>
      </c>
      <c r="C46" s="71" t="s">
        <v>4445</v>
      </c>
      <c r="D46" s="74">
        <v>5</v>
      </c>
      <c r="E46" s="75" t="s">
        <v>4447</v>
      </c>
      <c r="F46" s="71">
        <v>0</v>
      </c>
      <c r="G46" s="76">
        <v>0.55000000000000004</v>
      </c>
      <c r="H46" s="71">
        <v>0</v>
      </c>
      <c r="I46" s="71">
        <f t="shared" si="0"/>
        <v>0</v>
      </c>
    </row>
    <row r="47" spans="1:9" x14ac:dyDescent="0.4">
      <c r="A47" s="71" t="s">
        <v>247</v>
      </c>
      <c r="B47" s="72" t="s">
        <v>4930</v>
      </c>
      <c r="C47" s="71" t="s">
        <v>4449</v>
      </c>
      <c r="D47" s="74">
        <v>3</v>
      </c>
      <c r="E47" s="75" t="s">
        <v>4451</v>
      </c>
      <c r="F47" s="71">
        <v>15000</v>
      </c>
      <c r="G47" s="76">
        <v>0.55000000000000004</v>
      </c>
      <c r="H47" s="71">
        <v>8250</v>
      </c>
      <c r="I47" s="71">
        <f t="shared" si="0"/>
        <v>24750.000000000004</v>
      </c>
    </row>
    <row r="48" spans="1:9" x14ac:dyDescent="0.4">
      <c r="A48" s="71" t="s">
        <v>247</v>
      </c>
      <c r="B48" s="72" t="s">
        <v>4930</v>
      </c>
      <c r="C48" s="71" t="s">
        <v>4453</v>
      </c>
      <c r="D48" s="74">
        <v>1</v>
      </c>
      <c r="E48" s="75" t="s">
        <v>4455</v>
      </c>
      <c r="F48" s="71">
        <v>7000</v>
      </c>
      <c r="G48" s="76">
        <v>0.55000000000000004</v>
      </c>
      <c r="H48" s="71">
        <v>3850</v>
      </c>
      <c r="I48" s="71">
        <f t="shared" si="0"/>
        <v>3850.0000000000005</v>
      </c>
    </row>
    <row r="49" spans="1:9" x14ac:dyDescent="0.4">
      <c r="A49" s="71" t="s">
        <v>247</v>
      </c>
      <c r="B49" s="72" t="s">
        <v>4930</v>
      </c>
      <c r="C49" s="71" t="s">
        <v>4457</v>
      </c>
      <c r="D49" s="74">
        <v>3</v>
      </c>
      <c r="E49" s="75" t="s">
        <v>4459</v>
      </c>
      <c r="F49" s="71">
        <v>3500</v>
      </c>
      <c r="G49" s="76">
        <v>0.55000000000000004</v>
      </c>
      <c r="H49" s="71">
        <v>1925</v>
      </c>
      <c r="I49" s="71">
        <f t="shared" si="0"/>
        <v>5775.0000000000009</v>
      </c>
    </row>
    <row r="50" spans="1:9" x14ac:dyDescent="0.4">
      <c r="A50" s="71" t="s">
        <v>247</v>
      </c>
      <c r="B50" s="72" t="s">
        <v>4930</v>
      </c>
      <c r="C50" s="71" t="s">
        <v>4465</v>
      </c>
      <c r="D50" s="74">
        <v>9</v>
      </c>
      <c r="E50" s="75" t="s">
        <v>4466</v>
      </c>
      <c r="F50" s="71">
        <v>6000</v>
      </c>
      <c r="G50" s="76">
        <v>0.55000000000000004</v>
      </c>
      <c r="H50" s="71">
        <v>3300</v>
      </c>
      <c r="I50" s="71">
        <f t="shared" si="0"/>
        <v>29700.000000000004</v>
      </c>
    </row>
    <row r="51" spans="1:9" x14ac:dyDescent="0.4">
      <c r="A51" s="71" t="s">
        <v>247</v>
      </c>
      <c r="B51" s="72" t="s">
        <v>4930</v>
      </c>
      <c r="C51" s="71" t="s">
        <v>4468</v>
      </c>
      <c r="D51" s="74">
        <v>1</v>
      </c>
      <c r="E51" s="75" t="s">
        <v>4470</v>
      </c>
      <c r="F51" s="71">
        <v>10000</v>
      </c>
      <c r="G51" s="76">
        <v>0.55000000000000004</v>
      </c>
      <c r="H51" s="71">
        <v>5500</v>
      </c>
      <c r="I51" s="71">
        <f t="shared" si="0"/>
        <v>5500</v>
      </c>
    </row>
    <row r="52" spans="1:9" x14ac:dyDescent="0.4">
      <c r="A52" s="71" t="s">
        <v>247</v>
      </c>
      <c r="B52" s="72" t="s">
        <v>4930</v>
      </c>
      <c r="C52" s="71" t="s">
        <v>3045</v>
      </c>
      <c r="D52" s="74">
        <v>2</v>
      </c>
      <c r="E52" s="75" t="s">
        <v>3046</v>
      </c>
      <c r="F52" s="71">
        <v>8000</v>
      </c>
      <c r="G52" s="76">
        <v>0.55000000000000004</v>
      </c>
      <c r="H52" s="71">
        <v>4400</v>
      </c>
      <c r="I52" s="71">
        <f t="shared" si="0"/>
        <v>8800</v>
      </c>
    </row>
    <row r="53" spans="1:9" x14ac:dyDescent="0.4">
      <c r="A53" s="71" t="s">
        <v>247</v>
      </c>
      <c r="B53" s="72" t="s">
        <v>4930</v>
      </c>
      <c r="C53" s="71" t="s">
        <v>4477</v>
      </c>
      <c r="D53" s="74">
        <v>1</v>
      </c>
      <c r="E53" s="75" t="s">
        <v>4478</v>
      </c>
      <c r="F53" s="71">
        <v>35000</v>
      </c>
      <c r="G53" s="76">
        <v>0.55000000000000004</v>
      </c>
      <c r="H53" s="71">
        <v>19250</v>
      </c>
      <c r="I53" s="71">
        <f t="shared" si="0"/>
        <v>19250</v>
      </c>
    </row>
    <row r="54" spans="1:9" x14ac:dyDescent="0.4">
      <c r="A54" s="71" t="s">
        <v>4982</v>
      </c>
      <c r="B54" s="72" t="s">
        <v>4930</v>
      </c>
      <c r="C54" s="71" t="s">
        <v>4480</v>
      </c>
      <c r="D54" s="74">
        <v>3</v>
      </c>
      <c r="E54" s="75" t="s">
        <v>4482</v>
      </c>
      <c r="F54" s="71">
        <v>9800</v>
      </c>
      <c r="G54" s="76">
        <v>0.55000000000000004</v>
      </c>
      <c r="H54" s="71">
        <v>5390</v>
      </c>
      <c r="I54" s="71">
        <f t="shared" si="0"/>
        <v>16170.000000000002</v>
      </c>
    </row>
    <row r="55" spans="1:9" x14ac:dyDescent="0.4">
      <c r="A55" s="71" t="s">
        <v>4982</v>
      </c>
      <c r="B55" s="72" t="s">
        <v>4930</v>
      </c>
      <c r="C55" s="71" t="s">
        <v>654</v>
      </c>
      <c r="D55" s="74">
        <v>1</v>
      </c>
      <c r="E55" s="75" t="s">
        <v>655</v>
      </c>
      <c r="F55" s="71">
        <v>12000</v>
      </c>
      <c r="G55" s="76">
        <v>0.55000000000000004</v>
      </c>
      <c r="H55" s="71">
        <v>6600</v>
      </c>
      <c r="I55" s="71">
        <f t="shared" si="0"/>
        <v>6600.0000000000009</v>
      </c>
    </row>
    <row r="56" spans="1:9" x14ac:dyDescent="0.4">
      <c r="A56" s="71" t="s">
        <v>4982</v>
      </c>
      <c r="B56" s="72" t="s">
        <v>4930</v>
      </c>
      <c r="C56" s="71" t="s">
        <v>482</v>
      </c>
      <c r="D56" s="74">
        <v>2</v>
      </c>
      <c r="E56" s="75" t="s">
        <v>483</v>
      </c>
      <c r="F56" s="71">
        <v>8000</v>
      </c>
      <c r="G56" s="76">
        <v>0.55000000000000004</v>
      </c>
      <c r="H56" s="71">
        <v>4400</v>
      </c>
      <c r="I56" s="71">
        <f t="shared" si="0"/>
        <v>8800</v>
      </c>
    </row>
    <row r="57" spans="1:9" x14ac:dyDescent="0.4">
      <c r="A57" s="71" t="s">
        <v>4982</v>
      </c>
      <c r="B57" s="72" t="s">
        <v>4930</v>
      </c>
      <c r="C57" s="71" t="s">
        <v>4486</v>
      </c>
      <c r="D57" s="74">
        <v>1</v>
      </c>
      <c r="E57" s="75" t="s">
        <v>4488</v>
      </c>
      <c r="F57" s="71">
        <v>3000</v>
      </c>
      <c r="G57" s="76">
        <v>0.55000000000000004</v>
      </c>
      <c r="H57" s="71">
        <v>1650</v>
      </c>
      <c r="I57" s="71">
        <f t="shared" si="0"/>
        <v>1650.0000000000002</v>
      </c>
    </row>
    <row r="58" spans="1:9" x14ac:dyDescent="0.4">
      <c r="A58" s="71" t="s">
        <v>4982</v>
      </c>
      <c r="B58" s="72" t="s">
        <v>4930</v>
      </c>
      <c r="C58" s="71" t="s">
        <v>4490</v>
      </c>
      <c r="D58" s="74">
        <v>1</v>
      </c>
      <c r="E58" s="75" t="s">
        <v>4492</v>
      </c>
      <c r="F58" s="71">
        <v>3000</v>
      </c>
      <c r="G58" s="76">
        <v>0.55000000000000004</v>
      </c>
      <c r="H58" s="71">
        <v>1650</v>
      </c>
      <c r="I58" s="71">
        <f t="shared" si="0"/>
        <v>1650.0000000000002</v>
      </c>
    </row>
    <row r="59" spans="1:9" x14ac:dyDescent="0.4">
      <c r="A59" s="71" t="s">
        <v>4982</v>
      </c>
      <c r="B59" s="72" t="s">
        <v>4930</v>
      </c>
      <c r="C59" s="71" t="s">
        <v>4494</v>
      </c>
      <c r="D59" s="74">
        <v>1</v>
      </c>
      <c r="E59" s="75" t="s">
        <v>4496</v>
      </c>
      <c r="F59" s="71">
        <v>12000</v>
      </c>
      <c r="G59" s="76">
        <v>0.55000000000000004</v>
      </c>
      <c r="H59" s="71">
        <v>6600</v>
      </c>
      <c r="I59" s="71">
        <f t="shared" si="0"/>
        <v>6600.0000000000009</v>
      </c>
    </row>
    <row r="60" spans="1:9" x14ac:dyDescent="0.4">
      <c r="A60" s="71" t="s">
        <v>4982</v>
      </c>
      <c r="B60" s="72" t="s">
        <v>4930</v>
      </c>
      <c r="C60" s="71" t="s">
        <v>2635</v>
      </c>
      <c r="D60" s="74">
        <v>1</v>
      </c>
      <c r="E60" s="75" t="s">
        <v>2637</v>
      </c>
      <c r="F60" s="71">
        <v>12000</v>
      </c>
      <c r="G60" s="76">
        <v>0.55000000000000004</v>
      </c>
      <c r="H60" s="71">
        <v>6600</v>
      </c>
      <c r="I60" s="71">
        <f t="shared" si="0"/>
        <v>6600.0000000000009</v>
      </c>
    </row>
    <row r="61" spans="1:9" x14ac:dyDescent="0.4">
      <c r="A61" s="71" t="s">
        <v>4982</v>
      </c>
      <c r="B61" s="72" t="s">
        <v>4930</v>
      </c>
      <c r="C61" s="71" t="s">
        <v>4499</v>
      </c>
      <c r="D61" s="74">
        <v>1</v>
      </c>
      <c r="E61" s="75" t="s">
        <v>4501</v>
      </c>
      <c r="F61" s="71">
        <v>1100</v>
      </c>
      <c r="G61" s="76">
        <v>0.55000000000000004</v>
      </c>
      <c r="H61" s="71">
        <v>605</v>
      </c>
      <c r="I61" s="71">
        <f t="shared" si="0"/>
        <v>605</v>
      </c>
    </row>
    <row r="62" spans="1:9" x14ac:dyDescent="0.4">
      <c r="A62" s="71" t="s">
        <v>4982</v>
      </c>
      <c r="B62" s="72" t="s">
        <v>4930</v>
      </c>
      <c r="C62" s="71" t="s">
        <v>4503</v>
      </c>
      <c r="D62" s="74">
        <v>1</v>
      </c>
      <c r="E62" s="75" t="s">
        <v>4505</v>
      </c>
      <c r="F62" s="71">
        <v>1100</v>
      </c>
      <c r="G62" s="76">
        <v>0.55000000000000004</v>
      </c>
      <c r="H62" s="71">
        <v>605</v>
      </c>
      <c r="I62" s="71">
        <f t="shared" si="0"/>
        <v>605</v>
      </c>
    </row>
    <row r="63" spans="1:9" x14ac:dyDescent="0.4">
      <c r="A63" s="71" t="s">
        <v>4982</v>
      </c>
      <c r="B63" s="72" t="s">
        <v>4930</v>
      </c>
      <c r="C63" s="71" t="s">
        <v>4507</v>
      </c>
      <c r="D63" s="74">
        <v>3</v>
      </c>
      <c r="E63" s="75" t="s">
        <v>4508</v>
      </c>
      <c r="F63" s="71">
        <v>12000</v>
      </c>
      <c r="G63" s="76">
        <v>0.55000000000000004</v>
      </c>
      <c r="H63" s="71">
        <v>6600</v>
      </c>
      <c r="I63" s="71">
        <f t="shared" si="0"/>
        <v>19800</v>
      </c>
    </row>
    <row r="64" spans="1:9" x14ac:dyDescent="0.4">
      <c r="A64" s="71" t="s">
        <v>4982</v>
      </c>
      <c r="B64" s="72" t="s">
        <v>4930</v>
      </c>
      <c r="C64" s="71" t="s">
        <v>4510</v>
      </c>
      <c r="D64" s="74">
        <v>1</v>
      </c>
      <c r="E64" s="75" t="s">
        <v>4511</v>
      </c>
      <c r="F64" s="71">
        <v>12000</v>
      </c>
      <c r="G64" s="76">
        <v>0.55000000000000004</v>
      </c>
      <c r="H64" s="71">
        <v>6600</v>
      </c>
      <c r="I64" s="71">
        <f t="shared" si="0"/>
        <v>6600.0000000000009</v>
      </c>
    </row>
    <row r="65" spans="1:9" x14ac:dyDescent="0.4">
      <c r="A65" s="71" t="s">
        <v>4982</v>
      </c>
      <c r="B65" s="72" t="s">
        <v>4930</v>
      </c>
      <c r="C65" s="71" t="s">
        <v>4513</v>
      </c>
      <c r="D65" s="74">
        <v>1</v>
      </c>
      <c r="E65" s="75" t="s">
        <v>4515</v>
      </c>
      <c r="F65" s="71">
        <v>4000</v>
      </c>
      <c r="G65" s="76">
        <v>0.55000000000000004</v>
      </c>
      <c r="H65" s="71">
        <v>2200</v>
      </c>
      <c r="I65" s="71">
        <f t="shared" si="0"/>
        <v>2200</v>
      </c>
    </row>
    <row r="66" spans="1:9" x14ac:dyDescent="0.4">
      <c r="A66" s="71" t="s">
        <v>4982</v>
      </c>
      <c r="B66" s="72" t="s">
        <v>4930</v>
      </c>
      <c r="C66" s="71" t="s">
        <v>4517</v>
      </c>
      <c r="D66" s="74">
        <v>3</v>
      </c>
      <c r="E66" s="75" t="s">
        <v>4518</v>
      </c>
      <c r="F66" s="71">
        <v>2500</v>
      </c>
      <c r="G66" s="76">
        <v>0.55000000000000004</v>
      </c>
      <c r="H66" s="71">
        <v>1375</v>
      </c>
      <c r="I66" s="71">
        <f t="shared" ref="I66:I129" si="1">IF(G66="품목별",H66,F66*D66*G66)</f>
        <v>4125</v>
      </c>
    </row>
    <row r="67" spans="1:9" x14ac:dyDescent="0.4">
      <c r="A67" s="71" t="s">
        <v>4982</v>
      </c>
      <c r="B67" s="72" t="s">
        <v>4930</v>
      </c>
      <c r="C67" s="71" t="s">
        <v>4520</v>
      </c>
      <c r="D67" s="74">
        <v>1</v>
      </c>
      <c r="E67" s="75" t="s">
        <v>4522</v>
      </c>
      <c r="F67" s="71">
        <v>6000</v>
      </c>
      <c r="G67" s="76">
        <v>0.55000000000000004</v>
      </c>
      <c r="H67" s="71">
        <v>3300</v>
      </c>
      <c r="I67" s="71">
        <f t="shared" si="1"/>
        <v>3300.0000000000005</v>
      </c>
    </row>
    <row r="68" spans="1:9" x14ac:dyDescent="0.4">
      <c r="A68" s="71" t="s">
        <v>4982</v>
      </c>
      <c r="B68" s="72" t="s">
        <v>4930</v>
      </c>
      <c r="C68" s="71" t="s">
        <v>4524</v>
      </c>
      <c r="D68" s="74">
        <v>1</v>
      </c>
      <c r="E68" s="75" t="s">
        <v>4526</v>
      </c>
      <c r="F68" s="71">
        <v>3000</v>
      </c>
      <c r="G68" s="76">
        <v>0.55000000000000004</v>
      </c>
      <c r="H68" s="71">
        <v>1650</v>
      </c>
      <c r="I68" s="71">
        <f t="shared" si="1"/>
        <v>1650.0000000000002</v>
      </c>
    </row>
    <row r="69" spans="1:9" x14ac:dyDescent="0.4">
      <c r="A69" s="71" t="s">
        <v>4982</v>
      </c>
      <c r="B69" s="72" t="s">
        <v>4930</v>
      </c>
      <c r="C69" s="71" t="s">
        <v>3063</v>
      </c>
      <c r="D69" s="74">
        <v>7</v>
      </c>
      <c r="E69" s="75" t="s">
        <v>3064</v>
      </c>
      <c r="F69" s="71">
        <v>2500</v>
      </c>
      <c r="G69" s="76">
        <v>0.55000000000000004</v>
      </c>
      <c r="H69" s="71">
        <v>1375</v>
      </c>
      <c r="I69" s="71">
        <f t="shared" si="1"/>
        <v>9625</v>
      </c>
    </row>
    <row r="70" spans="1:9" x14ac:dyDescent="0.4">
      <c r="A70" s="71" t="s">
        <v>4982</v>
      </c>
      <c r="B70" s="72" t="s">
        <v>4930</v>
      </c>
      <c r="C70" s="71" t="s">
        <v>4530</v>
      </c>
      <c r="D70" s="74">
        <v>1</v>
      </c>
      <c r="E70" s="75" t="s">
        <v>4531</v>
      </c>
      <c r="F70" s="71">
        <v>1500</v>
      </c>
      <c r="G70" s="76">
        <v>0.55000000000000004</v>
      </c>
      <c r="H70" s="71">
        <v>825</v>
      </c>
      <c r="I70" s="71">
        <f t="shared" si="1"/>
        <v>825.00000000000011</v>
      </c>
    </row>
    <row r="71" spans="1:9" x14ac:dyDescent="0.4">
      <c r="A71" s="71" t="s">
        <v>4982</v>
      </c>
      <c r="B71" s="72" t="s">
        <v>4930</v>
      </c>
      <c r="C71" s="71" t="s">
        <v>4534</v>
      </c>
      <c r="D71" s="74">
        <v>1</v>
      </c>
      <c r="E71" s="75" t="s">
        <v>4536</v>
      </c>
      <c r="F71" s="71">
        <v>1000</v>
      </c>
      <c r="G71" s="76">
        <v>0.55000000000000004</v>
      </c>
      <c r="H71" s="71">
        <v>550</v>
      </c>
      <c r="I71" s="71">
        <f t="shared" si="1"/>
        <v>550</v>
      </c>
    </row>
    <row r="72" spans="1:9" x14ac:dyDescent="0.4">
      <c r="A72" s="71" t="s">
        <v>4982</v>
      </c>
      <c r="B72" s="72" t="s">
        <v>4930</v>
      </c>
      <c r="C72" s="71" t="s">
        <v>4539</v>
      </c>
      <c r="D72" s="74">
        <v>1</v>
      </c>
      <c r="E72" s="75" t="s">
        <v>4541</v>
      </c>
      <c r="F72" s="71">
        <v>3500</v>
      </c>
      <c r="G72" s="76">
        <v>0.55000000000000004</v>
      </c>
      <c r="H72" s="71">
        <v>1925</v>
      </c>
      <c r="I72" s="71">
        <f t="shared" si="1"/>
        <v>1925.0000000000002</v>
      </c>
    </row>
    <row r="73" spans="1:9" x14ac:dyDescent="0.4">
      <c r="A73" s="71" t="s">
        <v>4982</v>
      </c>
      <c r="B73" s="72" t="s">
        <v>4930</v>
      </c>
      <c r="C73" s="71" t="s">
        <v>4543</v>
      </c>
      <c r="D73" s="74">
        <v>4</v>
      </c>
      <c r="E73" s="75" t="s">
        <v>4545</v>
      </c>
      <c r="F73" s="71">
        <v>35000</v>
      </c>
      <c r="G73" s="76">
        <v>0.55000000000000004</v>
      </c>
      <c r="H73" s="71">
        <v>19250</v>
      </c>
      <c r="I73" s="71">
        <f t="shared" si="1"/>
        <v>77000</v>
      </c>
    </row>
    <row r="74" spans="1:9" x14ac:dyDescent="0.4">
      <c r="A74" s="71" t="s">
        <v>4982</v>
      </c>
      <c r="B74" s="72" t="s">
        <v>4930</v>
      </c>
      <c r="C74" s="71" t="s">
        <v>4547</v>
      </c>
      <c r="D74" s="74">
        <v>1</v>
      </c>
      <c r="E74" s="75" t="s">
        <v>4548</v>
      </c>
      <c r="F74" s="71">
        <v>4000</v>
      </c>
      <c r="G74" s="76">
        <v>0.55000000000000004</v>
      </c>
      <c r="H74" s="71">
        <v>2200</v>
      </c>
      <c r="I74" s="71">
        <f t="shared" si="1"/>
        <v>2200</v>
      </c>
    </row>
    <row r="75" spans="1:9" x14ac:dyDescent="0.4">
      <c r="A75" s="71" t="s">
        <v>4982</v>
      </c>
      <c r="B75" s="72" t="s">
        <v>4930</v>
      </c>
      <c r="C75" s="71" t="s">
        <v>4550</v>
      </c>
      <c r="D75" s="74">
        <v>1</v>
      </c>
      <c r="E75" s="75" t="s">
        <v>4551</v>
      </c>
      <c r="F75" s="71">
        <v>22000</v>
      </c>
      <c r="G75" s="76">
        <v>0.55000000000000004</v>
      </c>
      <c r="H75" s="71">
        <v>12100</v>
      </c>
      <c r="I75" s="71">
        <f t="shared" si="1"/>
        <v>12100.000000000002</v>
      </c>
    </row>
    <row r="76" spans="1:9" x14ac:dyDescent="0.4">
      <c r="A76" s="71" t="s">
        <v>4982</v>
      </c>
      <c r="B76" s="72" t="s">
        <v>4930</v>
      </c>
      <c r="C76" s="71" t="s">
        <v>4553</v>
      </c>
      <c r="D76" s="74">
        <v>1</v>
      </c>
      <c r="E76" s="75" t="s">
        <v>4555</v>
      </c>
      <c r="F76" s="71">
        <v>7000</v>
      </c>
      <c r="G76" s="76">
        <v>0.55000000000000004</v>
      </c>
      <c r="H76" s="71">
        <v>3850</v>
      </c>
      <c r="I76" s="71">
        <f t="shared" si="1"/>
        <v>3850.0000000000005</v>
      </c>
    </row>
    <row r="77" spans="1:9" x14ac:dyDescent="0.4">
      <c r="A77" s="71" t="s">
        <v>4982</v>
      </c>
      <c r="B77" s="72" t="s">
        <v>4930</v>
      </c>
      <c r="C77" s="71" t="s">
        <v>4557</v>
      </c>
      <c r="D77" s="74">
        <v>1</v>
      </c>
      <c r="E77" s="75" t="s">
        <v>4559</v>
      </c>
      <c r="F77" s="71">
        <v>8000</v>
      </c>
      <c r="G77" s="76">
        <v>0.55000000000000004</v>
      </c>
      <c r="H77" s="71">
        <v>4400</v>
      </c>
      <c r="I77" s="71">
        <f t="shared" si="1"/>
        <v>4400</v>
      </c>
    </row>
    <row r="78" spans="1:9" x14ac:dyDescent="0.4">
      <c r="A78" s="71" t="s">
        <v>4982</v>
      </c>
      <c r="B78" s="72" t="s">
        <v>4930</v>
      </c>
      <c r="C78" s="71" t="s">
        <v>4561</v>
      </c>
      <c r="D78" s="74">
        <v>1</v>
      </c>
      <c r="E78" s="75" t="s">
        <v>4563</v>
      </c>
      <c r="F78" s="71">
        <v>10000</v>
      </c>
      <c r="G78" s="76">
        <v>0.55000000000000004</v>
      </c>
      <c r="H78" s="71">
        <v>5500</v>
      </c>
      <c r="I78" s="71">
        <f t="shared" si="1"/>
        <v>5500</v>
      </c>
    </row>
    <row r="79" spans="1:9" x14ac:dyDescent="0.4">
      <c r="A79" s="71" t="s">
        <v>4982</v>
      </c>
      <c r="B79" s="72" t="s">
        <v>4930</v>
      </c>
      <c r="C79" s="71" t="s">
        <v>4566</v>
      </c>
      <c r="D79" s="74">
        <v>3</v>
      </c>
      <c r="E79" s="75" t="s">
        <v>4568</v>
      </c>
      <c r="F79" s="71">
        <v>1800</v>
      </c>
      <c r="G79" s="76">
        <v>0.55000000000000004</v>
      </c>
      <c r="H79" s="71">
        <v>990</v>
      </c>
      <c r="I79" s="71">
        <f t="shared" si="1"/>
        <v>2970.0000000000005</v>
      </c>
    </row>
    <row r="80" spans="1:9" x14ac:dyDescent="0.4">
      <c r="A80" s="71" t="s">
        <v>4982</v>
      </c>
      <c r="B80" s="72" t="s">
        <v>4930</v>
      </c>
      <c r="C80" s="71" t="s">
        <v>4570</v>
      </c>
      <c r="D80" s="74">
        <v>5</v>
      </c>
      <c r="E80" s="75" t="s">
        <v>4571</v>
      </c>
      <c r="F80" s="71">
        <v>4500</v>
      </c>
      <c r="G80" s="76">
        <v>0.55000000000000004</v>
      </c>
      <c r="H80" s="71">
        <v>2475</v>
      </c>
      <c r="I80" s="71">
        <f t="shared" si="1"/>
        <v>12375.000000000002</v>
      </c>
    </row>
    <row r="81" spans="1:9" x14ac:dyDescent="0.4">
      <c r="A81" s="71" t="s">
        <v>4982</v>
      </c>
      <c r="B81" s="72" t="s">
        <v>4930</v>
      </c>
      <c r="C81" s="71" t="s">
        <v>4574</v>
      </c>
      <c r="D81" s="74">
        <v>2</v>
      </c>
      <c r="E81" s="75" t="s">
        <v>4575</v>
      </c>
      <c r="F81" s="71">
        <v>18000</v>
      </c>
      <c r="G81" s="76">
        <v>0.55000000000000004</v>
      </c>
      <c r="H81" s="71">
        <v>9900</v>
      </c>
      <c r="I81" s="71">
        <f t="shared" si="1"/>
        <v>19800</v>
      </c>
    </row>
    <row r="82" spans="1:9" x14ac:dyDescent="0.4">
      <c r="A82" s="71" t="s">
        <v>4982</v>
      </c>
      <c r="B82" s="72" t="s">
        <v>4930</v>
      </c>
      <c r="C82" s="71" t="s">
        <v>4577</v>
      </c>
      <c r="D82" s="74">
        <v>1</v>
      </c>
      <c r="E82" s="75" t="s">
        <v>4579</v>
      </c>
      <c r="F82" s="71">
        <v>7000</v>
      </c>
      <c r="G82" s="76">
        <v>0.55000000000000004</v>
      </c>
      <c r="H82" s="71">
        <v>3850</v>
      </c>
      <c r="I82" s="71">
        <f t="shared" si="1"/>
        <v>3850.0000000000005</v>
      </c>
    </row>
    <row r="83" spans="1:9" x14ac:dyDescent="0.4">
      <c r="A83" s="71" t="s">
        <v>4982</v>
      </c>
      <c r="B83" s="72" t="s">
        <v>4930</v>
      </c>
      <c r="C83" s="71" t="s">
        <v>4581</v>
      </c>
      <c r="D83" s="74">
        <v>1</v>
      </c>
      <c r="E83" s="75" t="s">
        <v>4583</v>
      </c>
      <c r="F83" s="71">
        <v>6500</v>
      </c>
      <c r="G83" s="76">
        <v>0.55000000000000004</v>
      </c>
      <c r="H83" s="71">
        <v>3575</v>
      </c>
      <c r="I83" s="71">
        <f t="shared" si="1"/>
        <v>3575.0000000000005</v>
      </c>
    </row>
    <row r="84" spans="1:9" x14ac:dyDescent="0.4">
      <c r="A84" s="71" t="s">
        <v>4982</v>
      </c>
      <c r="B84" s="72" t="s">
        <v>4930</v>
      </c>
      <c r="C84" s="71" t="s">
        <v>4585</v>
      </c>
      <c r="D84" s="74">
        <v>1</v>
      </c>
      <c r="E84" s="75" t="s">
        <v>4587</v>
      </c>
      <c r="F84" s="71">
        <v>2000</v>
      </c>
      <c r="G84" s="76">
        <v>0.55000000000000004</v>
      </c>
      <c r="H84" s="71">
        <v>1100</v>
      </c>
      <c r="I84" s="71">
        <f t="shared" si="1"/>
        <v>1100</v>
      </c>
    </row>
    <row r="85" spans="1:9" x14ac:dyDescent="0.4">
      <c r="A85" s="71" t="s">
        <v>4982</v>
      </c>
      <c r="B85" s="72" t="s">
        <v>4930</v>
      </c>
      <c r="C85" s="71" t="s">
        <v>4589</v>
      </c>
      <c r="D85" s="74">
        <v>2</v>
      </c>
      <c r="E85" s="75" t="s">
        <v>4591</v>
      </c>
      <c r="F85" s="71">
        <v>3000</v>
      </c>
      <c r="G85" s="76">
        <v>0.55000000000000004</v>
      </c>
      <c r="H85" s="71">
        <v>1650</v>
      </c>
      <c r="I85" s="71">
        <f t="shared" si="1"/>
        <v>3300.0000000000005</v>
      </c>
    </row>
    <row r="86" spans="1:9" x14ac:dyDescent="0.4">
      <c r="A86" s="71" t="s">
        <v>4982</v>
      </c>
      <c r="B86" s="72" t="s">
        <v>4930</v>
      </c>
      <c r="C86" s="71" t="s">
        <v>4593</v>
      </c>
      <c r="D86" s="74">
        <v>2</v>
      </c>
      <c r="E86" s="75" t="s">
        <v>4595</v>
      </c>
      <c r="F86" s="71">
        <v>28000</v>
      </c>
      <c r="G86" s="76">
        <v>0.55000000000000004</v>
      </c>
      <c r="H86" s="71">
        <v>15400</v>
      </c>
      <c r="I86" s="71">
        <f t="shared" si="1"/>
        <v>30800.000000000004</v>
      </c>
    </row>
    <row r="87" spans="1:9" x14ac:dyDescent="0.4">
      <c r="A87" s="71" t="s">
        <v>4982</v>
      </c>
      <c r="B87" s="72" t="s">
        <v>4930</v>
      </c>
      <c r="C87" s="71" t="s">
        <v>4597</v>
      </c>
      <c r="D87" s="74">
        <v>1</v>
      </c>
      <c r="E87" s="75" t="s">
        <v>4598</v>
      </c>
      <c r="F87" s="71">
        <v>20000</v>
      </c>
      <c r="G87" s="76">
        <v>0.55000000000000004</v>
      </c>
      <c r="H87" s="71">
        <v>11000</v>
      </c>
      <c r="I87" s="71">
        <f t="shared" si="1"/>
        <v>11000</v>
      </c>
    </row>
    <row r="88" spans="1:9" x14ac:dyDescent="0.4">
      <c r="A88" s="71" t="s">
        <v>4982</v>
      </c>
      <c r="B88" s="72" t="s">
        <v>4930</v>
      </c>
      <c r="C88" s="71" t="s">
        <v>4600</v>
      </c>
      <c r="D88" s="74">
        <v>1</v>
      </c>
      <c r="E88" s="75" t="s">
        <v>4601</v>
      </c>
      <c r="F88" s="71">
        <v>16000</v>
      </c>
      <c r="G88" s="76">
        <v>0.55000000000000004</v>
      </c>
      <c r="H88" s="71">
        <v>8800</v>
      </c>
      <c r="I88" s="71">
        <f t="shared" si="1"/>
        <v>8800</v>
      </c>
    </row>
    <row r="89" spans="1:9" x14ac:dyDescent="0.4">
      <c r="A89" s="71" t="s">
        <v>4982</v>
      </c>
      <c r="B89" s="72" t="s">
        <v>4930</v>
      </c>
      <c r="C89" s="71" t="s">
        <v>4603</v>
      </c>
      <c r="D89" s="74">
        <v>2</v>
      </c>
      <c r="E89" s="75" t="s">
        <v>4604</v>
      </c>
      <c r="F89" s="71">
        <v>6000</v>
      </c>
      <c r="G89" s="76">
        <v>0.55000000000000004</v>
      </c>
      <c r="H89" s="71">
        <v>3300</v>
      </c>
      <c r="I89" s="71">
        <f t="shared" si="1"/>
        <v>6600.0000000000009</v>
      </c>
    </row>
    <row r="90" spans="1:9" x14ac:dyDescent="0.4">
      <c r="A90" s="71" t="s">
        <v>4982</v>
      </c>
      <c r="B90" s="72" t="s">
        <v>4930</v>
      </c>
      <c r="C90" s="71" t="s">
        <v>4606</v>
      </c>
      <c r="D90" s="74">
        <v>6</v>
      </c>
      <c r="E90" s="75" t="s">
        <v>4608</v>
      </c>
      <c r="F90" s="71">
        <v>18000</v>
      </c>
      <c r="G90" s="76">
        <v>0.55000000000000004</v>
      </c>
      <c r="H90" s="71">
        <v>9900</v>
      </c>
      <c r="I90" s="71">
        <f t="shared" si="1"/>
        <v>59400.000000000007</v>
      </c>
    </row>
    <row r="91" spans="1:9" x14ac:dyDescent="0.4">
      <c r="A91" s="71" t="s">
        <v>4982</v>
      </c>
      <c r="B91" s="72" t="s">
        <v>4930</v>
      </c>
      <c r="C91" s="71" t="s">
        <v>4610</v>
      </c>
      <c r="D91" s="74">
        <v>1</v>
      </c>
      <c r="E91" s="75" t="s">
        <v>4611</v>
      </c>
      <c r="F91" s="71">
        <v>20000</v>
      </c>
      <c r="G91" s="76">
        <v>0.55000000000000004</v>
      </c>
      <c r="H91" s="71">
        <v>11000</v>
      </c>
      <c r="I91" s="71">
        <f t="shared" si="1"/>
        <v>11000</v>
      </c>
    </row>
    <row r="92" spans="1:9" x14ac:dyDescent="0.4">
      <c r="A92" s="71" t="s">
        <v>4982</v>
      </c>
      <c r="B92" s="72" t="s">
        <v>4930</v>
      </c>
      <c r="C92" s="71" t="s">
        <v>4613</v>
      </c>
      <c r="D92" s="74">
        <v>1</v>
      </c>
      <c r="E92" s="75" t="s">
        <v>4615</v>
      </c>
      <c r="F92" s="71">
        <v>30000</v>
      </c>
      <c r="G92" s="76">
        <v>0.55000000000000004</v>
      </c>
      <c r="H92" s="71">
        <v>16500</v>
      </c>
      <c r="I92" s="71">
        <f t="shared" si="1"/>
        <v>16500</v>
      </c>
    </row>
    <row r="93" spans="1:9" x14ac:dyDescent="0.4">
      <c r="A93" s="71" t="s">
        <v>4982</v>
      </c>
      <c r="B93" s="72" t="s">
        <v>4930</v>
      </c>
      <c r="C93" s="71" t="s">
        <v>4617</v>
      </c>
      <c r="D93" s="74">
        <v>1</v>
      </c>
      <c r="E93" s="75" t="s">
        <v>4619</v>
      </c>
      <c r="F93" s="71">
        <v>9000</v>
      </c>
      <c r="G93" s="76">
        <v>0.55000000000000004</v>
      </c>
      <c r="H93" s="71">
        <v>4950</v>
      </c>
      <c r="I93" s="71">
        <f t="shared" si="1"/>
        <v>4950</v>
      </c>
    </row>
    <row r="94" spans="1:9" x14ac:dyDescent="0.4">
      <c r="A94" s="71" t="s">
        <v>4982</v>
      </c>
      <c r="B94" s="72" t="s">
        <v>4930</v>
      </c>
      <c r="C94" s="71" t="s">
        <v>4621</v>
      </c>
      <c r="D94" s="74">
        <v>1</v>
      </c>
      <c r="E94" s="75" t="s">
        <v>4623</v>
      </c>
      <c r="F94" s="71">
        <v>5000</v>
      </c>
      <c r="G94" s="76">
        <v>0.55000000000000004</v>
      </c>
      <c r="H94" s="71">
        <v>2750</v>
      </c>
      <c r="I94" s="71">
        <f t="shared" si="1"/>
        <v>2750</v>
      </c>
    </row>
    <row r="95" spans="1:9" x14ac:dyDescent="0.4">
      <c r="A95" s="71" t="s">
        <v>4982</v>
      </c>
      <c r="B95" s="72" t="s">
        <v>4930</v>
      </c>
      <c r="C95" s="71" t="s">
        <v>4625</v>
      </c>
      <c r="D95" s="74">
        <v>1</v>
      </c>
      <c r="E95" s="75" t="s">
        <v>4627</v>
      </c>
      <c r="F95" s="71">
        <v>10000</v>
      </c>
      <c r="G95" s="76">
        <v>0.55000000000000004</v>
      </c>
      <c r="H95" s="71">
        <v>5500</v>
      </c>
      <c r="I95" s="71">
        <f t="shared" si="1"/>
        <v>5500</v>
      </c>
    </row>
    <row r="96" spans="1:9" x14ac:dyDescent="0.4">
      <c r="A96" s="71" t="s">
        <v>4982</v>
      </c>
      <c r="B96" s="72" t="s">
        <v>4930</v>
      </c>
      <c r="C96" s="71" t="s">
        <v>4629</v>
      </c>
      <c r="D96" s="74">
        <v>1</v>
      </c>
      <c r="E96" s="75" t="s">
        <v>4630</v>
      </c>
      <c r="F96" s="71">
        <v>2000</v>
      </c>
      <c r="G96" s="76">
        <v>0.55000000000000004</v>
      </c>
      <c r="H96" s="71">
        <v>1100</v>
      </c>
      <c r="I96" s="71">
        <f t="shared" si="1"/>
        <v>1100</v>
      </c>
    </row>
    <row r="97" spans="1:9" x14ac:dyDescent="0.4">
      <c r="A97" s="71" t="s">
        <v>4982</v>
      </c>
      <c r="B97" s="72" t="s">
        <v>4930</v>
      </c>
      <c r="C97" s="71" t="s">
        <v>4634</v>
      </c>
      <c r="D97" s="74">
        <v>2</v>
      </c>
      <c r="E97" s="75" t="s">
        <v>4635</v>
      </c>
      <c r="F97" s="71">
        <v>4000</v>
      </c>
      <c r="G97" s="76">
        <v>0.55000000000000004</v>
      </c>
      <c r="H97" s="71">
        <v>2200</v>
      </c>
      <c r="I97" s="71">
        <f t="shared" si="1"/>
        <v>4400</v>
      </c>
    </row>
    <row r="98" spans="1:9" x14ac:dyDescent="0.4">
      <c r="A98" s="71" t="s">
        <v>4982</v>
      </c>
      <c r="B98" s="72" t="s">
        <v>4930</v>
      </c>
      <c r="C98" s="71" t="s">
        <v>4637</v>
      </c>
      <c r="D98" s="74">
        <v>2</v>
      </c>
      <c r="E98" s="75" t="s">
        <v>4638</v>
      </c>
      <c r="F98" s="71">
        <v>4000</v>
      </c>
      <c r="G98" s="76">
        <v>0.55000000000000004</v>
      </c>
      <c r="H98" s="71">
        <v>2200</v>
      </c>
      <c r="I98" s="71">
        <f t="shared" si="1"/>
        <v>4400</v>
      </c>
    </row>
    <row r="99" spans="1:9" x14ac:dyDescent="0.4">
      <c r="A99" s="71" t="s">
        <v>4982</v>
      </c>
      <c r="B99" s="72" t="s">
        <v>4930</v>
      </c>
      <c r="C99" s="71" t="s">
        <v>4640</v>
      </c>
      <c r="D99" s="74">
        <v>3</v>
      </c>
      <c r="E99" s="75" t="s">
        <v>4641</v>
      </c>
      <c r="F99" s="71">
        <v>4000</v>
      </c>
      <c r="G99" s="76">
        <v>0.55000000000000004</v>
      </c>
      <c r="H99" s="71">
        <v>2200</v>
      </c>
      <c r="I99" s="71">
        <f t="shared" si="1"/>
        <v>6600.0000000000009</v>
      </c>
    </row>
    <row r="100" spans="1:9" x14ac:dyDescent="0.4">
      <c r="A100" s="71" t="s">
        <v>4982</v>
      </c>
      <c r="B100" s="72" t="s">
        <v>4930</v>
      </c>
      <c r="C100" s="71" t="s">
        <v>4643</v>
      </c>
      <c r="D100" s="74">
        <v>2</v>
      </c>
      <c r="E100" s="75" t="s">
        <v>4645</v>
      </c>
      <c r="F100" s="71">
        <v>14000</v>
      </c>
      <c r="G100" s="76">
        <v>0.55000000000000004</v>
      </c>
      <c r="H100" s="71">
        <v>7700</v>
      </c>
      <c r="I100" s="71">
        <f t="shared" si="1"/>
        <v>15400.000000000002</v>
      </c>
    </row>
    <row r="101" spans="1:9" x14ac:dyDescent="0.4">
      <c r="A101" s="71" t="s">
        <v>4982</v>
      </c>
      <c r="B101" s="72" t="s">
        <v>4930</v>
      </c>
      <c r="C101" s="71" t="s">
        <v>3099</v>
      </c>
      <c r="D101" s="74">
        <v>4</v>
      </c>
      <c r="E101" s="75" t="s">
        <v>3100</v>
      </c>
      <c r="F101" s="71">
        <v>25000</v>
      </c>
      <c r="G101" s="76">
        <v>0.55000000000000004</v>
      </c>
      <c r="H101" s="71">
        <v>13750</v>
      </c>
      <c r="I101" s="71">
        <f t="shared" si="1"/>
        <v>55000.000000000007</v>
      </c>
    </row>
    <row r="102" spans="1:9" x14ac:dyDescent="0.4">
      <c r="A102" s="71" t="s">
        <v>4982</v>
      </c>
      <c r="B102" s="72" t="s">
        <v>4930</v>
      </c>
      <c r="C102" s="71" t="s">
        <v>3101</v>
      </c>
      <c r="D102" s="74">
        <v>1</v>
      </c>
      <c r="E102" s="75" t="s">
        <v>3102</v>
      </c>
      <c r="F102" s="71">
        <v>25000</v>
      </c>
      <c r="G102" s="76">
        <v>0.55000000000000004</v>
      </c>
      <c r="H102" s="71">
        <v>13750</v>
      </c>
      <c r="I102" s="71">
        <f t="shared" si="1"/>
        <v>13750.000000000002</v>
      </c>
    </row>
    <row r="103" spans="1:9" x14ac:dyDescent="0.4">
      <c r="A103" s="71" t="s">
        <v>4982</v>
      </c>
      <c r="B103" s="72" t="s">
        <v>4930</v>
      </c>
      <c r="C103" s="71" t="s">
        <v>460</v>
      </c>
      <c r="D103" s="74">
        <v>2</v>
      </c>
      <c r="E103" s="75" t="s">
        <v>461</v>
      </c>
      <c r="F103" s="71">
        <v>18000</v>
      </c>
      <c r="G103" s="76">
        <v>0.55000000000000004</v>
      </c>
      <c r="H103" s="71">
        <v>9900</v>
      </c>
      <c r="I103" s="71">
        <f t="shared" si="1"/>
        <v>19800</v>
      </c>
    </row>
    <row r="104" spans="1:9" x14ac:dyDescent="0.4">
      <c r="A104" s="71" t="s">
        <v>4982</v>
      </c>
      <c r="B104" s="72" t="s">
        <v>4930</v>
      </c>
      <c r="C104" s="71" t="s">
        <v>4653</v>
      </c>
      <c r="D104" s="74">
        <v>1</v>
      </c>
      <c r="E104" s="75" t="s">
        <v>4655</v>
      </c>
      <c r="F104" s="71">
        <v>8000</v>
      </c>
      <c r="G104" s="76">
        <v>0.55000000000000004</v>
      </c>
      <c r="H104" s="71">
        <v>4400</v>
      </c>
      <c r="I104" s="71">
        <f t="shared" si="1"/>
        <v>4400</v>
      </c>
    </row>
    <row r="105" spans="1:9" x14ac:dyDescent="0.4">
      <c r="A105" s="71" t="s">
        <v>4982</v>
      </c>
      <c r="B105" s="72" t="s">
        <v>4930</v>
      </c>
      <c r="C105" s="71" t="s">
        <v>4657</v>
      </c>
      <c r="D105" s="74">
        <v>1</v>
      </c>
      <c r="E105" s="75" t="s">
        <v>4659</v>
      </c>
      <c r="F105" s="71">
        <v>5000</v>
      </c>
      <c r="G105" s="76">
        <v>0.55000000000000004</v>
      </c>
      <c r="H105" s="71">
        <v>2750</v>
      </c>
      <c r="I105" s="71">
        <f t="shared" si="1"/>
        <v>2750</v>
      </c>
    </row>
    <row r="106" spans="1:9" x14ac:dyDescent="0.4">
      <c r="A106" s="71" t="s">
        <v>247</v>
      </c>
      <c r="B106" s="72" t="s">
        <v>4931</v>
      </c>
      <c r="C106" s="71" t="s">
        <v>4661</v>
      </c>
      <c r="D106" s="74">
        <v>2</v>
      </c>
      <c r="E106" s="75" t="s">
        <v>4663</v>
      </c>
      <c r="F106" s="71">
        <v>10800</v>
      </c>
      <c r="G106" s="76">
        <v>0.45</v>
      </c>
      <c r="H106" s="71">
        <v>4860</v>
      </c>
      <c r="I106" s="77">
        <f t="shared" si="1"/>
        <v>9720</v>
      </c>
    </row>
    <row r="107" spans="1:9" x14ac:dyDescent="0.4">
      <c r="A107" s="71" t="s">
        <v>247</v>
      </c>
      <c r="B107" s="72" t="s">
        <v>4931</v>
      </c>
      <c r="C107" s="71" t="s">
        <v>4665</v>
      </c>
      <c r="D107" s="74">
        <v>1</v>
      </c>
      <c r="E107" s="75" t="s">
        <v>4666</v>
      </c>
      <c r="F107" s="71">
        <v>9800</v>
      </c>
      <c r="G107" s="76">
        <v>0.45</v>
      </c>
      <c r="H107" s="71">
        <v>4410</v>
      </c>
      <c r="I107" s="71">
        <f t="shared" si="1"/>
        <v>4410</v>
      </c>
    </row>
    <row r="108" spans="1:9" x14ac:dyDescent="0.4">
      <c r="A108" s="71" t="s">
        <v>247</v>
      </c>
      <c r="B108" s="72" t="s">
        <v>4931</v>
      </c>
      <c r="C108" s="71" t="s">
        <v>4668</v>
      </c>
      <c r="D108" s="74">
        <v>1</v>
      </c>
      <c r="E108" s="75" t="s">
        <v>4669</v>
      </c>
      <c r="F108" s="71">
        <v>8800</v>
      </c>
      <c r="G108" s="76">
        <v>0.45</v>
      </c>
      <c r="H108" s="71">
        <v>3960</v>
      </c>
      <c r="I108" s="71">
        <f t="shared" si="1"/>
        <v>3960</v>
      </c>
    </row>
    <row r="109" spans="1:9" x14ac:dyDescent="0.4">
      <c r="A109" s="71" t="s">
        <v>247</v>
      </c>
      <c r="B109" s="72" t="s">
        <v>4931</v>
      </c>
      <c r="C109" s="71" t="s">
        <v>1322</v>
      </c>
      <c r="D109" s="74">
        <v>1</v>
      </c>
      <c r="E109" s="75" t="s">
        <v>1323</v>
      </c>
      <c r="F109" s="71">
        <v>6800</v>
      </c>
      <c r="G109" s="76">
        <v>0.45</v>
      </c>
      <c r="H109" s="71">
        <v>3060</v>
      </c>
      <c r="I109" s="71">
        <f t="shared" si="1"/>
        <v>3060</v>
      </c>
    </row>
    <row r="110" spans="1:9" x14ac:dyDescent="0.4">
      <c r="A110" s="71" t="s">
        <v>247</v>
      </c>
      <c r="B110" s="72" t="s">
        <v>4931</v>
      </c>
      <c r="C110" s="71" t="s">
        <v>4672</v>
      </c>
      <c r="D110" s="74">
        <v>5</v>
      </c>
      <c r="E110" s="75" t="s">
        <v>4674</v>
      </c>
      <c r="F110" s="71">
        <v>2500</v>
      </c>
      <c r="G110" s="76">
        <v>0.45</v>
      </c>
      <c r="H110" s="71">
        <v>1125</v>
      </c>
      <c r="I110" s="71">
        <f t="shared" si="1"/>
        <v>5625</v>
      </c>
    </row>
    <row r="111" spans="1:9" x14ac:dyDescent="0.4">
      <c r="A111" s="71" t="s">
        <v>247</v>
      </c>
      <c r="B111" s="72" t="s">
        <v>4931</v>
      </c>
      <c r="C111" s="71" t="s">
        <v>1786</v>
      </c>
      <c r="D111" s="74">
        <v>20</v>
      </c>
      <c r="E111" s="75" t="s">
        <v>1787</v>
      </c>
      <c r="F111" s="71">
        <v>6500</v>
      </c>
      <c r="G111" s="76">
        <v>0.45</v>
      </c>
      <c r="H111" s="71">
        <v>2925</v>
      </c>
      <c r="I111" s="71">
        <f t="shared" si="1"/>
        <v>58500</v>
      </c>
    </row>
    <row r="112" spans="1:9" x14ac:dyDescent="0.4">
      <c r="A112" s="71" t="s">
        <v>247</v>
      </c>
      <c r="B112" s="72" t="s">
        <v>4931</v>
      </c>
      <c r="C112" s="71" t="s">
        <v>4677</v>
      </c>
      <c r="D112" s="74">
        <v>1</v>
      </c>
      <c r="E112" s="75" t="s">
        <v>4679</v>
      </c>
      <c r="F112" s="71">
        <v>3900</v>
      </c>
      <c r="G112" s="76">
        <v>0.45</v>
      </c>
      <c r="H112" s="71">
        <v>1755</v>
      </c>
      <c r="I112" s="71">
        <f t="shared" si="1"/>
        <v>1755</v>
      </c>
    </row>
    <row r="113" spans="1:9" x14ac:dyDescent="0.4">
      <c r="A113" s="71" t="s">
        <v>247</v>
      </c>
      <c r="B113" s="72" t="s">
        <v>4931</v>
      </c>
      <c r="C113" s="71" t="s">
        <v>4681</v>
      </c>
      <c r="D113" s="74">
        <v>1</v>
      </c>
      <c r="E113" s="75" t="s">
        <v>4683</v>
      </c>
      <c r="F113" s="71">
        <v>6000</v>
      </c>
      <c r="G113" s="76">
        <v>0.45</v>
      </c>
      <c r="H113" s="71">
        <v>2700</v>
      </c>
      <c r="I113" s="71">
        <f t="shared" si="1"/>
        <v>2700</v>
      </c>
    </row>
    <row r="114" spans="1:9" x14ac:dyDescent="0.4">
      <c r="A114" s="71" t="s">
        <v>247</v>
      </c>
      <c r="B114" s="72" t="s">
        <v>4931</v>
      </c>
      <c r="C114" s="71" t="s">
        <v>4685</v>
      </c>
      <c r="D114" s="74">
        <v>1</v>
      </c>
      <c r="E114" s="75" t="s">
        <v>4687</v>
      </c>
      <c r="F114" s="71">
        <v>2900</v>
      </c>
      <c r="G114" s="76">
        <v>0.45</v>
      </c>
      <c r="H114" s="71">
        <v>1305</v>
      </c>
      <c r="I114" s="71">
        <f t="shared" si="1"/>
        <v>1305</v>
      </c>
    </row>
    <row r="115" spans="1:9" x14ac:dyDescent="0.4">
      <c r="A115" s="71" t="s">
        <v>247</v>
      </c>
      <c r="B115" s="72" t="s">
        <v>4931</v>
      </c>
      <c r="C115" s="71" t="s">
        <v>4689</v>
      </c>
      <c r="D115" s="74">
        <v>1</v>
      </c>
      <c r="E115" s="75" t="s">
        <v>4691</v>
      </c>
      <c r="F115" s="71">
        <v>6500</v>
      </c>
      <c r="G115" s="76">
        <v>0.45</v>
      </c>
      <c r="H115" s="71">
        <v>2925</v>
      </c>
      <c r="I115" s="71">
        <f t="shared" si="1"/>
        <v>2925</v>
      </c>
    </row>
    <row r="116" spans="1:9" x14ac:dyDescent="0.4">
      <c r="A116" s="71" t="s">
        <v>247</v>
      </c>
      <c r="B116" s="72" t="s">
        <v>4931</v>
      </c>
      <c r="C116" s="71" t="s">
        <v>4693</v>
      </c>
      <c r="D116" s="74">
        <v>1</v>
      </c>
      <c r="E116" s="75" t="s">
        <v>4694</v>
      </c>
      <c r="F116" s="71">
        <v>17000</v>
      </c>
      <c r="G116" s="76">
        <v>0.45</v>
      </c>
      <c r="H116" s="71">
        <v>7650</v>
      </c>
      <c r="I116" s="71">
        <f t="shared" si="1"/>
        <v>7650</v>
      </c>
    </row>
    <row r="117" spans="1:9" x14ac:dyDescent="0.4">
      <c r="A117" s="71" t="s">
        <v>247</v>
      </c>
      <c r="B117" s="72" t="s">
        <v>4931</v>
      </c>
      <c r="C117" s="71" t="s">
        <v>2594</v>
      </c>
      <c r="D117" s="74">
        <v>1</v>
      </c>
      <c r="E117" s="75" t="s">
        <v>2595</v>
      </c>
      <c r="F117" s="71">
        <v>6000</v>
      </c>
      <c r="G117" s="76">
        <v>0.45</v>
      </c>
      <c r="H117" s="71">
        <v>2700</v>
      </c>
      <c r="I117" s="71">
        <f t="shared" si="1"/>
        <v>2700</v>
      </c>
    </row>
    <row r="118" spans="1:9" x14ac:dyDescent="0.4">
      <c r="A118" s="71" t="s">
        <v>247</v>
      </c>
      <c r="B118" s="72" t="s">
        <v>4931</v>
      </c>
      <c r="C118" s="71" t="s">
        <v>2586</v>
      </c>
      <c r="D118" s="74">
        <v>1</v>
      </c>
      <c r="E118" s="75" t="s">
        <v>2587</v>
      </c>
      <c r="F118" s="71">
        <v>6000</v>
      </c>
      <c r="G118" s="76">
        <v>0.45</v>
      </c>
      <c r="H118" s="71">
        <v>2700</v>
      </c>
      <c r="I118" s="71">
        <f t="shared" si="1"/>
        <v>2700</v>
      </c>
    </row>
    <row r="119" spans="1:9" x14ac:dyDescent="0.4">
      <c r="A119" s="71" t="s">
        <v>247</v>
      </c>
      <c r="B119" s="72" t="s">
        <v>4931</v>
      </c>
      <c r="C119" s="71" t="s">
        <v>4698</v>
      </c>
      <c r="D119" s="74">
        <v>12</v>
      </c>
      <c r="E119" s="75" t="s">
        <v>4700</v>
      </c>
      <c r="F119" s="71">
        <v>2500</v>
      </c>
      <c r="G119" s="76">
        <v>0.45</v>
      </c>
      <c r="H119" s="71">
        <v>1125</v>
      </c>
      <c r="I119" s="71">
        <f t="shared" si="1"/>
        <v>13500</v>
      </c>
    </row>
    <row r="120" spans="1:9" x14ac:dyDescent="0.4">
      <c r="A120" s="71" t="s">
        <v>247</v>
      </c>
      <c r="B120" s="72" t="s">
        <v>4931</v>
      </c>
      <c r="C120" s="71" t="s">
        <v>4702</v>
      </c>
      <c r="D120" s="74">
        <v>3</v>
      </c>
      <c r="E120" s="75" t="s">
        <v>4704</v>
      </c>
      <c r="F120" s="71">
        <v>7000</v>
      </c>
      <c r="G120" s="76">
        <v>0.45</v>
      </c>
      <c r="H120" s="71">
        <v>3150</v>
      </c>
      <c r="I120" s="71">
        <f t="shared" si="1"/>
        <v>9450</v>
      </c>
    </row>
    <row r="121" spans="1:9" x14ac:dyDescent="0.4">
      <c r="A121" s="71" t="s">
        <v>247</v>
      </c>
      <c r="B121" s="72" t="s">
        <v>4931</v>
      </c>
      <c r="C121" s="71" t="s">
        <v>4706</v>
      </c>
      <c r="D121" s="74">
        <v>30</v>
      </c>
      <c r="E121" s="75" t="s">
        <v>4708</v>
      </c>
      <c r="F121" s="71">
        <v>14800</v>
      </c>
      <c r="G121" s="76">
        <v>0.45</v>
      </c>
      <c r="H121" s="71">
        <v>6660</v>
      </c>
      <c r="I121" s="71">
        <f t="shared" si="1"/>
        <v>199800</v>
      </c>
    </row>
    <row r="122" spans="1:9" x14ac:dyDescent="0.4">
      <c r="A122" s="71" t="s">
        <v>247</v>
      </c>
      <c r="B122" s="72" t="s">
        <v>4931</v>
      </c>
      <c r="C122" s="71" t="s">
        <v>3290</v>
      </c>
      <c r="D122" s="74">
        <v>3</v>
      </c>
      <c r="E122" s="75" t="s">
        <v>3291</v>
      </c>
      <c r="F122" s="71">
        <v>1000</v>
      </c>
      <c r="G122" s="76">
        <v>0.45</v>
      </c>
      <c r="H122" s="71">
        <v>450</v>
      </c>
      <c r="I122" s="71">
        <f t="shared" si="1"/>
        <v>1350</v>
      </c>
    </row>
    <row r="123" spans="1:9" x14ac:dyDescent="0.4">
      <c r="A123" s="71" t="s">
        <v>247</v>
      </c>
      <c r="B123" s="72" t="s">
        <v>4931</v>
      </c>
      <c r="C123" s="71" t="s">
        <v>4712</v>
      </c>
      <c r="D123" s="74">
        <v>1</v>
      </c>
      <c r="E123" s="75" t="s">
        <v>4713</v>
      </c>
      <c r="F123" s="71">
        <v>22000</v>
      </c>
      <c r="G123" s="76">
        <v>0.45</v>
      </c>
      <c r="H123" s="71">
        <v>9900</v>
      </c>
      <c r="I123" s="71">
        <f t="shared" si="1"/>
        <v>9900</v>
      </c>
    </row>
    <row r="124" spans="1:9" x14ac:dyDescent="0.4">
      <c r="A124" s="71" t="s">
        <v>247</v>
      </c>
      <c r="B124" s="72" t="s">
        <v>4931</v>
      </c>
      <c r="C124" s="71" t="s">
        <v>4715</v>
      </c>
      <c r="D124" s="74">
        <v>1</v>
      </c>
      <c r="E124" s="75" t="s">
        <v>4716</v>
      </c>
      <c r="F124" s="71">
        <v>19000</v>
      </c>
      <c r="G124" s="76">
        <v>0.45</v>
      </c>
      <c r="H124" s="71">
        <v>8550</v>
      </c>
      <c r="I124" s="71">
        <f t="shared" si="1"/>
        <v>8550</v>
      </c>
    </row>
    <row r="125" spans="1:9" x14ac:dyDescent="0.4">
      <c r="A125" s="71" t="s">
        <v>247</v>
      </c>
      <c r="B125" s="72" t="s">
        <v>4931</v>
      </c>
      <c r="C125" s="71" t="s">
        <v>4718</v>
      </c>
      <c r="D125" s="74">
        <v>2</v>
      </c>
      <c r="E125" s="75" t="s">
        <v>4720</v>
      </c>
      <c r="F125" s="71">
        <v>14000</v>
      </c>
      <c r="G125" s="76">
        <v>0.45</v>
      </c>
      <c r="H125" s="71">
        <v>6300</v>
      </c>
      <c r="I125" s="71">
        <f t="shared" si="1"/>
        <v>12600</v>
      </c>
    </row>
    <row r="126" spans="1:9" x14ac:dyDescent="0.4">
      <c r="A126" s="71" t="s">
        <v>247</v>
      </c>
      <c r="B126" s="72" t="s">
        <v>4931</v>
      </c>
      <c r="C126" s="71" t="s">
        <v>4722</v>
      </c>
      <c r="D126" s="74">
        <v>1</v>
      </c>
      <c r="E126" s="75" t="s">
        <v>4723</v>
      </c>
      <c r="F126" s="71">
        <v>12000</v>
      </c>
      <c r="G126" s="76">
        <v>0.45</v>
      </c>
      <c r="H126" s="71">
        <v>5400</v>
      </c>
      <c r="I126" s="71">
        <f t="shared" si="1"/>
        <v>5400</v>
      </c>
    </row>
    <row r="127" spans="1:9" x14ac:dyDescent="0.4">
      <c r="A127" s="71" t="s">
        <v>247</v>
      </c>
      <c r="B127" s="72" t="s">
        <v>4931</v>
      </c>
      <c r="C127" s="71" t="s">
        <v>4725</v>
      </c>
      <c r="D127" s="74">
        <v>1</v>
      </c>
      <c r="E127" s="75" t="s">
        <v>4727</v>
      </c>
      <c r="F127" s="71">
        <v>12000</v>
      </c>
      <c r="G127" s="76">
        <v>0.45</v>
      </c>
      <c r="H127" s="71">
        <v>5400</v>
      </c>
      <c r="I127" s="71">
        <f t="shared" si="1"/>
        <v>5400</v>
      </c>
    </row>
    <row r="128" spans="1:9" x14ac:dyDescent="0.4">
      <c r="A128" s="71" t="s">
        <v>247</v>
      </c>
      <c r="B128" s="72" t="s">
        <v>4931</v>
      </c>
      <c r="C128" s="71" t="s">
        <v>4729</v>
      </c>
      <c r="D128" s="74">
        <v>1</v>
      </c>
      <c r="E128" s="75" t="s">
        <v>4730</v>
      </c>
      <c r="F128" s="71">
        <v>22000</v>
      </c>
      <c r="G128" s="76">
        <v>0.45</v>
      </c>
      <c r="H128" s="71">
        <v>9900</v>
      </c>
      <c r="I128" s="71">
        <f t="shared" si="1"/>
        <v>9900</v>
      </c>
    </row>
    <row r="129" spans="1:9" x14ac:dyDescent="0.4">
      <c r="A129" s="71" t="s">
        <v>247</v>
      </c>
      <c r="B129" s="72" t="s">
        <v>4931</v>
      </c>
      <c r="C129" s="71" t="s">
        <v>4732</v>
      </c>
      <c r="D129" s="74">
        <v>2</v>
      </c>
      <c r="E129" s="75" t="s">
        <v>4734</v>
      </c>
      <c r="F129" s="71">
        <v>65000</v>
      </c>
      <c r="G129" s="76">
        <v>0.45</v>
      </c>
      <c r="H129" s="71">
        <v>29250</v>
      </c>
      <c r="I129" s="71">
        <f t="shared" si="1"/>
        <v>58500</v>
      </c>
    </row>
    <row r="130" spans="1:9" x14ac:dyDescent="0.4">
      <c r="A130" s="71" t="s">
        <v>247</v>
      </c>
      <c r="B130" s="72" t="s">
        <v>4931</v>
      </c>
      <c r="C130" s="71" t="s">
        <v>4736</v>
      </c>
      <c r="D130" s="74">
        <v>8</v>
      </c>
      <c r="E130" s="75" t="s">
        <v>4738</v>
      </c>
      <c r="F130" s="71">
        <v>2500</v>
      </c>
      <c r="G130" s="76">
        <v>0.45</v>
      </c>
      <c r="H130" s="71">
        <v>1125</v>
      </c>
      <c r="I130" s="71">
        <f t="shared" ref="I130:I180" si="2">IF(G130="품목별",H130,F130*D130*G130)</f>
        <v>9000</v>
      </c>
    </row>
    <row r="131" spans="1:9" x14ac:dyDescent="0.4">
      <c r="A131" s="71" t="s">
        <v>247</v>
      </c>
      <c r="B131" s="72" t="s">
        <v>4931</v>
      </c>
      <c r="C131" s="71" t="s">
        <v>4740</v>
      </c>
      <c r="D131" s="74">
        <v>1</v>
      </c>
      <c r="E131" s="75" t="s">
        <v>4742</v>
      </c>
      <c r="F131" s="71">
        <v>3300</v>
      </c>
      <c r="G131" s="76">
        <v>0.45</v>
      </c>
      <c r="H131" s="71">
        <v>1485</v>
      </c>
      <c r="I131" s="71">
        <f t="shared" si="2"/>
        <v>1485</v>
      </c>
    </row>
    <row r="132" spans="1:9" x14ac:dyDescent="0.4">
      <c r="A132" s="71" t="s">
        <v>247</v>
      </c>
      <c r="B132" s="72" t="s">
        <v>130</v>
      </c>
      <c r="C132" s="71" t="s">
        <v>4029</v>
      </c>
      <c r="D132" s="74">
        <v>1</v>
      </c>
      <c r="E132" s="75" t="s">
        <v>4030</v>
      </c>
      <c r="F132" s="71">
        <v>15000</v>
      </c>
      <c r="G132" s="76">
        <v>0.7</v>
      </c>
      <c r="H132" s="71">
        <v>10500</v>
      </c>
      <c r="I132" s="77">
        <f t="shared" si="2"/>
        <v>10500</v>
      </c>
    </row>
    <row r="133" spans="1:9" x14ac:dyDescent="0.4">
      <c r="A133" s="71" t="s">
        <v>247</v>
      </c>
      <c r="B133" s="72" t="s">
        <v>130</v>
      </c>
      <c r="C133" s="71" t="s">
        <v>2308</v>
      </c>
      <c r="D133" s="74">
        <v>1</v>
      </c>
      <c r="E133" s="75" t="s">
        <v>2309</v>
      </c>
      <c r="F133" s="71">
        <v>10000</v>
      </c>
      <c r="G133" s="76">
        <v>0.7</v>
      </c>
      <c r="H133" s="71">
        <v>7000</v>
      </c>
      <c r="I133" s="71">
        <f t="shared" si="2"/>
        <v>7000</v>
      </c>
    </row>
    <row r="134" spans="1:9" x14ac:dyDescent="0.4">
      <c r="A134" s="71" t="s">
        <v>247</v>
      </c>
      <c r="B134" s="72" t="s">
        <v>130</v>
      </c>
      <c r="C134" s="71" t="s">
        <v>4034</v>
      </c>
      <c r="D134" s="74">
        <v>1</v>
      </c>
      <c r="E134" s="75" t="s">
        <v>4036</v>
      </c>
      <c r="F134" s="71">
        <v>48000</v>
      </c>
      <c r="G134" s="76">
        <v>0.7</v>
      </c>
      <c r="H134" s="71">
        <v>33600</v>
      </c>
      <c r="I134" s="71">
        <f t="shared" si="2"/>
        <v>33600</v>
      </c>
    </row>
    <row r="135" spans="1:9" x14ac:dyDescent="0.4">
      <c r="A135" s="71" t="s">
        <v>247</v>
      </c>
      <c r="B135" s="72" t="s">
        <v>130</v>
      </c>
      <c r="C135" s="71" t="s">
        <v>2277</v>
      </c>
      <c r="D135" s="74">
        <v>1</v>
      </c>
      <c r="E135" s="75" t="s">
        <v>2278</v>
      </c>
      <c r="F135" s="71">
        <v>38000</v>
      </c>
      <c r="G135" s="76">
        <v>0.7</v>
      </c>
      <c r="H135" s="71">
        <v>26600</v>
      </c>
      <c r="I135" s="71">
        <f t="shared" si="2"/>
        <v>26600</v>
      </c>
    </row>
    <row r="136" spans="1:9" x14ac:dyDescent="0.4">
      <c r="A136" s="71" t="s">
        <v>247</v>
      </c>
      <c r="B136" s="72" t="s">
        <v>130</v>
      </c>
      <c r="C136" s="71" t="s">
        <v>879</v>
      </c>
      <c r="D136" s="74">
        <v>1</v>
      </c>
      <c r="E136" s="75" t="s">
        <v>880</v>
      </c>
      <c r="F136" s="71">
        <v>38000</v>
      </c>
      <c r="G136" s="76">
        <v>0.7</v>
      </c>
      <c r="H136" s="71">
        <v>26600</v>
      </c>
      <c r="I136" s="71">
        <f t="shared" si="2"/>
        <v>26600</v>
      </c>
    </row>
    <row r="137" spans="1:9" x14ac:dyDescent="0.4">
      <c r="A137" s="71" t="s">
        <v>247</v>
      </c>
      <c r="B137" s="72" t="s">
        <v>130</v>
      </c>
      <c r="C137" s="71" t="s">
        <v>2299</v>
      </c>
      <c r="D137" s="74">
        <v>2</v>
      </c>
      <c r="E137" s="75" t="s">
        <v>2300</v>
      </c>
      <c r="F137" s="71">
        <v>28000</v>
      </c>
      <c r="G137" s="76">
        <v>0.7</v>
      </c>
      <c r="H137" s="71">
        <v>19600</v>
      </c>
      <c r="I137" s="71">
        <f t="shared" si="2"/>
        <v>39200</v>
      </c>
    </row>
    <row r="138" spans="1:9" x14ac:dyDescent="0.4">
      <c r="A138" s="71" t="s">
        <v>247</v>
      </c>
      <c r="B138" s="72" t="s">
        <v>130</v>
      </c>
      <c r="C138" s="71" t="s">
        <v>2373</v>
      </c>
      <c r="D138" s="74">
        <v>1</v>
      </c>
      <c r="E138" s="75" t="s">
        <v>2375</v>
      </c>
      <c r="F138" s="71">
        <v>28000</v>
      </c>
      <c r="G138" s="76">
        <v>0.7</v>
      </c>
      <c r="H138" s="71">
        <v>19600</v>
      </c>
      <c r="I138" s="71">
        <f t="shared" si="2"/>
        <v>19600</v>
      </c>
    </row>
    <row r="139" spans="1:9" x14ac:dyDescent="0.4">
      <c r="A139" s="71" t="s">
        <v>247</v>
      </c>
      <c r="B139" s="72" t="s">
        <v>4932</v>
      </c>
      <c r="C139" s="71" t="s">
        <v>3643</v>
      </c>
      <c r="D139" s="74">
        <v>1</v>
      </c>
      <c r="E139" s="75" t="s">
        <v>3644</v>
      </c>
      <c r="F139" s="71">
        <v>4500</v>
      </c>
      <c r="G139" s="76">
        <v>0.55000000000000004</v>
      </c>
      <c r="H139" s="71">
        <v>2475</v>
      </c>
      <c r="I139" s="77">
        <f t="shared" si="2"/>
        <v>2475</v>
      </c>
    </row>
    <row r="140" spans="1:9" x14ac:dyDescent="0.4">
      <c r="A140" s="71" t="s">
        <v>247</v>
      </c>
      <c r="B140" s="72" t="s">
        <v>4932</v>
      </c>
      <c r="C140" s="71" t="s">
        <v>3646</v>
      </c>
      <c r="D140" s="74">
        <v>1</v>
      </c>
      <c r="E140" s="75" t="s">
        <v>3647</v>
      </c>
      <c r="F140" s="71">
        <v>4500</v>
      </c>
      <c r="G140" s="76">
        <v>0.55000000000000004</v>
      </c>
      <c r="H140" s="71">
        <v>2475</v>
      </c>
      <c r="I140" s="71">
        <f t="shared" si="2"/>
        <v>2475</v>
      </c>
    </row>
    <row r="141" spans="1:9" x14ac:dyDescent="0.4">
      <c r="A141" s="71" t="s">
        <v>247</v>
      </c>
      <c r="B141" s="72" t="s">
        <v>4932</v>
      </c>
      <c r="C141" s="71" t="s">
        <v>4760</v>
      </c>
      <c r="D141" s="74">
        <v>1</v>
      </c>
      <c r="E141" s="75" t="s">
        <v>4762</v>
      </c>
      <c r="F141" s="71">
        <v>20000</v>
      </c>
      <c r="G141" s="76">
        <v>0.55000000000000004</v>
      </c>
      <c r="H141" s="71">
        <v>11000</v>
      </c>
      <c r="I141" s="71">
        <f t="shared" si="2"/>
        <v>11000</v>
      </c>
    </row>
    <row r="142" spans="1:9" x14ac:dyDescent="0.4">
      <c r="A142" s="71" t="s">
        <v>247</v>
      </c>
      <c r="B142" s="72" t="s">
        <v>4932</v>
      </c>
      <c r="C142" s="71" t="s">
        <v>3117</v>
      </c>
      <c r="D142" s="74">
        <v>1</v>
      </c>
      <c r="E142" s="75" t="s">
        <v>3118</v>
      </c>
      <c r="F142" s="71">
        <v>2500</v>
      </c>
      <c r="G142" s="76">
        <v>0.55000000000000004</v>
      </c>
      <c r="H142" s="71">
        <v>1375</v>
      </c>
      <c r="I142" s="71">
        <f t="shared" si="2"/>
        <v>1375</v>
      </c>
    </row>
    <row r="143" spans="1:9" x14ac:dyDescent="0.4">
      <c r="A143" s="71" t="s">
        <v>247</v>
      </c>
      <c r="B143" s="72" t="s">
        <v>4932</v>
      </c>
      <c r="C143" s="71" t="s">
        <v>4766</v>
      </c>
      <c r="D143" s="74">
        <v>7</v>
      </c>
      <c r="E143" s="75" t="s">
        <v>4768</v>
      </c>
      <c r="F143" s="71">
        <v>2500</v>
      </c>
      <c r="G143" s="76">
        <v>0.55000000000000004</v>
      </c>
      <c r="H143" s="71">
        <v>1375</v>
      </c>
      <c r="I143" s="71">
        <f t="shared" si="2"/>
        <v>9625</v>
      </c>
    </row>
    <row r="144" spans="1:9" x14ac:dyDescent="0.4">
      <c r="A144" s="71" t="s">
        <v>247</v>
      </c>
      <c r="B144" s="72" t="s">
        <v>4932</v>
      </c>
      <c r="C144" s="71" t="s">
        <v>4772</v>
      </c>
      <c r="D144" s="74">
        <v>1</v>
      </c>
      <c r="E144" s="75" t="s">
        <v>4774</v>
      </c>
      <c r="F144" s="71">
        <v>10800</v>
      </c>
      <c r="G144" s="76">
        <v>0.55000000000000004</v>
      </c>
      <c r="H144" s="71">
        <v>5940</v>
      </c>
      <c r="I144" s="71">
        <f t="shared" si="2"/>
        <v>5940.0000000000009</v>
      </c>
    </row>
    <row r="145" spans="1:9" x14ac:dyDescent="0.4">
      <c r="A145" s="71" t="s">
        <v>247</v>
      </c>
      <c r="B145" s="72" t="s">
        <v>4932</v>
      </c>
      <c r="C145" s="71" t="s">
        <v>4779</v>
      </c>
      <c r="D145" s="74">
        <v>1</v>
      </c>
      <c r="E145" s="75" t="s">
        <v>4781</v>
      </c>
      <c r="F145" s="71">
        <v>3000</v>
      </c>
      <c r="G145" s="76">
        <v>0.55000000000000004</v>
      </c>
      <c r="H145" s="71">
        <v>1650</v>
      </c>
      <c r="I145" s="71">
        <f t="shared" si="2"/>
        <v>1650.0000000000002</v>
      </c>
    </row>
    <row r="146" spans="1:9" x14ac:dyDescent="0.4">
      <c r="A146" s="71" t="s">
        <v>247</v>
      </c>
      <c r="B146" s="72" t="s">
        <v>4932</v>
      </c>
      <c r="C146" s="71" t="s">
        <v>3127</v>
      </c>
      <c r="D146" s="74">
        <v>1</v>
      </c>
      <c r="E146" s="75" t="s">
        <v>3128</v>
      </c>
      <c r="F146" s="71">
        <v>12800</v>
      </c>
      <c r="G146" s="76">
        <v>0.55000000000000004</v>
      </c>
      <c r="H146" s="71">
        <v>7040</v>
      </c>
      <c r="I146" s="71">
        <f t="shared" si="2"/>
        <v>7040.0000000000009</v>
      </c>
    </row>
    <row r="147" spans="1:9" x14ac:dyDescent="0.4">
      <c r="A147" s="71" t="s">
        <v>247</v>
      </c>
      <c r="B147" s="72" t="s">
        <v>4932</v>
      </c>
      <c r="C147" s="71" t="s">
        <v>4788</v>
      </c>
      <c r="D147" s="74">
        <v>1</v>
      </c>
      <c r="E147" s="75" t="s">
        <v>4790</v>
      </c>
      <c r="F147" s="71">
        <v>9900</v>
      </c>
      <c r="G147" s="76">
        <v>0.55000000000000004</v>
      </c>
      <c r="H147" s="71">
        <v>5445</v>
      </c>
      <c r="I147" s="71">
        <f t="shared" si="2"/>
        <v>5445</v>
      </c>
    </row>
    <row r="148" spans="1:9" x14ac:dyDescent="0.4">
      <c r="A148" s="71" t="s">
        <v>247</v>
      </c>
      <c r="B148" s="72" t="s">
        <v>4932</v>
      </c>
      <c r="C148" s="71" t="s">
        <v>4798</v>
      </c>
      <c r="D148" s="74">
        <v>1</v>
      </c>
      <c r="E148" s="75" t="s">
        <v>4799</v>
      </c>
      <c r="F148" s="71">
        <v>5900</v>
      </c>
      <c r="G148" s="76">
        <v>0.55000000000000004</v>
      </c>
      <c r="H148" s="71">
        <v>3245</v>
      </c>
      <c r="I148" s="71">
        <f t="shared" si="2"/>
        <v>3245.0000000000005</v>
      </c>
    </row>
    <row r="149" spans="1:9" x14ac:dyDescent="0.4">
      <c r="A149" s="71" t="s">
        <v>247</v>
      </c>
      <c r="B149" s="72" t="s">
        <v>4932</v>
      </c>
      <c r="C149" s="71" t="s">
        <v>822</v>
      </c>
      <c r="D149" s="74">
        <v>1</v>
      </c>
      <c r="E149" s="75" t="s">
        <v>823</v>
      </c>
      <c r="F149" s="71">
        <v>9800</v>
      </c>
      <c r="G149" s="76">
        <v>0.55000000000000004</v>
      </c>
      <c r="H149" s="71">
        <v>5390</v>
      </c>
      <c r="I149" s="71">
        <f t="shared" si="2"/>
        <v>5390</v>
      </c>
    </row>
    <row r="150" spans="1:9" x14ac:dyDescent="0.4">
      <c r="A150" s="71" t="s">
        <v>247</v>
      </c>
      <c r="B150" s="72" t="s">
        <v>4932</v>
      </c>
      <c r="C150" s="71" t="s">
        <v>2386</v>
      </c>
      <c r="D150" s="74">
        <v>1</v>
      </c>
      <c r="E150" s="75" t="s">
        <v>2388</v>
      </c>
      <c r="F150" s="71">
        <v>9800</v>
      </c>
      <c r="G150" s="76">
        <v>0.55000000000000004</v>
      </c>
      <c r="H150" s="71">
        <v>5390</v>
      </c>
      <c r="I150" s="71">
        <f t="shared" si="2"/>
        <v>5390</v>
      </c>
    </row>
    <row r="151" spans="1:9" x14ac:dyDescent="0.4">
      <c r="A151" s="71" t="s">
        <v>247</v>
      </c>
      <c r="B151" s="72" t="s">
        <v>4932</v>
      </c>
      <c r="C151" s="71" t="s">
        <v>811</v>
      </c>
      <c r="D151" s="74">
        <v>2</v>
      </c>
      <c r="E151" s="75" t="s">
        <v>812</v>
      </c>
      <c r="F151" s="71">
        <v>6500</v>
      </c>
      <c r="G151" s="76">
        <v>0.55000000000000004</v>
      </c>
      <c r="H151" s="71">
        <v>3575</v>
      </c>
      <c r="I151" s="71">
        <f t="shared" si="2"/>
        <v>7150.0000000000009</v>
      </c>
    </row>
    <row r="152" spans="1:9" x14ac:dyDescent="0.4">
      <c r="A152" s="71" t="s">
        <v>247</v>
      </c>
      <c r="B152" s="72" t="s">
        <v>4932</v>
      </c>
      <c r="C152" s="71" t="s">
        <v>4804</v>
      </c>
      <c r="D152" s="74">
        <v>1</v>
      </c>
      <c r="E152" s="75" t="s">
        <v>4806</v>
      </c>
      <c r="F152" s="71">
        <v>9900</v>
      </c>
      <c r="G152" s="76">
        <v>0.55000000000000004</v>
      </c>
      <c r="H152" s="71">
        <v>5445</v>
      </c>
      <c r="I152" s="71">
        <f t="shared" si="2"/>
        <v>5445</v>
      </c>
    </row>
    <row r="153" spans="1:9" x14ac:dyDescent="0.4">
      <c r="A153" s="71" t="s">
        <v>247</v>
      </c>
      <c r="B153" s="72" t="s">
        <v>4932</v>
      </c>
      <c r="C153" s="71" t="s">
        <v>4808</v>
      </c>
      <c r="D153" s="74">
        <v>1</v>
      </c>
      <c r="E153" s="75" t="s">
        <v>4810</v>
      </c>
      <c r="F153" s="71">
        <v>3300</v>
      </c>
      <c r="G153" s="76">
        <v>0.55000000000000004</v>
      </c>
      <c r="H153" s="71">
        <v>1815</v>
      </c>
      <c r="I153" s="71">
        <f t="shared" si="2"/>
        <v>1815.0000000000002</v>
      </c>
    </row>
    <row r="154" spans="1:9" x14ac:dyDescent="0.4">
      <c r="A154" s="71" t="s">
        <v>247</v>
      </c>
      <c r="B154" s="72" t="s">
        <v>4932</v>
      </c>
      <c r="C154" s="71" t="s">
        <v>4812</v>
      </c>
      <c r="D154" s="74">
        <v>1</v>
      </c>
      <c r="E154" s="75" t="s">
        <v>4814</v>
      </c>
      <c r="F154" s="71">
        <v>9500</v>
      </c>
      <c r="G154" s="76">
        <v>0.55000000000000004</v>
      </c>
      <c r="H154" s="71">
        <v>5225</v>
      </c>
      <c r="I154" s="71">
        <f t="shared" si="2"/>
        <v>5225</v>
      </c>
    </row>
    <row r="155" spans="1:9" x14ac:dyDescent="0.4">
      <c r="A155" s="71" t="s">
        <v>247</v>
      </c>
      <c r="B155" s="72" t="s">
        <v>4932</v>
      </c>
      <c r="C155" s="71" t="s">
        <v>1005</v>
      </c>
      <c r="D155" s="74">
        <v>1</v>
      </c>
      <c r="E155" s="75" t="s">
        <v>1006</v>
      </c>
      <c r="F155" s="71">
        <v>9800</v>
      </c>
      <c r="G155" s="76">
        <v>0.55000000000000004</v>
      </c>
      <c r="H155" s="71">
        <v>5390</v>
      </c>
      <c r="I155" s="71">
        <f t="shared" si="2"/>
        <v>5390</v>
      </c>
    </row>
    <row r="156" spans="1:9" x14ac:dyDescent="0.4">
      <c r="A156" s="71" t="s">
        <v>247</v>
      </c>
      <c r="B156" s="72" t="s">
        <v>4932</v>
      </c>
      <c r="C156" s="71" t="s">
        <v>2578</v>
      </c>
      <c r="D156" s="74">
        <v>1</v>
      </c>
      <c r="E156" s="75" t="s">
        <v>2579</v>
      </c>
      <c r="F156" s="71">
        <v>9800</v>
      </c>
      <c r="G156" s="76">
        <v>0.55000000000000004</v>
      </c>
      <c r="H156" s="71">
        <v>5390</v>
      </c>
      <c r="I156" s="71">
        <f t="shared" si="2"/>
        <v>5390</v>
      </c>
    </row>
    <row r="157" spans="1:9" x14ac:dyDescent="0.4">
      <c r="A157" s="71" t="s">
        <v>247</v>
      </c>
      <c r="B157" s="72" t="s">
        <v>4933</v>
      </c>
      <c r="C157" s="71" t="s">
        <v>3542</v>
      </c>
      <c r="D157" s="74">
        <v>1</v>
      </c>
      <c r="E157" s="75" t="s">
        <v>3543</v>
      </c>
      <c r="F157" s="71">
        <v>2000</v>
      </c>
      <c r="G157" s="76">
        <v>0.5</v>
      </c>
      <c r="H157" s="71">
        <v>1000</v>
      </c>
      <c r="I157" s="77">
        <f t="shared" si="2"/>
        <v>1000</v>
      </c>
    </row>
    <row r="158" spans="1:9" x14ac:dyDescent="0.4">
      <c r="A158" s="71" t="s">
        <v>247</v>
      </c>
      <c r="B158" s="72" t="s">
        <v>4933</v>
      </c>
      <c r="C158" s="71" t="s">
        <v>3139</v>
      </c>
      <c r="D158" s="74">
        <v>36</v>
      </c>
      <c r="E158" s="75" t="s">
        <v>3140</v>
      </c>
      <c r="F158" s="71">
        <v>5000</v>
      </c>
      <c r="G158" s="76">
        <v>0.5</v>
      </c>
      <c r="H158" s="71">
        <v>2500</v>
      </c>
      <c r="I158" s="71">
        <f t="shared" si="2"/>
        <v>90000</v>
      </c>
    </row>
    <row r="159" spans="1:9" x14ac:dyDescent="0.4">
      <c r="A159" s="71" t="s">
        <v>247</v>
      </c>
      <c r="B159" s="72" t="s">
        <v>4933</v>
      </c>
      <c r="C159" s="71" t="s">
        <v>3552</v>
      </c>
      <c r="D159" s="74">
        <v>2</v>
      </c>
      <c r="E159" s="75" t="s">
        <v>3554</v>
      </c>
      <c r="F159" s="71">
        <v>9000</v>
      </c>
      <c r="G159" s="76">
        <v>0.5</v>
      </c>
      <c r="H159" s="71">
        <v>4500</v>
      </c>
      <c r="I159" s="71">
        <f t="shared" si="2"/>
        <v>9000</v>
      </c>
    </row>
    <row r="160" spans="1:9" x14ac:dyDescent="0.4">
      <c r="A160" s="71" t="s">
        <v>247</v>
      </c>
      <c r="B160" s="72" t="s">
        <v>4933</v>
      </c>
      <c r="C160" s="71" t="s">
        <v>3690</v>
      </c>
      <c r="D160" s="74">
        <v>2</v>
      </c>
      <c r="E160" s="75" t="s">
        <v>3692</v>
      </c>
      <c r="F160" s="71">
        <v>60000</v>
      </c>
      <c r="G160" s="76">
        <v>0.5</v>
      </c>
      <c r="H160" s="71">
        <v>30000</v>
      </c>
      <c r="I160" s="71">
        <f t="shared" si="2"/>
        <v>60000</v>
      </c>
    </row>
    <row r="161" spans="1:9" x14ac:dyDescent="0.4">
      <c r="A161" s="71" t="s">
        <v>247</v>
      </c>
      <c r="B161" s="72" t="s">
        <v>4933</v>
      </c>
      <c r="C161" s="71" t="s">
        <v>3694</v>
      </c>
      <c r="D161" s="74">
        <v>1</v>
      </c>
      <c r="E161" s="75" t="s">
        <v>3695</v>
      </c>
      <c r="F161" s="71">
        <v>12000</v>
      </c>
      <c r="G161" s="76">
        <v>0.5</v>
      </c>
      <c r="H161" s="71">
        <v>6000</v>
      </c>
      <c r="I161" s="71">
        <f t="shared" si="2"/>
        <v>6000</v>
      </c>
    </row>
    <row r="162" spans="1:9" x14ac:dyDescent="0.4">
      <c r="A162" s="71" t="s">
        <v>247</v>
      </c>
      <c r="B162" s="72" t="s">
        <v>4933</v>
      </c>
      <c r="C162" s="71" t="s">
        <v>3697</v>
      </c>
      <c r="D162" s="74">
        <v>1</v>
      </c>
      <c r="E162" s="75" t="s">
        <v>3698</v>
      </c>
      <c r="F162" s="71">
        <v>10000</v>
      </c>
      <c r="G162" s="76">
        <v>0.5</v>
      </c>
      <c r="H162" s="71">
        <v>5000</v>
      </c>
      <c r="I162" s="71">
        <f t="shared" si="2"/>
        <v>5000</v>
      </c>
    </row>
    <row r="163" spans="1:9" x14ac:dyDescent="0.4">
      <c r="A163" s="71" t="s">
        <v>247</v>
      </c>
      <c r="B163" s="72" t="s">
        <v>4933</v>
      </c>
      <c r="C163" s="71" t="s">
        <v>3700</v>
      </c>
      <c r="D163" s="74">
        <v>1</v>
      </c>
      <c r="E163" s="75" t="s">
        <v>3702</v>
      </c>
      <c r="F163" s="71">
        <v>22000</v>
      </c>
      <c r="G163" s="76">
        <v>0.5</v>
      </c>
      <c r="H163" s="71">
        <v>11000</v>
      </c>
      <c r="I163" s="71">
        <f t="shared" si="2"/>
        <v>11000</v>
      </c>
    </row>
    <row r="164" spans="1:9" x14ac:dyDescent="0.4">
      <c r="A164" s="71" t="s">
        <v>247</v>
      </c>
      <c r="B164" s="72" t="s">
        <v>4933</v>
      </c>
      <c r="C164" s="71" t="s">
        <v>3704</v>
      </c>
      <c r="D164" s="74">
        <v>1</v>
      </c>
      <c r="E164" s="75" t="s">
        <v>3705</v>
      </c>
      <c r="F164" s="71">
        <v>19000</v>
      </c>
      <c r="G164" s="76">
        <v>0.5</v>
      </c>
      <c r="H164" s="71">
        <v>9500</v>
      </c>
      <c r="I164" s="71">
        <f t="shared" si="2"/>
        <v>9500</v>
      </c>
    </row>
    <row r="165" spans="1:9" x14ac:dyDescent="0.4">
      <c r="A165" s="71" t="s">
        <v>247</v>
      </c>
      <c r="B165" s="72" t="s">
        <v>4933</v>
      </c>
      <c r="C165" s="71" t="s">
        <v>2626</v>
      </c>
      <c r="D165" s="74">
        <v>4</v>
      </c>
      <c r="E165" s="75" t="s">
        <v>2627</v>
      </c>
      <c r="F165" s="71">
        <v>19000</v>
      </c>
      <c r="G165" s="76">
        <v>0.5</v>
      </c>
      <c r="H165" s="71">
        <v>9500</v>
      </c>
      <c r="I165" s="71">
        <f t="shared" si="2"/>
        <v>38000</v>
      </c>
    </row>
    <row r="166" spans="1:9" x14ac:dyDescent="0.4">
      <c r="A166" s="71" t="s">
        <v>247</v>
      </c>
      <c r="B166" s="72" t="s">
        <v>4933</v>
      </c>
      <c r="C166" s="71" t="s">
        <v>3710</v>
      </c>
      <c r="D166" s="74">
        <v>1</v>
      </c>
      <c r="E166" s="75" t="s">
        <v>3711</v>
      </c>
      <c r="F166" s="71">
        <v>8000</v>
      </c>
      <c r="G166" s="76">
        <v>0.5</v>
      </c>
      <c r="H166" s="71">
        <v>4000</v>
      </c>
      <c r="I166" s="71">
        <f t="shared" si="2"/>
        <v>4000</v>
      </c>
    </row>
    <row r="167" spans="1:9" x14ac:dyDescent="0.4">
      <c r="A167" s="71" t="s">
        <v>247</v>
      </c>
      <c r="B167" s="72" t="s">
        <v>4933</v>
      </c>
      <c r="C167" s="71" t="s">
        <v>3714</v>
      </c>
      <c r="D167" s="74">
        <v>1</v>
      </c>
      <c r="E167" s="75" t="s">
        <v>3716</v>
      </c>
      <c r="F167" s="71">
        <v>5500</v>
      </c>
      <c r="G167" s="76">
        <v>0.5</v>
      </c>
      <c r="H167" s="71">
        <v>2750</v>
      </c>
      <c r="I167" s="71">
        <f t="shared" si="2"/>
        <v>2750</v>
      </c>
    </row>
    <row r="168" spans="1:9" x14ac:dyDescent="0.4">
      <c r="A168" s="71" t="s">
        <v>247</v>
      </c>
      <c r="B168" s="72" t="s">
        <v>4933</v>
      </c>
      <c r="C168" s="71" t="s">
        <v>3720</v>
      </c>
      <c r="D168" s="74">
        <v>1</v>
      </c>
      <c r="E168" s="75" t="s">
        <v>3721</v>
      </c>
      <c r="F168" s="71">
        <v>17000</v>
      </c>
      <c r="G168" s="76">
        <v>0.5</v>
      </c>
      <c r="H168" s="71">
        <v>8500</v>
      </c>
      <c r="I168" s="71">
        <f t="shared" si="2"/>
        <v>8500</v>
      </c>
    </row>
    <row r="169" spans="1:9" x14ac:dyDescent="0.4">
      <c r="A169" s="71" t="s">
        <v>247</v>
      </c>
      <c r="B169" s="72" t="s">
        <v>4933</v>
      </c>
      <c r="C169" s="71" t="s">
        <v>3723</v>
      </c>
      <c r="D169" s="74">
        <v>1</v>
      </c>
      <c r="E169" s="75" t="s">
        <v>3724</v>
      </c>
      <c r="F169" s="71">
        <v>16000</v>
      </c>
      <c r="G169" s="76">
        <v>0.5</v>
      </c>
      <c r="H169" s="71">
        <v>8000</v>
      </c>
      <c r="I169" s="71">
        <f t="shared" si="2"/>
        <v>8000</v>
      </c>
    </row>
    <row r="170" spans="1:9" x14ac:dyDescent="0.4">
      <c r="A170" s="71" t="s">
        <v>247</v>
      </c>
      <c r="B170" s="72" t="s">
        <v>4933</v>
      </c>
      <c r="C170" s="71" t="s">
        <v>3150</v>
      </c>
      <c r="D170" s="74">
        <v>5</v>
      </c>
      <c r="E170" s="75" t="s">
        <v>3151</v>
      </c>
      <c r="F170" s="71">
        <v>6000</v>
      </c>
      <c r="G170" s="76">
        <v>0.5</v>
      </c>
      <c r="H170" s="71">
        <v>3000</v>
      </c>
      <c r="I170" s="71">
        <f t="shared" si="2"/>
        <v>15000</v>
      </c>
    </row>
    <row r="171" spans="1:9" x14ac:dyDescent="0.4">
      <c r="A171" s="71" t="s">
        <v>247</v>
      </c>
      <c r="B171" s="72" t="s">
        <v>4933</v>
      </c>
      <c r="C171" s="71" t="s">
        <v>3728</v>
      </c>
      <c r="D171" s="74">
        <v>1</v>
      </c>
      <c r="E171" s="75" t="s">
        <v>3730</v>
      </c>
      <c r="F171" s="71">
        <v>15000</v>
      </c>
      <c r="G171" s="76">
        <v>0.5</v>
      </c>
      <c r="H171" s="71">
        <v>7500</v>
      </c>
      <c r="I171" s="71">
        <f t="shared" si="2"/>
        <v>7500</v>
      </c>
    </row>
    <row r="172" spans="1:9" x14ac:dyDescent="0.4">
      <c r="A172" s="71" t="s">
        <v>247</v>
      </c>
      <c r="B172" s="72" t="s">
        <v>4933</v>
      </c>
      <c r="C172" s="71" t="s">
        <v>3732</v>
      </c>
      <c r="D172" s="74">
        <v>1</v>
      </c>
      <c r="E172" s="75" t="s">
        <v>3734</v>
      </c>
      <c r="F172" s="71">
        <v>5000</v>
      </c>
      <c r="G172" s="76">
        <v>0.5</v>
      </c>
      <c r="H172" s="71">
        <v>2500</v>
      </c>
      <c r="I172" s="71">
        <f t="shared" si="2"/>
        <v>2500</v>
      </c>
    </row>
    <row r="173" spans="1:9" x14ac:dyDescent="0.4">
      <c r="A173" s="71" t="s">
        <v>247</v>
      </c>
      <c r="B173" s="72" t="s">
        <v>4933</v>
      </c>
      <c r="C173" s="71" t="s">
        <v>3738</v>
      </c>
      <c r="D173" s="74">
        <v>1</v>
      </c>
      <c r="E173" s="75" t="s">
        <v>3739</v>
      </c>
      <c r="F173" s="71">
        <v>8000</v>
      </c>
      <c r="G173" s="76">
        <v>0.5</v>
      </c>
      <c r="H173" s="71">
        <v>4000</v>
      </c>
      <c r="I173" s="71">
        <f t="shared" si="2"/>
        <v>4000</v>
      </c>
    </row>
    <row r="174" spans="1:9" x14ac:dyDescent="0.4">
      <c r="A174" s="71" t="s">
        <v>247</v>
      </c>
      <c r="B174" s="72" t="s">
        <v>153</v>
      </c>
      <c r="C174" s="71" t="s">
        <v>4197</v>
      </c>
      <c r="D174" s="74">
        <v>1</v>
      </c>
      <c r="E174" s="75" t="s">
        <v>4199</v>
      </c>
      <c r="F174" s="71">
        <v>19000</v>
      </c>
      <c r="G174" s="76">
        <v>0.55000000000000004</v>
      </c>
      <c r="H174" s="71">
        <v>10450</v>
      </c>
      <c r="I174" s="77">
        <f t="shared" si="2"/>
        <v>10450</v>
      </c>
    </row>
    <row r="175" spans="1:9" x14ac:dyDescent="0.4">
      <c r="A175" s="71" t="s">
        <v>247</v>
      </c>
      <c r="B175" s="72" t="s">
        <v>153</v>
      </c>
      <c r="C175" s="71" t="s">
        <v>3154</v>
      </c>
      <c r="D175" s="74">
        <v>1</v>
      </c>
      <c r="E175" s="75" t="s">
        <v>4203</v>
      </c>
      <c r="F175" s="71">
        <v>42000</v>
      </c>
      <c r="G175" s="76">
        <v>0.55000000000000004</v>
      </c>
      <c r="H175" s="71">
        <v>23100</v>
      </c>
      <c r="I175" s="71">
        <f t="shared" si="2"/>
        <v>23100.000000000004</v>
      </c>
    </row>
    <row r="176" spans="1:9" x14ac:dyDescent="0.4">
      <c r="A176" s="71" t="s">
        <v>247</v>
      </c>
      <c r="B176" s="72" t="s">
        <v>153</v>
      </c>
      <c r="C176" s="71" t="s">
        <v>4205</v>
      </c>
      <c r="D176" s="74">
        <v>1</v>
      </c>
      <c r="E176" s="75" t="s">
        <v>4207</v>
      </c>
      <c r="F176" s="71">
        <v>23000</v>
      </c>
      <c r="G176" s="76">
        <v>0.55000000000000004</v>
      </c>
      <c r="H176" s="71">
        <v>12650</v>
      </c>
      <c r="I176" s="71">
        <f t="shared" si="2"/>
        <v>12650.000000000002</v>
      </c>
    </row>
    <row r="177" spans="1:9" x14ac:dyDescent="0.4">
      <c r="A177" s="71" t="s">
        <v>247</v>
      </c>
      <c r="B177" s="72" t="s">
        <v>153</v>
      </c>
      <c r="C177" s="71" t="s">
        <v>3156</v>
      </c>
      <c r="D177" s="74">
        <v>1</v>
      </c>
      <c r="E177" s="75" t="s">
        <v>3157</v>
      </c>
      <c r="F177" s="71">
        <v>18000</v>
      </c>
      <c r="G177" s="76">
        <v>0.55000000000000004</v>
      </c>
      <c r="H177" s="71">
        <v>9900</v>
      </c>
      <c r="I177" s="71">
        <f t="shared" si="2"/>
        <v>9900</v>
      </c>
    </row>
    <row r="178" spans="1:9" x14ac:dyDescent="0.4">
      <c r="A178" s="71" t="s">
        <v>247</v>
      </c>
      <c r="B178" s="72" t="s">
        <v>4934</v>
      </c>
      <c r="C178" s="71" t="s">
        <v>4751</v>
      </c>
      <c r="D178" s="74">
        <v>1</v>
      </c>
      <c r="E178" s="75" t="s">
        <v>4753</v>
      </c>
      <c r="F178" s="71">
        <v>16000</v>
      </c>
      <c r="G178" s="76">
        <v>0.6</v>
      </c>
      <c r="H178" s="71">
        <v>9600</v>
      </c>
      <c r="I178" s="77">
        <f t="shared" si="2"/>
        <v>9600</v>
      </c>
    </row>
    <row r="179" spans="1:9" x14ac:dyDescent="0.4">
      <c r="A179" s="71" t="s">
        <v>247</v>
      </c>
      <c r="B179" s="72" t="s">
        <v>4934</v>
      </c>
      <c r="C179" s="71" t="s">
        <v>3170</v>
      </c>
      <c r="D179" s="74">
        <v>1</v>
      </c>
      <c r="E179" s="75" t="s">
        <v>3171</v>
      </c>
      <c r="F179" s="71">
        <v>7000</v>
      </c>
      <c r="G179" s="76">
        <v>0.6</v>
      </c>
      <c r="H179" s="71">
        <v>4200</v>
      </c>
      <c r="I179" s="71">
        <f t="shared" si="2"/>
        <v>4200</v>
      </c>
    </row>
    <row r="180" spans="1:9" x14ac:dyDescent="0.4">
      <c r="A180" s="71" t="s">
        <v>247</v>
      </c>
      <c r="B180" s="72" t="s">
        <v>4934</v>
      </c>
      <c r="C180" s="71" t="s">
        <v>4829</v>
      </c>
      <c r="D180" s="74">
        <v>1</v>
      </c>
      <c r="E180" s="75" t="s">
        <v>4831</v>
      </c>
      <c r="F180" s="71">
        <v>16000</v>
      </c>
      <c r="G180" s="76">
        <v>0.6</v>
      </c>
      <c r="H180" s="71">
        <v>9600</v>
      </c>
      <c r="I180" s="71">
        <f t="shared" si="2"/>
        <v>9600</v>
      </c>
    </row>
    <row r="181" spans="1:9" x14ac:dyDescent="0.4">
      <c r="A181" s="71" t="s">
        <v>247</v>
      </c>
      <c r="B181" s="72" t="s">
        <v>4935</v>
      </c>
      <c r="C181" s="71" t="s">
        <v>4075</v>
      </c>
      <c r="D181" s="74">
        <v>1</v>
      </c>
      <c r="E181" s="75" t="s">
        <v>4077</v>
      </c>
      <c r="F181" s="71">
        <v>27000</v>
      </c>
      <c r="G181" s="76">
        <v>0.49</v>
      </c>
      <c r="H181" s="71">
        <v>13230</v>
      </c>
      <c r="I181" s="77">
        <f>IF(G181="품목별",H181,F181*D181*G181)</f>
        <v>13230</v>
      </c>
    </row>
    <row r="182" spans="1:9" x14ac:dyDescent="0.4">
      <c r="A182" s="71" t="s">
        <v>247</v>
      </c>
      <c r="B182" s="72" t="s">
        <v>4935</v>
      </c>
      <c r="C182" s="71" t="s">
        <v>3564</v>
      </c>
      <c r="D182" s="74">
        <v>1</v>
      </c>
      <c r="E182" s="75" t="s">
        <v>3566</v>
      </c>
      <c r="F182" s="71">
        <v>16800</v>
      </c>
      <c r="G182" s="76" t="s">
        <v>3567</v>
      </c>
      <c r="H182" s="71">
        <v>8800</v>
      </c>
      <c r="I182" s="77">
        <f>IF(G182="품목별",H182,F182*D182*G182)</f>
        <v>8800</v>
      </c>
    </row>
    <row r="183" spans="1:9" x14ac:dyDescent="0.4">
      <c r="A183" s="71" t="s">
        <v>247</v>
      </c>
      <c r="B183" s="72" t="s">
        <v>4937</v>
      </c>
      <c r="C183" s="71" t="s">
        <v>4266</v>
      </c>
      <c r="D183" s="74">
        <v>1</v>
      </c>
      <c r="E183" s="75" t="s">
        <v>4268</v>
      </c>
      <c r="F183" s="71">
        <v>5200</v>
      </c>
      <c r="G183" s="76" t="s">
        <v>3567</v>
      </c>
      <c r="H183" s="71">
        <v>5200</v>
      </c>
      <c r="I183" s="77">
        <f t="shared" ref="I183:I211" si="3">IF(G183="품목별",H183,F183*D183*G183)</f>
        <v>5200</v>
      </c>
    </row>
    <row r="184" spans="1:9" x14ac:dyDescent="0.4">
      <c r="A184" s="71" t="s">
        <v>247</v>
      </c>
      <c r="B184" s="72" t="s">
        <v>4937</v>
      </c>
      <c r="C184" s="71" t="s">
        <v>4270</v>
      </c>
      <c r="D184" s="74">
        <v>1</v>
      </c>
      <c r="E184" s="75" t="s">
        <v>4272</v>
      </c>
      <c r="F184" s="71">
        <v>12300</v>
      </c>
      <c r="G184" s="76" t="s">
        <v>3567</v>
      </c>
      <c r="H184" s="71">
        <v>12300</v>
      </c>
      <c r="I184" s="71">
        <f t="shared" si="3"/>
        <v>12300</v>
      </c>
    </row>
    <row r="185" spans="1:9" x14ac:dyDescent="0.4">
      <c r="A185" s="71" t="s">
        <v>247</v>
      </c>
      <c r="B185" s="72" t="s">
        <v>4938</v>
      </c>
      <c r="C185" s="71" t="s">
        <v>4079</v>
      </c>
      <c r="D185" s="74">
        <v>1</v>
      </c>
      <c r="E185" s="75" t="s">
        <v>4080</v>
      </c>
      <c r="F185" s="71">
        <v>1500</v>
      </c>
      <c r="G185" s="76">
        <v>0.48</v>
      </c>
      <c r="H185" s="71">
        <v>720</v>
      </c>
      <c r="I185" s="77">
        <f t="shared" si="3"/>
        <v>720</v>
      </c>
    </row>
    <row r="186" spans="1:9" x14ac:dyDescent="0.4">
      <c r="A186" s="71" t="s">
        <v>247</v>
      </c>
      <c r="B186" s="72" t="s">
        <v>4938</v>
      </c>
      <c r="C186" s="71" t="s">
        <v>4082</v>
      </c>
      <c r="D186" s="74">
        <v>1</v>
      </c>
      <c r="E186" s="75" t="s">
        <v>4084</v>
      </c>
      <c r="F186" s="71">
        <v>1500</v>
      </c>
      <c r="G186" s="76">
        <v>0.48</v>
      </c>
      <c r="H186" s="71">
        <v>720</v>
      </c>
      <c r="I186" s="71">
        <f t="shared" si="3"/>
        <v>720</v>
      </c>
    </row>
    <row r="187" spans="1:9" x14ac:dyDescent="0.4">
      <c r="A187" s="71" t="s">
        <v>247</v>
      </c>
      <c r="B187" s="72" t="s">
        <v>4938</v>
      </c>
      <c r="C187" s="71" t="s">
        <v>4086</v>
      </c>
      <c r="D187" s="74">
        <v>1</v>
      </c>
      <c r="E187" s="75" t="s">
        <v>4088</v>
      </c>
      <c r="F187" s="71">
        <v>1500</v>
      </c>
      <c r="G187" s="76">
        <v>0.48</v>
      </c>
      <c r="H187" s="71">
        <v>720</v>
      </c>
      <c r="I187" s="71">
        <f t="shared" si="3"/>
        <v>720</v>
      </c>
    </row>
    <row r="188" spans="1:9" x14ac:dyDescent="0.4">
      <c r="A188" s="71" t="s">
        <v>247</v>
      </c>
      <c r="B188" s="72" t="s">
        <v>4938</v>
      </c>
      <c r="C188" s="71" t="s">
        <v>4090</v>
      </c>
      <c r="D188" s="74">
        <v>1</v>
      </c>
      <c r="E188" s="75" t="s">
        <v>4092</v>
      </c>
      <c r="F188" s="71">
        <v>1500</v>
      </c>
      <c r="G188" s="76">
        <v>0.48</v>
      </c>
      <c r="H188" s="71">
        <v>720</v>
      </c>
      <c r="I188" s="71">
        <f t="shared" si="3"/>
        <v>720</v>
      </c>
    </row>
    <row r="189" spans="1:9" x14ac:dyDescent="0.4">
      <c r="A189" s="71" t="s">
        <v>247</v>
      </c>
      <c r="B189" s="72" t="s">
        <v>4938</v>
      </c>
      <c r="C189" s="71" t="s">
        <v>3186</v>
      </c>
      <c r="D189" s="74">
        <v>3</v>
      </c>
      <c r="E189" s="75" t="s">
        <v>3187</v>
      </c>
      <c r="F189" s="71">
        <v>7700</v>
      </c>
      <c r="G189" s="76">
        <v>0.48</v>
      </c>
      <c r="H189" s="71">
        <v>3696</v>
      </c>
      <c r="I189" s="71">
        <f t="shared" si="3"/>
        <v>11088</v>
      </c>
    </row>
    <row r="190" spans="1:9" x14ac:dyDescent="0.4">
      <c r="A190" s="71" t="s">
        <v>247</v>
      </c>
      <c r="B190" s="72" t="s">
        <v>4938</v>
      </c>
      <c r="C190" s="71" t="s">
        <v>2489</v>
      </c>
      <c r="D190" s="74">
        <v>2</v>
      </c>
      <c r="E190" s="75" t="s">
        <v>2490</v>
      </c>
      <c r="F190" s="71">
        <v>10000</v>
      </c>
      <c r="G190" s="76">
        <v>0.48</v>
      </c>
      <c r="H190" s="71">
        <v>4800</v>
      </c>
      <c r="I190" s="71">
        <f t="shared" si="3"/>
        <v>9600</v>
      </c>
    </row>
    <row r="191" spans="1:9" x14ac:dyDescent="0.4">
      <c r="A191" s="71" t="s">
        <v>247</v>
      </c>
      <c r="B191" s="72" t="s">
        <v>4938</v>
      </c>
      <c r="C191" s="71" t="s">
        <v>4101</v>
      </c>
      <c r="D191" s="74">
        <v>3</v>
      </c>
      <c r="E191" s="75" t="s">
        <v>4103</v>
      </c>
      <c r="F191" s="71">
        <v>6900</v>
      </c>
      <c r="G191" s="76">
        <v>0.48</v>
      </c>
      <c r="H191" s="71">
        <v>3312</v>
      </c>
      <c r="I191" s="71">
        <f t="shared" si="3"/>
        <v>9936</v>
      </c>
    </row>
    <row r="192" spans="1:9" x14ac:dyDescent="0.4">
      <c r="A192" s="71" t="s">
        <v>247</v>
      </c>
      <c r="B192" s="72" t="s">
        <v>4938</v>
      </c>
      <c r="C192" s="71" t="s">
        <v>4105</v>
      </c>
      <c r="D192" s="74">
        <v>1</v>
      </c>
      <c r="E192" s="75" t="s">
        <v>4107</v>
      </c>
      <c r="F192" s="71">
        <v>3500</v>
      </c>
      <c r="G192" s="76">
        <v>0.48</v>
      </c>
      <c r="H192" s="71">
        <v>1680</v>
      </c>
      <c r="I192" s="71">
        <f t="shared" si="3"/>
        <v>1680</v>
      </c>
    </row>
    <row r="193" spans="1:9" x14ac:dyDescent="0.4">
      <c r="A193" s="71" t="s">
        <v>247</v>
      </c>
      <c r="B193" s="72" t="s">
        <v>4938</v>
      </c>
      <c r="C193" s="71" t="s">
        <v>4109</v>
      </c>
      <c r="D193" s="74">
        <v>1</v>
      </c>
      <c r="E193" s="75" t="s">
        <v>4111</v>
      </c>
      <c r="F193" s="71">
        <v>7000</v>
      </c>
      <c r="G193" s="76">
        <v>0.48</v>
      </c>
      <c r="H193" s="71">
        <v>3360</v>
      </c>
      <c r="I193" s="71">
        <f t="shared" si="3"/>
        <v>3360</v>
      </c>
    </row>
    <row r="194" spans="1:9" x14ac:dyDescent="0.4">
      <c r="A194" s="71" t="s">
        <v>247</v>
      </c>
      <c r="B194" s="72" t="s">
        <v>4938</v>
      </c>
      <c r="C194" s="71" t="s">
        <v>3194</v>
      </c>
      <c r="D194" s="74">
        <v>1</v>
      </c>
      <c r="E194" s="75" t="s">
        <v>3195</v>
      </c>
      <c r="F194" s="71">
        <v>1000</v>
      </c>
      <c r="G194" s="76">
        <v>0.48</v>
      </c>
      <c r="H194" s="71">
        <v>480</v>
      </c>
      <c r="I194" s="71">
        <f t="shared" si="3"/>
        <v>480</v>
      </c>
    </row>
    <row r="195" spans="1:9" x14ac:dyDescent="0.4">
      <c r="A195" s="71" t="s">
        <v>247</v>
      </c>
      <c r="B195" s="72" t="s">
        <v>4938</v>
      </c>
      <c r="C195" s="71" t="s">
        <v>3198</v>
      </c>
      <c r="D195" s="74">
        <v>4</v>
      </c>
      <c r="E195" s="75" t="s">
        <v>3199</v>
      </c>
      <c r="F195" s="71">
        <v>1000</v>
      </c>
      <c r="G195" s="76">
        <v>0.48</v>
      </c>
      <c r="H195" s="71">
        <v>480</v>
      </c>
      <c r="I195" s="71">
        <f t="shared" si="3"/>
        <v>1920</v>
      </c>
    </row>
    <row r="196" spans="1:9" x14ac:dyDescent="0.4">
      <c r="A196" s="71" t="s">
        <v>247</v>
      </c>
      <c r="B196" s="72" t="s">
        <v>4938</v>
      </c>
      <c r="C196" s="71" t="s">
        <v>3200</v>
      </c>
      <c r="D196" s="74">
        <v>1</v>
      </c>
      <c r="E196" s="75" t="s">
        <v>3201</v>
      </c>
      <c r="F196" s="71">
        <v>1000</v>
      </c>
      <c r="G196" s="76">
        <v>0.48</v>
      </c>
      <c r="H196" s="71">
        <v>480</v>
      </c>
      <c r="I196" s="71">
        <f t="shared" si="3"/>
        <v>480</v>
      </c>
    </row>
    <row r="197" spans="1:9" x14ac:dyDescent="0.4">
      <c r="A197" s="71" t="s">
        <v>247</v>
      </c>
      <c r="B197" s="72" t="s">
        <v>4938</v>
      </c>
      <c r="C197" s="71" t="s">
        <v>3204</v>
      </c>
      <c r="D197" s="74">
        <v>3</v>
      </c>
      <c r="E197" s="75" t="s">
        <v>3205</v>
      </c>
      <c r="F197" s="71">
        <v>1000</v>
      </c>
      <c r="G197" s="76">
        <v>0.48</v>
      </c>
      <c r="H197" s="71">
        <v>480</v>
      </c>
      <c r="I197" s="71">
        <f t="shared" si="3"/>
        <v>1440</v>
      </c>
    </row>
    <row r="198" spans="1:9" x14ac:dyDescent="0.4">
      <c r="A198" s="71" t="s">
        <v>247</v>
      </c>
      <c r="B198" s="72" t="s">
        <v>4938</v>
      </c>
      <c r="C198" s="71" t="s">
        <v>3206</v>
      </c>
      <c r="D198" s="74">
        <v>1</v>
      </c>
      <c r="E198" s="75" t="s">
        <v>3207</v>
      </c>
      <c r="F198" s="71">
        <v>1000</v>
      </c>
      <c r="G198" s="76">
        <v>0.48</v>
      </c>
      <c r="H198" s="71">
        <v>480</v>
      </c>
      <c r="I198" s="71">
        <f t="shared" si="3"/>
        <v>480</v>
      </c>
    </row>
    <row r="199" spans="1:9" x14ac:dyDescent="0.4">
      <c r="A199" s="71" t="s">
        <v>247</v>
      </c>
      <c r="B199" s="72" t="s">
        <v>4938</v>
      </c>
      <c r="C199" s="71" t="s">
        <v>4129</v>
      </c>
      <c r="D199" s="74">
        <v>1</v>
      </c>
      <c r="E199" s="75" t="s">
        <v>4131</v>
      </c>
      <c r="F199" s="71">
        <v>6700</v>
      </c>
      <c r="G199" s="76">
        <v>0.48</v>
      </c>
      <c r="H199" s="71">
        <v>3216</v>
      </c>
      <c r="I199" s="71">
        <f t="shared" si="3"/>
        <v>3216</v>
      </c>
    </row>
    <row r="200" spans="1:9" x14ac:dyDescent="0.4">
      <c r="A200" s="71" t="s">
        <v>247</v>
      </c>
      <c r="B200" s="72" t="s">
        <v>4938</v>
      </c>
      <c r="C200" s="71" t="s">
        <v>2656</v>
      </c>
      <c r="D200" s="74">
        <v>1</v>
      </c>
      <c r="E200" s="75" t="s">
        <v>2657</v>
      </c>
      <c r="F200" s="71">
        <v>12000</v>
      </c>
      <c r="G200" s="76">
        <v>0.48</v>
      </c>
      <c r="H200" s="71">
        <v>5760</v>
      </c>
      <c r="I200" s="71">
        <f t="shared" si="3"/>
        <v>5760</v>
      </c>
    </row>
    <row r="201" spans="1:9" x14ac:dyDescent="0.4">
      <c r="A201" s="71" t="s">
        <v>247</v>
      </c>
      <c r="B201" s="72" t="s">
        <v>4938</v>
      </c>
      <c r="C201" s="71" t="s">
        <v>1187</v>
      </c>
      <c r="D201" s="74">
        <v>12</v>
      </c>
      <c r="E201" s="75" t="s">
        <v>1189</v>
      </c>
      <c r="F201" s="71">
        <v>10000</v>
      </c>
      <c r="G201" s="76">
        <v>0.48</v>
      </c>
      <c r="H201" s="71">
        <v>4800</v>
      </c>
      <c r="I201" s="71">
        <f t="shared" si="3"/>
        <v>57600</v>
      </c>
    </row>
    <row r="202" spans="1:9" x14ac:dyDescent="0.4">
      <c r="A202" s="71" t="s">
        <v>247</v>
      </c>
      <c r="B202" s="72" t="s">
        <v>4938</v>
      </c>
      <c r="C202" s="71" t="s">
        <v>4138</v>
      </c>
      <c r="D202" s="74">
        <v>1</v>
      </c>
      <c r="E202" s="75" t="s">
        <v>4139</v>
      </c>
      <c r="F202" s="71">
        <v>12000</v>
      </c>
      <c r="G202" s="76">
        <v>0.48</v>
      </c>
      <c r="H202" s="71">
        <v>5760</v>
      </c>
      <c r="I202" s="71">
        <f t="shared" si="3"/>
        <v>5760</v>
      </c>
    </row>
    <row r="203" spans="1:9" x14ac:dyDescent="0.4">
      <c r="A203" s="71" t="s">
        <v>247</v>
      </c>
      <c r="B203" s="72" t="s">
        <v>4938</v>
      </c>
      <c r="C203" s="71" t="s">
        <v>4144</v>
      </c>
      <c r="D203" s="74">
        <v>1</v>
      </c>
      <c r="E203" s="75" t="s">
        <v>4145</v>
      </c>
      <c r="F203" s="71">
        <v>17000</v>
      </c>
      <c r="G203" s="76">
        <v>0.48</v>
      </c>
      <c r="H203" s="71">
        <v>8160</v>
      </c>
      <c r="I203" s="71">
        <f t="shared" si="3"/>
        <v>8160</v>
      </c>
    </row>
    <row r="204" spans="1:9" x14ac:dyDescent="0.4">
      <c r="A204" s="71" t="s">
        <v>247</v>
      </c>
      <c r="B204" s="72" t="s">
        <v>4938</v>
      </c>
      <c r="C204" s="71" t="s">
        <v>4152</v>
      </c>
      <c r="D204" s="74">
        <v>1</v>
      </c>
      <c r="E204" s="75" t="s">
        <v>4154</v>
      </c>
      <c r="F204" s="71">
        <v>4900</v>
      </c>
      <c r="G204" s="76">
        <v>0.48</v>
      </c>
      <c r="H204" s="71">
        <v>2352</v>
      </c>
      <c r="I204" s="71">
        <f t="shared" si="3"/>
        <v>2352</v>
      </c>
    </row>
    <row r="205" spans="1:9" x14ac:dyDescent="0.4">
      <c r="A205" s="71" t="s">
        <v>247</v>
      </c>
      <c r="B205" s="72" t="s">
        <v>4938</v>
      </c>
      <c r="C205" s="71" t="s">
        <v>4157</v>
      </c>
      <c r="D205" s="74">
        <v>1</v>
      </c>
      <c r="E205" s="75" t="s">
        <v>4159</v>
      </c>
      <c r="F205" s="71">
        <v>3500</v>
      </c>
      <c r="G205" s="76">
        <v>0.48</v>
      </c>
      <c r="H205" s="71">
        <v>1680</v>
      </c>
      <c r="I205" s="71">
        <f t="shared" si="3"/>
        <v>1680</v>
      </c>
    </row>
    <row r="206" spans="1:9" x14ac:dyDescent="0.4">
      <c r="A206" s="71" t="s">
        <v>247</v>
      </c>
      <c r="B206" s="72" t="s">
        <v>4938</v>
      </c>
      <c r="C206" s="71" t="s">
        <v>1355</v>
      </c>
      <c r="D206" s="74">
        <v>5</v>
      </c>
      <c r="E206" s="75" t="s">
        <v>1356</v>
      </c>
      <c r="F206" s="71">
        <v>8000</v>
      </c>
      <c r="G206" s="76">
        <v>0.48</v>
      </c>
      <c r="H206" s="71">
        <v>3840</v>
      </c>
      <c r="I206" s="71">
        <f t="shared" si="3"/>
        <v>19200</v>
      </c>
    </row>
    <row r="207" spans="1:9" x14ac:dyDescent="0.4">
      <c r="A207" s="71" t="s">
        <v>247</v>
      </c>
      <c r="B207" s="72" t="s">
        <v>4938</v>
      </c>
      <c r="C207" s="71" t="s">
        <v>4164</v>
      </c>
      <c r="D207" s="74">
        <v>1</v>
      </c>
      <c r="E207" s="75" t="s">
        <v>4165</v>
      </c>
      <c r="F207" s="71">
        <v>18000</v>
      </c>
      <c r="G207" s="76">
        <v>0.48</v>
      </c>
      <c r="H207" s="71">
        <v>8640</v>
      </c>
      <c r="I207" s="71">
        <f t="shared" si="3"/>
        <v>8640</v>
      </c>
    </row>
    <row r="208" spans="1:9" x14ac:dyDescent="0.4">
      <c r="A208" s="71" t="s">
        <v>247</v>
      </c>
      <c r="B208" s="72" t="s">
        <v>4938</v>
      </c>
      <c r="C208" s="71" t="s">
        <v>4169</v>
      </c>
      <c r="D208" s="74">
        <v>1</v>
      </c>
      <c r="E208" s="75" t="s">
        <v>4171</v>
      </c>
      <c r="F208" s="71">
        <v>3500</v>
      </c>
      <c r="G208" s="76">
        <v>0.48</v>
      </c>
      <c r="H208" s="71">
        <v>1680</v>
      </c>
      <c r="I208" s="71">
        <f t="shared" si="3"/>
        <v>1680</v>
      </c>
    </row>
    <row r="209" spans="1:9" x14ac:dyDescent="0.4">
      <c r="A209" s="71" t="s">
        <v>247</v>
      </c>
      <c r="B209" s="72" t="s">
        <v>4938</v>
      </c>
      <c r="C209" s="71" t="s">
        <v>2647</v>
      </c>
      <c r="D209" s="74">
        <v>1</v>
      </c>
      <c r="E209" s="75" t="s">
        <v>2648</v>
      </c>
      <c r="F209" s="71">
        <v>8900</v>
      </c>
      <c r="G209" s="76">
        <v>0.48</v>
      </c>
      <c r="H209" s="71">
        <v>4272</v>
      </c>
      <c r="I209" s="71">
        <f t="shared" si="3"/>
        <v>4272</v>
      </c>
    </row>
    <row r="210" spans="1:9" x14ac:dyDescent="0.4">
      <c r="A210" s="71" t="s">
        <v>247</v>
      </c>
      <c r="B210" s="72" t="s">
        <v>4938</v>
      </c>
      <c r="C210" s="71" t="s">
        <v>4174</v>
      </c>
      <c r="D210" s="74">
        <v>2</v>
      </c>
      <c r="E210" s="75" t="s">
        <v>4176</v>
      </c>
      <c r="F210" s="71">
        <v>9000</v>
      </c>
      <c r="G210" s="76">
        <v>0.48</v>
      </c>
      <c r="H210" s="71">
        <v>4320</v>
      </c>
      <c r="I210" s="71">
        <f t="shared" si="3"/>
        <v>8640</v>
      </c>
    </row>
    <row r="211" spans="1:9" x14ac:dyDescent="0.4">
      <c r="A211" s="71" t="s">
        <v>247</v>
      </c>
      <c r="B211" s="72" t="s">
        <v>4938</v>
      </c>
      <c r="C211" s="71" t="s">
        <v>4183</v>
      </c>
      <c r="D211" s="74">
        <v>1</v>
      </c>
      <c r="E211" s="75" t="s">
        <v>4185</v>
      </c>
      <c r="F211" s="71">
        <v>21000</v>
      </c>
      <c r="G211" s="76">
        <v>0.48</v>
      </c>
      <c r="H211" s="71">
        <v>10080</v>
      </c>
      <c r="I211" s="71">
        <f t="shared" si="3"/>
        <v>10080</v>
      </c>
    </row>
    <row r="212" spans="1:9" x14ac:dyDescent="0.4">
      <c r="A212" s="71" t="s">
        <v>247</v>
      </c>
      <c r="B212" s="72" t="s">
        <v>245</v>
      </c>
      <c r="C212" s="71" t="s">
        <v>3238</v>
      </c>
      <c r="D212" s="74">
        <v>5</v>
      </c>
      <c r="E212" s="75" t="s">
        <v>3239</v>
      </c>
      <c r="F212" s="71">
        <v>12900</v>
      </c>
      <c r="G212" s="76">
        <v>1</v>
      </c>
      <c r="H212" s="71">
        <v>12900</v>
      </c>
      <c r="I212" s="77">
        <f>IF(G212="품목별",H212,F212*D212*G212)</f>
        <v>64500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417"/>
  <sheetViews>
    <sheetView zoomScale="70" zoomScaleNormal="70" workbookViewId="0">
      <selection activeCell="C20" sqref="C20"/>
    </sheetView>
  </sheetViews>
  <sheetFormatPr defaultColWidth="11.8984375" defaultRowHeight="17.399999999999999" x14ac:dyDescent="0.4"/>
  <cols>
    <col min="1" max="1" width="12.19921875" bestFit="1" customWidth="1"/>
    <col min="2" max="2" width="9.19921875" style="49" bestFit="1" customWidth="1"/>
    <col min="3" max="3" width="73.3984375" style="50" bestFit="1" customWidth="1"/>
    <col min="12" max="13" width="11.8984375" style="51"/>
  </cols>
  <sheetData>
    <row r="1" spans="1:13" x14ac:dyDescent="0.4">
      <c r="A1" s="4" t="s">
        <v>12</v>
      </c>
      <c r="B1" s="4" t="s">
        <v>2692</v>
      </c>
      <c r="C1" s="4" t="s">
        <v>4919</v>
      </c>
      <c r="D1" s="4" t="s">
        <v>3526</v>
      </c>
      <c r="E1" s="4" t="s">
        <v>1</v>
      </c>
      <c r="F1" s="44" t="s">
        <v>15</v>
      </c>
      <c r="G1" s="44" t="s">
        <v>4920</v>
      </c>
      <c r="L1"/>
      <c r="M1"/>
    </row>
    <row r="2" spans="1:13" x14ac:dyDescent="0.4">
      <c r="A2" s="14" t="s">
        <v>2708</v>
      </c>
      <c r="B2" s="15">
        <v>1</v>
      </c>
      <c r="C2" s="17" t="s">
        <v>2709</v>
      </c>
      <c r="D2" s="14">
        <v>30000</v>
      </c>
      <c r="E2" s="45"/>
      <c r="F2" s="14">
        <v>0</v>
      </c>
      <c r="G2" s="46">
        <f>IF(E2="품목별",F2,D2*B2*E2)</f>
        <v>0</v>
      </c>
      <c r="L2"/>
      <c r="M2"/>
    </row>
    <row r="3" spans="1:13" x14ac:dyDescent="0.4">
      <c r="A3" s="14"/>
      <c r="B3" s="15"/>
      <c r="C3" s="17"/>
      <c r="D3" s="14"/>
      <c r="E3" s="14"/>
      <c r="F3" s="14"/>
      <c r="G3" s="14"/>
      <c r="L3"/>
      <c r="M3"/>
    </row>
    <row r="4" spans="1:13" x14ac:dyDescent="0.4">
      <c r="A4" s="14"/>
      <c r="B4" s="47">
        <v>1</v>
      </c>
      <c r="C4" s="17"/>
      <c r="D4" s="14"/>
      <c r="E4" s="14"/>
      <c r="F4" s="14"/>
      <c r="G4" s="48">
        <v>0</v>
      </c>
      <c r="L4"/>
      <c r="M4"/>
    </row>
    <row r="5" spans="1:13" x14ac:dyDescent="0.4">
      <c r="L5"/>
      <c r="M5"/>
    </row>
    <row r="6" spans="1:13" x14ac:dyDescent="0.4">
      <c r="L6"/>
      <c r="M6"/>
    </row>
    <row r="7" spans="1:13" x14ac:dyDescent="0.4">
      <c r="L7"/>
      <c r="M7"/>
    </row>
    <row r="8" spans="1:13" x14ac:dyDescent="0.4">
      <c r="A8" s="4" t="s">
        <v>12</v>
      </c>
      <c r="B8" s="4" t="s">
        <v>2692</v>
      </c>
      <c r="C8" s="4" t="s">
        <v>4921</v>
      </c>
      <c r="D8" s="4" t="s">
        <v>3526</v>
      </c>
      <c r="E8" s="4" t="s">
        <v>1</v>
      </c>
      <c r="F8" s="44" t="s">
        <v>15</v>
      </c>
      <c r="G8" s="44" t="s">
        <v>4920</v>
      </c>
      <c r="L8"/>
      <c r="M8"/>
    </row>
    <row r="9" spans="1:13" x14ac:dyDescent="0.4">
      <c r="A9" s="14" t="s">
        <v>2410</v>
      </c>
      <c r="B9" s="15">
        <v>1</v>
      </c>
      <c r="C9" s="17" t="s">
        <v>2411</v>
      </c>
      <c r="D9" s="14">
        <v>23500</v>
      </c>
      <c r="E9" s="45">
        <v>0.7</v>
      </c>
      <c r="F9" s="14">
        <v>16450</v>
      </c>
      <c r="G9" s="46">
        <f t="shared" ref="G9:G12" si="0">IF(E9="품목별",F9,D9*B9*E9)</f>
        <v>16450</v>
      </c>
      <c r="L9"/>
      <c r="M9"/>
    </row>
    <row r="10" spans="1:13" x14ac:dyDescent="0.4">
      <c r="A10" s="14" t="s">
        <v>2609</v>
      </c>
      <c r="B10" s="15">
        <v>1</v>
      </c>
      <c r="C10" s="17" t="s">
        <v>2610</v>
      </c>
      <c r="D10" s="14">
        <v>28000</v>
      </c>
      <c r="E10" s="45">
        <v>0.7</v>
      </c>
      <c r="F10" s="14">
        <v>19600</v>
      </c>
      <c r="G10" s="14">
        <f t="shared" si="0"/>
        <v>19600</v>
      </c>
      <c r="L10"/>
      <c r="M10"/>
    </row>
    <row r="11" spans="1:13" x14ac:dyDescent="0.4">
      <c r="A11" s="14" t="s">
        <v>1371</v>
      </c>
      <c r="B11" s="15">
        <v>4</v>
      </c>
      <c r="C11" s="17" t="s">
        <v>1372</v>
      </c>
      <c r="D11" s="14">
        <v>13200</v>
      </c>
      <c r="E11" s="45">
        <v>0.7</v>
      </c>
      <c r="F11" s="14">
        <v>9240</v>
      </c>
      <c r="G11" s="14">
        <f t="shared" si="0"/>
        <v>36960</v>
      </c>
      <c r="L11"/>
      <c r="M11"/>
    </row>
    <row r="12" spans="1:13" x14ac:dyDescent="0.4">
      <c r="A12" s="14" t="s">
        <v>869</v>
      </c>
      <c r="B12" s="15">
        <v>4</v>
      </c>
      <c r="C12" s="17" t="s">
        <v>870</v>
      </c>
      <c r="D12" s="14">
        <v>25000</v>
      </c>
      <c r="E12" s="45">
        <v>0.7</v>
      </c>
      <c r="F12" s="14">
        <v>17500</v>
      </c>
      <c r="G12" s="14">
        <f t="shared" si="0"/>
        <v>70000</v>
      </c>
      <c r="L12"/>
      <c r="M12"/>
    </row>
    <row r="13" spans="1:13" x14ac:dyDescent="0.4">
      <c r="A13" s="14"/>
      <c r="B13" s="15"/>
      <c r="C13" s="17"/>
      <c r="D13" s="14"/>
      <c r="E13" s="14"/>
      <c r="F13" s="14"/>
      <c r="G13" s="14"/>
      <c r="L13"/>
      <c r="M13"/>
    </row>
    <row r="14" spans="1:13" x14ac:dyDescent="0.4">
      <c r="A14" s="14"/>
      <c r="B14" s="47">
        <v>10</v>
      </c>
      <c r="C14" s="17"/>
      <c r="D14" s="14"/>
      <c r="E14" s="14"/>
      <c r="F14" s="14"/>
      <c r="G14" s="48">
        <v>143010</v>
      </c>
      <c r="L14"/>
      <c r="M14"/>
    </row>
    <row r="15" spans="1:13" x14ac:dyDescent="0.4">
      <c r="L15"/>
      <c r="M15"/>
    </row>
    <row r="16" spans="1:13" x14ac:dyDescent="0.4">
      <c r="L16"/>
      <c r="M16"/>
    </row>
    <row r="17" spans="1:13" x14ac:dyDescent="0.4">
      <c r="L17"/>
      <c r="M17"/>
    </row>
    <row r="18" spans="1:13" x14ac:dyDescent="0.4">
      <c r="A18" s="4" t="s">
        <v>12</v>
      </c>
      <c r="B18" s="4" t="s">
        <v>2692</v>
      </c>
      <c r="C18" s="4" t="s">
        <v>4922</v>
      </c>
      <c r="D18" s="4" t="s">
        <v>3526</v>
      </c>
      <c r="E18" s="4" t="s">
        <v>1</v>
      </c>
      <c r="F18" s="44" t="s">
        <v>15</v>
      </c>
      <c r="G18" s="44" t="s">
        <v>4920</v>
      </c>
      <c r="L18"/>
      <c r="M18"/>
    </row>
    <row r="19" spans="1:13" x14ac:dyDescent="0.4">
      <c r="A19" s="14" t="s">
        <v>1216</v>
      </c>
      <c r="B19" s="15">
        <v>2</v>
      </c>
      <c r="C19" s="17" t="s">
        <v>1217</v>
      </c>
      <c r="D19" s="14">
        <v>18000</v>
      </c>
      <c r="E19" s="45">
        <v>0.75</v>
      </c>
      <c r="F19" s="14">
        <v>13500</v>
      </c>
      <c r="G19" s="46">
        <f>IF(E19="품목별",F19,D19*B19*E19)</f>
        <v>27000</v>
      </c>
      <c r="L19"/>
      <c r="M19"/>
    </row>
    <row r="20" spans="1:13" x14ac:dyDescent="0.4">
      <c r="A20" s="14"/>
      <c r="B20" s="15"/>
      <c r="C20" s="17"/>
      <c r="D20" s="14"/>
      <c r="E20" s="14"/>
      <c r="F20" s="14"/>
      <c r="G20" s="14"/>
      <c r="L20"/>
      <c r="M20"/>
    </row>
    <row r="21" spans="1:13" x14ac:dyDescent="0.4">
      <c r="A21" s="14"/>
      <c r="B21" s="47">
        <v>2</v>
      </c>
      <c r="C21" s="17"/>
      <c r="D21" s="14"/>
      <c r="E21" s="14"/>
      <c r="F21" s="14"/>
      <c r="G21" s="48">
        <v>27000</v>
      </c>
      <c r="L21"/>
      <c r="M21"/>
    </row>
    <row r="22" spans="1:13" x14ac:dyDescent="0.4">
      <c r="L22"/>
      <c r="M22"/>
    </row>
    <row r="23" spans="1:13" x14ac:dyDescent="0.4">
      <c r="L23"/>
      <c r="M23"/>
    </row>
    <row r="24" spans="1:13" x14ac:dyDescent="0.4">
      <c r="L24"/>
      <c r="M24"/>
    </row>
    <row r="25" spans="1:13" x14ac:dyDescent="0.4">
      <c r="A25" s="4" t="s">
        <v>12</v>
      </c>
      <c r="B25" s="4" t="s">
        <v>2692</v>
      </c>
      <c r="C25" s="4" t="s">
        <v>4923</v>
      </c>
      <c r="D25" s="4" t="s">
        <v>3526</v>
      </c>
      <c r="E25" s="4" t="s">
        <v>1</v>
      </c>
      <c r="F25" s="44" t="s">
        <v>15</v>
      </c>
      <c r="G25" s="44" t="s">
        <v>4920</v>
      </c>
      <c r="L25"/>
      <c r="M25"/>
    </row>
    <row r="26" spans="1:13" x14ac:dyDescent="0.4">
      <c r="A26" s="14" t="s">
        <v>2289</v>
      </c>
      <c r="B26" s="15">
        <v>12</v>
      </c>
      <c r="C26" s="17" t="s">
        <v>2290</v>
      </c>
      <c r="D26" s="14">
        <v>2500</v>
      </c>
      <c r="E26" s="45">
        <v>0.65</v>
      </c>
      <c r="F26" s="14">
        <v>1625</v>
      </c>
      <c r="G26" s="46">
        <f t="shared" ref="G26:G40" si="1">IF(E26="품목별",F26,D26*B26*E26)</f>
        <v>19500</v>
      </c>
      <c r="L26"/>
      <c r="M26"/>
    </row>
    <row r="27" spans="1:13" x14ac:dyDescent="0.4">
      <c r="A27" s="14" t="s">
        <v>3742</v>
      </c>
      <c r="B27" s="15">
        <v>1</v>
      </c>
      <c r="C27" s="17" t="s">
        <v>3743</v>
      </c>
      <c r="D27" s="14">
        <v>35000</v>
      </c>
      <c r="E27" s="45">
        <v>0.65</v>
      </c>
      <c r="F27" s="14">
        <v>22750</v>
      </c>
      <c r="G27" s="14">
        <f t="shared" si="1"/>
        <v>22750</v>
      </c>
      <c r="L27"/>
      <c r="M27"/>
    </row>
    <row r="28" spans="1:13" ht="18.75" customHeight="1" x14ac:dyDescent="0.4">
      <c r="A28" s="14" t="s">
        <v>1475</v>
      </c>
      <c r="B28" s="15">
        <v>2</v>
      </c>
      <c r="C28" s="17" t="s">
        <v>1476</v>
      </c>
      <c r="D28" s="14">
        <v>2000</v>
      </c>
      <c r="E28" s="45">
        <v>0.65</v>
      </c>
      <c r="F28" s="14">
        <v>1300</v>
      </c>
      <c r="G28" s="14">
        <f t="shared" si="1"/>
        <v>2600</v>
      </c>
      <c r="L28"/>
      <c r="M28"/>
    </row>
    <row r="29" spans="1:13" x14ac:dyDescent="0.4">
      <c r="A29" s="14" t="s">
        <v>994</v>
      </c>
      <c r="B29" s="15">
        <v>1</v>
      </c>
      <c r="C29" s="17" t="s">
        <v>995</v>
      </c>
      <c r="D29" s="14">
        <v>2000</v>
      </c>
      <c r="E29" s="45">
        <v>0.65</v>
      </c>
      <c r="F29" s="14">
        <v>1300</v>
      </c>
      <c r="G29" s="14">
        <f t="shared" si="1"/>
        <v>1300</v>
      </c>
      <c r="L29"/>
      <c r="M29"/>
    </row>
    <row r="30" spans="1:13" x14ac:dyDescent="0.4">
      <c r="A30" s="14" t="s">
        <v>976</v>
      </c>
      <c r="B30" s="15">
        <v>1</v>
      </c>
      <c r="C30" s="17" t="s">
        <v>977</v>
      </c>
      <c r="D30" s="14">
        <v>18000</v>
      </c>
      <c r="E30" s="45">
        <v>0.65</v>
      </c>
      <c r="F30" s="14">
        <v>11700</v>
      </c>
      <c r="G30" s="14">
        <f t="shared" si="1"/>
        <v>11700</v>
      </c>
      <c r="L30"/>
      <c r="M30"/>
    </row>
    <row r="31" spans="1:13" x14ac:dyDescent="0.4">
      <c r="A31" s="14" t="s">
        <v>2521</v>
      </c>
      <c r="B31" s="15">
        <v>1</v>
      </c>
      <c r="C31" s="17" t="s">
        <v>2522</v>
      </c>
      <c r="D31" s="14">
        <v>12000</v>
      </c>
      <c r="E31" s="45">
        <v>0.65</v>
      </c>
      <c r="F31" s="14">
        <v>7800</v>
      </c>
      <c r="G31" s="14">
        <f t="shared" si="1"/>
        <v>7800</v>
      </c>
      <c r="L31"/>
      <c r="M31"/>
    </row>
    <row r="32" spans="1:13" x14ac:dyDescent="0.4">
      <c r="A32" s="14" t="s">
        <v>2512</v>
      </c>
      <c r="B32" s="15">
        <v>1</v>
      </c>
      <c r="C32" s="17" t="s">
        <v>2513</v>
      </c>
      <c r="D32" s="14">
        <v>12000</v>
      </c>
      <c r="E32" s="45">
        <v>0.65</v>
      </c>
      <c r="F32" s="14">
        <v>7800</v>
      </c>
      <c r="G32" s="14">
        <f t="shared" si="1"/>
        <v>7800</v>
      </c>
      <c r="L32"/>
      <c r="M32"/>
    </row>
    <row r="33" spans="1:13" x14ac:dyDescent="0.4">
      <c r="A33" s="14" t="s">
        <v>3752</v>
      </c>
      <c r="B33" s="15">
        <v>1</v>
      </c>
      <c r="C33" s="17" t="s">
        <v>3754</v>
      </c>
      <c r="D33" s="14">
        <v>7000</v>
      </c>
      <c r="E33" s="45">
        <v>0.65</v>
      </c>
      <c r="F33" s="14">
        <v>4550</v>
      </c>
      <c r="G33" s="14">
        <f t="shared" si="1"/>
        <v>4550</v>
      </c>
      <c r="L33"/>
      <c r="M33"/>
    </row>
    <row r="34" spans="1:13" x14ac:dyDescent="0.4">
      <c r="A34" s="14" t="s">
        <v>3760</v>
      </c>
      <c r="B34" s="15">
        <v>4</v>
      </c>
      <c r="C34" s="17" t="s">
        <v>3761</v>
      </c>
      <c r="D34" s="14">
        <v>4500</v>
      </c>
      <c r="E34" s="45">
        <v>0.65</v>
      </c>
      <c r="F34" s="14">
        <v>2925</v>
      </c>
      <c r="G34" s="14">
        <f t="shared" si="1"/>
        <v>11700</v>
      </c>
      <c r="L34"/>
      <c r="M34"/>
    </row>
    <row r="35" spans="1:13" x14ac:dyDescent="0.4">
      <c r="A35" s="14" t="s">
        <v>3766</v>
      </c>
      <c r="B35" s="15">
        <v>1</v>
      </c>
      <c r="C35" s="17" t="s">
        <v>3768</v>
      </c>
      <c r="D35" s="14">
        <v>2500</v>
      </c>
      <c r="E35" s="45">
        <v>0.65</v>
      </c>
      <c r="F35" s="14">
        <v>1625</v>
      </c>
      <c r="G35" s="14">
        <f t="shared" si="1"/>
        <v>1625</v>
      </c>
      <c r="L35"/>
      <c r="M35"/>
    </row>
    <row r="36" spans="1:13" x14ac:dyDescent="0.4">
      <c r="A36" s="14" t="s">
        <v>3770</v>
      </c>
      <c r="B36" s="15">
        <v>2</v>
      </c>
      <c r="C36" s="17" t="s">
        <v>3772</v>
      </c>
      <c r="D36" s="14">
        <v>11000</v>
      </c>
      <c r="E36" s="45">
        <v>0.65</v>
      </c>
      <c r="F36" s="14">
        <v>7150</v>
      </c>
      <c r="G36" s="14">
        <f t="shared" si="1"/>
        <v>14300</v>
      </c>
      <c r="L36"/>
      <c r="M36"/>
    </row>
    <row r="37" spans="1:13" x14ac:dyDescent="0.4">
      <c r="A37" s="14" t="s">
        <v>763</v>
      </c>
      <c r="B37" s="15">
        <v>3</v>
      </c>
      <c r="C37" s="17" t="s">
        <v>764</v>
      </c>
      <c r="D37" s="14">
        <v>13000</v>
      </c>
      <c r="E37" s="45">
        <v>0.65</v>
      </c>
      <c r="F37" s="14">
        <v>8450</v>
      </c>
      <c r="G37" s="14">
        <f t="shared" si="1"/>
        <v>25350</v>
      </c>
      <c r="L37"/>
      <c r="M37"/>
    </row>
    <row r="38" spans="1:13" x14ac:dyDescent="0.4">
      <c r="A38" s="14" t="s">
        <v>2353</v>
      </c>
      <c r="B38" s="15">
        <v>16</v>
      </c>
      <c r="C38" s="17" t="s">
        <v>2354</v>
      </c>
      <c r="D38" s="14">
        <v>3000</v>
      </c>
      <c r="E38" s="45">
        <v>0.65</v>
      </c>
      <c r="F38" s="14">
        <v>1950</v>
      </c>
      <c r="G38" s="14">
        <f t="shared" si="1"/>
        <v>31200</v>
      </c>
      <c r="L38"/>
      <c r="M38"/>
    </row>
    <row r="39" spans="1:13" x14ac:dyDescent="0.4">
      <c r="A39" s="14" t="s">
        <v>753</v>
      </c>
      <c r="B39" s="15">
        <v>3</v>
      </c>
      <c r="C39" s="17" t="s">
        <v>754</v>
      </c>
      <c r="D39" s="14">
        <v>25000</v>
      </c>
      <c r="E39" s="45">
        <v>0.65</v>
      </c>
      <c r="F39" s="14">
        <v>16250</v>
      </c>
      <c r="G39" s="14">
        <f t="shared" si="1"/>
        <v>48750</v>
      </c>
      <c r="L39"/>
      <c r="M39"/>
    </row>
    <row r="40" spans="1:13" x14ac:dyDescent="0.4">
      <c r="A40" s="14" t="s">
        <v>3778</v>
      </c>
      <c r="B40" s="15">
        <v>1</v>
      </c>
      <c r="C40" s="17" t="s">
        <v>3779</v>
      </c>
      <c r="D40" s="14">
        <v>20000</v>
      </c>
      <c r="E40" s="45">
        <v>0.65</v>
      </c>
      <c r="F40" s="14">
        <v>13000</v>
      </c>
      <c r="G40" s="14">
        <f t="shared" si="1"/>
        <v>13000</v>
      </c>
      <c r="L40"/>
      <c r="M40"/>
    </row>
    <row r="41" spans="1:13" x14ac:dyDescent="0.4">
      <c r="A41" s="14"/>
      <c r="B41" s="15"/>
      <c r="C41" s="17"/>
      <c r="D41" s="14"/>
      <c r="E41" s="14"/>
      <c r="F41" s="14"/>
      <c r="G41" s="14"/>
      <c r="L41"/>
      <c r="M41"/>
    </row>
    <row r="42" spans="1:13" x14ac:dyDescent="0.4">
      <c r="A42" s="14"/>
      <c r="B42" s="47">
        <v>50</v>
      </c>
      <c r="C42" s="17"/>
      <c r="D42" s="14"/>
      <c r="E42" s="14"/>
      <c r="F42" s="14"/>
      <c r="G42" s="48">
        <v>223925</v>
      </c>
      <c r="L42"/>
      <c r="M42"/>
    </row>
    <row r="43" spans="1:13" x14ac:dyDescent="0.4">
      <c r="L43"/>
      <c r="M43"/>
    </row>
    <row r="44" spans="1:13" x14ac:dyDescent="0.4">
      <c r="L44"/>
      <c r="M44"/>
    </row>
    <row r="45" spans="1:13" x14ac:dyDescent="0.4">
      <c r="L45"/>
      <c r="M45"/>
    </row>
    <row r="46" spans="1:13" x14ac:dyDescent="0.4">
      <c r="A46" s="4" t="s">
        <v>12</v>
      </c>
      <c r="B46" s="4" t="s">
        <v>2692</v>
      </c>
      <c r="C46" s="4" t="s">
        <v>4924</v>
      </c>
      <c r="D46" s="4" t="s">
        <v>3526</v>
      </c>
      <c r="E46" s="4" t="s">
        <v>1</v>
      </c>
      <c r="F46" s="44" t="s">
        <v>15</v>
      </c>
      <c r="G46" s="44" t="s">
        <v>4920</v>
      </c>
      <c r="L46"/>
      <c r="M46"/>
    </row>
    <row r="47" spans="1:13" x14ac:dyDescent="0.4">
      <c r="A47" s="14" t="s">
        <v>4274</v>
      </c>
      <c r="B47" s="15">
        <v>1</v>
      </c>
      <c r="C47" s="17" t="s">
        <v>4276</v>
      </c>
      <c r="D47" s="14">
        <v>4800</v>
      </c>
      <c r="E47" s="45">
        <v>1</v>
      </c>
      <c r="F47" s="14">
        <v>4800</v>
      </c>
      <c r="G47" s="46">
        <f t="shared" ref="G47:G57" si="2">IF(E47="품목별",F47,D47*B47*E47)</f>
        <v>4800</v>
      </c>
      <c r="L47"/>
      <c r="M47"/>
    </row>
    <row r="48" spans="1:13" x14ac:dyDescent="0.4">
      <c r="A48" s="14" t="s">
        <v>4280</v>
      </c>
      <c r="B48" s="15">
        <v>1</v>
      </c>
      <c r="C48" s="17" t="s">
        <v>4282</v>
      </c>
      <c r="D48" s="14">
        <v>3800</v>
      </c>
      <c r="E48" s="45">
        <v>1</v>
      </c>
      <c r="F48" s="14">
        <v>3800</v>
      </c>
      <c r="G48" s="14">
        <f t="shared" si="2"/>
        <v>3800</v>
      </c>
      <c r="L48"/>
      <c r="M48"/>
    </row>
    <row r="49" spans="1:13" x14ac:dyDescent="0.4">
      <c r="A49" s="14" t="s">
        <v>4285</v>
      </c>
      <c r="B49" s="15">
        <v>1</v>
      </c>
      <c r="C49" s="17" t="s">
        <v>4286</v>
      </c>
      <c r="D49" s="14">
        <v>2800</v>
      </c>
      <c r="E49" s="45">
        <v>1</v>
      </c>
      <c r="F49" s="14">
        <v>2800</v>
      </c>
      <c r="G49" s="14">
        <f t="shared" si="2"/>
        <v>2800</v>
      </c>
      <c r="L49"/>
      <c r="M49"/>
    </row>
    <row r="50" spans="1:13" x14ac:dyDescent="0.4">
      <c r="A50" s="14" t="s">
        <v>4288</v>
      </c>
      <c r="B50" s="15">
        <v>1</v>
      </c>
      <c r="C50" s="17" t="s">
        <v>4290</v>
      </c>
      <c r="D50" s="14">
        <v>2800</v>
      </c>
      <c r="E50" s="45">
        <v>1</v>
      </c>
      <c r="F50" s="14">
        <v>2800</v>
      </c>
      <c r="G50" s="14">
        <f t="shared" si="2"/>
        <v>2800</v>
      </c>
      <c r="L50"/>
      <c r="M50"/>
    </row>
    <row r="51" spans="1:13" x14ac:dyDescent="0.4">
      <c r="A51" s="14" t="s">
        <v>4292</v>
      </c>
      <c r="B51" s="15">
        <v>1</v>
      </c>
      <c r="C51" s="17" t="s">
        <v>4294</v>
      </c>
      <c r="D51" s="14">
        <v>5500</v>
      </c>
      <c r="E51" s="45">
        <v>1</v>
      </c>
      <c r="F51" s="14">
        <v>5500</v>
      </c>
      <c r="G51" s="14">
        <f t="shared" si="2"/>
        <v>5500</v>
      </c>
      <c r="L51"/>
      <c r="M51"/>
    </row>
    <row r="52" spans="1:13" x14ac:dyDescent="0.4">
      <c r="A52" s="14" t="s">
        <v>2733</v>
      </c>
      <c r="B52" s="15">
        <v>2</v>
      </c>
      <c r="C52" s="17" t="s">
        <v>2734</v>
      </c>
      <c r="D52" s="14">
        <v>5500</v>
      </c>
      <c r="E52" s="45">
        <v>1</v>
      </c>
      <c r="F52" s="14">
        <v>5500</v>
      </c>
      <c r="G52" s="14">
        <f t="shared" si="2"/>
        <v>11000</v>
      </c>
      <c r="L52"/>
      <c r="M52"/>
    </row>
    <row r="53" spans="1:13" x14ac:dyDescent="0.4">
      <c r="A53" s="14" t="s">
        <v>2735</v>
      </c>
      <c r="B53" s="15">
        <v>1</v>
      </c>
      <c r="C53" s="17" t="s">
        <v>2736</v>
      </c>
      <c r="D53" s="14">
        <v>6000</v>
      </c>
      <c r="E53" s="45">
        <v>1</v>
      </c>
      <c r="F53" s="14">
        <v>6000</v>
      </c>
      <c r="G53" s="14">
        <f t="shared" si="2"/>
        <v>6000</v>
      </c>
      <c r="L53"/>
      <c r="M53"/>
    </row>
    <row r="54" spans="1:13" x14ac:dyDescent="0.4">
      <c r="A54" s="14" t="s">
        <v>4299</v>
      </c>
      <c r="B54" s="15">
        <v>1</v>
      </c>
      <c r="C54" s="17" t="s">
        <v>4301</v>
      </c>
      <c r="D54" s="14">
        <v>6500</v>
      </c>
      <c r="E54" s="45">
        <v>1</v>
      </c>
      <c r="F54" s="14">
        <v>6500</v>
      </c>
      <c r="G54" s="14">
        <f t="shared" si="2"/>
        <v>6500</v>
      </c>
      <c r="L54"/>
      <c r="M54"/>
    </row>
    <row r="55" spans="1:13" x14ac:dyDescent="0.4">
      <c r="A55" s="14" t="s">
        <v>2739</v>
      </c>
      <c r="B55" s="15">
        <v>3</v>
      </c>
      <c r="C55" s="17" t="s">
        <v>2740</v>
      </c>
      <c r="D55" s="14">
        <v>800</v>
      </c>
      <c r="E55" s="45">
        <v>1</v>
      </c>
      <c r="F55" s="14">
        <v>800</v>
      </c>
      <c r="G55" s="14">
        <f t="shared" si="2"/>
        <v>2400</v>
      </c>
      <c r="L55"/>
      <c r="M55"/>
    </row>
    <row r="56" spans="1:13" x14ac:dyDescent="0.4">
      <c r="A56" s="14" t="s">
        <v>4311</v>
      </c>
      <c r="B56" s="15">
        <v>1</v>
      </c>
      <c r="C56" s="17" t="s">
        <v>4313</v>
      </c>
      <c r="D56" s="14">
        <v>12800</v>
      </c>
      <c r="E56" s="45">
        <v>1</v>
      </c>
      <c r="F56" s="14">
        <v>12800</v>
      </c>
      <c r="G56" s="14">
        <f t="shared" si="2"/>
        <v>12800</v>
      </c>
      <c r="L56"/>
      <c r="M56"/>
    </row>
    <row r="57" spans="1:13" x14ac:dyDescent="0.4">
      <c r="A57" s="14" t="s">
        <v>4317</v>
      </c>
      <c r="B57" s="15">
        <v>6</v>
      </c>
      <c r="C57" s="17" t="s">
        <v>4318</v>
      </c>
      <c r="D57" s="14">
        <v>800</v>
      </c>
      <c r="E57" s="45">
        <v>1</v>
      </c>
      <c r="F57" s="14">
        <v>800</v>
      </c>
      <c r="G57" s="14">
        <f t="shared" si="2"/>
        <v>4800</v>
      </c>
      <c r="L57"/>
      <c r="M57"/>
    </row>
    <row r="58" spans="1:13" x14ac:dyDescent="0.4">
      <c r="A58" s="14"/>
      <c r="B58" s="15"/>
      <c r="C58" s="17"/>
      <c r="D58" s="14"/>
      <c r="E58" s="14"/>
      <c r="F58" s="14"/>
      <c r="G58" s="14"/>
      <c r="L58"/>
      <c r="M58"/>
    </row>
    <row r="59" spans="1:13" x14ac:dyDescent="0.4">
      <c r="A59" s="14"/>
      <c r="B59" s="47">
        <v>19</v>
      </c>
      <c r="C59" s="17"/>
      <c r="D59" s="14"/>
      <c r="E59" s="14"/>
      <c r="F59" s="14"/>
      <c r="G59" s="48">
        <v>63200</v>
      </c>
      <c r="L59"/>
      <c r="M59"/>
    </row>
    <row r="60" spans="1:13" x14ac:dyDescent="0.4">
      <c r="L60"/>
      <c r="M60"/>
    </row>
    <row r="61" spans="1:13" x14ac:dyDescent="0.4">
      <c r="L61"/>
      <c r="M61"/>
    </row>
    <row r="62" spans="1:13" x14ac:dyDescent="0.4">
      <c r="L62"/>
      <c r="M62"/>
    </row>
    <row r="63" spans="1:13" x14ac:dyDescent="0.4">
      <c r="A63" s="4" t="s">
        <v>12</v>
      </c>
      <c r="B63" s="4" t="s">
        <v>2692</v>
      </c>
      <c r="C63" s="4" t="s">
        <v>4925</v>
      </c>
      <c r="D63" s="4" t="s">
        <v>3526</v>
      </c>
      <c r="E63" s="4" t="s">
        <v>1</v>
      </c>
      <c r="F63" s="44" t="s">
        <v>15</v>
      </c>
      <c r="G63" s="44" t="s">
        <v>4920</v>
      </c>
      <c r="L63"/>
      <c r="M63"/>
    </row>
    <row r="64" spans="1:13" x14ac:dyDescent="0.4">
      <c r="A64" s="14" t="s">
        <v>3588</v>
      </c>
      <c r="B64" s="15">
        <v>10</v>
      </c>
      <c r="C64" s="16" t="s">
        <v>3589</v>
      </c>
      <c r="D64" s="14">
        <v>900</v>
      </c>
      <c r="E64" s="45">
        <v>0.7</v>
      </c>
      <c r="F64" s="14">
        <v>630</v>
      </c>
      <c r="G64" s="46">
        <f t="shared" ref="G64:G74" si="3">IF(E64="품목별",F64,D64*B64*E64)</f>
        <v>6300</v>
      </c>
      <c r="L64"/>
      <c r="M64"/>
    </row>
    <row r="65" spans="1:13" x14ac:dyDescent="0.4">
      <c r="A65" s="14" t="s">
        <v>2559</v>
      </c>
      <c r="B65" s="15">
        <v>1</v>
      </c>
      <c r="C65" s="17" t="s">
        <v>2560</v>
      </c>
      <c r="D65" s="14">
        <v>12000</v>
      </c>
      <c r="E65" s="45">
        <v>0.7</v>
      </c>
      <c r="F65" s="14">
        <v>8400</v>
      </c>
      <c r="G65" s="14">
        <f t="shared" si="3"/>
        <v>8400</v>
      </c>
      <c r="L65"/>
      <c r="M65"/>
    </row>
    <row r="66" spans="1:13" x14ac:dyDescent="0.4">
      <c r="A66" s="14" t="s">
        <v>2534</v>
      </c>
      <c r="B66" s="15">
        <v>1</v>
      </c>
      <c r="C66" s="17" t="s">
        <v>2535</v>
      </c>
      <c r="D66" s="14">
        <v>12000</v>
      </c>
      <c r="E66" s="45">
        <v>0.7</v>
      </c>
      <c r="F66" s="14">
        <v>8400</v>
      </c>
      <c r="G66" s="14">
        <f t="shared" si="3"/>
        <v>8400</v>
      </c>
      <c r="L66"/>
      <c r="M66"/>
    </row>
    <row r="67" spans="1:13" x14ac:dyDescent="0.4">
      <c r="A67" s="14" t="s">
        <v>3658</v>
      </c>
      <c r="B67" s="15">
        <v>1</v>
      </c>
      <c r="C67" s="17" t="s">
        <v>3660</v>
      </c>
      <c r="D67" s="14">
        <v>12000</v>
      </c>
      <c r="E67" s="45">
        <v>0.7</v>
      </c>
      <c r="F67" s="14">
        <v>8400</v>
      </c>
      <c r="G67" s="14">
        <f t="shared" si="3"/>
        <v>8400</v>
      </c>
      <c r="L67"/>
      <c r="M67"/>
    </row>
    <row r="68" spans="1:13" x14ac:dyDescent="0.4">
      <c r="A68" s="14" t="s">
        <v>2683</v>
      </c>
      <c r="B68" s="15">
        <v>1</v>
      </c>
      <c r="C68" s="17" t="s">
        <v>2684</v>
      </c>
      <c r="D68" s="14">
        <v>12000</v>
      </c>
      <c r="E68" s="45">
        <v>0.7</v>
      </c>
      <c r="F68" s="14">
        <v>8400</v>
      </c>
      <c r="G68" s="14">
        <f t="shared" si="3"/>
        <v>8400</v>
      </c>
      <c r="L68"/>
      <c r="M68"/>
    </row>
    <row r="69" spans="1:13" x14ac:dyDescent="0.4">
      <c r="A69" s="14" t="s">
        <v>2674</v>
      </c>
      <c r="B69" s="15">
        <v>1</v>
      </c>
      <c r="C69" s="17" t="s">
        <v>2675</v>
      </c>
      <c r="D69" s="14">
        <v>7700</v>
      </c>
      <c r="E69" s="45">
        <v>0.7</v>
      </c>
      <c r="F69" s="14">
        <v>5390</v>
      </c>
      <c r="G69" s="14">
        <f t="shared" si="3"/>
        <v>5390</v>
      </c>
      <c r="L69"/>
      <c r="M69"/>
    </row>
    <row r="70" spans="1:13" x14ac:dyDescent="0.4">
      <c r="A70" s="14" t="s">
        <v>3666</v>
      </c>
      <c r="B70" s="15">
        <v>1</v>
      </c>
      <c r="C70" s="17" t="s">
        <v>3667</v>
      </c>
      <c r="D70" s="14">
        <v>3500</v>
      </c>
      <c r="E70" s="45">
        <v>0.7</v>
      </c>
      <c r="F70" s="14">
        <v>2450</v>
      </c>
      <c r="G70" s="14">
        <f t="shared" si="3"/>
        <v>2450</v>
      </c>
      <c r="L70"/>
      <c r="M70"/>
    </row>
    <row r="71" spans="1:13" x14ac:dyDescent="0.4">
      <c r="A71" s="14" t="s">
        <v>3669</v>
      </c>
      <c r="B71" s="15">
        <v>5</v>
      </c>
      <c r="C71" s="17" t="s">
        <v>3671</v>
      </c>
      <c r="D71" s="14">
        <v>4400</v>
      </c>
      <c r="E71" s="45">
        <v>0.7</v>
      </c>
      <c r="F71" s="14">
        <v>3080</v>
      </c>
      <c r="G71" s="14">
        <f t="shared" si="3"/>
        <v>15399.999999999998</v>
      </c>
      <c r="L71"/>
      <c r="M71"/>
    </row>
    <row r="72" spans="1:13" x14ac:dyDescent="0.4">
      <c r="A72" s="14" t="s">
        <v>3673</v>
      </c>
      <c r="B72" s="15">
        <v>2</v>
      </c>
      <c r="C72" s="17" t="s">
        <v>3675</v>
      </c>
      <c r="D72" s="14">
        <v>18000</v>
      </c>
      <c r="E72" s="45">
        <v>0.7</v>
      </c>
      <c r="F72" s="14">
        <v>12600</v>
      </c>
      <c r="G72" s="14">
        <f t="shared" si="3"/>
        <v>25200</v>
      </c>
      <c r="L72"/>
      <c r="M72"/>
    </row>
    <row r="73" spans="1:13" x14ac:dyDescent="0.4">
      <c r="A73" s="14" t="s">
        <v>1484</v>
      </c>
      <c r="B73" s="15">
        <v>3</v>
      </c>
      <c r="C73" s="17" t="s">
        <v>1485</v>
      </c>
      <c r="D73" s="14">
        <v>26900</v>
      </c>
      <c r="E73" s="45">
        <v>0.7</v>
      </c>
      <c r="F73" s="14">
        <v>18830</v>
      </c>
      <c r="G73" s="14">
        <f t="shared" si="3"/>
        <v>56490</v>
      </c>
      <c r="L73"/>
      <c r="M73"/>
    </row>
    <row r="74" spans="1:13" x14ac:dyDescent="0.4">
      <c r="A74" s="14" t="s">
        <v>3680</v>
      </c>
      <c r="B74" s="15">
        <v>1</v>
      </c>
      <c r="C74" s="17" t="s">
        <v>3681</v>
      </c>
      <c r="D74" s="14">
        <v>12000</v>
      </c>
      <c r="E74" s="45">
        <v>0.7</v>
      </c>
      <c r="F74" s="14">
        <v>8400</v>
      </c>
      <c r="G74" s="14">
        <f t="shared" si="3"/>
        <v>8400</v>
      </c>
      <c r="L74"/>
      <c r="M74"/>
    </row>
    <row r="75" spans="1:13" x14ac:dyDescent="0.4">
      <c r="A75" s="14"/>
      <c r="B75" s="15"/>
      <c r="C75" s="17"/>
      <c r="D75" s="14"/>
      <c r="E75" s="14"/>
      <c r="F75" s="14"/>
      <c r="G75" s="14"/>
      <c r="L75"/>
      <c r="M75"/>
    </row>
    <row r="76" spans="1:13" x14ac:dyDescent="0.4">
      <c r="A76" s="14"/>
      <c r="B76" s="47">
        <v>27</v>
      </c>
      <c r="C76" s="17"/>
      <c r="D76" s="14"/>
      <c r="E76" s="14"/>
      <c r="F76" s="14"/>
      <c r="G76" s="48">
        <v>153230</v>
      </c>
      <c r="L76"/>
      <c r="M76"/>
    </row>
    <row r="77" spans="1:13" x14ac:dyDescent="0.4">
      <c r="L77"/>
      <c r="M77"/>
    </row>
    <row r="78" spans="1:13" x14ac:dyDescent="0.4">
      <c r="L78"/>
      <c r="M78"/>
    </row>
    <row r="79" spans="1:13" x14ac:dyDescent="0.4">
      <c r="L79"/>
      <c r="M79"/>
    </row>
    <row r="80" spans="1:13" x14ac:dyDescent="0.4">
      <c r="A80" s="4" t="s">
        <v>12</v>
      </c>
      <c r="B80" s="4" t="s">
        <v>2692</v>
      </c>
      <c r="C80" s="4" t="s">
        <v>58</v>
      </c>
      <c r="D80" s="4" t="s">
        <v>3526</v>
      </c>
      <c r="E80" s="4" t="s">
        <v>1</v>
      </c>
      <c r="F80" s="44" t="s">
        <v>15</v>
      </c>
      <c r="G80" s="44" t="s">
        <v>4920</v>
      </c>
      <c r="L80"/>
      <c r="M80"/>
    </row>
    <row r="81" spans="1:13" x14ac:dyDescent="0.4">
      <c r="A81" s="14" t="s">
        <v>3595</v>
      </c>
      <c r="B81" s="15">
        <v>2</v>
      </c>
      <c r="C81" s="16" t="s">
        <v>3597</v>
      </c>
      <c r="D81" s="14">
        <v>7000</v>
      </c>
      <c r="E81" s="45">
        <v>0.47</v>
      </c>
      <c r="F81" s="14">
        <v>3290</v>
      </c>
      <c r="G81" s="46">
        <f t="shared" ref="G81:G123" si="4">IF(E81="품목별",F81,D81*B81*E81)</f>
        <v>6580</v>
      </c>
      <c r="L81"/>
      <c r="M81"/>
    </row>
    <row r="82" spans="1:13" x14ac:dyDescent="0.4">
      <c r="A82" s="14" t="s">
        <v>159</v>
      </c>
      <c r="B82" s="15">
        <v>1</v>
      </c>
      <c r="C82" s="17" t="s">
        <v>160</v>
      </c>
      <c r="D82" s="14">
        <v>17000</v>
      </c>
      <c r="E82" s="45">
        <v>0.47</v>
      </c>
      <c r="F82" s="14">
        <v>7990</v>
      </c>
      <c r="G82" s="14">
        <f t="shared" si="4"/>
        <v>7990</v>
      </c>
      <c r="L82"/>
      <c r="M82"/>
    </row>
    <row r="83" spans="1:13" x14ac:dyDescent="0.4">
      <c r="A83" s="14" t="s">
        <v>2420</v>
      </c>
      <c r="B83" s="15">
        <v>1</v>
      </c>
      <c r="C83" s="17" t="s">
        <v>2421</v>
      </c>
      <c r="D83" s="14">
        <v>15800</v>
      </c>
      <c r="E83" s="45">
        <v>0.47</v>
      </c>
      <c r="F83" s="14">
        <v>7426</v>
      </c>
      <c r="G83" s="14">
        <f t="shared" si="4"/>
        <v>7426</v>
      </c>
      <c r="L83"/>
      <c r="M83"/>
    </row>
    <row r="84" spans="1:13" x14ac:dyDescent="0.4">
      <c r="A84" s="14" t="s">
        <v>2766</v>
      </c>
      <c r="B84" s="15">
        <v>5</v>
      </c>
      <c r="C84" s="17" t="s">
        <v>2767</v>
      </c>
      <c r="D84" s="14">
        <v>3300</v>
      </c>
      <c r="E84" s="45">
        <v>0.47</v>
      </c>
      <c r="F84" s="14">
        <v>1551</v>
      </c>
      <c r="G84" s="14">
        <f t="shared" si="4"/>
        <v>7755</v>
      </c>
      <c r="L84"/>
      <c r="M84"/>
    </row>
    <row r="85" spans="1:13" x14ac:dyDescent="0.4">
      <c r="A85" s="14" t="s">
        <v>3867</v>
      </c>
      <c r="B85" s="15">
        <v>1</v>
      </c>
      <c r="C85" s="17" t="s">
        <v>3868</v>
      </c>
      <c r="D85" s="14">
        <v>7800</v>
      </c>
      <c r="E85" s="45">
        <v>0.47</v>
      </c>
      <c r="F85" s="14">
        <v>3666</v>
      </c>
      <c r="G85" s="14">
        <f t="shared" si="4"/>
        <v>3666</v>
      </c>
      <c r="L85"/>
      <c r="M85"/>
    </row>
    <row r="86" spans="1:13" x14ac:dyDescent="0.4">
      <c r="A86" s="14" t="s">
        <v>3871</v>
      </c>
      <c r="B86" s="15">
        <v>1</v>
      </c>
      <c r="C86" s="17" t="s">
        <v>3873</v>
      </c>
      <c r="D86" s="14">
        <v>3000</v>
      </c>
      <c r="E86" s="45">
        <v>0.47</v>
      </c>
      <c r="F86" s="14">
        <v>1410</v>
      </c>
      <c r="G86" s="14">
        <f t="shared" si="4"/>
        <v>1410</v>
      </c>
      <c r="L86"/>
      <c r="M86"/>
    </row>
    <row r="87" spans="1:13" x14ac:dyDescent="0.4">
      <c r="A87" s="14" t="s">
        <v>2775</v>
      </c>
      <c r="B87" s="15">
        <v>3</v>
      </c>
      <c r="C87" s="17" t="s">
        <v>2776</v>
      </c>
      <c r="D87" s="14">
        <v>2000</v>
      </c>
      <c r="E87" s="45">
        <v>0.47</v>
      </c>
      <c r="F87" s="14">
        <v>940</v>
      </c>
      <c r="G87" s="14">
        <f t="shared" si="4"/>
        <v>2820</v>
      </c>
      <c r="L87"/>
      <c r="M87"/>
    </row>
    <row r="88" spans="1:13" x14ac:dyDescent="0.4">
      <c r="A88" s="14" t="s">
        <v>3877</v>
      </c>
      <c r="B88" s="15">
        <v>1</v>
      </c>
      <c r="C88" s="17" t="s">
        <v>3879</v>
      </c>
      <c r="D88" s="14">
        <v>2000</v>
      </c>
      <c r="E88" s="45">
        <v>0.47</v>
      </c>
      <c r="F88" s="14">
        <v>940</v>
      </c>
      <c r="G88" s="14">
        <f t="shared" si="4"/>
        <v>940</v>
      </c>
      <c r="L88"/>
      <c r="M88"/>
    </row>
    <row r="89" spans="1:13" x14ac:dyDescent="0.4">
      <c r="A89" s="14" t="s">
        <v>3881</v>
      </c>
      <c r="B89" s="15">
        <v>1</v>
      </c>
      <c r="C89" s="17" t="s">
        <v>3882</v>
      </c>
      <c r="D89" s="14">
        <v>2000</v>
      </c>
      <c r="E89" s="45">
        <v>0.47</v>
      </c>
      <c r="F89" s="14">
        <v>940</v>
      </c>
      <c r="G89" s="14">
        <f t="shared" si="4"/>
        <v>940</v>
      </c>
      <c r="L89"/>
      <c r="M89"/>
    </row>
    <row r="90" spans="1:13" x14ac:dyDescent="0.4">
      <c r="A90" s="14" t="s">
        <v>2781</v>
      </c>
      <c r="B90" s="15">
        <v>1</v>
      </c>
      <c r="C90" s="17" t="s">
        <v>2782</v>
      </c>
      <c r="D90" s="14">
        <v>9800</v>
      </c>
      <c r="E90" s="45">
        <v>0.47</v>
      </c>
      <c r="F90" s="14">
        <v>4606</v>
      </c>
      <c r="G90" s="14">
        <f t="shared" si="4"/>
        <v>4606</v>
      </c>
      <c r="L90"/>
      <c r="M90"/>
    </row>
    <row r="91" spans="1:13" x14ac:dyDescent="0.4">
      <c r="A91" s="14" t="s">
        <v>3890</v>
      </c>
      <c r="B91" s="15">
        <v>1</v>
      </c>
      <c r="C91" s="17" t="s">
        <v>3892</v>
      </c>
      <c r="D91" s="14">
        <v>11000</v>
      </c>
      <c r="E91" s="45">
        <v>0.47</v>
      </c>
      <c r="F91" s="14">
        <v>5170</v>
      </c>
      <c r="G91" s="14">
        <f t="shared" si="4"/>
        <v>5170</v>
      </c>
      <c r="L91"/>
      <c r="M91"/>
    </row>
    <row r="92" spans="1:13" x14ac:dyDescent="0.4">
      <c r="A92" s="14" t="s">
        <v>3894</v>
      </c>
      <c r="B92" s="15">
        <v>1</v>
      </c>
      <c r="C92" s="17" t="s">
        <v>3895</v>
      </c>
      <c r="D92" s="14">
        <v>1000</v>
      </c>
      <c r="E92" s="45">
        <v>0.47</v>
      </c>
      <c r="F92" s="14">
        <v>470</v>
      </c>
      <c r="G92" s="14">
        <f t="shared" si="4"/>
        <v>470</v>
      </c>
      <c r="L92"/>
      <c r="M92"/>
    </row>
    <row r="93" spans="1:13" x14ac:dyDescent="0.4">
      <c r="A93" s="14" t="s">
        <v>3901</v>
      </c>
      <c r="B93" s="15">
        <v>3</v>
      </c>
      <c r="C93" s="17" t="s">
        <v>3903</v>
      </c>
      <c r="D93" s="14">
        <v>1000</v>
      </c>
      <c r="E93" s="45">
        <v>0.47</v>
      </c>
      <c r="F93" s="14">
        <v>470</v>
      </c>
      <c r="G93" s="14">
        <f t="shared" si="4"/>
        <v>1410</v>
      </c>
      <c r="L93"/>
      <c r="M93"/>
    </row>
    <row r="94" spans="1:13" x14ac:dyDescent="0.4">
      <c r="A94" s="14" t="s">
        <v>3908</v>
      </c>
      <c r="B94" s="15">
        <v>7</v>
      </c>
      <c r="C94" s="17" t="s">
        <v>3910</v>
      </c>
      <c r="D94" s="14">
        <v>2500</v>
      </c>
      <c r="E94" s="45">
        <v>0.47</v>
      </c>
      <c r="F94" s="14">
        <v>1175</v>
      </c>
      <c r="G94" s="14">
        <f t="shared" si="4"/>
        <v>8225</v>
      </c>
      <c r="L94"/>
      <c r="M94"/>
    </row>
    <row r="95" spans="1:13" x14ac:dyDescent="0.4">
      <c r="A95" s="14" t="s">
        <v>3912</v>
      </c>
      <c r="B95" s="15">
        <v>2</v>
      </c>
      <c r="C95" s="17" t="s">
        <v>3914</v>
      </c>
      <c r="D95" s="14">
        <v>2500</v>
      </c>
      <c r="E95" s="45">
        <v>0.47</v>
      </c>
      <c r="F95" s="14">
        <v>1175</v>
      </c>
      <c r="G95" s="14">
        <f t="shared" si="4"/>
        <v>2350</v>
      </c>
      <c r="L95"/>
      <c r="M95"/>
    </row>
    <row r="96" spans="1:13" x14ac:dyDescent="0.4">
      <c r="A96" s="14" t="s">
        <v>3921</v>
      </c>
      <c r="B96" s="15">
        <v>10</v>
      </c>
      <c r="C96" s="17" t="s">
        <v>3923</v>
      </c>
      <c r="D96" s="14">
        <v>16800</v>
      </c>
      <c r="E96" s="45">
        <v>0.47</v>
      </c>
      <c r="F96" s="14">
        <v>7896</v>
      </c>
      <c r="G96" s="14">
        <f t="shared" si="4"/>
        <v>78960</v>
      </c>
      <c r="L96"/>
      <c r="M96"/>
    </row>
    <row r="97" spans="1:13" x14ac:dyDescent="0.4">
      <c r="A97" s="14" t="s">
        <v>2803</v>
      </c>
      <c r="B97" s="15">
        <v>6</v>
      </c>
      <c r="C97" s="17" t="s">
        <v>2804</v>
      </c>
      <c r="D97" s="14">
        <v>14800</v>
      </c>
      <c r="E97" s="45">
        <v>0.47</v>
      </c>
      <c r="F97" s="14">
        <v>6956</v>
      </c>
      <c r="G97" s="14">
        <f t="shared" si="4"/>
        <v>41736</v>
      </c>
      <c r="L97"/>
      <c r="M97"/>
    </row>
    <row r="98" spans="1:13" x14ac:dyDescent="0.4">
      <c r="A98" s="14" t="s">
        <v>3929</v>
      </c>
      <c r="B98" s="15">
        <v>6</v>
      </c>
      <c r="C98" s="17" t="s">
        <v>3931</v>
      </c>
      <c r="D98" s="14">
        <v>14800</v>
      </c>
      <c r="E98" s="45">
        <v>0.47</v>
      </c>
      <c r="F98" s="14">
        <v>6956</v>
      </c>
      <c r="G98" s="14">
        <f t="shared" si="4"/>
        <v>41736</v>
      </c>
      <c r="L98"/>
      <c r="M98"/>
    </row>
    <row r="99" spans="1:13" x14ac:dyDescent="0.4">
      <c r="A99" s="14" t="s">
        <v>3933</v>
      </c>
      <c r="B99" s="15">
        <v>6</v>
      </c>
      <c r="C99" s="17" t="s">
        <v>3935</v>
      </c>
      <c r="D99" s="14">
        <v>16800</v>
      </c>
      <c r="E99" s="45">
        <v>0.47</v>
      </c>
      <c r="F99" s="14">
        <v>7896</v>
      </c>
      <c r="G99" s="14">
        <f t="shared" si="4"/>
        <v>47376</v>
      </c>
      <c r="L99"/>
      <c r="M99"/>
    </row>
    <row r="100" spans="1:13" x14ac:dyDescent="0.4">
      <c r="A100" s="14" t="s">
        <v>3939</v>
      </c>
      <c r="B100" s="15">
        <v>3</v>
      </c>
      <c r="C100" s="17" t="s">
        <v>3941</v>
      </c>
      <c r="D100" s="14">
        <v>3000</v>
      </c>
      <c r="E100" s="45">
        <v>0.47</v>
      </c>
      <c r="F100" s="14">
        <v>1410</v>
      </c>
      <c r="G100" s="14">
        <f t="shared" si="4"/>
        <v>4230</v>
      </c>
      <c r="L100"/>
      <c r="M100"/>
    </row>
    <row r="101" spans="1:13" x14ac:dyDescent="0.4">
      <c r="A101" s="14" t="s">
        <v>3943</v>
      </c>
      <c r="B101" s="15">
        <v>1</v>
      </c>
      <c r="C101" s="17" t="s">
        <v>3944</v>
      </c>
      <c r="D101" s="14">
        <v>37000</v>
      </c>
      <c r="E101" s="45">
        <v>0.47</v>
      </c>
      <c r="F101" s="14">
        <v>17390</v>
      </c>
      <c r="G101" s="14">
        <f t="shared" si="4"/>
        <v>17390</v>
      </c>
      <c r="L101"/>
      <c r="M101"/>
    </row>
    <row r="102" spans="1:13" x14ac:dyDescent="0.4">
      <c r="A102" s="14" t="s">
        <v>3950</v>
      </c>
      <c r="B102" s="15">
        <v>1</v>
      </c>
      <c r="C102" s="17" t="s">
        <v>3952</v>
      </c>
      <c r="D102" s="14">
        <v>9800</v>
      </c>
      <c r="E102" s="45">
        <v>0.47</v>
      </c>
      <c r="F102" s="14">
        <v>4606</v>
      </c>
      <c r="G102" s="14">
        <f t="shared" si="4"/>
        <v>4606</v>
      </c>
      <c r="L102"/>
      <c r="M102"/>
    </row>
    <row r="103" spans="1:13" x14ac:dyDescent="0.4">
      <c r="A103" s="14" t="s">
        <v>3954</v>
      </c>
      <c r="B103" s="15">
        <v>1</v>
      </c>
      <c r="C103" s="17" t="s">
        <v>3955</v>
      </c>
      <c r="D103" s="14">
        <v>8800</v>
      </c>
      <c r="E103" s="45">
        <v>0.47</v>
      </c>
      <c r="F103" s="14">
        <v>4136</v>
      </c>
      <c r="G103" s="14">
        <f t="shared" si="4"/>
        <v>4136</v>
      </c>
      <c r="L103"/>
      <c r="M103"/>
    </row>
    <row r="104" spans="1:13" x14ac:dyDescent="0.4">
      <c r="A104" s="14" t="s">
        <v>3957</v>
      </c>
      <c r="B104" s="15">
        <v>1</v>
      </c>
      <c r="C104" s="17" t="s">
        <v>3959</v>
      </c>
      <c r="D104" s="14">
        <v>7800</v>
      </c>
      <c r="E104" s="45">
        <v>0.47</v>
      </c>
      <c r="F104" s="14">
        <v>3666</v>
      </c>
      <c r="G104" s="14">
        <f t="shared" si="4"/>
        <v>3666</v>
      </c>
      <c r="L104"/>
      <c r="M104"/>
    </row>
    <row r="105" spans="1:13" x14ac:dyDescent="0.4">
      <c r="A105" s="14" t="s">
        <v>3961</v>
      </c>
      <c r="B105" s="15">
        <v>1</v>
      </c>
      <c r="C105" s="17" t="s">
        <v>3963</v>
      </c>
      <c r="D105" s="14">
        <v>1000</v>
      </c>
      <c r="E105" s="45">
        <v>0.47</v>
      </c>
      <c r="F105" s="14">
        <v>470</v>
      </c>
      <c r="G105" s="14">
        <f t="shared" si="4"/>
        <v>470</v>
      </c>
      <c r="L105"/>
      <c r="M105"/>
    </row>
    <row r="106" spans="1:13" x14ac:dyDescent="0.4">
      <c r="A106" s="14" t="s">
        <v>3965</v>
      </c>
      <c r="B106" s="15">
        <v>1</v>
      </c>
      <c r="C106" s="17" t="s">
        <v>3967</v>
      </c>
      <c r="D106" s="14">
        <v>6500</v>
      </c>
      <c r="E106" s="45">
        <v>0.47</v>
      </c>
      <c r="F106" s="14">
        <v>3055</v>
      </c>
      <c r="G106" s="14">
        <f t="shared" si="4"/>
        <v>3055</v>
      </c>
      <c r="L106"/>
      <c r="M106"/>
    </row>
    <row r="107" spans="1:13" x14ac:dyDescent="0.4">
      <c r="A107" s="14" t="s">
        <v>3969</v>
      </c>
      <c r="B107" s="15">
        <v>2</v>
      </c>
      <c r="C107" s="17" t="s">
        <v>3971</v>
      </c>
      <c r="D107" s="14">
        <v>2500</v>
      </c>
      <c r="E107" s="45">
        <v>0.47</v>
      </c>
      <c r="F107" s="14">
        <v>1175</v>
      </c>
      <c r="G107" s="14">
        <f t="shared" si="4"/>
        <v>2350</v>
      </c>
      <c r="L107"/>
      <c r="M107"/>
    </row>
    <row r="108" spans="1:13" x14ac:dyDescent="0.4">
      <c r="A108" s="14" t="s">
        <v>3973</v>
      </c>
      <c r="B108" s="15">
        <v>1</v>
      </c>
      <c r="C108" s="17" t="s">
        <v>3974</v>
      </c>
      <c r="D108" s="14">
        <v>1500</v>
      </c>
      <c r="E108" s="45">
        <v>0.47</v>
      </c>
      <c r="F108" s="14">
        <v>705</v>
      </c>
      <c r="G108" s="14">
        <f t="shared" si="4"/>
        <v>705</v>
      </c>
      <c r="L108"/>
      <c r="M108"/>
    </row>
    <row r="109" spans="1:13" x14ac:dyDescent="0.4">
      <c r="A109" s="14" t="s">
        <v>2663</v>
      </c>
      <c r="B109" s="15">
        <v>1</v>
      </c>
      <c r="C109" s="17" t="s">
        <v>2664</v>
      </c>
      <c r="D109" s="14">
        <v>4000</v>
      </c>
      <c r="E109" s="45">
        <v>0.47</v>
      </c>
      <c r="F109" s="14">
        <v>1880</v>
      </c>
      <c r="G109" s="14">
        <f t="shared" si="4"/>
        <v>1880</v>
      </c>
      <c r="L109"/>
      <c r="M109"/>
    </row>
    <row r="110" spans="1:13" x14ac:dyDescent="0.4">
      <c r="A110" s="14" t="s">
        <v>3977</v>
      </c>
      <c r="B110" s="15">
        <v>1</v>
      </c>
      <c r="C110" s="17" t="s">
        <v>3978</v>
      </c>
      <c r="D110" s="14">
        <v>6800</v>
      </c>
      <c r="E110" s="45">
        <v>0.47</v>
      </c>
      <c r="F110" s="14">
        <v>3196</v>
      </c>
      <c r="G110" s="14">
        <f t="shared" si="4"/>
        <v>3196</v>
      </c>
      <c r="L110"/>
      <c r="M110"/>
    </row>
    <row r="111" spans="1:13" x14ac:dyDescent="0.4">
      <c r="A111" s="14" t="s">
        <v>3980</v>
      </c>
      <c r="B111" s="15">
        <v>1</v>
      </c>
      <c r="C111" s="17" t="s">
        <v>3981</v>
      </c>
      <c r="D111" s="14">
        <v>12000</v>
      </c>
      <c r="E111" s="45">
        <v>0.47</v>
      </c>
      <c r="F111" s="14">
        <v>5640</v>
      </c>
      <c r="G111" s="14">
        <f t="shared" si="4"/>
        <v>5640</v>
      </c>
      <c r="L111"/>
      <c r="M111"/>
    </row>
    <row r="112" spans="1:13" x14ac:dyDescent="0.4">
      <c r="A112" s="14" t="s">
        <v>3983</v>
      </c>
      <c r="B112" s="15">
        <v>7</v>
      </c>
      <c r="C112" s="17" t="s">
        <v>3985</v>
      </c>
      <c r="D112" s="14">
        <v>1000</v>
      </c>
      <c r="E112" s="45">
        <v>0.47</v>
      </c>
      <c r="F112" s="14">
        <v>470</v>
      </c>
      <c r="G112" s="14">
        <f t="shared" si="4"/>
        <v>3290</v>
      </c>
      <c r="L112"/>
      <c r="M112"/>
    </row>
    <row r="113" spans="1:13" x14ac:dyDescent="0.4">
      <c r="A113" s="14" t="s">
        <v>3987</v>
      </c>
      <c r="B113" s="15">
        <v>2</v>
      </c>
      <c r="C113" s="17" t="s">
        <v>3989</v>
      </c>
      <c r="D113" s="14">
        <v>1000</v>
      </c>
      <c r="E113" s="45">
        <v>0.47</v>
      </c>
      <c r="F113" s="14">
        <v>470</v>
      </c>
      <c r="G113" s="14">
        <f t="shared" si="4"/>
        <v>940</v>
      </c>
      <c r="L113"/>
      <c r="M113"/>
    </row>
    <row r="114" spans="1:13" x14ac:dyDescent="0.4">
      <c r="A114" s="14" t="s">
        <v>3991</v>
      </c>
      <c r="B114" s="15">
        <v>3</v>
      </c>
      <c r="C114" s="17" t="s">
        <v>3993</v>
      </c>
      <c r="D114" s="14">
        <v>1000</v>
      </c>
      <c r="E114" s="45">
        <v>0.47</v>
      </c>
      <c r="F114" s="14">
        <v>470</v>
      </c>
      <c r="G114" s="14">
        <f t="shared" si="4"/>
        <v>1410</v>
      </c>
      <c r="L114"/>
      <c r="M114"/>
    </row>
    <row r="115" spans="1:13" x14ac:dyDescent="0.4">
      <c r="A115" s="14" t="s">
        <v>3995</v>
      </c>
      <c r="B115" s="15">
        <v>7</v>
      </c>
      <c r="C115" s="17" t="s">
        <v>3996</v>
      </c>
      <c r="D115" s="14">
        <v>1000</v>
      </c>
      <c r="E115" s="45">
        <v>0.47</v>
      </c>
      <c r="F115" s="14">
        <v>470</v>
      </c>
      <c r="G115" s="14">
        <f t="shared" si="4"/>
        <v>3290</v>
      </c>
      <c r="L115"/>
      <c r="M115"/>
    </row>
    <row r="116" spans="1:13" x14ac:dyDescent="0.4">
      <c r="A116" s="14" t="s">
        <v>3998</v>
      </c>
      <c r="B116" s="15">
        <v>2</v>
      </c>
      <c r="C116" s="17" t="s">
        <v>3999</v>
      </c>
      <c r="D116" s="14">
        <v>1000</v>
      </c>
      <c r="E116" s="45">
        <v>0.47</v>
      </c>
      <c r="F116" s="14">
        <v>470</v>
      </c>
      <c r="G116" s="14">
        <f t="shared" si="4"/>
        <v>940</v>
      </c>
      <c r="L116"/>
      <c r="M116"/>
    </row>
    <row r="117" spans="1:13" x14ac:dyDescent="0.4">
      <c r="A117" s="14" t="s">
        <v>4001</v>
      </c>
      <c r="B117" s="15">
        <v>8</v>
      </c>
      <c r="C117" s="17" t="s">
        <v>4003</v>
      </c>
      <c r="D117" s="14">
        <v>1000</v>
      </c>
      <c r="E117" s="45">
        <v>0.47</v>
      </c>
      <c r="F117" s="14">
        <v>470</v>
      </c>
      <c r="G117" s="14">
        <f t="shared" si="4"/>
        <v>3760</v>
      </c>
      <c r="L117"/>
      <c r="M117"/>
    </row>
    <row r="118" spans="1:13" x14ac:dyDescent="0.4">
      <c r="A118" s="14" t="s">
        <v>4005</v>
      </c>
      <c r="B118" s="15">
        <v>3</v>
      </c>
      <c r="C118" s="17" t="s">
        <v>4006</v>
      </c>
      <c r="D118" s="14">
        <v>1000</v>
      </c>
      <c r="E118" s="45">
        <v>0.47</v>
      </c>
      <c r="F118" s="14">
        <v>470</v>
      </c>
      <c r="G118" s="14">
        <f t="shared" si="4"/>
        <v>1410</v>
      </c>
      <c r="L118"/>
      <c r="M118"/>
    </row>
    <row r="119" spans="1:13" x14ac:dyDescent="0.4">
      <c r="A119" s="14" t="s">
        <v>4008</v>
      </c>
      <c r="B119" s="15">
        <v>3</v>
      </c>
      <c r="C119" s="17" t="s">
        <v>4010</v>
      </c>
      <c r="D119" s="14">
        <v>1000</v>
      </c>
      <c r="E119" s="45">
        <v>0.47</v>
      </c>
      <c r="F119" s="14">
        <v>470</v>
      </c>
      <c r="G119" s="14">
        <f t="shared" si="4"/>
        <v>1410</v>
      </c>
      <c r="L119"/>
      <c r="M119"/>
    </row>
    <row r="120" spans="1:13" x14ac:dyDescent="0.4">
      <c r="A120" s="14" t="s">
        <v>4012</v>
      </c>
      <c r="B120" s="15">
        <v>1</v>
      </c>
      <c r="C120" s="17" t="s">
        <v>4014</v>
      </c>
      <c r="D120" s="14">
        <v>9800</v>
      </c>
      <c r="E120" s="45">
        <v>0.47</v>
      </c>
      <c r="F120" s="14">
        <v>4606</v>
      </c>
      <c r="G120" s="14">
        <f t="shared" si="4"/>
        <v>4606</v>
      </c>
      <c r="L120"/>
      <c r="M120"/>
    </row>
    <row r="121" spans="1:13" x14ac:dyDescent="0.4">
      <c r="A121" s="14" t="s">
        <v>4016</v>
      </c>
      <c r="B121" s="15">
        <v>1</v>
      </c>
      <c r="C121" s="17" t="s">
        <v>4017</v>
      </c>
      <c r="D121" s="14">
        <v>4800</v>
      </c>
      <c r="E121" s="45">
        <v>0.47</v>
      </c>
      <c r="F121" s="14">
        <v>2256</v>
      </c>
      <c r="G121" s="14">
        <f t="shared" si="4"/>
        <v>2256</v>
      </c>
      <c r="L121"/>
      <c r="M121"/>
    </row>
    <row r="122" spans="1:13" x14ac:dyDescent="0.4">
      <c r="A122" s="14" t="s">
        <v>4019</v>
      </c>
      <c r="B122" s="15">
        <v>1</v>
      </c>
      <c r="C122" s="17" t="s">
        <v>4020</v>
      </c>
      <c r="D122" s="14">
        <v>21800</v>
      </c>
      <c r="E122" s="45">
        <v>0.47</v>
      </c>
      <c r="F122" s="14">
        <v>10246</v>
      </c>
      <c r="G122" s="14">
        <f t="shared" si="4"/>
        <v>10246</v>
      </c>
      <c r="L122"/>
      <c r="M122"/>
    </row>
    <row r="123" spans="1:13" x14ac:dyDescent="0.4">
      <c r="A123" s="14" t="s">
        <v>4022</v>
      </c>
      <c r="B123" s="15">
        <v>1</v>
      </c>
      <c r="C123" s="17" t="s">
        <v>4024</v>
      </c>
      <c r="D123" s="14">
        <v>23800</v>
      </c>
      <c r="E123" s="45">
        <v>0.47</v>
      </c>
      <c r="F123" s="14">
        <v>11186</v>
      </c>
      <c r="G123" s="14">
        <f t="shared" si="4"/>
        <v>11186</v>
      </c>
      <c r="L123"/>
      <c r="M123"/>
    </row>
    <row r="124" spans="1:13" x14ac:dyDescent="0.4">
      <c r="A124" s="14"/>
      <c r="B124" s="15"/>
      <c r="C124" s="17"/>
      <c r="D124" s="14"/>
      <c r="E124" s="14"/>
      <c r="F124" s="14"/>
      <c r="G124" s="14"/>
      <c r="L124"/>
      <c r="M124"/>
    </row>
    <row r="125" spans="1:13" x14ac:dyDescent="0.4">
      <c r="A125" s="14"/>
      <c r="B125" s="47">
        <v>113</v>
      </c>
      <c r="C125" s="17"/>
      <c r="D125" s="14"/>
      <c r="E125" s="14"/>
      <c r="F125" s="14"/>
      <c r="G125" s="48">
        <v>367634</v>
      </c>
      <c r="L125"/>
      <c r="M125"/>
    </row>
    <row r="126" spans="1:13" x14ac:dyDescent="0.4">
      <c r="L126"/>
      <c r="M126"/>
    </row>
    <row r="127" spans="1:13" x14ac:dyDescent="0.4">
      <c r="L127"/>
      <c r="M127"/>
    </row>
    <row r="128" spans="1:13" x14ac:dyDescent="0.4">
      <c r="L128"/>
      <c r="M128"/>
    </row>
    <row r="129" spans="1:13" x14ac:dyDescent="0.4">
      <c r="A129" s="4" t="s">
        <v>12</v>
      </c>
      <c r="B129" s="4" t="s">
        <v>2692</v>
      </c>
      <c r="C129" s="4" t="s">
        <v>4926</v>
      </c>
      <c r="D129" s="4" t="s">
        <v>3526</v>
      </c>
      <c r="E129" s="4" t="s">
        <v>1</v>
      </c>
      <c r="F129" s="44" t="s">
        <v>15</v>
      </c>
      <c r="G129" s="44" t="s">
        <v>4920</v>
      </c>
      <c r="L129"/>
      <c r="M129"/>
    </row>
    <row r="130" spans="1:13" x14ac:dyDescent="0.4">
      <c r="A130" s="14" t="s">
        <v>4873</v>
      </c>
      <c r="B130" s="15">
        <v>1</v>
      </c>
      <c r="C130" s="17" t="s">
        <v>4875</v>
      </c>
      <c r="D130" s="14">
        <v>17000</v>
      </c>
      <c r="E130" s="45">
        <v>0.46</v>
      </c>
      <c r="F130" s="14">
        <v>7820</v>
      </c>
      <c r="G130" s="46">
        <f t="shared" ref="G130:G140" si="5">IF(E130="품목별",F130,D130*B130*E130)</f>
        <v>7820</v>
      </c>
      <c r="L130"/>
      <c r="M130"/>
    </row>
    <row r="131" spans="1:13" x14ac:dyDescent="0.4">
      <c r="A131" s="14" t="s">
        <v>2817</v>
      </c>
      <c r="B131" s="15">
        <v>1</v>
      </c>
      <c r="C131" s="17" t="s">
        <v>2818</v>
      </c>
      <c r="D131" s="14">
        <v>3900</v>
      </c>
      <c r="E131" s="45">
        <v>0.46</v>
      </c>
      <c r="F131" s="14">
        <v>1794</v>
      </c>
      <c r="G131" s="14">
        <f t="shared" si="5"/>
        <v>1794</v>
      </c>
      <c r="L131"/>
      <c r="M131"/>
    </row>
    <row r="132" spans="1:13" x14ac:dyDescent="0.4">
      <c r="A132" s="14" t="s">
        <v>2823</v>
      </c>
      <c r="B132" s="15">
        <v>1</v>
      </c>
      <c r="C132" s="17" t="s">
        <v>2824</v>
      </c>
      <c r="D132" s="14">
        <v>10900</v>
      </c>
      <c r="E132" s="45">
        <v>0.46</v>
      </c>
      <c r="F132" s="14">
        <v>5014</v>
      </c>
      <c r="G132" s="14">
        <f t="shared" si="5"/>
        <v>5014</v>
      </c>
      <c r="L132"/>
      <c r="M132"/>
    </row>
    <row r="133" spans="1:13" x14ac:dyDescent="0.4">
      <c r="A133" s="14" t="s">
        <v>4885</v>
      </c>
      <c r="B133" s="15">
        <v>1</v>
      </c>
      <c r="C133" s="17" t="s">
        <v>4886</v>
      </c>
      <c r="D133" s="14">
        <v>12900</v>
      </c>
      <c r="E133" s="45">
        <v>0.46</v>
      </c>
      <c r="F133" s="14">
        <v>5934</v>
      </c>
      <c r="G133" s="14">
        <f t="shared" si="5"/>
        <v>5934</v>
      </c>
      <c r="L133"/>
      <c r="M133"/>
    </row>
    <row r="134" spans="1:13" x14ac:dyDescent="0.4">
      <c r="A134" s="14" t="s">
        <v>2829</v>
      </c>
      <c r="B134" s="15">
        <v>2</v>
      </c>
      <c r="C134" s="17" t="s">
        <v>2830</v>
      </c>
      <c r="D134" s="14">
        <v>13500</v>
      </c>
      <c r="E134" s="45">
        <v>0.46</v>
      </c>
      <c r="F134" s="14">
        <v>6210</v>
      </c>
      <c r="G134" s="14">
        <f t="shared" si="5"/>
        <v>12420</v>
      </c>
      <c r="L134"/>
      <c r="M134"/>
    </row>
    <row r="135" spans="1:13" x14ac:dyDescent="0.4">
      <c r="A135" s="14" t="s">
        <v>3332</v>
      </c>
      <c r="B135" s="15">
        <v>1</v>
      </c>
      <c r="C135" s="17" t="s">
        <v>3333</v>
      </c>
      <c r="D135" s="14">
        <v>15000</v>
      </c>
      <c r="E135" s="45">
        <v>0.46</v>
      </c>
      <c r="F135" s="14">
        <v>6900</v>
      </c>
      <c r="G135" s="14">
        <f t="shared" si="5"/>
        <v>6900</v>
      </c>
      <c r="L135"/>
      <c r="M135"/>
    </row>
    <row r="136" spans="1:13" x14ac:dyDescent="0.4">
      <c r="A136" s="14" t="s">
        <v>4897</v>
      </c>
      <c r="B136" s="15">
        <v>1</v>
      </c>
      <c r="C136" s="17" t="s">
        <v>4899</v>
      </c>
      <c r="D136" s="14">
        <v>4200</v>
      </c>
      <c r="E136" s="45">
        <v>0.46</v>
      </c>
      <c r="F136" s="14">
        <v>1932</v>
      </c>
      <c r="G136" s="14">
        <f t="shared" si="5"/>
        <v>1932</v>
      </c>
      <c r="L136"/>
      <c r="M136"/>
    </row>
    <row r="137" spans="1:13" x14ac:dyDescent="0.4">
      <c r="A137" s="14" t="s">
        <v>4901</v>
      </c>
      <c r="B137" s="15">
        <v>1</v>
      </c>
      <c r="C137" s="17" t="s">
        <v>4902</v>
      </c>
      <c r="D137" s="14">
        <v>6900</v>
      </c>
      <c r="E137" s="45">
        <v>0.46</v>
      </c>
      <c r="F137" s="14">
        <v>3174</v>
      </c>
      <c r="G137" s="14">
        <f t="shared" si="5"/>
        <v>3174</v>
      </c>
      <c r="L137"/>
      <c r="M137"/>
    </row>
    <row r="138" spans="1:13" x14ac:dyDescent="0.4">
      <c r="A138" s="14" t="s">
        <v>4905</v>
      </c>
      <c r="B138" s="15">
        <v>1</v>
      </c>
      <c r="C138" s="17" t="s">
        <v>4906</v>
      </c>
      <c r="D138" s="14">
        <v>4900</v>
      </c>
      <c r="E138" s="45">
        <v>0.46</v>
      </c>
      <c r="F138" s="14">
        <v>2254</v>
      </c>
      <c r="G138" s="14">
        <f t="shared" si="5"/>
        <v>2254</v>
      </c>
      <c r="L138"/>
      <c r="M138"/>
    </row>
    <row r="139" spans="1:13" x14ac:dyDescent="0.4">
      <c r="A139" s="14" t="s">
        <v>4909</v>
      </c>
      <c r="B139" s="15">
        <v>1</v>
      </c>
      <c r="C139" s="17" t="s">
        <v>4911</v>
      </c>
      <c r="D139" s="14">
        <v>6900</v>
      </c>
      <c r="E139" s="45">
        <v>0.46</v>
      </c>
      <c r="F139" s="14">
        <v>3174</v>
      </c>
      <c r="G139" s="14">
        <f t="shared" si="5"/>
        <v>3174</v>
      </c>
      <c r="L139"/>
      <c r="M139"/>
    </row>
    <row r="140" spans="1:13" x14ac:dyDescent="0.4">
      <c r="A140" s="14" t="s">
        <v>4915</v>
      </c>
      <c r="B140" s="15">
        <v>1</v>
      </c>
      <c r="C140" s="17" t="s">
        <v>4917</v>
      </c>
      <c r="D140" s="14">
        <v>4900</v>
      </c>
      <c r="E140" s="45">
        <v>0.46</v>
      </c>
      <c r="F140" s="14">
        <v>2254</v>
      </c>
      <c r="G140" s="14">
        <f t="shared" si="5"/>
        <v>2254</v>
      </c>
      <c r="L140"/>
      <c r="M140"/>
    </row>
    <row r="141" spans="1:13" x14ac:dyDescent="0.4">
      <c r="A141" s="14"/>
      <c r="B141" s="15"/>
      <c r="C141" s="17"/>
      <c r="D141" s="14"/>
      <c r="E141" s="14"/>
      <c r="F141" s="14"/>
      <c r="G141" s="14"/>
      <c r="L141"/>
      <c r="M141"/>
    </row>
    <row r="142" spans="1:13" x14ac:dyDescent="0.4">
      <c r="A142" s="14"/>
      <c r="B142" s="47">
        <v>12</v>
      </c>
      <c r="C142" s="17"/>
      <c r="D142" s="14"/>
      <c r="E142" s="14"/>
      <c r="F142" s="14"/>
      <c r="G142" s="48">
        <v>52670</v>
      </c>
      <c r="L142"/>
      <c r="M142"/>
    </row>
    <row r="143" spans="1:13" x14ac:dyDescent="0.4">
      <c r="L143"/>
      <c r="M143"/>
    </row>
    <row r="144" spans="1:13" x14ac:dyDescent="0.4">
      <c r="L144"/>
      <c r="M144"/>
    </row>
    <row r="145" spans="1:13" x14ac:dyDescent="0.4">
      <c r="L145"/>
      <c r="M145"/>
    </row>
    <row r="146" spans="1:13" x14ac:dyDescent="0.4">
      <c r="A146" s="4" t="s">
        <v>12</v>
      </c>
      <c r="B146" s="4" t="s">
        <v>2692</v>
      </c>
      <c r="C146" s="4" t="s">
        <v>4927</v>
      </c>
      <c r="D146" s="4" t="s">
        <v>3526</v>
      </c>
      <c r="E146" s="4" t="s">
        <v>1</v>
      </c>
      <c r="F146" s="44" t="s">
        <v>15</v>
      </c>
      <c r="G146" s="44" t="s">
        <v>4920</v>
      </c>
      <c r="L146"/>
      <c r="M146"/>
    </row>
    <row r="147" spans="1:13" x14ac:dyDescent="0.4">
      <c r="A147" s="14" t="s">
        <v>3558</v>
      </c>
      <c r="B147" s="15">
        <v>1</v>
      </c>
      <c r="C147" s="18" t="s">
        <v>3559</v>
      </c>
      <c r="D147" s="14">
        <v>13000</v>
      </c>
      <c r="E147" s="45">
        <v>0.62</v>
      </c>
      <c r="F147" s="14">
        <v>8060</v>
      </c>
      <c r="G147" s="46">
        <f t="shared" ref="G147:G183" si="6">IF(E147="품목별",F147,D147*B147*E147)</f>
        <v>8060</v>
      </c>
      <c r="L147"/>
      <c r="M147"/>
    </row>
    <row r="148" spans="1:13" x14ac:dyDescent="0.4">
      <c r="A148" s="14" t="s">
        <v>3561</v>
      </c>
      <c r="B148" s="15">
        <v>1</v>
      </c>
      <c r="C148" s="18" t="s">
        <v>3562</v>
      </c>
      <c r="D148" s="14">
        <v>13000</v>
      </c>
      <c r="E148" s="45">
        <v>0.62</v>
      </c>
      <c r="F148" s="14">
        <v>8060</v>
      </c>
      <c r="G148" s="14">
        <f t="shared" si="6"/>
        <v>8060</v>
      </c>
      <c r="L148"/>
      <c r="M148"/>
    </row>
    <row r="149" spans="1:13" x14ac:dyDescent="0.4">
      <c r="A149" s="14" t="s">
        <v>446</v>
      </c>
      <c r="B149" s="15">
        <v>2</v>
      </c>
      <c r="C149" s="17" t="s">
        <v>448</v>
      </c>
      <c r="D149" s="14">
        <v>23000</v>
      </c>
      <c r="E149" s="45">
        <v>0.62</v>
      </c>
      <c r="F149" s="14">
        <v>14260</v>
      </c>
      <c r="G149" s="14">
        <f t="shared" si="6"/>
        <v>28520</v>
      </c>
      <c r="L149"/>
      <c r="M149"/>
    </row>
    <row r="150" spans="1:13" x14ac:dyDescent="0.4">
      <c r="A150" s="14" t="s">
        <v>3788</v>
      </c>
      <c r="B150" s="15">
        <v>1</v>
      </c>
      <c r="C150" s="17" t="s">
        <v>3789</v>
      </c>
      <c r="D150" s="14">
        <v>38000</v>
      </c>
      <c r="E150" s="45">
        <v>0.62</v>
      </c>
      <c r="F150" s="14">
        <v>23560</v>
      </c>
      <c r="G150" s="14">
        <f t="shared" si="6"/>
        <v>23560</v>
      </c>
      <c r="L150"/>
      <c r="M150"/>
    </row>
    <row r="151" spans="1:13" x14ac:dyDescent="0.4">
      <c r="A151" s="14" t="s">
        <v>3791</v>
      </c>
      <c r="B151" s="15">
        <v>1</v>
      </c>
      <c r="C151" s="17" t="s">
        <v>3793</v>
      </c>
      <c r="D151" s="14">
        <v>23000</v>
      </c>
      <c r="E151" s="45">
        <v>0.62</v>
      </c>
      <c r="F151" s="14">
        <v>14260</v>
      </c>
      <c r="G151" s="14">
        <f t="shared" si="6"/>
        <v>14260</v>
      </c>
      <c r="L151"/>
      <c r="M151"/>
    </row>
    <row r="152" spans="1:13" x14ac:dyDescent="0.4">
      <c r="A152" s="14" t="s">
        <v>3803</v>
      </c>
      <c r="B152" s="15">
        <v>1</v>
      </c>
      <c r="C152" s="17" t="s">
        <v>3804</v>
      </c>
      <c r="D152" s="14">
        <v>13000</v>
      </c>
      <c r="E152" s="45">
        <v>0.62</v>
      </c>
      <c r="F152" s="14">
        <v>8060</v>
      </c>
      <c r="G152" s="14">
        <f t="shared" si="6"/>
        <v>8060</v>
      </c>
      <c r="L152"/>
      <c r="M152"/>
    </row>
    <row r="153" spans="1:13" x14ac:dyDescent="0.4">
      <c r="A153" s="14" t="s">
        <v>1399</v>
      </c>
      <c r="B153" s="15">
        <v>4</v>
      </c>
      <c r="C153" s="17" t="s">
        <v>1400</v>
      </c>
      <c r="D153" s="14">
        <v>15000</v>
      </c>
      <c r="E153" s="45">
        <v>0.62</v>
      </c>
      <c r="F153" s="14">
        <v>9300</v>
      </c>
      <c r="G153" s="14">
        <f t="shared" si="6"/>
        <v>37200</v>
      </c>
      <c r="L153"/>
      <c r="M153"/>
    </row>
    <row r="154" spans="1:13" x14ac:dyDescent="0.4">
      <c r="A154" s="14" t="s">
        <v>2428</v>
      </c>
      <c r="B154" s="15">
        <v>1</v>
      </c>
      <c r="C154" s="17" t="s">
        <v>2429</v>
      </c>
      <c r="D154" s="14">
        <v>12000</v>
      </c>
      <c r="E154" s="45">
        <v>0.62</v>
      </c>
      <c r="F154" s="14">
        <v>7440</v>
      </c>
      <c r="G154" s="14">
        <f t="shared" si="6"/>
        <v>7440</v>
      </c>
      <c r="L154"/>
      <c r="M154"/>
    </row>
    <row r="155" spans="1:13" x14ac:dyDescent="0.4">
      <c r="A155" s="14" t="s">
        <v>2503</v>
      </c>
      <c r="B155" s="15">
        <v>1</v>
      </c>
      <c r="C155" s="17" t="s">
        <v>2504</v>
      </c>
      <c r="D155" s="14">
        <v>12000</v>
      </c>
      <c r="E155" s="45">
        <v>0.62</v>
      </c>
      <c r="F155" s="14">
        <v>7440</v>
      </c>
      <c r="G155" s="14">
        <f t="shared" si="6"/>
        <v>7440</v>
      </c>
      <c r="L155"/>
      <c r="M155"/>
    </row>
    <row r="156" spans="1:13" x14ac:dyDescent="0.4">
      <c r="A156" s="14" t="s">
        <v>3810</v>
      </c>
      <c r="B156" s="15">
        <v>1</v>
      </c>
      <c r="C156" s="17" t="s">
        <v>3811</v>
      </c>
      <c r="D156" s="14">
        <v>12000</v>
      </c>
      <c r="E156" s="45">
        <v>0.62</v>
      </c>
      <c r="F156" s="14">
        <v>7440</v>
      </c>
      <c r="G156" s="14">
        <f t="shared" si="6"/>
        <v>7440</v>
      </c>
      <c r="L156"/>
      <c r="M156"/>
    </row>
    <row r="157" spans="1:13" x14ac:dyDescent="0.4">
      <c r="A157" s="14" t="s">
        <v>3813</v>
      </c>
      <c r="B157" s="15">
        <v>1</v>
      </c>
      <c r="C157" s="17" t="s">
        <v>3815</v>
      </c>
      <c r="D157" s="14">
        <v>6500</v>
      </c>
      <c r="E157" s="45">
        <v>0.62</v>
      </c>
      <c r="F157" s="14">
        <v>4030</v>
      </c>
      <c r="G157" s="14">
        <f t="shared" si="6"/>
        <v>4030</v>
      </c>
      <c r="L157"/>
      <c r="M157"/>
    </row>
    <row r="158" spans="1:13" x14ac:dyDescent="0.4">
      <c r="A158" s="14" t="s">
        <v>3817</v>
      </c>
      <c r="B158" s="15">
        <v>1</v>
      </c>
      <c r="C158" s="17" t="s">
        <v>3819</v>
      </c>
      <c r="D158" s="14">
        <v>9000</v>
      </c>
      <c r="E158" s="45">
        <v>0.62</v>
      </c>
      <c r="F158" s="14">
        <v>5580</v>
      </c>
      <c r="G158" s="14">
        <f t="shared" si="6"/>
        <v>5580</v>
      </c>
      <c r="L158"/>
      <c r="M158"/>
    </row>
    <row r="159" spans="1:13" x14ac:dyDescent="0.4">
      <c r="A159" s="14" t="s">
        <v>2856</v>
      </c>
      <c r="B159" s="15">
        <v>3</v>
      </c>
      <c r="C159" s="17" t="s">
        <v>2857</v>
      </c>
      <c r="D159" s="14">
        <v>9000</v>
      </c>
      <c r="E159" s="45">
        <v>0.62</v>
      </c>
      <c r="F159" s="14">
        <v>5580</v>
      </c>
      <c r="G159" s="14">
        <f t="shared" si="6"/>
        <v>16740</v>
      </c>
      <c r="L159"/>
      <c r="M159"/>
    </row>
    <row r="160" spans="1:13" x14ac:dyDescent="0.4">
      <c r="A160" s="14" t="s">
        <v>3823</v>
      </c>
      <c r="B160" s="15">
        <v>1</v>
      </c>
      <c r="C160" s="17" t="s">
        <v>3825</v>
      </c>
      <c r="D160" s="14">
        <v>9000</v>
      </c>
      <c r="E160" s="45">
        <v>0.62</v>
      </c>
      <c r="F160" s="14">
        <v>5580</v>
      </c>
      <c r="G160" s="14">
        <f t="shared" si="6"/>
        <v>5580</v>
      </c>
      <c r="L160"/>
      <c r="M160"/>
    </row>
    <row r="161" spans="1:13" x14ac:dyDescent="0.4">
      <c r="A161" s="14" t="s">
        <v>3827</v>
      </c>
      <c r="B161" s="15">
        <v>1</v>
      </c>
      <c r="C161" s="17" t="s">
        <v>3829</v>
      </c>
      <c r="D161" s="14">
        <v>9000</v>
      </c>
      <c r="E161" s="45">
        <v>0.62</v>
      </c>
      <c r="F161" s="14">
        <v>5580</v>
      </c>
      <c r="G161" s="14">
        <f t="shared" si="6"/>
        <v>5580</v>
      </c>
      <c r="L161"/>
      <c r="M161"/>
    </row>
    <row r="162" spans="1:13" x14ac:dyDescent="0.4">
      <c r="A162" s="14" t="s">
        <v>2858</v>
      </c>
      <c r="B162" s="15">
        <v>1</v>
      </c>
      <c r="C162" s="17" t="s">
        <v>2859</v>
      </c>
      <c r="D162" s="14">
        <v>9000</v>
      </c>
      <c r="E162" s="45">
        <v>0.62</v>
      </c>
      <c r="F162" s="14">
        <v>5580</v>
      </c>
      <c r="G162" s="14">
        <f t="shared" si="6"/>
        <v>5580</v>
      </c>
      <c r="L162"/>
      <c r="M162"/>
    </row>
    <row r="163" spans="1:13" x14ac:dyDescent="0.4">
      <c r="A163" s="14" t="s">
        <v>3836</v>
      </c>
      <c r="B163" s="15">
        <v>1</v>
      </c>
      <c r="C163" s="17" t="s">
        <v>3837</v>
      </c>
      <c r="D163" s="14">
        <v>9000</v>
      </c>
      <c r="E163" s="45">
        <v>0.62</v>
      </c>
      <c r="F163" s="14">
        <v>5580</v>
      </c>
      <c r="G163" s="14">
        <f t="shared" si="6"/>
        <v>5580</v>
      </c>
      <c r="L163"/>
      <c r="M163"/>
    </row>
    <row r="164" spans="1:13" x14ac:dyDescent="0.4">
      <c r="A164" s="14" t="s">
        <v>3839</v>
      </c>
      <c r="B164" s="15">
        <v>1</v>
      </c>
      <c r="C164" s="17" t="s">
        <v>3841</v>
      </c>
      <c r="D164" s="14">
        <v>9000</v>
      </c>
      <c r="E164" s="45">
        <v>0.62</v>
      </c>
      <c r="F164" s="14">
        <v>5580</v>
      </c>
      <c r="G164" s="14">
        <f t="shared" si="6"/>
        <v>5580</v>
      </c>
      <c r="L164"/>
      <c r="M164"/>
    </row>
    <row r="165" spans="1:13" x14ac:dyDescent="0.4">
      <c r="A165" s="14" t="s">
        <v>3843</v>
      </c>
      <c r="B165" s="15">
        <v>1</v>
      </c>
      <c r="C165" s="17" t="s">
        <v>3845</v>
      </c>
      <c r="D165" s="14">
        <v>9000</v>
      </c>
      <c r="E165" s="45">
        <v>0.62</v>
      </c>
      <c r="F165" s="14">
        <v>5580</v>
      </c>
      <c r="G165" s="14">
        <f t="shared" si="6"/>
        <v>5580</v>
      </c>
      <c r="L165"/>
      <c r="M165"/>
    </row>
    <row r="166" spans="1:13" x14ac:dyDescent="0.4">
      <c r="A166" s="14" t="s">
        <v>3847</v>
      </c>
      <c r="B166" s="15">
        <v>1</v>
      </c>
      <c r="C166" s="17" t="s">
        <v>3849</v>
      </c>
      <c r="D166" s="14">
        <v>18000</v>
      </c>
      <c r="E166" s="45">
        <v>0.62</v>
      </c>
      <c r="F166" s="14">
        <v>11160</v>
      </c>
      <c r="G166" s="14">
        <f t="shared" si="6"/>
        <v>11160</v>
      </c>
      <c r="L166"/>
      <c r="M166"/>
    </row>
    <row r="167" spans="1:13" x14ac:dyDescent="0.4">
      <c r="A167" s="14" t="s">
        <v>1156</v>
      </c>
      <c r="B167" s="15">
        <v>1</v>
      </c>
      <c r="C167" s="17" t="s">
        <v>1157</v>
      </c>
      <c r="D167" s="14">
        <v>10000</v>
      </c>
      <c r="E167" s="45">
        <v>0.62</v>
      </c>
      <c r="F167" s="14">
        <v>6200</v>
      </c>
      <c r="G167" s="14">
        <f t="shared" si="6"/>
        <v>6200</v>
      </c>
      <c r="L167"/>
      <c r="M167"/>
    </row>
    <row r="168" spans="1:13" x14ac:dyDescent="0.4">
      <c r="A168" s="14" t="s">
        <v>4026</v>
      </c>
      <c r="B168" s="15">
        <v>2</v>
      </c>
      <c r="C168" s="17" t="s">
        <v>4027</v>
      </c>
      <c r="D168" s="14">
        <v>13000</v>
      </c>
      <c r="E168" s="45">
        <v>0.62</v>
      </c>
      <c r="F168" s="14">
        <v>8060</v>
      </c>
      <c r="G168" s="14">
        <f t="shared" si="6"/>
        <v>16120</v>
      </c>
      <c r="L168"/>
      <c r="M168"/>
    </row>
    <row r="169" spans="1:13" x14ac:dyDescent="0.4">
      <c r="A169" s="14" t="s">
        <v>4215</v>
      </c>
      <c r="B169" s="15">
        <v>1</v>
      </c>
      <c r="C169" s="17" t="s">
        <v>4217</v>
      </c>
      <c r="D169" s="14">
        <v>5500</v>
      </c>
      <c r="E169" s="45">
        <v>0.62</v>
      </c>
      <c r="F169" s="14">
        <v>3410</v>
      </c>
      <c r="G169" s="14">
        <f t="shared" si="6"/>
        <v>3410</v>
      </c>
      <c r="L169"/>
      <c r="M169"/>
    </row>
    <row r="170" spans="1:13" x14ac:dyDescent="0.4">
      <c r="A170" s="14" t="s">
        <v>4219</v>
      </c>
      <c r="B170" s="15">
        <v>3</v>
      </c>
      <c r="C170" s="17" t="s">
        <v>4220</v>
      </c>
      <c r="D170" s="14">
        <v>7000</v>
      </c>
      <c r="E170" s="45">
        <v>0.62</v>
      </c>
      <c r="F170" s="14">
        <v>4340</v>
      </c>
      <c r="G170" s="14">
        <f t="shared" si="6"/>
        <v>13020</v>
      </c>
      <c r="L170"/>
      <c r="M170"/>
    </row>
    <row r="171" spans="1:13" x14ac:dyDescent="0.4">
      <c r="A171" s="14" t="s">
        <v>841</v>
      </c>
      <c r="B171" s="15">
        <v>1</v>
      </c>
      <c r="C171" s="17" t="s">
        <v>842</v>
      </c>
      <c r="D171" s="14">
        <v>18000</v>
      </c>
      <c r="E171" s="45">
        <v>0.62</v>
      </c>
      <c r="F171" s="14">
        <v>11160</v>
      </c>
      <c r="G171" s="14">
        <f t="shared" si="6"/>
        <v>11160</v>
      </c>
      <c r="L171"/>
      <c r="M171"/>
    </row>
    <row r="172" spans="1:13" x14ac:dyDescent="0.4">
      <c r="A172" s="14" t="s">
        <v>1338</v>
      </c>
      <c r="B172" s="15">
        <v>3</v>
      </c>
      <c r="C172" s="17" t="s">
        <v>1339</v>
      </c>
      <c r="D172" s="14">
        <v>18000</v>
      </c>
      <c r="E172" s="45">
        <v>0.62</v>
      </c>
      <c r="F172" s="14">
        <v>11160</v>
      </c>
      <c r="G172" s="14">
        <f t="shared" si="6"/>
        <v>33480</v>
      </c>
      <c r="L172"/>
      <c r="M172"/>
    </row>
    <row r="173" spans="1:13" x14ac:dyDescent="0.4">
      <c r="A173" s="14" t="s">
        <v>4225</v>
      </c>
      <c r="B173" s="15">
        <v>1</v>
      </c>
      <c r="C173" s="17" t="s">
        <v>4227</v>
      </c>
      <c r="D173" s="14">
        <v>6000</v>
      </c>
      <c r="E173" s="45">
        <v>0.62</v>
      </c>
      <c r="F173" s="14">
        <v>3720</v>
      </c>
      <c r="G173" s="14">
        <f t="shared" si="6"/>
        <v>3720</v>
      </c>
      <c r="L173"/>
      <c r="M173"/>
    </row>
    <row r="174" spans="1:13" x14ac:dyDescent="0.4">
      <c r="A174" s="14" t="s">
        <v>4229</v>
      </c>
      <c r="B174" s="15">
        <v>1</v>
      </c>
      <c r="C174" s="17" t="s">
        <v>4230</v>
      </c>
      <c r="D174" s="14">
        <v>7000</v>
      </c>
      <c r="E174" s="45">
        <v>0.62</v>
      </c>
      <c r="F174" s="14">
        <v>4340</v>
      </c>
      <c r="G174" s="14">
        <f t="shared" si="6"/>
        <v>4340</v>
      </c>
      <c r="L174"/>
      <c r="M174"/>
    </row>
    <row r="175" spans="1:13" x14ac:dyDescent="0.4">
      <c r="A175" s="14" t="s">
        <v>4232</v>
      </c>
      <c r="B175" s="15">
        <v>1</v>
      </c>
      <c r="C175" s="17" t="s">
        <v>4234</v>
      </c>
      <c r="D175" s="14">
        <v>6000</v>
      </c>
      <c r="E175" s="45">
        <v>0.62</v>
      </c>
      <c r="F175" s="14">
        <v>3720</v>
      </c>
      <c r="G175" s="14">
        <f t="shared" si="6"/>
        <v>3720</v>
      </c>
      <c r="L175"/>
      <c r="M175"/>
    </row>
    <row r="176" spans="1:13" x14ac:dyDescent="0.4">
      <c r="A176" s="14" t="s">
        <v>4236</v>
      </c>
      <c r="B176" s="15">
        <v>1</v>
      </c>
      <c r="C176" s="17" t="s">
        <v>4238</v>
      </c>
      <c r="D176" s="14">
        <v>6000</v>
      </c>
      <c r="E176" s="45">
        <v>0.62</v>
      </c>
      <c r="F176" s="14">
        <v>3720</v>
      </c>
      <c r="G176" s="14">
        <f t="shared" si="6"/>
        <v>3720</v>
      </c>
      <c r="L176"/>
      <c r="M176"/>
    </row>
    <row r="177" spans="1:13" x14ac:dyDescent="0.4">
      <c r="A177" s="14" t="s">
        <v>4240</v>
      </c>
      <c r="B177" s="15">
        <v>1</v>
      </c>
      <c r="C177" s="17" t="s">
        <v>4242</v>
      </c>
      <c r="D177" s="14">
        <v>8000</v>
      </c>
      <c r="E177" s="45">
        <v>0.62</v>
      </c>
      <c r="F177" s="14">
        <v>4960</v>
      </c>
      <c r="G177" s="14">
        <f t="shared" si="6"/>
        <v>4960</v>
      </c>
      <c r="L177"/>
      <c r="M177"/>
    </row>
    <row r="178" spans="1:13" x14ac:dyDescent="0.4">
      <c r="A178" s="14" t="s">
        <v>4244</v>
      </c>
      <c r="B178" s="15">
        <v>1</v>
      </c>
      <c r="C178" s="17" t="s">
        <v>4246</v>
      </c>
      <c r="D178" s="14">
        <v>8000</v>
      </c>
      <c r="E178" s="45">
        <v>0.62</v>
      </c>
      <c r="F178" s="14">
        <v>4960</v>
      </c>
      <c r="G178" s="14">
        <f t="shared" si="6"/>
        <v>4960</v>
      </c>
      <c r="L178"/>
      <c r="M178"/>
    </row>
    <row r="179" spans="1:13" x14ac:dyDescent="0.4">
      <c r="A179" s="14" t="s">
        <v>2477</v>
      </c>
      <c r="B179" s="15">
        <v>1</v>
      </c>
      <c r="C179" s="17" t="s">
        <v>2478</v>
      </c>
      <c r="D179" s="14">
        <v>7000</v>
      </c>
      <c r="E179" s="45">
        <v>0.62</v>
      </c>
      <c r="F179" s="14">
        <v>4340</v>
      </c>
      <c r="G179" s="14">
        <f t="shared" si="6"/>
        <v>4340</v>
      </c>
      <c r="L179"/>
      <c r="M179"/>
    </row>
    <row r="180" spans="1:13" x14ac:dyDescent="0.4">
      <c r="A180" s="14" t="s">
        <v>2878</v>
      </c>
      <c r="B180" s="15">
        <v>1</v>
      </c>
      <c r="C180" s="17" t="s">
        <v>2879</v>
      </c>
      <c r="D180" s="14">
        <v>1000</v>
      </c>
      <c r="E180" s="45">
        <v>0.62</v>
      </c>
      <c r="F180" s="14">
        <v>620</v>
      </c>
      <c r="G180" s="14">
        <f t="shared" si="6"/>
        <v>620</v>
      </c>
      <c r="L180"/>
      <c r="M180"/>
    </row>
    <row r="181" spans="1:13" x14ac:dyDescent="0.4">
      <c r="A181" s="14" t="s">
        <v>4252</v>
      </c>
      <c r="B181" s="15">
        <v>1</v>
      </c>
      <c r="C181" s="17" t="s">
        <v>4254</v>
      </c>
      <c r="D181" s="14">
        <v>1000</v>
      </c>
      <c r="E181" s="45">
        <v>0.62</v>
      </c>
      <c r="F181" s="14">
        <v>620</v>
      </c>
      <c r="G181" s="14">
        <f t="shared" si="6"/>
        <v>620</v>
      </c>
      <c r="L181"/>
      <c r="M181"/>
    </row>
    <row r="182" spans="1:13" x14ac:dyDescent="0.4">
      <c r="A182" s="14" t="s">
        <v>4263</v>
      </c>
      <c r="B182" s="15">
        <v>1</v>
      </c>
      <c r="C182" s="17" t="s">
        <v>4264</v>
      </c>
      <c r="D182" s="14">
        <v>19000</v>
      </c>
      <c r="E182" s="45">
        <v>0.62</v>
      </c>
      <c r="F182" s="14">
        <v>11780</v>
      </c>
      <c r="G182" s="14">
        <f t="shared" si="6"/>
        <v>11780</v>
      </c>
      <c r="L182"/>
      <c r="M182"/>
    </row>
    <row r="183" spans="1:13" x14ac:dyDescent="0.4">
      <c r="A183" s="14" t="s">
        <v>2571</v>
      </c>
      <c r="B183" s="15">
        <v>1</v>
      </c>
      <c r="C183" s="17" t="s">
        <v>2572</v>
      </c>
      <c r="D183" s="14">
        <v>30000</v>
      </c>
      <c r="E183" s="45">
        <v>0.62</v>
      </c>
      <c r="F183" s="14">
        <v>18600</v>
      </c>
      <c r="G183" s="14">
        <f t="shared" si="6"/>
        <v>18600</v>
      </c>
      <c r="L183"/>
      <c r="M183"/>
    </row>
    <row r="184" spans="1:13" x14ac:dyDescent="0.4">
      <c r="A184" s="14"/>
      <c r="B184" s="15"/>
      <c r="C184" s="17"/>
      <c r="D184" s="14"/>
      <c r="E184" s="14"/>
      <c r="F184" s="14"/>
      <c r="G184" s="14"/>
      <c r="L184"/>
      <c r="M184"/>
    </row>
    <row r="185" spans="1:13" x14ac:dyDescent="0.4">
      <c r="A185" s="14"/>
      <c r="B185" s="47">
        <v>48</v>
      </c>
      <c r="C185" s="17"/>
      <c r="D185" s="14"/>
      <c r="E185" s="14"/>
      <c r="F185" s="14"/>
      <c r="G185" s="48">
        <v>365800</v>
      </c>
      <c r="L185"/>
      <c r="M185"/>
    </row>
    <row r="186" spans="1:13" x14ac:dyDescent="0.4">
      <c r="L186"/>
      <c r="M186"/>
    </row>
    <row r="187" spans="1:13" x14ac:dyDescent="0.4">
      <c r="L187"/>
      <c r="M187"/>
    </row>
    <row r="188" spans="1:13" x14ac:dyDescent="0.4">
      <c r="L188"/>
      <c r="M188"/>
    </row>
    <row r="189" spans="1:13" x14ac:dyDescent="0.4">
      <c r="A189" s="4" t="s">
        <v>12</v>
      </c>
      <c r="B189" s="4" t="s">
        <v>2692</v>
      </c>
      <c r="C189" s="4" t="s">
        <v>4928</v>
      </c>
      <c r="D189" s="4" t="s">
        <v>3526</v>
      </c>
      <c r="E189" s="4" t="s">
        <v>1</v>
      </c>
      <c r="F189" s="44" t="s">
        <v>15</v>
      </c>
      <c r="G189" s="44" t="s">
        <v>4920</v>
      </c>
      <c r="L189"/>
      <c r="M189"/>
    </row>
    <row r="190" spans="1:13" x14ac:dyDescent="0.4">
      <c r="A190" s="14" t="s">
        <v>3629</v>
      </c>
      <c r="B190" s="15">
        <v>20</v>
      </c>
      <c r="C190" s="16" t="s">
        <v>3631</v>
      </c>
      <c r="D190" s="14">
        <v>0</v>
      </c>
      <c r="E190" s="45">
        <v>0.6</v>
      </c>
      <c r="F190" s="14">
        <v>0</v>
      </c>
      <c r="G190" s="46">
        <f t="shared" ref="G190:G216" si="7">IF(E190="품목별",F190,D190*B190*E190)</f>
        <v>0</v>
      </c>
      <c r="L190"/>
      <c r="M190"/>
    </row>
    <row r="191" spans="1:13" x14ac:dyDescent="0.4">
      <c r="A191" s="14" t="s">
        <v>4320</v>
      </c>
      <c r="B191" s="15">
        <v>4</v>
      </c>
      <c r="C191" s="17" t="s">
        <v>4322</v>
      </c>
      <c r="D191" s="14">
        <v>0</v>
      </c>
      <c r="E191" s="45">
        <v>0.6</v>
      </c>
      <c r="F191" s="14">
        <v>0</v>
      </c>
      <c r="G191" s="14">
        <f t="shared" si="7"/>
        <v>0</v>
      </c>
      <c r="L191"/>
      <c r="M191"/>
    </row>
    <row r="192" spans="1:13" x14ac:dyDescent="0.4">
      <c r="A192" s="14" t="s">
        <v>2894</v>
      </c>
      <c r="B192" s="15">
        <v>1</v>
      </c>
      <c r="C192" s="17" t="s">
        <v>2895</v>
      </c>
      <c r="D192" s="14">
        <v>1000</v>
      </c>
      <c r="E192" s="45">
        <v>0.6</v>
      </c>
      <c r="F192" s="14">
        <v>600</v>
      </c>
      <c r="G192" s="14">
        <f t="shared" si="7"/>
        <v>600</v>
      </c>
      <c r="L192"/>
      <c r="M192"/>
    </row>
    <row r="193" spans="1:13" x14ac:dyDescent="0.4">
      <c r="A193" s="14" t="s">
        <v>4341</v>
      </c>
      <c r="B193" s="15">
        <v>2</v>
      </c>
      <c r="C193" s="17" t="s">
        <v>4343</v>
      </c>
      <c r="D193" s="14">
        <v>2500</v>
      </c>
      <c r="E193" s="45">
        <v>0.6</v>
      </c>
      <c r="F193" s="14">
        <v>1500</v>
      </c>
      <c r="G193" s="14">
        <f t="shared" si="7"/>
        <v>3000</v>
      </c>
      <c r="L193"/>
      <c r="M193"/>
    </row>
    <row r="194" spans="1:13" x14ac:dyDescent="0.4">
      <c r="A194" s="14" t="s">
        <v>4347</v>
      </c>
      <c r="B194" s="15">
        <v>1</v>
      </c>
      <c r="C194" s="17" t="s">
        <v>4348</v>
      </c>
      <c r="D194" s="14">
        <v>6000</v>
      </c>
      <c r="E194" s="45">
        <v>0.6</v>
      </c>
      <c r="F194" s="14">
        <v>3600</v>
      </c>
      <c r="G194" s="14">
        <f t="shared" si="7"/>
        <v>3600</v>
      </c>
      <c r="L194"/>
      <c r="M194"/>
    </row>
    <row r="195" spans="1:13" x14ac:dyDescent="0.4">
      <c r="A195" s="14" t="s">
        <v>4352</v>
      </c>
      <c r="B195" s="15">
        <v>1</v>
      </c>
      <c r="C195" s="17" t="s">
        <v>4354</v>
      </c>
      <c r="D195" s="14">
        <v>8000</v>
      </c>
      <c r="E195" s="45">
        <v>0.6</v>
      </c>
      <c r="F195" s="14">
        <v>4800</v>
      </c>
      <c r="G195" s="14">
        <f t="shared" si="7"/>
        <v>4800</v>
      </c>
      <c r="L195"/>
      <c r="M195"/>
    </row>
    <row r="196" spans="1:13" x14ac:dyDescent="0.4">
      <c r="A196" s="14" t="s">
        <v>2919</v>
      </c>
      <c r="B196" s="15">
        <v>2</v>
      </c>
      <c r="C196" s="17" t="s">
        <v>2920</v>
      </c>
      <c r="D196" s="14">
        <v>1500</v>
      </c>
      <c r="E196" s="45">
        <v>0.6</v>
      </c>
      <c r="F196" s="14">
        <v>900</v>
      </c>
      <c r="G196" s="14">
        <f t="shared" si="7"/>
        <v>1800</v>
      </c>
      <c r="L196"/>
      <c r="M196"/>
    </row>
    <row r="197" spans="1:13" x14ac:dyDescent="0.4">
      <c r="A197" s="14" t="s">
        <v>2923</v>
      </c>
      <c r="B197" s="15">
        <v>1</v>
      </c>
      <c r="C197" s="17" t="s">
        <v>2924</v>
      </c>
      <c r="D197" s="14">
        <v>2500</v>
      </c>
      <c r="E197" s="45">
        <v>0.6</v>
      </c>
      <c r="F197" s="14">
        <v>1500</v>
      </c>
      <c r="G197" s="14">
        <f t="shared" si="7"/>
        <v>1500</v>
      </c>
      <c r="L197"/>
      <c r="M197"/>
    </row>
    <row r="198" spans="1:13" x14ac:dyDescent="0.4">
      <c r="A198" s="14" t="s">
        <v>4366</v>
      </c>
      <c r="B198" s="15">
        <v>1</v>
      </c>
      <c r="C198" s="17" t="s">
        <v>4368</v>
      </c>
      <c r="D198" s="14">
        <v>11000</v>
      </c>
      <c r="E198" s="45">
        <v>0.6</v>
      </c>
      <c r="F198" s="14">
        <v>6600</v>
      </c>
      <c r="G198" s="14">
        <f t="shared" si="7"/>
        <v>6600</v>
      </c>
      <c r="L198"/>
      <c r="M198"/>
    </row>
    <row r="199" spans="1:13" x14ac:dyDescent="0.4">
      <c r="A199" s="14" t="s">
        <v>4370</v>
      </c>
      <c r="B199" s="15">
        <v>1</v>
      </c>
      <c r="C199" s="17" t="s">
        <v>4372</v>
      </c>
      <c r="D199" s="14">
        <v>4000</v>
      </c>
      <c r="E199" s="45">
        <v>0.6</v>
      </c>
      <c r="F199" s="14">
        <v>2400</v>
      </c>
      <c r="G199" s="14">
        <f t="shared" si="7"/>
        <v>2400</v>
      </c>
      <c r="L199"/>
      <c r="M199"/>
    </row>
    <row r="200" spans="1:13" x14ac:dyDescent="0.4">
      <c r="A200" s="14" t="s">
        <v>4374</v>
      </c>
      <c r="B200" s="15">
        <v>1</v>
      </c>
      <c r="C200" s="17" t="s">
        <v>4376</v>
      </c>
      <c r="D200" s="14">
        <v>6000</v>
      </c>
      <c r="E200" s="45">
        <v>0.6</v>
      </c>
      <c r="F200" s="14">
        <v>3600</v>
      </c>
      <c r="G200" s="14">
        <f t="shared" si="7"/>
        <v>3600</v>
      </c>
      <c r="L200"/>
      <c r="M200"/>
    </row>
    <row r="201" spans="1:13" x14ac:dyDescent="0.4">
      <c r="A201" s="14" t="s">
        <v>4378</v>
      </c>
      <c r="B201" s="15">
        <v>1</v>
      </c>
      <c r="C201" s="17" t="s">
        <v>4379</v>
      </c>
      <c r="D201" s="14">
        <v>12000</v>
      </c>
      <c r="E201" s="45">
        <v>0.6</v>
      </c>
      <c r="F201" s="14">
        <v>7200</v>
      </c>
      <c r="G201" s="14">
        <f t="shared" si="7"/>
        <v>7200</v>
      </c>
      <c r="L201"/>
      <c r="M201"/>
    </row>
    <row r="202" spans="1:13" x14ac:dyDescent="0.4">
      <c r="A202" s="14" t="s">
        <v>2931</v>
      </c>
      <c r="B202" s="15">
        <v>1</v>
      </c>
      <c r="C202" s="17" t="s">
        <v>2932</v>
      </c>
      <c r="D202" s="14">
        <v>2000</v>
      </c>
      <c r="E202" s="45">
        <v>0.6</v>
      </c>
      <c r="F202" s="14">
        <v>1200</v>
      </c>
      <c r="G202" s="14">
        <f t="shared" si="7"/>
        <v>1200</v>
      </c>
      <c r="L202"/>
      <c r="M202"/>
    </row>
    <row r="203" spans="1:13" x14ac:dyDescent="0.4">
      <c r="A203" s="14" t="s">
        <v>4384</v>
      </c>
      <c r="B203" s="15">
        <v>1</v>
      </c>
      <c r="C203" s="17" t="s">
        <v>4385</v>
      </c>
      <c r="D203" s="14">
        <v>8000</v>
      </c>
      <c r="E203" s="45">
        <v>0.6</v>
      </c>
      <c r="F203" s="14">
        <v>4800</v>
      </c>
      <c r="G203" s="14">
        <f t="shared" si="7"/>
        <v>4800</v>
      </c>
      <c r="L203"/>
      <c r="M203"/>
    </row>
    <row r="204" spans="1:13" x14ac:dyDescent="0.4">
      <c r="A204" s="14" t="s">
        <v>1076</v>
      </c>
      <c r="B204" s="15">
        <v>1</v>
      </c>
      <c r="C204" s="17" t="s">
        <v>1077</v>
      </c>
      <c r="D204" s="14">
        <v>11000</v>
      </c>
      <c r="E204" s="45">
        <v>0.6</v>
      </c>
      <c r="F204" s="14">
        <v>6600</v>
      </c>
      <c r="G204" s="14">
        <f t="shared" si="7"/>
        <v>6600</v>
      </c>
      <c r="L204"/>
      <c r="M204"/>
    </row>
    <row r="205" spans="1:13" x14ac:dyDescent="0.4">
      <c r="A205" s="14" t="s">
        <v>4389</v>
      </c>
      <c r="B205" s="15">
        <v>1</v>
      </c>
      <c r="C205" s="17" t="s">
        <v>4390</v>
      </c>
      <c r="D205" s="14">
        <v>7500</v>
      </c>
      <c r="E205" s="45">
        <v>0.6</v>
      </c>
      <c r="F205" s="14">
        <v>4500</v>
      </c>
      <c r="G205" s="14">
        <f t="shared" si="7"/>
        <v>4500</v>
      </c>
      <c r="L205"/>
      <c r="M205"/>
    </row>
    <row r="206" spans="1:13" x14ac:dyDescent="0.4">
      <c r="A206" s="14" t="s">
        <v>4392</v>
      </c>
      <c r="B206" s="15">
        <v>1</v>
      </c>
      <c r="C206" s="17" t="s">
        <v>4393</v>
      </c>
      <c r="D206" s="14">
        <v>7500</v>
      </c>
      <c r="E206" s="45">
        <v>0.6</v>
      </c>
      <c r="F206" s="14">
        <v>4500</v>
      </c>
      <c r="G206" s="14">
        <f t="shared" si="7"/>
        <v>4500</v>
      </c>
      <c r="L206"/>
      <c r="M206"/>
    </row>
    <row r="207" spans="1:13" x14ac:dyDescent="0.4">
      <c r="A207" s="14" t="s">
        <v>4398</v>
      </c>
      <c r="B207" s="15">
        <v>1</v>
      </c>
      <c r="C207" s="17" t="s">
        <v>4399</v>
      </c>
      <c r="D207" s="14">
        <v>6000</v>
      </c>
      <c r="E207" s="45">
        <v>0.6</v>
      </c>
      <c r="F207" s="14">
        <v>3600</v>
      </c>
      <c r="G207" s="14">
        <f t="shared" si="7"/>
        <v>3600</v>
      </c>
      <c r="L207"/>
      <c r="M207"/>
    </row>
    <row r="208" spans="1:13" x14ac:dyDescent="0.4">
      <c r="A208" s="14" t="s">
        <v>4401</v>
      </c>
      <c r="B208" s="15">
        <v>1</v>
      </c>
      <c r="C208" s="17" t="s">
        <v>4402</v>
      </c>
      <c r="D208" s="14">
        <v>9000</v>
      </c>
      <c r="E208" s="45">
        <v>0.6</v>
      </c>
      <c r="F208" s="14">
        <v>5400</v>
      </c>
      <c r="G208" s="14">
        <f t="shared" si="7"/>
        <v>5400</v>
      </c>
      <c r="L208"/>
      <c r="M208"/>
    </row>
    <row r="209" spans="1:13" x14ac:dyDescent="0.4">
      <c r="A209" s="14" t="s">
        <v>4404</v>
      </c>
      <c r="B209" s="15">
        <v>1</v>
      </c>
      <c r="C209" s="17" t="s">
        <v>4406</v>
      </c>
      <c r="D209" s="14">
        <v>7000</v>
      </c>
      <c r="E209" s="45">
        <v>0.6</v>
      </c>
      <c r="F209" s="14">
        <v>4200</v>
      </c>
      <c r="G209" s="14">
        <f t="shared" si="7"/>
        <v>4200</v>
      </c>
      <c r="L209"/>
      <c r="M209"/>
    </row>
    <row r="210" spans="1:13" x14ac:dyDescent="0.4">
      <c r="A210" s="14" t="s">
        <v>1329</v>
      </c>
      <c r="B210" s="15">
        <v>2</v>
      </c>
      <c r="C210" s="17" t="s">
        <v>1330</v>
      </c>
      <c r="D210" s="14">
        <v>10000</v>
      </c>
      <c r="E210" s="45">
        <v>0.6</v>
      </c>
      <c r="F210" s="14">
        <v>6000</v>
      </c>
      <c r="G210" s="14">
        <f t="shared" si="7"/>
        <v>12000</v>
      </c>
      <c r="L210"/>
      <c r="M210"/>
    </row>
    <row r="211" spans="1:13" x14ac:dyDescent="0.4">
      <c r="A211" s="14" t="s">
        <v>4409</v>
      </c>
      <c r="B211" s="15">
        <v>1</v>
      </c>
      <c r="C211" s="17" t="s">
        <v>4410</v>
      </c>
      <c r="D211" s="14">
        <v>12000</v>
      </c>
      <c r="E211" s="45">
        <v>0.6</v>
      </c>
      <c r="F211" s="14">
        <v>7200</v>
      </c>
      <c r="G211" s="14">
        <f t="shared" si="7"/>
        <v>7200</v>
      </c>
      <c r="L211"/>
      <c r="M211"/>
    </row>
    <row r="212" spans="1:13" x14ac:dyDescent="0.4">
      <c r="A212" s="14" t="s">
        <v>4412</v>
      </c>
      <c r="B212" s="15">
        <v>1</v>
      </c>
      <c r="C212" s="17" t="s">
        <v>4414</v>
      </c>
      <c r="D212" s="14">
        <v>12000</v>
      </c>
      <c r="E212" s="45">
        <v>0.6</v>
      </c>
      <c r="F212" s="14">
        <v>7200</v>
      </c>
      <c r="G212" s="14">
        <f t="shared" si="7"/>
        <v>7200</v>
      </c>
      <c r="L212"/>
      <c r="M212"/>
    </row>
    <row r="213" spans="1:13" x14ac:dyDescent="0.4">
      <c r="A213" s="14" t="s">
        <v>4417</v>
      </c>
      <c r="B213" s="15">
        <v>1</v>
      </c>
      <c r="C213" s="17" t="s">
        <v>4419</v>
      </c>
      <c r="D213" s="14">
        <v>6000</v>
      </c>
      <c r="E213" s="45">
        <v>0.6</v>
      </c>
      <c r="F213" s="14">
        <v>3600</v>
      </c>
      <c r="G213" s="14">
        <f t="shared" si="7"/>
        <v>3600</v>
      </c>
      <c r="L213"/>
      <c r="M213"/>
    </row>
    <row r="214" spans="1:13" x14ac:dyDescent="0.4">
      <c r="A214" s="14" t="s">
        <v>4421</v>
      </c>
      <c r="B214" s="15">
        <v>6</v>
      </c>
      <c r="C214" s="17" t="s">
        <v>4423</v>
      </c>
      <c r="D214" s="14">
        <v>2500</v>
      </c>
      <c r="E214" s="45">
        <v>0.6</v>
      </c>
      <c r="F214" s="14">
        <v>1500</v>
      </c>
      <c r="G214" s="14">
        <f t="shared" si="7"/>
        <v>9000</v>
      </c>
      <c r="L214"/>
      <c r="M214"/>
    </row>
    <row r="215" spans="1:13" x14ac:dyDescent="0.4">
      <c r="A215" s="14" t="s">
        <v>2398</v>
      </c>
      <c r="B215" s="15">
        <v>2</v>
      </c>
      <c r="C215" s="17" t="s">
        <v>2399</v>
      </c>
      <c r="D215" s="14">
        <v>4500</v>
      </c>
      <c r="E215" s="45">
        <v>0.6</v>
      </c>
      <c r="F215" s="14">
        <v>2700</v>
      </c>
      <c r="G215" s="14">
        <f t="shared" si="7"/>
        <v>5400</v>
      </c>
      <c r="L215"/>
      <c r="M215"/>
    </row>
    <row r="216" spans="1:13" x14ac:dyDescent="0.4">
      <c r="A216" s="14" t="s">
        <v>4431</v>
      </c>
      <c r="B216" s="15">
        <v>1</v>
      </c>
      <c r="C216" s="17" t="s">
        <v>4432</v>
      </c>
      <c r="D216" s="14">
        <v>5000</v>
      </c>
      <c r="E216" s="45">
        <v>0.6</v>
      </c>
      <c r="F216" s="14">
        <v>3000</v>
      </c>
      <c r="G216" s="14">
        <f t="shared" si="7"/>
        <v>3000</v>
      </c>
      <c r="L216"/>
      <c r="M216"/>
    </row>
    <row r="217" spans="1:13" x14ac:dyDescent="0.4">
      <c r="A217" s="14"/>
      <c r="B217" s="15"/>
      <c r="C217" s="17"/>
      <c r="D217" s="14"/>
      <c r="E217" s="14"/>
      <c r="F217" s="14"/>
      <c r="G217" s="14"/>
      <c r="L217"/>
      <c r="M217"/>
    </row>
    <row r="218" spans="1:13" x14ac:dyDescent="0.4">
      <c r="A218" s="14"/>
      <c r="B218" s="47">
        <v>58</v>
      </c>
      <c r="C218" s="17"/>
      <c r="D218" s="14"/>
      <c r="E218" s="14"/>
      <c r="F218" s="14"/>
      <c r="G218" s="48">
        <v>117300</v>
      </c>
      <c r="L218"/>
      <c r="M218"/>
    </row>
    <row r="219" spans="1:13" x14ac:dyDescent="0.4">
      <c r="L219"/>
      <c r="M219"/>
    </row>
    <row r="220" spans="1:13" x14ac:dyDescent="0.4">
      <c r="L220"/>
      <c r="M220"/>
    </row>
    <row r="221" spans="1:13" x14ac:dyDescent="0.4">
      <c r="L221"/>
      <c r="M221"/>
    </row>
    <row r="222" spans="1:13" x14ac:dyDescent="0.4">
      <c r="L222"/>
      <c r="M222"/>
    </row>
    <row r="223" spans="1:13" x14ac:dyDescent="0.4">
      <c r="L223"/>
      <c r="M223"/>
    </row>
    <row r="224" spans="1:13" x14ac:dyDescent="0.4">
      <c r="L224"/>
      <c r="M224"/>
    </row>
    <row r="225" spans="12:13" x14ac:dyDescent="0.4">
      <c r="L225"/>
      <c r="M225"/>
    </row>
    <row r="226" spans="12:13" x14ac:dyDescent="0.4">
      <c r="L226"/>
      <c r="M226"/>
    </row>
    <row r="227" spans="12:13" x14ac:dyDescent="0.4">
      <c r="L227"/>
      <c r="M227"/>
    </row>
    <row r="228" spans="12:13" x14ac:dyDescent="0.4">
      <c r="L228"/>
      <c r="M228"/>
    </row>
    <row r="229" spans="12:13" x14ac:dyDescent="0.4">
      <c r="L229"/>
      <c r="M229"/>
    </row>
    <row r="230" spans="12:13" x14ac:dyDescent="0.4">
      <c r="L230"/>
      <c r="M230"/>
    </row>
    <row r="231" spans="12:13" x14ac:dyDescent="0.4">
      <c r="L231"/>
      <c r="M231"/>
    </row>
    <row r="232" spans="12:13" x14ac:dyDescent="0.4">
      <c r="L232"/>
      <c r="M232"/>
    </row>
    <row r="233" spans="12:13" x14ac:dyDescent="0.4">
      <c r="L233"/>
      <c r="M233"/>
    </row>
    <row r="234" spans="12:13" x14ac:dyDescent="0.4">
      <c r="L234"/>
      <c r="M234"/>
    </row>
    <row r="235" spans="12:13" x14ac:dyDescent="0.4">
      <c r="L235"/>
      <c r="M235"/>
    </row>
    <row r="236" spans="12:13" x14ac:dyDescent="0.4">
      <c r="L236"/>
      <c r="M236"/>
    </row>
    <row r="237" spans="12:13" x14ac:dyDescent="0.4">
      <c r="L237"/>
      <c r="M237"/>
    </row>
    <row r="238" spans="12:13" x14ac:dyDescent="0.4">
      <c r="L238"/>
      <c r="M238"/>
    </row>
    <row r="239" spans="12:13" x14ac:dyDescent="0.4">
      <c r="L239"/>
      <c r="M239"/>
    </row>
    <row r="240" spans="12:13" x14ac:dyDescent="0.4">
      <c r="L240"/>
      <c r="M240"/>
    </row>
    <row r="241" spans="12:13" x14ac:dyDescent="0.4">
      <c r="L241"/>
      <c r="M241"/>
    </row>
    <row r="242" spans="12:13" x14ac:dyDescent="0.4">
      <c r="L242"/>
      <c r="M242"/>
    </row>
    <row r="243" spans="12:13" x14ac:dyDescent="0.4">
      <c r="L243"/>
      <c r="M243"/>
    </row>
    <row r="244" spans="12:13" x14ac:dyDescent="0.4">
      <c r="L244"/>
      <c r="M244"/>
    </row>
    <row r="245" spans="12:13" x14ac:dyDescent="0.4">
      <c r="L245"/>
      <c r="M245"/>
    </row>
    <row r="246" spans="12:13" x14ac:dyDescent="0.4">
      <c r="L246"/>
      <c r="M246"/>
    </row>
    <row r="247" spans="12:13" x14ac:dyDescent="0.4">
      <c r="L247"/>
      <c r="M247"/>
    </row>
    <row r="248" spans="12:13" x14ac:dyDescent="0.4">
      <c r="L248"/>
      <c r="M248"/>
    </row>
    <row r="249" spans="12:13" x14ac:dyDescent="0.4">
      <c r="L249"/>
      <c r="M249"/>
    </row>
    <row r="250" spans="12:13" x14ac:dyDescent="0.4">
      <c r="L250"/>
      <c r="M250"/>
    </row>
    <row r="251" spans="12:13" x14ac:dyDescent="0.4">
      <c r="L251"/>
      <c r="M251"/>
    </row>
    <row r="252" spans="12:13" x14ac:dyDescent="0.4">
      <c r="L252"/>
      <c r="M252"/>
    </row>
    <row r="253" spans="12:13" x14ac:dyDescent="0.4">
      <c r="L253"/>
      <c r="M253"/>
    </row>
    <row r="254" spans="12:13" x14ac:dyDescent="0.4">
      <c r="L254"/>
      <c r="M254"/>
    </row>
    <row r="255" spans="12:13" x14ac:dyDescent="0.4">
      <c r="L255"/>
      <c r="M255"/>
    </row>
    <row r="256" spans="12:13" x14ac:dyDescent="0.4">
      <c r="L256"/>
      <c r="M256"/>
    </row>
    <row r="257" spans="12:13" x14ac:dyDescent="0.4">
      <c r="L257"/>
      <c r="M257"/>
    </row>
    <row r="258" spans="12:13" x14ac:dyDescent="0.4">
      <c r="L258"/>
      <c r="M258"/>
    </row>
    <row r="259" spans="12:13" x14ac:dyDescent="0.4">
      <c r="L259"/>
      <c r="M259"/>
    </row>
    <row r="260" spans="12:13" x14ac:dyDescent="0.4">
      <c r="L260"/>
      <c r="M260"/>
    </row>
    <row r="261" spans="12:13" x14ac:dyDescent="0.4">
      <c r="L261"/>
      <c r="M261"/>
    </row>
    <row r="262" spans="12:13" x14ac:dyDescent="0.4">
      <c r="L262"/>
      <c r="M262"/>
    </row>
    <row r="263" spans="12:13" x14ac:dyDescent="0.4">
      <c r="L263"/>
      <c r="M263"/>
    </row>
    <row r="264" spans="12:13" x14ac:dyDescent="0.4">
      <c r="L264"/>
      <c r="M264"/>
    </row>
    <row r="265" spans="12:13" x14ac:dyDescent="0.4">
      <c r="L265"/>
      <c r="M265"/>
    </row>
    <row r="266" spans="12:13" x14ac:dyDescent="0.4">
      <c r="L266"/>
      <c r="M266"/>
    </row>
    <row r="267" spans="12:13" x14ac:dyDescent="0.4">
      <c r="L267"/>
      <c r="M267"/>
    </row>
    <row r="268" spans="12:13" x14ac:dyDescent="0.4">
      <c r="L268"/>
      <c r="M268"/>
    </row>
    <row r="269" spans="12:13" x14ac:dyDescent="0.4">
      <c r="L269"/>
      <c r="M269"/>
    </row>
    <row r="270" spans="12:13" x14ac:dyDescent="0.4">
      <c r="L270"/>
      <c r="M270"/>
    </row>
    <row r="271" spans="12:13" x14ac:dyDescent="0.4">
      <c r="L271"/>
      <c r="M271"/>
    </row>
    <row r="272" spans="12:13" x14ac:dyDescent="0.4">
      <c r="L272"/>
      <c r="M272"/>
    </row>
    <row r="273" spans="12:13" x14ac:dyDescent="0.4">
      <c r="L273"/>
      <c r="M273"/>
    </row>
    <row r="274" spans="12:13" x14ac:dyDescent="0.4">
      <c r="L274"/>
      <c r="M274"/>
    </row>
    <row r="275" spans="12:13" x14ac:dyDescent="0.4">
      <c r="L275"/>
      <c r="M275"/>
    </row>
    <row r="276" spans="12:13" x14ac:dyDescent="0.4">
      <c r="L276"/>
      <c r="M276"/>
    </row>
    <row r="277" spans="12:13" x14ac:dyDescent="0.4">
      <c r="L277"/>
      <c r="M277"/>
    </row>
    <row r="278" spans="12:13" x14ac:dyDescent="0.4">
      <c r="L278"/>
      <c r="M278"/>
    </row>
    <row r="279" spans="12:13" x14ac:dyDescent="0.4">
      <c r="L279"/>
      <c r="M279"/>
    </row>
    <row r="280" spans="12:13" x14ac:dyDescent="0.4">
      <c r="L280"/>
      <c r="M280"/>
    </row>
    <row r="281" spans="12:13" x14ac:dyDescent="0.4">
      <c r="L281"/>
      <c r="M281"/>
    </row>
    <row r="282" spans="12:13" x14ac:dyDescent="0.4">
      <c r="L282"/>
      <c r="M282"/>
    </row>
    <row r="283" spans="12:13" x14ac:dyDescent="0.4">
      <c r="L283"/>
      <c r="M283"/>
    </row>
    <row r="284" spans="12:13" x14ac:dyDescent="0.4">
      <c r="L284"/>
      <c r="M284"/>
    </row>
    <row r="285" spans="12:13" x14ac:dyDescent="0.4">
      <c r="L285"/>
      <c r="M285"/>
    </row>
    <row r="286" spans="12:13" x14ac:dyDescent="0.4">
      <c r="L286"/>
      <c r="M286"/>
    </row>
    <row r="287" spans="12:13" x14ac:dyDescent="0.4">
      <c r="L287"/>
      <c r="M287"/>
    </row>
    <row r="288" spans="12:13" x14ac:dyDescent="0.4">
      <c r="L288"/>
      <c r="M288"/>
    </row>
    <row r="289" spans="12:13" x14ac:dyDescent="0.4">
      <c r="L289"/>
      <c r="M289"/>
    </row>
    <row r="290" spans="12:13" x14ac:dyDescent="0.4">
      <c r="L290"/>
      <c r="M290"/>
    </row>
    <row r="291" spans="12:13" x14ac:dyDescent="0.4">
      <c r="L291"/>
      <c r="M291"/>
    </row>
    <row r="292" spans="12:13" x14ac:dyDescent="0.4">
      <c r="L292"/>
      <c r="M292"/>
    </row>
    <row r="293" spans="12:13" x14ac:dyDescent="0.4">
      <c r="L293"/>
      <c r="M293"/>
    </row>
    <row r="294" spans="12:13" x14ac:dyDescent="0.4">
      <c r="L294"/>
      <c r="M294"/>
    </row>
    <row r="295" spans="12:13" x14ac:dyDescent="0.4">
      <c r="L295"/>
      <c r="M295"/>
    </row>
    <row r="296" spans="12:13" x14ac:dyDescent="0.4">
      <c r="L296"/>
      <c r="M296"/>
    </row>
    <row r="297" spans="12:13" x14ac:dyDescent="0.4">
      <c r="L297"/>
      <c r="M297"/>
    </row>
    <row r="298" spans="12:13" x14ac:dyDescent="0.4">
      <c r="L298"/>
      <c r="M298"/>
    </row>
    <row r="299" spans="12:13" x14ac:dyDescent="0.4">
      <c r="L299"/>
      <c r="M299"/>
    </row>
    <row r="300" spans="12:13" x14ac:dyDescent="0.4">
      <c r="L300"/>
      <c r="M300"/>
    </row>
    <row r="301" spans="12:13" x14ac:dyDescent="0.4">
      <c r="L301"/>
      <c r="M301"/>
    </row>
    <row r="302" spans="12:13" x14ac:dyDescent="0.4">
      <c r="L302"/>
      <c r="M302"/>
    </row>
    <row r="303" spans="12:13" x14ac:dyDescent="0.4">
      <c r="L303"/>
      <c r="M303"/>
    </row>
    <row r="304" spans="12:13" x14ac:dyDescent="0.4">
      <c r="L304"/>
      <c r="M304"/>
    </row>
    <row r="305" spans="12:13" x14ac:dyDescent="0.4">
      <c r="L305"/>
      <c r="M305"/>
    </row>
    <row r="306" spans="12:13" x14ac:dyDescent="0.4">
      <c r="L306"/>
      <c r="M306"/>
    </row>
    <row r="307" spans="12:13" x14ac:dyDescent="0.4">
      <c r="L307"/>
      <c r="M307"/>
    </row>
    <row r="308" spans="12:13" x14ac:dyDescent="0.4">
      <c r="L308"/>
      <c r="M308"/>
    </row>
    <row r="309" spans="12:13" x14ac:dyDescent="0.4">
      <c r="L309"/>
      <c r="M309"/>
    </row>
    <row r="310" spans="12:13" x14ac:dyDescent="0.4">
      <c r="L310"/>
      <c r="M310"/>
    </row>
    <row r="311" spans="12:13" x14ac:dyDescent="0.4">
      <c r="L311"/>
      <c r="M311"/>
    </row>
    <row r="312" spans="12:13" x14ac:dyDescent="0.4">
      <c r="L312"/>
      <c r="M312"/>
    </row>
    <row r="313" spans="12:13" x14ac:dyDescent="0.4">
      <c r="L313"/>
      <c r="M313"/>
    </row>
    <row r="314" spans="12:13" x14ac:dyDescent="0.4">
      <c r="L314"/>
      <c r="M314"/>
    </row>
    <row r="315" spans="12:13" x14ac:dyDescent="0.4">
      <c r="L315"/>
      <c r="M315"/>
    </row>
    <row r="316" spans="12:13" x14ac:dyDescent="0.4">
      <c r="L316"/>
      <c r="M316"/>
    </row>
    <row r="317" spans="12:13" x14ac:dyDescent="0.4">
      <c r="L317"/>
      <c r="M317"/>
    </row>
    <row r="318" spans="12:13" x14ac:dyDescent="0.4">
      <c r="L318"/>
      <c r="M318"/>
    </row>
    <row r="319" spans="12:13" x14ac:dyDescent="0.4">
      <c r="L319"/>
      <c r="M319"/>
    </row>
    <row r="320" spans="12:13" x14ac:dyDescent="0.4">
      <c r="L320"/>
      <c r="M320"/>
    </row>
    <row r="321" spans="12:13" x14ac:dyDescent="0.4">
      <c r="L321"/>
      <c r="M321"/>
    </row>
    <row r="322" spans="12:13" x14ac:dyDescent="0.4">
      <c r="L322"/>
      <c r="M322"/>
    </row>
    <row r="323" spans="12:13" x14ac:dyDescent="0.4">
      <c r="L323"/>
      <c r="M323"/>
    </row>
    <row r="324" spans="12:13" x14ac:dyDescent="0.4">
      <c r="L324"/>
      <c r="M324"/>
    </row>
    <row r="325" spans="12:13" x14ac:dyDescent="0.4">
      <c r="L325"/>
      <c r="M325"/>
    </row>
    <row r="326" spans="12:13" x14ac:dyDescent="0.4">
      <c r="L326"/>
      <c r="M326"/>
    </row>
    <row r="327" spans="12:13" x14ac:dyDescent="0.4">
      <c r="L327"/>
      <c r="M327"/>
    </row>
    <row r="328" spans="12:13" x14ac:dyDescent="0.4">
      <c r="L328"/>
      <c r="M328"/>
    </row>
    <row r="329" spans="12:13" x14ac:dyDescent="0.4">
      <c r="L329"/>
      <c r="M329"/>
    </row>
    <row r="330" spans="12:13" x14ac:dyDescent="0.4">
      <c r="L330"/>
      <c r="M330"/>
    </row>
    <row r="331" spans="12:13" x14ac:dyDescent="0.4">
      <c r="L331"/>
      <c r="M331"/>
    </row>
    <row r="332" spans="12:13" x14ac:dyDescent="0.4">
      <c r="L332"/>
      <c r="M332"/>
    </row>
    <row r="333" spans="12:13" x14ac:dyDescent="0.4">
      <c r="L333"/>
      <c r="M333"/>
    </row>
    <row r="334" spans="12:13" x14ac:dyDescent="0.4">
      <c r="L334"/>
      <c r="M334"/>
    </row>
    <row r="335" spans="12:13" x14ac:dyDescent="0.4">
      <c r="L335"/>
      <c r="M335"/>
    </row>
    <row r="336" spans="12:13" x14ac:dyDescent="0.4">
      <c r="L336"/>
      <c r="M336"/>
    </row>
    <row r="337" spans="12:13" x14ac:dyDescent="0.4">
      <c r="L337"/>
      <c r="M337"/>
    </row>
    <row r="338" spans="12:13" x14ac:dyDescent="0.4">
      <c r="L338"/>
      <c r="M338"/>
    </row>
    <row r="339" spans="12:13" x14ac:dyDescent="0.4">
      <c r="L339"/>
      <c r="M339"/>
    </row>
    <row r="340" spans="12:13" x14ac:dyDescent="0.4">
      <c r="L340"/>
      <c r="M340"/>
    </row>
    <row r="341" spans="12:13" x14ac:dyDescent="0.4">
      <c r="L341"/>
      <c r="M341"/>
    </row>
    <row r="342" spans="12:13" x14ac:dyDescent="0.4">
      <c r="L342"/>
      <c r="M342"/>
    </row>
    <row r="343" spans="12:13" x14ac:dyDescent="0.4">
      <c r="L343"/>
      <c r="M343"/>
    </row>
    <row r="344" spans="12:13" x14ac:dyDescent="0.4">
      <c r="L344"/>
      <c r="M344"/>
    </row>
    <row r="345" spans="12:13" x14ac:dyDescent="0.4">
      <c r="L345"/>
      <c r="M345"/>
    </row>
    <row r="346" spans="12:13" x14ac:dyDescent="0.4">
      <c r="L346"/>
      <c r="M346"/>
    </row>
    <row r="347" spans="12:13" x14ac:dyDescent="0.4">
      <c r="L347"/>
      <c r="M347"/>
    </row>
    <row r="348" spans="12:13" x14ac:dyDescent="0.4">
      <c r="L348"/>
      <c r="M348"/>
    </row>
    <row r="349" spans="12:13" x14ac:dyDescent="0.4">
      <c r="L349"/>
      <c r="M349"/>
    </row>
    <row r="350" spans="12:13" x14ac:dyDescent="0.4">
      <c r="L350"/>
      <c r="M350"/>
    </row>
    <row r="351" spans="12:13" x14ac:dyDescent="0.4">
      <c r="L351"/>
      <c r="M351"/>
    </row>
    <row r="352" spans="12:13" x14ac:dyDescent="0.4">
      <c r="L352"/>
      <c r="M352"/>
    </row>
    <row r="353" spans="12:13" x14ac:dyDescent="0.4">
      <c r="L353"/>
      <c r="M353"/>
    </row>
    <row r="354" spans="12:13" x14ac:dyDescent="0.4">
      <c r="L354"/>
      <c r="M354"/>
    </row>
    <row r="355" spans="12:13" x14ac:dyDescent="0.4">
      <c r="L355"/>
      <c r="M355"/>
    </row>
    <row r="356" spans="12:13" x14ac:dyDescent="0.4">
      <c r="L356"/>
      <c r="M356"/>
    </row>
    <row r="357" spans="12:13" x14ac:dyDescent="0.4">
      <c r="L357"/>
      <c r="M357"/>
    </row>
    <row r="358" spans="12:13" x14ac:dyDescent="0.4">
      <c r="L358"/>
      <c r="M358"/>
    </row>
    <row r="359" spans="12:13" x14ac:dyDescent="0.4">
      <c r="L359"/>
      <c r="M359"/>
    </row>
    <row r="360" spans="12:13" x14ac:dyDescent="0.4">
      <c r="L360"/>
      <c r="M360"/>
    </row>
    <row r="361" spans="12:13" x14ac:dyDescent="0.4">
      <c r="L361"/>
      <c r="M361"/>
    </row>
    <row r="362" spans="12:13" x14ac:dyDescent="0.4">
      <c r="L362"/>
      <c r="M362"/>
    </row>
    <row r="363" spans="12:13" x14ac:dyDescent="0.4">
      <c r="L363"/>
      <c r="M363"/>
    </row>
    <row r="364" spans="12:13" x14ac:dyDescent="0.4">
      <c r="L364"/>
      <c r="M364"/>
    </row>
    <row r="365" spans="12:13" x14ac:dyDescent="0.4">
      <c r="L365"/>
      <c r="M365"/>
    </row>
    <row r="366" spans="12:13" x14ac:dyDescent="0.4">
      <c r="L366"/>
      <c r="M366"/>
    </row>
    <row r="367" spans="12:13" x14ac:dyDescent="0.4">
      <c r="L367"/>
      <c r="M367"/>
    </row>
    <row r="368" spans="12:13" x14ac:dyDescent="0.4">
      <c r="L368"/>
      <c r="M368"/>
    </row>
    <row r="369" spans="12:13" x14ac:dyDescent="0.4">
      <c r="L369"/>
      <c r="M369"/>
    </row>
    <row r="370" spans="12:13" x14ac:dyDescent="0.4">
      <c r="L370"/>
      <c r="M370"/>
    </row>
    <row r="371" spans="12:13" x14ac:dyDescent="0.4">
      <c r="L371"/>
      <c r="M371"/>
    </row>
    <row r="372" spans="12:13" x14ac:dyDescent="0.4">
      <c r="L372"/>
      <c r="M372"/>
    </row>
    <row r="373" spans="12:13" x14ac:dyDescent="0.4">
      <c r="L373"/>
      <c r="M373"/>
    </row>
    <row r="374" spans="12:13" x14ac:dyDescent="0.4">
      <c r="L374"/>
      <c r="M374"/>
    </row>
    <row r="375" spans="12:13" x14ac:dyDescent="0.4">
      <c r="L375"/>
      <c r="M375"/>
    </row>
    <row r="376" spans="12:13" x14ac:dyDescent="0.4">
      <c r="L376"/>
      <c r="M376"/>
    </row>
    <row r="377" spans="12:13" x14ac:dyDescent="0.4">
      <c r="L377"/>
      <c r="M377"/>
    </row>
    <row r="378" spans="12:13" x14ac:dyDescent="0.4">
      <c r="L378"/>
      <c r="M378"/>
    </row>
    <row r="379" spans="12:13" x14ac:dyDescent="0.4">
      <c r="L379"/>
      <c r="M379"/>
    </row>
    <row r="380" spans="12:13" x14ac:dyDescent="0.4">
      <c r="L380"/>
      <c r="M380"/>
    </row>
    <row r="381" spans="12:13" x14ac:dyDescent="0.4">
      <c r="L381"/>
      <c r="M381"/>
    </row>
    <row r="382" spans="12:13" x14ac:dyDescent="0.4">
      <c r="L382"/>
      <c r="M382"/>
    </row>
    <row r="383" spans="12:13" x14ac:dyDescent="0.4">
      <c r="L383"/>
      <c r="M383"/>
    </row>
    <row r="384" spans="12:13" x14ac:dyDescent="0.4">
      <c r="L384"/>
      <c r="M384"/>
    </row>
    <row r="385" spans="12:13" x14ac:dyDescent="0.4">
      <c r="L385"/>
      <c r="M385"/>
    </row>
    <row r="386" spans="12:13" x14ac:dyDescent="0.4">
      <c r="L386"/>
      <c r="M386"/>
    </row>
    <row r="387" spans="12:13" x14ac:dyDescent="0.4">
      <c r="L387"/>
      <c r="M387"/>
    </row>
    <row r="388" spans="12:13" x14ac:dyDescent="0.4">
      <c r="L388"/>
      <c r="M388"/>
    </row>
    <row r="389" spans="12:13" x14ac:dyDescent="0.4">
      <c r="L389"/>
      <c r="M389"/>
    </row>
    <row r="390" spans="12:13" x14ac:dyDescent="0.4">
      <c r="L390"/>
      <c r="M390"/>
    </row>
    <row r="391" spans="12:13" x14ac:dyDescent="0.4">
      <c r="L391"/>
      <c r="M391"/>
    </row>
    <row r="392" spans="12:13" x14ac:dyDescent="0.4">
      <c r="L392"/>
      <c r="M392"/>
    </row>
    <row r="393" spans="12:13" x14ac:dyDescent="0.4">
      <c r="L393"/>
      <c r="M393"/>
    </row>
    <row r="394" spans="12:13" x14ac:dyDescent="0.4">
      <c r="L394"/>
      <c r="M394"/>
    </row>
    <row r="395" spans="12:13" x14ac:dyDescent="0.4">
      <c r="L395"/>
      <c r="M395"/>
    </row>
    <row r="396" spans="12:13" x14ac:dyDescent="0.4">
      <c r="L396"/>
      <c r="M396"/>
    </row>
    <row r="397" spans="12:13" x14ac:dyDescent="0.4">
      <c r="L397"/>
      <c r="M397"/>
    </row>
    <row r="398" spans="12:13" x14ac:dyDescent="0.4">
      <c r="L398"/>
      <c r="M398"/>
    </row>
    <row r="399" spans="12:13" x14ac:dyDescent="0.4">
      <c r="L399"/>
      <c r="M399"/>
    </row>
    <row r="400" spans="12:13" x14ac:dyDescent="0.4">
      <c r="L400"/>
      <c r="M400"/>
    </row>
    <row r="401" spans="12:13" x14ac:dyDescent="0.4">
      <c r="L401"/>
      <c r="M401"/>
    </row>
    <row r="402" spans="12:13" x14ac:dyDescent="0.4">
      <c r="L402"/>
      <c r="M402"/>
    </row>
    <row r="403" spans="12:13" x14ac:dyDescent="0.4">
      <c r="L403"/>
      <c r="M403"/>
    </row>
    <row r="404" spans="12:13" x14ac:dyDescent="0.4">
      <c r="L404"/>
      <c r="M404"/>
    </row>
    <row r="405" spans="12:13" x14ac:dyDescent="0.4">
      <c r="L405"/>
      <c r="M405"/>
    </row>
    <row r="406" spans="12:13" x14ac:dyDescent="0.4">
      <c r="L406"/>
      <c r="M406"/>
    </row>
    <row r="407" spans="12:13" x14ac:dyDescent="0.4">
      <c r="L407"/>
      <c r="M407"/>
    </row>
    <row r="408" spans="12:13" x14ac:dyDescent="0.4">
      <c r="L408"/>
      <c r="M408"/>
    </row>
    <row r="409" spans="12:13" x14ac:dyDescent="0.4">
      <c r="L409"/>
      <c r="M409"/>
    </row>
    <row r="410" spans="12:13" x14ac:dyDescent="0.4">
      <c r="L410"/>
      <c r="M410"/>
    </row>
    <row r="411" spans="12:13" x14ac:dyDescent="0.4">
      <c r="L411"/>
      <c r="M411"/>
    </row>
    <row r="412" spans="12:13" x14ac:dyDescent="0.4">
      <c r="L412"/>
      <c r="M412"/>
    </row>
    <row r="413" spans="12:13" x14ac:dyDescent="0.4">
      <c r="L413"/>
      <c r="M413"/>
    </row>
    <row r="414" spans="12:13" x14ac:dyDescent="0.4">
      <c r="L414"/>
      <c r="M414"/>
    </row>
    <row r="415" spans="12:13" x14ac:dyDescent="0.4">
      <c r="L415"/>
      <c r="M415"/>
    </row>
    <row r="416" spans="12:13" x14ac:dyDescent="0.4">
      <c r="L416"/>
      <c r="M416"/>
    </row>
    <row r="417" spans="12:13" x14ac:dyDescent="0.4">
      <c r="L417"/>
      <c r="M4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306"/>
  <sheetViews>
    <sheetView zoomScale="55" zoomScaleNormal="55" workbookViewId="0">
      <selection activeCell="C267" sqref="C267"/>
    </sheetView>
  </sheetViews>
  <sheetFormatPr defaultColWidth="11.8984375" defaultRowHeight="17.399999999999999" x14ac:dyDescent="0.4"/>
  <cols>
    <col min="1" max="1" width="11.59765625" bestFit="1" customWidth="1"/>
    <col min="2" max="2" width="9.8984375" style="49" bestFit="1" customWidth="1"/>
    <col min="3" max="3" width="132.3984375" style="50" bestFit="1" customWidth="1"/>
  </cols>
  <sheetData>
    <row r="1" spans="1:7" x14ac:dyDescent="0.4">
      <c r="A1" s="4" t="s">
        <v>12</v>
      </c>
      <c r="B1" s="4" t="s">
        <v>2692</v>
      </c>
      <c r="C1" s="4" t="s">
        <v>243</v>
      </c>
      <c r="D1" s="4" t="s">
        <v>3526</v>
      </c>
      <c r="E1" s="4" t="s">
        <v>1</v>
      </c>
      <c r="F1" s="44" t="s">
        <v>15</v>
      </c>
      <c r="G1" s="44" t="s">
        <v>4920</v>
      </c>
    </row>
    <row r="2" spans="1:7" x14ac:dyDescent="0.4">
      <c r="A2" s="14" t="s">
        <v>2953</v>
      </c>
      <c r="B2" s="15">
        <v>1</v>
      </c>
      <c r="C2" s="17" t="s">
        <v>2954</v>
      </c>
      <c r="D2" s="14">
        <v>25000</v>
      </c>
      <c r="E2" s="45" t="s">
        <v>3567</v>
      </c>
      <c r="F2" s="52">
        <v>11250</v>
      </c>
      <c r="G2" s="46">
        <f t="shared" ref="G2:G4" si="0">IF(E2="품목별",F2,D2*B2*E2)</f>
        <v>11250</v>
      </c>
    </row>
    <row r="3" spans="1:7" x14ac:dyDescent="0.4">
      <c r="A3" s="14" t="s">
        <v>3687</v>
      </c>
      <c r="B3" s="15">
        <v>96</v>
      </c>
      <c r="C3" s="17" t="s">
        <v>3688</v>
      </c>
      <c r="D3" s="14">
        <v>24000</v>
      </c>
      <c r="E3" s="45" t="s">
        <v>3567</v>
      </c>
      <c r="F3" s="52">
        <v>11520</v>
      </c>
      <c r="G3" s="14">
        <f t="shared" si="0"/>
        <v>11520</v>
      </c>
    </row>
    <row r="4" spans="1:7" x14ac:dyDescent="0.4">
      <c r="A4" s="14" t="s">
        <v>2956</v>
      </c>
      <c r="B4" s="15">
        <v>1</v>
      </c>
      <c r="C4" s="17" t="s">
        <v>2957</v>
      </c>
      <c r="D4" s="14">
        <v>40000</v>
      </c>
      <c r="E4" s="45" t="s">
        <v>3567</v>
      </c>
      <c r="F4" s="52">
        <v>13600</v>
      </c>
      <c r="G4" s="14">
        <f t="shared" si="0"/>
        <v>13600</v>
      </c>
    </row>
    <row r="5" spans="1:7" x14ac:dyDescent="0.4">
      <c r="A5" s="14"/>
      <c r="B5" s="15"/>
      <c r="C5" s="17"/>
      <c r="D5" s="14"/>
      <c r="E5" s="14"/>
      <c r="F5" s="14"/>
      <c r="G5" s="14"/>
    </row>
    <row r="6" spans="1:7" x14ac:dyDescent="0.4">
      <c r="A6" s="14"/>
      <c r="B6" s="47">
        <v>98</v>
      </c>
      <c r="C6" s="17"/>
      <c r="D6" s="14"/>
      <c r="E6" s="14"/>
      <c r="F6" s="14"/>
      <c r="G6" s="48">
        <v>36370</v>
      </c>
    </row>
    <row r="10" spans="1:7" x14ac:dyDescent="0.4">
      <c r="A10" s="4" t="s">
        <v>12</v>
      </c>
      <c r="B10" s="4" t="s">
        <v>2692</v>
      </c>
      <c r="C10" s="4" t="s">
        <v>42</v>
      </c>
      <c r="D10" s="4" t="s">
        <v>3526</v>
      </c>
      <c r="E10" s="4" t="s">
        <v>1</v>
      </c>
      <c r="F10" s="44" t="s">
        <v>15</v>
      </c>
      <c r="G10" s="44" t="s">
        <v>4920</v>
      </c>
    </row>
    <row r="11" spans="1:7" x14ac:dyDescent="0.4">
      <c r="A11" s="14" t="s">
        <v>3584</v>
      </c>
      <c r="B11" s="15">
        <v>3</v>
      </c>
      <c r="C11" s="16" t="s">
        <v>3586</v>
      </c>
      <c r="D11" s="14">
        <v>15900</v>
      </c>
      <c r="E11" s="45" t="s">
        <v>3567</v>
      </c>
      <c r="F11" s="52">
        <v>8510</v>
      </c>
      <c r="G11" s="46">
        <f t="shared" ref="G11:G34" si="1">IF(E11="품목별",F11,D11*B11*E11)</f>
        <v>8510</v>
      </c>
    </row>
    <row r="12" spans="1:7" x14ac:dyDescent="0.4">
      <c r="A12" s="14" t="s">
        <v>3605</v>
      </c>
      <c r="B12" s="15">
        <v>2</v>
      </c>
      <c r="C12" s="16" t="s">
        <v>3606</v>
      </c>
      <c r="D12" s="14">
        <v>1000</v>
      </c>
      <c r="E12" s="45" t="s">
        <v>3567</v>
      </c>
      <c r="F12" s="52">
        <v>350</v>
      </c>
      <c r="G12" s="14">
        <f t="shared" si="1"/>
        <v>350</v>
      </c>
    </row>
    <row r="13" spans="1:7" x14ac:dyDescent="0.4">
      <c r="A13" s="14" t="s">
        <v>3608</v>
      </c>
      <c r="B13" s="15">
        <v>3</v>
      </c>
      <c r="C13" s="16" t="s">
        <v>3609</v>
      </c>
      <c r="D13" s="14">
        <v>1000</v>
      </c>
      <c r="E13" s="45" t="s">
        <v>3567</v>
      </c>
      <c r="F13" s="52">
        <v>350</v>
      </c>
      <c r="G13" s="14">
        <f t="shared" si="1"/>
        <v>350</v>
      </c>
    </row>
    <row r="14" spans="1:7" x14ac:dyDescent="0.4">
      <c r="A14" s="14" t="s">
        <v>3611</v>
      </c>
      <c r="B14" s="15">
        <v>5</v>
      </c>
      <c r="C14" s="16" t="s">
        <v>3612</v>
      </c>
      <c r="D14" s="14">
        <v>1000</v>
      </c>
      <c r="E14" s="45" t="s">
        <v>3567</v>
      </c>
      <c r="F14" s="52">
        <v>350</v>
      </c>
      <c r="G14" s="14">
        <f t="shared" si="1"/>
        <v>350</v>
      </c>
    </row>
    <row r="15" spans="1:7" x14ac:dyDescent="0.4">
      <c r="A15" s="14" t="s">
        <v>3614</v>
      </c>
      <c r="B15" s="15">
        <v>1</v>
      </c>
      <c r="C15" s="16" t="s">
        <v>3615</v>
      </c>
      <c r="D15" s="14">
        <v>1000</v>
      </c>
      <c r="E15" s="45" t="s">
        <v>3567</v>
      </c>
      <c r="F15" s="52">
        <v>350</v>
      </c>
      <c r="G15" s="14">
        <f t="shared" si="1"/>
        <v>350</v>
      </c>
    </row>
    <row r="16" spans="1:7" x14ac:dyDescent="0.4">
      <c r="A16" s="14" t="s">
        <v>3617</v>
      </c>
      <c r="B16" s="15">
        <v>3</v>
      </c>
      <c r="C16" s="16" t="s">
        <v>3618</v>
      </c>
      <c r="D16" s="14">
        <v>1000</v>
      </c>
      <c r="E16" s="45" t="s">
        <v>3567</v>
      </c>
      <c r="F16" s="52">
        <v>350</v>
      </c>
      <c r="G16" s="14">
        <f t="shared" si="1"/>
        <v>350</v>
      </c>
    </row>
    <row r="17" spans="1:7" x14ac:dyDescent="0.4">
      <c r="A17" s="14" t="s">
        <v>3620</v>
      </c>
      <c r="B17" s="15">
        <v>1</v>
      </c>
      <c r="C17" s="16" t="s">
        <v>3621</v>
      </c>
      <c r="D17" s="14">
        <v>5000</v>
      </c>
      <c r="E17" s="45" t="s">
        <v>3567</v>
      </c>
      <c r="F17" s="52">
        <v>1750</v>
      </c>
      <c r="G17" s="14">
        <f t="shared" si="1"/>
        <v>1750</v>
      </c>
    </row>
    <row r="18" spans="1:7" x14ac:dyDescent="0.4">
      <c r="A18" s="14" t="s">
        <v>2964</v>
      </c>
      <c r="B18" s="15">
        <v>1</v>
      </c>
      <c r="C18" s="17" t="s">
        <v>2965</v>
      </c>
      <c r="D18" s="14">
        <v>12000</v>
      </c>
      <c r="E18" s="45" t="s">
        <v>3567</v>
      </c>
      <c r="F18" s="52">
        <v>6600</v>
      </c>
      <c r="G18" s="14">
        <f t="shared" si="1"/>
        <v>6600</v>
      </c>
    </row>
    <row r="19" spans="1:7" x14ac:dyDescent="0.4">
      <c r="A19" s="14" t="s">
        <v>2967</v>
      </c>
      <c r="B19" s="15">
        <v>1</v>
      </c>
      <c r="C19" s="17" t="s">
        <v>2968</v>
      </c>
      <c r="D19" s="14">
        <v>12000</v>
      </c>
      <c r="E19" s="45" t="s">
        <v>3567</v>
      </c>
      <c r="F19" s="52">
        <v>6600</v>
      </c>
      <c r="G19" s="14">
        <f t="shared" si="1"/>
        <v>6600</v>
      </c>
    </row>
    <row r="20" spans="1:7" x14ac:dyDescent="0.4">
      <c r="A20" s="14" t="s">
        <v>2969</v>
      </c>
      <c r="B20" s="15">
        <v>1</v>
      </c>
      <c r="C20" s="17" t="s">
        <v>2970</v>
      </c>
      <c r="D20" s="14">
        <v>16000</v>
      </c>
      <c r="E20" s="45" t="s">
        <v>3567</v>
      </c>
      <c r="F20" s="52">
        <v>8800</v>
      </c>
      <c r="G20" s="14">
        <f t="shared" si="1"/>
        <v>8800</v>
      </c>
    </row>
    <row r="21" spans="1:7" x14ac:dyDescent="0.4">
      <c r="A21" s="14" t="s">
        <v>2971</v>
      </c>
      <c r="B21" s="15">
        <v>12</v>
      </c>
      <c r="C21" s="17" t="s">
        <v>2972</v>
      </c>
      <c r="D21" s="14">
        <v>20000</v>
      </c>
      <c r="E21" s="45" t="s">
        <v>3567</v>
      </c>
      <c r="F21" s="52">
        <v>7000</v>
      </c>
      <c r="G21" s="14">
        <f t="shared" si="1"/>
        <v>7000</v>
      </c>
    </row>
    <row r="22" spans="1:7" x14ac:dyDescent="0.4">
      <c r="A22" s="14" t="s">
        <v>2973</v>
      </c>
      <c r="B22" s="15">
        <v>1</v>
      </c>
      <c r="C22" s="17" t="s">
        <v>2974</v>
      </c>
      <c r="D22" s="14">
        <v>7000</v>
      </c>
      <c r="E22" s="45" t="s">
        <v>3567</v>
      </c>
      <c r="F22" s="52">
        <v>2450</v>
      </c>
      <c r="G22" s="14">
        <f t="shared" si="1"/>
        <v>2450</v>
      </c>
    </row>
    <row r="23" spans="1:7" x14ac:dyDescent="0.4">
      <c r="A23" s="14" t="s">
        <v>4191</v>
      </c>
      <c r="B23" s="15">
        <v>2</v>
      </c>
      <c r="C23" s="17" t="s">
        <v>4192</v>
      </c>
      <c r="D23" s="14">
        <v>25000</v>
      </c>
      <c r="E23" s="45" t="s">
        <v>3567</v>
      </c>
      <c r="F23" s="52">
        <v>8750</v>
      </c>
      <c r="G23" s="14">
        <f t="shared" si="1"/>
        <v>8750</v>
      </c>
    </row>
    <row r="24" spans="1:7" x14ac:dyDescent="0.4">
      <c r="A24" s="14" t="s">
        <v>2981</v>
      </c>
      <c r="B24" s="15">
        <v>1</v>
      </c>
      <c r="C24" s="17" t="s">
        <v>2982</v>
      </c>
      <c r="D24" s="14">
        <v>14000</v>
      </c>
      <c r="E24" s="45" t="s">
        <v>3567</v>
      </c>
      <c r="F24" s="52">
        <v>4900</v>
      </c>
      <c r="G24" s="14">
        <f t="shared" si="1"/>
        <v>4900</v>
      </c>
    </row>
    <row r="25" spans="1:7" x14ac:dyDescent="0.4">
      <c r="A25" s="14" t="s">
        <v>2983</v>
      </c>
      <c r="B25" s="15">
        <v>1</v>
      </c>
      <c r="C25" s="17" t="s">
        <v>2984</v>
      </c>
      <c r="D25" s="14">
        <v>14000</v>
      </c>
      <c r="E25" s="45" t="s">
        <v>3567</v>
      </c>
      <c r="F25" s="52">
        <v>4900</v>
      </c>
      <c r="G25" s="14">
        <f t="shared" si="1"/>
        <v>4900</v>
      </c>
    </row>
    <row r="26" spans="1:7" x14ac:dyDescent="0.4">
      <c r="A26" s="14" t="s">
        <v>4438</v>
      </c>
      <c r="B26" s="15">
        <v>1</v>
      </c>
      <c r="C26" s="17" t="s">
        <v>4439</v>
      </c>
      <c r="D26" s="14">
        <v>3500</v>
      </c>
      <c r="E26" s="45" t="s">
        <v>3567</v>
      </c>
      <c r="F26" s="52">
        <v>1330</v>
      </c>
      <c r="G26" s="14">
        <f t="shared" si="1"/>
        <v>1330</v>
      </c>
    </row>
    <row r="27" spans="1:7" x14ac:dyDescent="0.4">
      <c r="A27" s="14" t="s">
        <v>4441</v>
      </c>
      <c r="B27" s="15">
        <v>4</v>
      </c>
      <c r="C27" s="17" t="s">
        <v>4443</v>
      </c>
      <c r="D27" s="14">
        <v>26000</v>
      </c>
      <c r="E27" s="45" t="s">
        <v>3567</v>
      </c>
      <c r="F27" s="52">
        <v>5100</v>
      </c>
      <c r="G27" s="14">
        <f t="shared" si="1"/>
        <v>5100</v>
      </c>
    </row>
    <row r="28" spans="1:7" x14ac:dyDescent="0.4">
      <c r="A28" s="14" t="s">
        <v>4744</v>
      </c>
      <c r="B28" s="15">
        <v>1</v>
      </c>
      <c r="C28" s="17" t="s">
        <v>4745</v>
      </c>
      <c r="D28" s="14">
        <v>23000</v>
      </c>
      <c r="E28" s="45" t="s">
        <v>3567</v>
      </c>
      <c r="F28" s="52">
        <v>12650</v>
      </c>
      <c r="G28" s="14">
        <f t="shared" si="1"/>
        <v>12650</v>
      </c>
    </row>
    <row r="29" spans="1:7" x14ac:dyDescent="0.4">
      <c r="A29" s="14" t="s">
        <v>2991</v>
      </c>
      <c r="B29" s="15">
        <v>1</v>
      </c>
      <c r="C29" s="17" t="s">
        <v>2992</v>
      </c>
      <c r="D29" s="14">
        <v>13000</v>
      </c>
      <c r="E29" s="45" t="s">
        <v>3567</v>
      </c>
      <c r="F29" s="52">
        <v>7150</v>
      </c>
      <c r="G29" s="14">
        <f t="shared" si="1"/>
        <v>7150</v>
      </c>
    </row>
    <row r="30" spans="1:7" x14ac:dyDescent="0.4">
      <c r="A30" s="14" t="s">
        <v>4822</v>
      </c>
      <c r="B30" s="15">
        <v>1</v>
      </c>
      <c r="C30" s="17" t="s">
        <v>4824</v>
      </c>
      <c r="D30" s="14">
        <v>9900</v>
      </c>
      <c r="E30" s="45" t="s">
        <v>3567</v>
      </c>
      <c r="F30" s="52">
        <v>4554</v>
      </c>
      <c r="G30" s="14">
        <f t="shared" si="1"/>
        <v>4554</v>
      </c>
    </row>
    <row r="31" spans="1:7" x14ac:dyDescent="0.4">
      <c r="A31" s="14" t="s">
        <v>4837</v>
      </c>
      <c r="B31" s="15">
        <v>1</v>
      </c>
      <c r="C31" s="17" t="s">
        <v>4839</v>
      </c>
      <c r="D31" s="14">
        <v>18000</v>
      </c>
      <c r="E31" s="45" t="s">
        <v>3567</v>
      </c>
      <c r="F31" s="52">
        <v>9000</v>
      </c>
      <c r="G31" s="14">
        <f t="shared" si="1"/>
        <v>9000</v>
      </c>
    </row>
    <row r="32" spans="1:7" x14ac:dyDescent="0.4">
      <c r="A32" s="14" t="s">
        <v>4841</v>
      </c>
      <c r="B32" s="15">
        <v>1</v>
      </c>
      <c r="C32" s="17" t="s">
        <v>4843</v>
      </c>
      <c r="D32" s="14">
        <v>28000</v>
      </c>
      <c r="E32" s="45" t="s">
        <v>3567</v>
      </c>
      <c r="F32" s="52">
        <v>14000</v>
      </c>
      <c r="G32" s="14">
        <f t="shared" si="1"/>
        <v>14000</v>
      </c>
    </row>
    <row r="33" spans="1:7" x14ac:dyDescent="0.4">
      <c r="A33" s="14" t="s">
        <v>4845</v>
      </c>
      <c r="B33" s="15">
        <v>1</v>
      </c>
      <c r="C33" s="17" t="s">
        <v>4847</v>
      </c>
      <c r="D33" s="14">
        <v>25000</v>
      </c>
      <c r="E33" s="45" t="s">
        <v>3567</v>
      </c>
      <c r="F33" s="52">
        <v>12500</v>
      </c>
      <c r="G33" s="14">
        <f t="shared" si="1"/>
        <v>12500</v>
      </c>
    </row>
    <row r="34" spans="1:7" x14ac:dyDescent="0.4">
      <c r="A34" s="14" t="s">
        <v>4849</v>
      </c>
      <c r="B34" s="15">
        <v>1</v>
      </c>
      <c r="C34" s="17" t="s">
        <v>4851</v>
      </c>
      <c r="D34" s="14">
        <v>32000</v>
      </c>
      <c r="E34" s="45" t="s">
        <v>3567</v>
      </c>
      <c r="F34" s="52">
        <v>16000</v>
      </c>
      <c r="G34" s="14">
        <f t="shared" si="1"/>
        <v>16000</v>
      </c>
    </row>
    <row r="35" spans="1:7" x14ac:dyDescent="0.4">
      <c r="A35" s="14"/>
      <c r="B35" s="15"/>
      <c r="C35" s="17"/>
      <c r="D35" s="14"/>
      <c r="E35" s="14"/>
      <c r="F35" s="14"/>
      <c r="G35" s="14"/>
    </row>
    <row r="36" spans="1:7" x14ac:dyDescent="0.4">
      <c r="A36" s="14"/>
      <c r="B36" s="47">
        <v>50</v>
      </c>
      <c r="C36" s="17"/>
      <c r="D36" s="14"/>
      <c r="E36" s="14"/>
      <c r="F36" s="14"/>
      <c r="G36" s="48">
        <v>144294</v>
      </c>
    </row>
    <row r="40" spans="1:7" x14ac:dyDescent="0.4">
      <c r="A40" s="4" t="s">
        <v>12</v>
      </c>
      <c r="B40" s="4" t="s">
        <v>2692</v>
      </c>
      <c r="C40" s="4" t="s">
        <v>4929</v>
      </c>
      <c r="D40" s="4" t="s">
        <v>3526</v>
      </c>
      <c r="E40" s="4" t="s">
        <v>1</v>
      </c>
      <c r="F40" s="44" t="s">
        <v>15</v>
      </c>
      <c r="G40" s="44" t="s">
        <v>4920</v>
      </c>
    </row>
    <row r="41" spans="1:7" x14ac:dyDescent="0.4">
      <c r="A41" s="14" t="s">
        <v>4056</v>
      </c>
      <c r="B41" s="15">
        <v>1</v>
      </c>
      <c r="C41" s="17" t="s">
        <v>4058</v>
      </c>
      <c r="D41" s="14">
        <v>40000</v>
      </c>
      <c r="E41" s="45">
        <v>0.65</v>
      </c>
      <c r="F41" s="14">
        <v>26000</v>
      </c>
      <c r="G41" s="46">
        <f t="shared" ref="G41:G54" si="2">IF(E41="품목별",F41,D41*B41*E41)</f>
        <v>26000</v>
      </c>
    </row>
    <row r="42" spans="1:7" x14ac:dyDescent="0.4">
      <c r="A42" s="14" t="s">
        <v>4062</v>
      </c>
      <c r="B42" s="15">
        <v>1</v>
      </c>
      <c r="C42" s="17" t="s">
        <v>4064</v>
      </c>
      <c r="D42" s="14">
        <v>40000</v>
      </c>
      <c r="E42" s="45">
        <v>0.65</v>
      </c>
      <c r="F42" s="14">
        <v>26000</v>
      </c>
      <c r="G42" s="14">
        <f t="shared" si="2"/>
        <v>26000</v>
      </c>
    </row>
    <row r="43" spans="1:7" x14ac:dyDescent="0.4">
      <c r="A43" s="14" t="s">
        <v>4066</v>
      </c>
      <c r="B43" s="15">
        <v>1</v>
      </c>
      <c r="C43" s="17" t="s">
        <v>4068</v>
      </c>
      <c r="D43" s="14">
        <v>30000</v>
      </c>
      <c r="E43" s="45">
        <v>0.65</v>
      </c>
      <c r="F43" s="14">
        <v>19500</v>
      </c>
      <c r="G43" s="14">
        <f t="shared" si="2"/>
        <v>19500</v>
      </c>
    </row>
    <row r="44" spans="1:7" x14ac:dyDescent="0.4">
      <c r="A44" s="14" t="s">
        <v>3009</v>
      </c>
      <c r="B44" s="15">
        <v>1</v>
      </c>
      <c r="C44" s="17" t="s">
        <v>3010</v>
      </c>
      <c r="D44" s="14">
        <v>50000</v>
      </c>
      <c r="E44" s="45">
        <v>0.65</v>
      </c>
      <c r="F44" s="14">
        <v>32500</v>
      </c>
      <c r="G44" s="14">
        <f t="shared" si="2"/>
        <v>32500</v>
      </c>
    </row>
    <row r="45" spans="1:7" x14ac:dyDescent="0.4">
      <c r="A45" s="14" t="s">
        <v>3011</v>
      </c>
      <c r="B45" s="15">
        <v>1</v>
      </c>
      <c r="C45" s="17" t="s">
        <v>3012</v>
      </c>
      <c r="D45" s="14">
        <v>118000</v>
      </c>
      <c r="E45" s="45">
        <v>0.65</v>
      </c>
      <c r="F45" s="14">
        <v>76700</v>
      </c>
      <c r="G45" s="14">
        <f t="shared" si="2"/>
        <v>76700</v>
      </c>
    </row>
    <row r="46" spans="1:7" x14ac:dyDescent="0.4">
      <c r="A46" s="14" t="s">
        <v>744</v>
      </c>
      <c r="B46" s="15">
        <v>3</v>
      </c>
      <c r="C46" s="17" t="s">
        <v>745</v>
      </c>
      <c r="D46" s="14">
        <v>85000</v>
      </c>
      <c r="E46" s="45">
        <v>0.65</v>
      </c>
      <c r="F46" s="14">
        <v>55250</v>
      </c>
      <c r="G46" s="14">
        <f t="shared" si="2"/>
        <v>165750</v>
      </c>
    </row>
    <row r="47" spans="1:7" x14ac:dyDescent="0.4">
      <c r="A47" s="14" t="s">
        <v>4854</v>
      </c>
      <c r="B47" s="15">
        <v>1</v>
      </c>
      <c r="C47" s="17" t="s">
        <v>4855</v>
      </c>
      <c r="D47" s="14">
        <v>32000</v>
      </c>
      <c r="E47" s="45">
        <v>0.65</v>
      </c>
      <c r="F47" s="14">
        <v>20800</v>
      </c>
      <c r="G47" s="14">
        <f t="shared" si="2"/>
        <v>20800</v>
      </c>
    </row>
    <row r="48" spans="1:7" x14ac:dyDescent="0.4">
      <c r="A48" s="14" t="s">
        <v>2259</v>
      </c>
      <c r="B48" s="15">
        <v>4</v>
      </c>
      <c r="C48" s="17" t="s">
        <v>2261</v>
      </c>
      <c r="D48" s="14">
        <v>30000</v>
      </c>
      <c r="E48" s="45">
        <v>0.65</v>
      </c>
      <c r="F48" s="14">
        <v>19500</v>
      </c>
      <c r="G48" s="14">
        <f t="shared" si="2"/>
        <v>78000</v>
      </c>
    </row>
    <row r="49" spans="1:7" x14ac:dyDescent="0.4">
      <c r="A49" s="14" t="s">
        <v>782</v>
      </c>
      <c r="B49" s="15">
        <v>1</v>
      </c>
      <c r="C49" s="17" t="s">
        <v>783</v>
      </c>
      <c r="D49" s="14">
        <v>28000</v>
      </c>
      <c r="E49" s="45">
        <v>0.65</v>
      </c>
      <c r="F49" s="14">
        <v>18200</v>
      </c>
      <c r="G49" s="14">
        <f t="shared" si="2"/>
        <v>18200</v>
      </c>
    </row>
    <row r="50" spans="1:7" x14ac:dyDescent="0.4">
      <c r="A50" s="14" t="s">
        <v>2321</v>
      </c>
      <c r="B50" s="15">
        <v>2</v>
      </c>
      <c r="C50" s="17" t="s">
        <v>2322</v>
      </c>
      <c r="D50" s="14">
        <v>68000</v>
      </c>
      <c r="E50" s="45">
        <v>0.65</v>
      </c>
      <c r="F50" s="14">
        <v>44200</v>
      </c>
      <c r="G50" s="14">
        <f t="shared" si="2"/>
        <v>88400</v>
      </c>
    </row>
    <row r="51" spans="1:7" x14ac:dyDescent="0.4">
      <c r="A51" s="14" t="s">
        <v>4864</v>
      </c>
      <c r="B51" s="15">
        <v>1</v>
      </c>
      <c r="C51" s="17" t="s">
        <v>4865</v>
      </c>
      <c r="D51" s="14">
        <v>65000</v>
      </c>
      <c r="E51" s="45">
        <v>0.65</v>
      </c>
      <c r="F51" s="14">
        <v>42250</v>
      </c>
      <c r="G51" s="14">
        <f t="shared" si="2"/>
        <v>42250</v>
      </c>
    </row>
    <row r="52" spans="1:7" x14ac:dyDescent="0.4">
      <c r="A52" s="14" t="s">
        <v>2443</v>
      </c>
      <c r="B52" s="15">
        <v>2</v>
      </c>
      <c r="C52" s="17" t="s">
        <v>2444</v>
      </c>
      <c r="D52" s="14">
        <v>26000</v>
      </c>
      <c r="E52" s="45">
        <v>0.65</v>
      </c>
      <c r="F52" s="14">
        <v>16900</v>
      </c>
      <c r="G52" s="14">
        <f t="shared" si="2"/>
        <v>33800</v>
      </c>
    </row>
    <row r="53" spans="1:7" x14ac:dyDescent="0.4">
      <c r="A53" s="14" t="s">
        <v>2545</v>
      </c>
      <c r="B53" s="15">
        <v>1</v>
      </c>
      <c r="C53" s="17" t="s">
        <v>2546</v>
      </c>
      <c r="D53" s="14">
        <v>50000</v>
      </c>
      <c r="E53" s="45">
        <v>0.65</v>
      </c>
      <c r="F53" s="14">
        <v>32500</v>
      </c>
      <c r="G53" s="14">
        <f t="shared" si="2"/>
        <v>32500</v>
      </c>
    </row>
    <row r="54" spans="1:7" x14ac:dyDescent="0.4">
      <c r="A54" s="14" t="s">
        <v>3019</v>
      </c>
      <c r="B54" s="15">
        <v>1</v>
      </c>
      <c r="C54" s="17" t="s">
        <v>3020</v>
      </c>
      <c r="D54" s="14">
        <v>21000</v>
      </c>
      <c r="E54" s="45">
        <v>0.65</v>
      </c>
      <c r="F54" s="14">
        <v>13650</v>
      </c>
      <c r="G54" s="14">
        <f t="shared" si="2"/>
        <v>13650</v>
      </c>
    </row>
    <row r="55" spans="1:7" x14ac:dyDescent="0.4">
      <c r="A55" s="14"/>
      <c r="B55" s="15"/>
      <c r="C55" s="17"/>
      <c r="D55" s="14"/>
      <c r="E55" s="14"/>
      <c r="F55" s="14"/>
      <c r="G55" s="14"/>
    </row>
    <row r="56" spans="1:7" x14ac:dyDescent="0.4">
      <c r="A56" s="14"/>
      <c r="B56" s="47">
        <v>21</v>
      </c>
      <c r="C56" s="17"/>
      <c r="D56" s="14"/>
      <c r="E56" s="14"/>
      <c r="F56" s="14"/>
      <c r="G56" s="48">
        <v>674050</v>
      </c>
    </row>
    <row r="60" spans="1:7" x14ac:dyDescent="0.4">
      <c r="A60" s="4" t="s">
        <v>12</v>
      </c>
      <c r="B60" s="4" t="s">
        <v>2692</v>
      </c>
      <c r="C60" s="4" t="s">
        <v>4930</v>
      </c>
      <c r="D60" s="4" t="s">
        <v>3526</v>
      </c>
      <c r="E60" s="4" t="s">
        <v>1</v>
      </c>
      <c r="F60" s="44" t="s">
        <v>15</v>
      </c>
      <c r="G60" s="44" t="s">
        <v>4920</v>
      </c>
    </row>
    <row r="61" spans="1:7" x14ac:dyDescent="0.4">
      <c r="A61" s="14" t="s">
        <v>3572</v>
      </c>
      <c r="B61" s="15">
        <v>1</v>
      </c>
      <c r="C61" s="18" t="s">
        <v>3574</v>
      </c>
      <c r="D61" s="14">
        <v>28000</v>
      </c>
      <c r="E61" s="45">
        <v>0.55000000000000004</v>
      </c>
      <c r="F61" s="14">
        <v>15400</v>
      </c>
      <c r="G61" s="46">
        <f t="shared" ref="G61:G123" si="3">IF(E61="품목별",F61,D61*B61*E61)</f>
        <v>15400.000000000002</v>
      </c>
    </row>
    <row r="62" spans="1:7" x14ac:dyDescent="0.4">
      <c r="A62" s="14" t="s">
        <v>3021</v>
      </c>
      <c r="B62" s="15">
        <v>41</v>
      </c>
      <c r="C62" s="18" t="s">
        <v>3022</v>
      </c>
      <c r="D62" s="14">
        <v>25000</v>
      </c>
      <c r="E62" s="45">
        <v>0.55000000000000004</v>
      </c>
      <c r="F62" s="14">
        <v>13750</v>
      </c>
      <c r="G62" s="14">
        <f t="shared" si="3"/>
        <v>563750</v>
      </c>
    </row>
    <row r="63" spans="1:7" x14ac:dyDescent="0.4">
      <c r="A63" s="14" t="s">
        <v>3578</v>
      </c>
      <c r="B63" s="15">
        <v>3</v>
      </c>
      <c r="C63" s="18" t="s">
        <v>3580</v>
      </c>
      <c r="D63" s="14">
        <v>28000</v>
      </c>
      <c r="E63" s="45">
        <v>0.55000000000000004</v>
      </c>
      <c r="F63" s="14">
        <v>15400</v>
      </c>
      <c r="G63" s="14">
        <f t="shared" si="3"/>
        <v>46200.000000000007</v>
      </c>
    </row>
    <row r="64" spans="1:7" x14ac:dyDescent="0.4">
      <c r="A64" s="14" t="s">
        <v>4445</v>
      </c>
      <c r="B64" s="15">
        <v>5</v>
      </c>
      <c r="C64" s="17" t="s">
        <v>4447</v>
      </c>
      <c r="D64" s="14">
        <v>0</v>
      </c>
      <c r="E64" s="45">
        <v>0.55000000000000004</v>
      </c>
      <c r="F64" s="14">
        <v>0</v>
      </c>
      <c r="G64" s="14">
        <f t="shared" si="3"/>
        <v>0</v>
      </c>
    </row>
    <row r="65" spans="1:7" x14ac:dyDescent="0.4">
      <c r="A65" s="14" t="s">
        <v>4449</v>
      </c>
      <c r="B65" s="15">
        <v>3</v>
      </c>
      <c r="C65" s="17" t="s">
        <v>4451</v>
      </c>
      <c r="D65" s="14">
        <v>15000</v>
      </c>
      <c r="E65" s="45">
        <v>0.55000000000000004</v>
      </c>
      <c r="F65" s="14">
        <v>8250</v>
      </c>
      <c r="G65" s="14">
        <f t="shared" si="3"/>
        <v>24750.000000000004</v>
      </c>
    </row>
    <row r="66" spans="1:7" x14ac:dyDescent="0.4">
      <c r="A66" s="14" t="s">
        <v>4453</v>
      </c>
      <c r="B66" s="15">
        <v>1</v>
      </c>
      <c r="C66" s="17" t="s">
        <v>4455</v>
      </c>
      <c r="D66" s="14">
        <v>7000</v>
      </c>
      <c r="E66" s="45">
        <v>0.55000000000000004</v>
      </c>
      <c r="F66" s="14">
        <v>3850</v>
      </c>
      <c r="G66" s="14">
        <f t="shared" si="3"/>
        <v>3850.0000000000005</v>
      </c>
    </row>
    <row r="67" spans="1:7" x14ac:dyDescent="0.4">
      <c r="A67" s="14" t="s">
        <v>4457</v>
      </c>
      <c r="B67" s="15">
        <v>3</v>
      </c>
      <c r="C67" s="17" t="s">
        <v>4459</v>
      </c>
      <c r="D67" s="14">
        <v>3500</v>
      </c>
      <c r="E67" s="45">
        <v>0.55000000000000004</v>
      </c>
      <c r="F67" s="14">
        <v>1925</v>
      </c>
      <c r="G67" s="14">
        <f t="shared" si="3"/>
        <v>5775.0000000000009</v>
      </c>
    </row>
    <row r="68" spans="1:7" x14ac:dyDescent="0.4">
      <c r="A68" s="14" t="s">
        <v>4465</v>
      </c>
      <c r="B68" s="15">
        <v>9</v>
      </c>
      <c r="C68" s="17" t="s">
        <v>4466</v>
      </c>
      <c r="D68" s="14">
        <v>6000</v>
      </c>
      <c r="E68" s="45">
        <v>0.55000000000000004</v>
      </c>
      <c r="F68" s="14">
        <v>3300</v>
      </c>
      <c r="G68" s="14">
        <f t="shared" si="3"/>
        <v>29700.000000000004</v>
      </c>
    </row>
    <row r="69" spans="1:7" x14ac:dyDescent="0.4">
      <c r="A69" s="14" t="s">
        <v>4468</v>
      </c>
      <c r="B69" s="15">
        <v>1</v>
      </c>
      <c r="C69" s="17" t="s">
        <v>4470</v>
      </c>
      <c r="D69" s="14">
        <v>10000</v>
      </c>
      <c r="E69" s="45">
        <v>0.55000000000000004</v>
      </c>
      <c r="F69" s="14">
        <v>5500</v>
      </c>
      <c r="G69" s="14">
        <f t="shared" si="3"/>
        <v>5500</v>
      </c>
    </row>
    <row r="70" spans="1:7" x14ac:dyDescent="0.4">
      <c r="A70" s="14" t="s">
        <v>3045</v>
      </c>
      <c r="B70" s="15">
        <v>2</v>
      </c>
      <c r="C70" s="17" t="s">
        <v>3046</v>
      </c>
      <c r="D70" s="14">
        <v>8000</v>
      </c>
      <c r="E70" s="45">
        <v>0.55000000000000004</v>
      </c>
      <c r="F70" s="14">
        <v>4400</v>
      </c>
      <c r="G70" s="14">
        <f t="shared" si="3"/>
        <v>8800</v>
      </c>
    </row>
    <row r="71" spans="1:7" x14ac:dyDescent="0.4">
      <c r="A71" s="14" t="s">
        <v>4477</v>
      </c>
      <c r="B71" s="15">
        <v>1</v>
      </c>
      <c r="C71" s="17" t="s">
        <v>4478</v>
      </c>
      <c r="D71" s="14">
        <v>35000</v>
      </c>
      <c r="E71" s="45">
        <v>0.55000000000000004</v>
      </c>
      <c r="F71" s="14">
        <v>19250</v>
      </c>
      <c r="G71" s="14">
        <f t="shared" si="3"/>
        <v>19250</v>
      </c>
    </row>
    <row r="72" spans="1:7" x14ac:dyDescent="0.4">
      <c r="A72" s="14" t="s">
        <v>4480</v>
      </c>
      <c r="B72" s="15">
        <v>3</v>
      </c>
      <c r="C72" s="17" t="s">
        <v>4482</v>
      </c>
      <c r="D72" s="14">
        <v>9800</v>
      </c>
      <c r="E72" s="45">
        <v>0.55000000000000004</v>
      </c>
      <c r="F72" s="14">
        <v>5390</v>
      </c>
      <c r="G72" s="14">
        <f t="shared" si="3"/>
        <v>16170.000000000002</v>
      </c>
    </row>
    <row r="73" spans="1:7" x14ac:dyDescent="0.4">
      <c r="A73" s="14" t="s">
        <v>654</v>
      </c>
      <c r="B73" s="15">
        <v>1</v>
      </c>
      <c r="C73" s="17" t="s">
        <v>655</v>
      </c>
      <c r="D73" s="14">
        <v>12000</v>
      </c>
      <c r="E73" s="45">
        <v>0.55000000000000004</v>
      </c>
      <c r="F73" s="14">
        <v>6600</v>
      </c>
      <c r="G73" s="14">
        <f t="shared" si="3"/>
        <v>6600.0000000000009</v>
      </c>
    </row>
    <row r="74" spans="1:7" x14ac:dyDescent="0.4">
      <c r="A74" s="14" t="s">
        <v>482</v>
      </c>
      <c r="B74" s="15">
        <v>2</v>
      </c>
      <c r="C74" s="17" t="s">
        <v>483</v>
      </c>
      <c r="D74" s="14">
        <v>8000</v>
      </c>
      <c r="E74" s="45">
        <v>0.55000000000000004</v>
      </c>
      <c r="F74" s="14">
        <v>4400</v>
      </c>
      <c r="G74" s="14">
        <f t="shared" si="3"/>
        <v>8800</v>
      </c>
    </row>
    <row r="75" spans="1:7" x14ac:dyDescent="0.4">
      <c r="A75" s="14" t="s">
        <v>4486</v>
      </c>
      <c r="B75" s="15">
        <v>1</v>
      </c>
      <c r="C75" s="17" t="s">
        <v>4488</v>
      </c>
      <c r="D75" s="14">
        <v>3000</v>
      </c>
      <c r="E75" s="45">
        <v>0.55000000000000004</v>
      </c>
      <c r="F75" s="14">
        <v>1650</v>
      </c>
      <c r="G75" s="14">
        <f t="shared" si="3"/>
        <v>1650.0000000000002</v>
      </c>
    </row>
    <row r="76" spans="1:7" x14ac:dyDescent="0.4">
      <c r="A76" s="14" t="s">
        <v>4490</v>
      </c>
      <c r="B76" s="15">
        <v>1</v>
      </c>
      <c r="C76" s="17" t="s">
        <v>4492</v>
      </c>
      <c r="D76" s="14">
        <v>3000</v>
      </c>
      <c r="E76" s="45">
        <v>0.55000000000000004</v>
      </c>
      <c r="F76" s="14">
        <v>1650</v>
      </c>
      <c r="G76" s="14">
        <f t="shared" si="3"/>
        <v>1650.0000000000002</v>
      </c>
    </row>
    <row r="77" spans="1:7" x14ac:dyDescent="0.4">
      <c r="A77" s="14" t="s">
        <v>4494</v>
      </c>
      <c r="B77" s="15">
        <v>1</v>
      </c>
      <c r="C77" s="17" t="s">
        <v>4496</v>
      </c>
      <c r="D77" s="14">
        <v>12000</v>
      </c>
      <c r="E77" s="45">
        <v>0.55000000000000004</v>
      </c>
      <c r="F77" s="14">
        <v>6600</v>
      </c>
      <c r="G77" s="14">
        <f t="shared" si="3"/>
        <v>6600.0000000000009</v>
      </c>
    </row>
    <row r="78" spans="1:7" x14ac:dyDescent="0.4">
      <c r="A78" s="14" t="s">
        <v>2635</v>
      </c>
      <c r="B78" s="15">
        <v>1</v>
      </c>
      <c r="C78" s="17" t="s">
        <v>2637</v>
      </c>
      <c r="D78" s="14">
        <v>12000</v>
      </c>
      <c r="E78" s="45">
        <v>0.55000000000000004</v>
      </c>
      <c r="F78" s="14">
        <v>6600</v>
      </c>
      <c r="G78" s="14">
        <f t="shared" si="3"/>
        <v>6600.0000000000009</v>
      </c>
    </row>
    <row r="79" spans="1:7" x14ac:dyDescent="0.4">
      <c r="A79" s="14" t="s">
        <v>4499</v>
      </c>
      <c r="B79" s="15">
        <v>1</v>
      </c>
      <c r="C79" s="17" t="s">
        <v>4501</v>
      </c>
      <c r="D79" s="14">
        <v>1100</v>
      </c>
      <c r="E79" s="45">
        <v>0.55000000000000004</v>
      </c>
      <c r="F79" s="14">
        <v>605</v>
      </c>
      <c r="G79" s="14">
        <f t="shared" si="3"/>
        <v>605</v>
      </c>
    </row>
    <row r="80" spans="1:7" x14ac:dyDescent="0.4">
      <c r="A80" s="14" t="s">
        <v>4503</v>
      </c>
      <c r="B80" s="15">
        <v>1</v>
      </c>
      <c r="C80" s="17" t="s">
        <v>4505</v>
      </c>
      <c r="D80" s="14">
        <v>1100</v>
      </c>
      <c r="E80" s="45">
        <v>0.55000000000000004</v>
      </c>
      <c r="F80" s="14">
        <v>605</v>
      </c>
      <c r="G80" s="14">
        <f t="shared" si="3"/>
        <v>605</v>
      </c>
    </row>
    <row r="81" spans="1:7" x14ac:dyDescent="0.4">
      <c r="A81" s="14" t="s">
        <v>4507</v>
      </c>
      <c r="B81" s="15">
        <v>3</v>
      </c>
      <c r="C81" s="17" t="s">
        <v>4508</v>
      </c>
      <c r="D81" s="14">
        <v>12000</v>
      </c>
      <c r="E81" s="45">
        <v>0.55000000000000004</v>
      </c>
      <c r="F81" s="14">
        <v>6600</v>
      </c>
      <c r="G81" s="14">
        <f t="shared" si="3"/>
        <v>19800</v>
      </c>
    </row>
    <row r="82" spans="1:7" x14ac:dyDescent="0.4">
      <c r="A82" s="14" t="s">
        <v>4510</v>
      </c>
      <c r="B82" s="15">
        <v>1</v>
      </c>
      <c r="C82" s="17" t="s">
        <v>4511</v>
      </c>
      <c r="D82" s="14">
        <v>12000</v>
      </c>
      <c r="E82" s="45">
        <v>0.55000000000000004</v>
      </c>
      <c r="F82" s="14">
        <v>6600</v>
      </c>
      <c r="G82" s="14">
        <f t="shared" si="3"/>
        <v>6600.0000000000009</v>
      </c>
    </row>
    <row r="83" spans="1:7" x14ac:dyDescent="0.4">
      <c r="A83" s="14" t="s">
        <v>4513</v>
      </c>
      <c r="B83" s="15">
        <v>1</v>
      </c>
      <c r="C83" s="17" t="s">
        <v>4515</v>
      </c>
      <c r="D83" s="14">
        <v>4000</v>
      </c>
      <c r="E83" s="45">
        <v>0.55000000000000004</v>
      </c>
      <c r="F83" s="14">
        <v>2200</v>
      </c>
      <c r="G83" s="14">
        <f t="shared" si="3"/>
        <v>2200</v>
      </c>
    </row>
    <row r="84" spans="1:7" x14ac:dyDescent="0.4">
      <c r="A84" s="14" t="s">
        <v>4517</v>
      </c>
      <c r="B84" s="15">
        <v>3</v>
      </c>
      <c r="C84" s="17" t="s">
        <v>4518</v>
      </c>
      <c r="D84" s="14">
        <v>2500</v>
      </c>
      <c r="E84" s="45">
        <v>0.55000000000000004</v>
      </c>
      <c r="F84" s="14">
        <v>1375</v>
      </c>
      <c r="G84" s="14">
        <f t="shared" si="3"/>
        <v>4125</v>
      </c>
    </row>
    <row r="85" spans="1:7" x14ac:dyDescent="0.4">
      <c r="A85" s="14" t="s">
        <v>4520</v>
      </c>
      <c r="B85" s="15">
        <v>1</v>
      </c>
      <c r="C85" s="17" t="s">
        <v>4522</v>
      </c>
      <c r="D85" s="14">
        <v>6000</v>
      </c>
      <c r="E85" s="45">
        <v>0.55000000000000004</v>
      </c>
      <c r="F85" s="14">
        <v>3300</v>
      </c>
      <c r="G85" s="14">
        <f t="shared" si="3"/>
        <v>3300.0000000000005</v>
      </c>
    </row>
    <row r="86" spans="1:7" x14ac:dyDescent="0.4">
      <c r="A86" s="14" t="s">
        <v>4524</v>
      </c>
      <c r="B86" s="15">
        <v>1</v>
      </c>
      <c r="C86" s="17" t="s">
        <v>4526</v>
      </c>
      <c r="D86" s="14">
        <v>3000</v>
      </c>
      <c r="E86" s="45">
        <v>0.55000000000000004</v>
      </c>
      <c r="F86" s="14">
        <v>1650</v>
      </c>
      <c r="G86" s="14">
        <f t="shared" si="3"/>
        <v>1650.0000000000002</v>
      </c>
    </row>
    <row r="87" spans="1:7" x14ac:dyDescent="0.4">
      <c r="A87" s="14" t="s">
        <v>3063</v>
      </c>
      <c r="B87" s="15">
        <v>7</v>
      </c>
      <c r="C87" s="17" t="s">
        <v>3064</v>
      </c>
      <c r="D87" s="14">
        <v>2500</v>
      </c>
      <c r="E87" s="45">
        <v>0.55000000000000004</v>
      </c>
      <c r="F87" s="14">
        <v>1375</v>
      </c>
      <c r="G87" s="14">
        <f t="shared" si="3"/>
        <v>9625</v>
      </c>
    </row>
    <row r="88" spans="1:7" x14ac:dyDescent="0.4">
      <c r="A88" s="14" t="s">
        <v>4530</v>
      </c>
      <c r="B88" s="15">
        <v>1</v>
      </c>
      <c r="C88" s="17" t="s">
        <v>4531</v>
      </c>
      <c r="D88" s="14">
        <v>1500</v>
      </c>
      <c r="E88" s="45">
        <v>0.55000000000000004</v>
      </c>
      <c r="F88" s="14">
        <v>825</v>
      </c>
      <c r="G88" s="14">
        <f t="shared" si="3"/>
        <v>825.00000000000011</v>
      </c>
    </row>
    <row r="89" spans="1:7" x14ac:dyDescent="0.4">
      <c r="A89" s="14" t="s">
        <v>4534</v>
      </c>
      <c r="B89" s="15">
        <v>1</v>
      </c>
      <c r="C89" s="17" t="s">
        <v>4536</v>
      </c>
      <c r="D89" s="14">
        <v>1000</v>
      </c>
      <c r="E89" s="45">
        <v>0.55000000000000004</v>
      </c>
      <c r="F89" s="14">
        <v>550</v>
      </c>
      <c r="G89" s="14">
        <f t="shared" si="3"/>
        <v>550</v>
      </c>
    </row>
    <row r="90" spans="1:7" x14ac:dyDescent="0.4">
      <c r="A90" s="14" t="s">
        <v>4539</v>
      </c>
      <c r="B90" s="15">
        <v>1</v>
      </c>
      <c r="C90" s="17" t="s">
        <v>4541</v>
      </c>
      <c r="D90" s="14">
        <v>3500</v>
      </c>
      <c r="E90" s="45">
        <v>0.55000000000000004</v>
      </c>
      <c r="F90" s="14">
        <v>1925</v>
      </c>
      <c r="G90" s="14">
        <f t="shared" si="3"/>
        <v>1925.0000000000002</v>
      </c>
    </row>
    <row r="91" spans="1:7" x14ac:dyDescent="0.4">
      <c r="A91" s="14" t="s">
        <v>4543</v>
      </c>
      <c r="B91" s="15">
        <v>4</v>
      </c>
      <c r="C91" s="17" t="s">
        <v>4545</v>
      </c>
      <c r="D91" s="14">
        <v>35000</v>
      </c>
      <c r="E91" s="45">
        <v>0.55000000000000004</v>
      </c>
      <c r="F91" s="14">
        <v>19250</v>
      </c>
      <c r="G91" s="14">
        <f t="shared" si="3"/>
        <v>77000</v>
      </c>
    </row>
    <row r="92" spans="1:7" x14ac:dyDescent="0.4">
      <c r="A92" s="14" t="s">
        <v>4547</v>
      </c>
      <c r="B92" s="15">
        <v>1</v>
      </c>
      <c r="C92" s="17" t="s">
        <v>4548</v>
      </c>
      <c r="D92" s="14">
        <v>4000</v>
      </c>
      <c r="E92" s="45">
        <v>0.55000000000000004</v>
      </c>
      <c r="F92" s="14">
        <v>2200</v>
      </c>
      <c r="G92" s="14">
        <f t="shared" si="3"/>
        <v>2200</v>
      </c>
    </row>
    <row r="93" spans="1:7" x14ac:dyDescent="0.4">
      <c r="A93" s="14" t="s">
        <v>4550</v>
      </c>
      <c r="B93" s="15">
        <v>1</v>
      </c>
      <c r="C93" s="17" t="s">
        <v>4551</v>
      </c>
      <c r="D93" s="14">
        <v>22000</v>
      </c>
      <c r="E93" s="45">
        <v>0.55000000000000004</v>
      </c>
      <c r="F93" s="14">
        <v>12100</v>
      </c>
      <c r="G93" s="14">
        <f t="shared" si="3"/>
        <v>12100.000000000002</v>
      </c>
    </row>
    <row r="94" spans="1:7" x14ac:dyDescent="0.4">
      <c r="A94" s="14" t="s">
        <v>4553</v>
      </c>
      <c r="B94" s="15">
        <v>1</v>
      </c>
      <c r="C94" s="17" t="s">
        <v>4555</v>
      </c>
      <c r="D94" s="14">
        <v>7000</v>
      </c>
      <c r="E94" s="45">
        <v>0.55000000000000004</v>
      </c>
      <c r="F94" s="14">
        <v>3850</v>
      </c>
      <c r="G94" s="14">
        <f t="shared" si="3"/>
        <v>3850.0000000000005</v>
      </c>
    </row>
    <row r="95" spans="1:7" x14ac:dyDescent="0.4">
      <c r="A95" s="14" t="s">
        <v>4557</v>
      </c>
      <c r="B95" s="15">
        <v>1</v>
      </c>
      <c r="C95" s="17" t="s">
        <v>4559</v>
      </c>
      <c r="D95" s="14">
        <v>8000</v>
      </c>
      <c r="E95" s="45">
        <v>0.55000000000000004</v>
      </c>
      <c r="F95" s="14">
        <v>4400</v>
      </c>
      <c r="G95" s="14">
        <f t="shared" si="3"/>
        <v>4400</v>
      </c>
    </row>
    <row r="96" spans="1:7" x14ac:dyDescent="0.4">
      <c r="A96" s="14" t="s">
        <v>4561</v>
      </c>
      <c r="B96" s="15">
        <v>1</v>
      </c>
      <c r="C96" s="17" t="s">
        <v>4563</v>
      </c>
      <c r="D96" s="14">
        <v>10000</v>
      </c>
      <c r="E96" s="45">
        <v>0.55000000000000004</v>
      </c>
      <c r="F96" s="14">
        <v>5500</v>
      </c>
      <c r="G96" s="14">
        <f t="shared" si="3"/>
        <v>5500</v>
      </c>
    </row>
    <row r="97" spans="1:7" x14ac:dyDescent="0.4">
      <c r="A97" s="14" t="s">
        <v>4566</v>
      </c>
      <c r="B97" s="15">
        <v>3</v>
      </c>
      <c r="C97" s="17" t="s">
        <v>4568</v>
      </c>
      <c r="D97" s="14">
        <v>1800</v>
      </c>
      <c r="E97" s="45">
        <v>0.55000000000000004</v>
      </c>
      <c r="F97" s="14">
        <v>990</v>
      </c>
      <c r="G97" s="14">
        <f t="shared" si="3"/>
        <v>2970.0000000000005</v>
      </c>
    </row>
    <row r="98" spans="1:7" x14ac:dyDescent="0.4">
      <c r="A98" s="14" t="s">
        <v>4570</v>
      </c>
      <c r="B98" s="15">
        <v>5</v>
      </c>
      <c r="C98" s="17" t="s">
        <v>4571</v>
      </c>
      <c r="D98" s="14">
        <v>4500</v>
      </c>
      <c r="E98" s="45">
        <v>0.55000000000000004</v>
      </c>
      <c r="F98" s="14">
        <v>2475</v>
      </c>
      <c r="G98" s="14">
        <f t="shared" si="3"/>
        <v>12375.000000000002</v>
      </c>
    </row>
    <row r="99" spans="1:7" x14ac:dyDescent="0.4">
      <c r="A99" s="14" t="s">
        <v>4574</v>
      </c>
      <c r="B99" s="15">
        <v>2</v>
      </c>
      <c r="C99" s="17" t="s">
        <v>4575</v>
      </c>
      <c r="D99" s="14">
        <v>18000</v>
      </c>
      <c r="E99" s="45">
        <v>0.55000000000000004</v>
      </c>
      <c r="F99" s="14">
        <v>9900</v>
      </c>
      <c r="G99" s="14">
        <f t="shared" si="3"/>
        <v>19800</v>
      </c>
    </row>
    <row r="100" spans="1:7" x14ac:dyDescent="0.4">
      <c r="A100" s="14" t="s">
        <v>4577</v>
      </c>
      <c r="B100" s="15">
        <v>1</v>
      </c>
      <c r="C100" s="17" t="s">
        <v>4579</v>
      </c>
      <c r="D100" s="14">
        <v>7000</v>
      </c>
      <c r="E100" s="45">
        <v>0.55000000000000004</v>
      </c>
      <c r="F100" s="14">
        <v>3850</v>
      </c>
      <c r="G100" s="14">
        <f t="shared" si="3"/>
        <v>3850.0000000000005</v>
      </c>
    </row>
    <row r="101" spans="1:7" x14ac:dyDescent="0.4">
      <c r="A101" s="14" t="s">
        <v>4581</v>
      </c>
      <c r="B101" s="15">
        <v>1</v>
      </c>
      <c r="C101" s="17" t="s">
        <v>4583</v>
      </c>
      <c r="D101" s="14">
        <v>6500</v>
      </c>
      <c r="E101" s="45">
        <v>0.55000000000000004</v>
      </c>
      <c r="F101" s="14">
        <v>3575</v>
      </c>
      <c r="G101" s="14">
        <f t="shared" si="3"/>
        <v>3575.0000000000005</v>
      </c>
    </row>
    <row r="102" spans="1:7" x14ac:dyDescent="0.4">
      <c r="A102" s="14" t="s">
        <v>4585</v>
      </c>
      <c r="B102" s="15">
        <v>1</v>
      </c>
      <c r="C102" s="17" t="s">
        <v>4587</v>
      </c>
      <c r="D102" s="14">
        <v>2000</v>
      </c>
      <c r="E102" s="45">
        <v>0.55000000000000004</v>
      </c>
      <c r="F102" s="14">
        <v>1100</v>
      </c>
      <c r="G102" s="14">
        <f t="shared" si="3"/>
        <v>1100</v>
      </c>
    </row>
    <row r="103" spans="1:7" x14ac:dyDescent="0.4">
      <c r="A103" s="14" t="s">
        <v>4589</v>
      </c>
      <c r="B103" s="15">
        <v>2</v>
      </c>
      <c r="C103" s="17" t="s">
        <v>4591</v>
      </c>
      <c r="D103" s="14">
        <v>3000</v>
      </c>
      <c r="E103" s="45">
        <v>0.55000000000000004</v>
      </c>
      <c r="F103" s="14">
        <v>1650</v>
      </c>
      <c r="G103" s="14">
        <f t="shared" si="3"/>
        <v>3300.0000000000005</v>
      </c>
    </row>
    <row r="104" spans="1:7" x14ac:dyDescent="0.4">
      <c r="A104" s="14" t="s">
        <v>4593</v>
      </c>
      <c r="B104" s="15">
        <v>2</v>
      </c>
      <c r="C104" s="17" t="s">
        <v>4595</v>
      </c>
      <c r="D104" s="14">
        <v>28000</v>
      </c>
      <c r="E104" s="45">
        <v>0.55000000000000004</v>
      </c>
      <c r="F104" s="14">
        <v>15400</v>
      </c>
      <c r="G104" s="14">
        <f t="shared" si="3"/>
        <v>30800.000000000004</v>
      </c>
    </row>
    <row r="105" spans="1:7" x14ac:dyDescent="0.4">
      <c r="A105" s="14" t="s">
        <v>4597</v>
      </c>
      <c r="B105" s="15">
        <v>1</v>
      </c>
      <c r="C105" s="17" t="s">
        <v>4598</v>
      </c>
      <c r="D105" s="14">
        <v>20000</v>
      </c>
      <c r="E105" s="45">
        <v>0.55000000000000004</v>
      </c>
      <c r="F105" s="14">
        <v>11000</v>
      </c>
      <c r="G105" s="14">
        <f t="shared" si="3"/>
        <v>11000</v>
      </c>
    </row>
    <row r="106" spans="1:7" x14ac:dyDescent="0.4">
      <c r="A106" s="14" t="s">
        <v>4600</v>
      </c>
      <c r="B106" s="15">
        <v>1</v>
      </c>
      <c r="C106" s="17" t="s">
        <v>4601</v>
      </c>
      <c r="D106" s="14">
        <v>16000</v>
      </c>
      <c r="E106" s="45">
        <v>0.55000000000000004</v>
      </c>
      <c r="F106" s="14">
        <v>8800</v>
      </c>
      <c r="G106" s="14">
        <f t="shared" si="3"/>
        <v>8800</v>
      </c>
    </row>
    <row r="107" spans="1:7" x14ac:dyDescent="0.4">
      <c r="A107" s="14" t="s">
        <v>4603</v>
      </c>
      <c r="B107" s="15">
        <v>2</v>
      </c>
      <c r="C107" s="17" t="s">
        <v>4604</v>
      </c>
      <c r="D107" s="14">
        <v>6000</v>
      </c>
      <c r="E107" s="45">
        <v>0.55000000000000004</v>
      </c>
      <c r="F107" s="14">
        <v>3300</v>
      </c>
      <c r="G107" s="14">
        <f t="shared" si="3"/>
        <v>6600.0000000000009</v>
      </c>
    </row>
    <row r="108" spans="1:7" x14ac:dyDescent="0.4">
      <c r="A108" s="14" t="s">
        <v>4606</v>
      </c>
      <c r="B108" s="15">
        <v>6</v>
      </c>
      <c r="C108" s="17" t="s">
        <v>4608</v>
      </c>
      <c r="D108" s="14">
        <v>18000</v>
      </c>
      <c r="E108" s="45">
        <v>0.55000000000000004</v>
      </c>
      <c r="F108" s="14">
        <v>9900</v>
      </c>
      <c r="G108" s="14">
        <f t="shared" si="3"/>
        <v>59400.000000000007</v>
      </c>
    </row>
    <row r="109" spans="1:7" x14ac:dyDescent="0.4">
      <c r="A109" s="14" t="s">
        <v>4610</v>
      </c>
      <c r="B109" s="15">
        <v>1</v>
      </c>
      <c r="C109" s="17" t="s">
        <v>4611</v>
      </c>
      <c r="D109" s="14">
        <v>20000</v>
      </c>
      <c r="E109" s="45">
        <v>0.55000000000000004</v>
      </c>
      <c r="F109" s="14">
        <v>11000</v>
      </c>
      <c r="G109" s="14">
        <f t="shared" si="3"/>
        <v>11000</v>
      </c>
    </row>
    <row r="110" spans="1:7" x14ac:dyDescent="0.4">
      <c r="A110" s="14" t="s">
        <v>4613</v>
      </c>
      <c r="B110" s="15">
        <v>1</v>
      </c>
      <c r="C110" s="17" t="s">
        <v>4615</v>
      </c>
      <c r="D110" s="14">
        <v>30000</v>
      </c>
      <c r="E110" s="45">
        <v>0.55000000000000004</v>
      </c>
      <c r="F110" s="14">
        <v>16500</v>
      </c>
      <c r="G110" s="14">
        <f t="shared" si="3"/>
        <v>16500</v>
      </c>
    </row>
    <row r="111" spans="1:7" x14ac:dyDescent="0.4">
      <c r="A111" s="14" t="s">
        <v>4617</v>
      </c>
      <c r="B111" s="15">
        <v>1</v>
      </c>
      <c r="C111" s="17" t="s">
        <v>4619</v>
      </c>
      <c r="D111" s="14">
        <v>9000</v>
      </c>
      <c r="E111" s="45">
        <v>0.55000000000000004</v>
      </c>
      <c r="F111" s="14">
        <v>4950</v>
      </c>
      <c r="G111" s="14">
        <f t="shared" si="3"/>
        <v>4950</v>
      </c>
    </row>
    <row r="112" spans="1:7" x14ac:dyDescent="0.4">
      <c r="A112" s="14" t="s">
        <v>4621</v>
      </c>
      <c r="B112" s="15">
        <v>1</v>
      </c>
      <c r="C112" s="17" t="s">
        <v>4623</v>
      </c>
      <c r="D112" s="14">
        <v>5000</v>
      </c>
      <c r="E112" s="45">
        <v>0.55000000000000004</v>
      </c>
      <c r="F112" s="14">
        <v>2750</v>
      </c>
      <c r="G112" s="14">
        <f t="shared" si="3"/>
        <v>2750</v>
      </c>
    </row>
    <row r="113" spans="1:7" x14ac:dyDescent="0.4">
      <c r="A113" s="14" t="s">
        <v>4625</v>
      </c>
      <c r="B113" s="15">
        <v>1</v>
      </c>
      <c r="C113" s="17" t="s">
        <v>4627</v>
      </c>
      <c r="D113" s="14">
        <v>10000</v>
      </c>
      <c r="E113" s="45">
        <v>0.55000000000000004</v>
      </c>
      <c r="F113" s="14">
        <v>5500</v>
      </c>
      <c r="G113" s="14">
        <f t="shared" si="3"/>
        <v>5500</v>
      </c>
    </row>
    <row r="114" spans="1:7" x14ac:dyDescent="0.4">
      <c r="A114" s="14" t="s">
        <v>4629</v>
      </c>
      <c r="B114" s="15">
        <v>1</v>
      </c>
      <c r="C114" s="17" t="s">
        <v>4630</v>
      </c>
      <c r="D114" s="14">
        <v>2000</v>
      </c>
      <c r="E114" s="45">
        <v>0.55000000000000004</v>
      </c>
      <c r="F114" s="14">
        <v>1100</v>
      </c>
      <c r="G114" s="14">
        <f t="shared" si="3"/>
        <v>1100</v>
      </c>
    </row>
    <row r="115" spans="1:7" x14ac:dyDescent="0.4">
      <c r="A115" s="14" t="s">
        <v>4634</v>
      </c>
      <c r="B115" s="15">
        <v>2</v>
      </c>
      <c r="C115" s="17" t="s">
        <v>4635</v>
      </c>
      <c r="D115" s="14">
        <v>4000</v>
      </c>
      <c r="E115" s="45">
        <v>0.55000000000000004</v>
      </c>
      <c r="F115" s="14">
        <v>2200</v>
      </c>
      <c r="G115" s="14">
        <f t="shared" si="3"/>
        <v>4400</v>
      </c>
    </row>
    <row r="116" spans="1:7" x14ac:dyDescent="0.4">
      <c r="A116" s="14" t="s">
        <v>4637</v>
      </c>
      <c r="B116" s="15">
        <v>2</v>
      </c>
      <c r="C116" s="17" t="s">
        <v>4638</v>
      </c>
      <c r="D116" s="14">
        <v>4000</v>
      </c>
      <c r="E116" s="45">
        <v>0.55000000000000004</v>
      </c>
      <c r="F116" s="14">
        <v>2200</v>
      </c>
      <c r="G116" s="14">
        <f t="shared" si="3"/>
        <v>4400</v>
      </c>
    </row>
    <row r="117" spans="1:7" x14ac:dyDescent="0.4">
      <c r="A117" s="14" t="s">
        <v>4640</v>
      </c>
      <c r="B117" s="15">
        <v>3</v>
      </c>
      <c r="C117" s="17" t="s">
        <v>4641</v>
      </c>
      <c r="D117" s="14">
        <v>4000</v>
      </c>
      <c r="E117" s="45">
        <v>0.55000000000000004</v>
      </c>
      <c r="F117" s="14">
        <v>2200</v>
      </c>
      <c r="G117" s="14">
        <f t="shared" si="3"/>
        <v>6600.0000000000009</v>
      </c>
    </row>
    <row r="118" spans="1:7" x14ac:dyDescent="0.4">
      <c r="A118" s="14" t="s">
        <v>4643</v>
      </c>
      <c r="B118" s="15">
        <v>2</v>
      </c>
      <c r="C118" s="17" t="s">
        <v>4645</v>
      </c>
      <c r="D118" s="14">
        <v>14000</v>
      </c>
      <c r="E118" s="45">
        <v>0.55000000000000004</v>
      </c>
      <c r="F118" s="14">
        <v>7700</v>
      </c>
      <c r="G118" s="14">
        <f t="shared" si="3"/>
        <v>15400.000000000002</v>
      </c>
    </row>
    <row r="119" spans="1:7" x14ac:dyDescent="0.4">
      <c r="A119" s="14" t="s">
        <v>3099</v>
      </c>
      <c r="B119" s="15">
        <v>4</v>
      </c>
      <c r="C119" s="17" t="s">
        <v>3100</v>
      </c>
      <c r="D119" s="14">
        <v>25000</v>
      </c>
      <c r="E119" s="45">
        <v>0.55000000000000004</v>
      </c>
      <c r="F119" s="14">
        <v>13750</v>
      </c>
      <c r="G119" s="14">
        <f t="shared" si="3"/>
        <v>55000.000000000007</v>
      </c>
    </row>
    <row r="120" spans="1:7" x14ac:dyDescent="0.4">
      <c r="A120" s="14" t="s">
        <v>3101</v>
      </c>
      <c r="B120" s="15">
        <v>1</v>
      </c>
      <c r="C120" s="17" t="s">
        <v>3102</v>
      </c>
      <c r="D120" s="14">
        <v>25000</v>
      </c>
      <c r="E120" s="45">
        <v>0.55000000000000004</v>
      </c>
      <c r="F120" s="14">
        <v>13750</v>
      </c>
      <c r="G120" s="14">
        <f t="shared" si="3"/>
        <v>13750.000000000002</v>
      </c>
    </row>
    <row r="121" spans="1:7" x14ac:dyDescent="0.4">
      <c r="A121" s="14" t="s">
        <v>460</v>
      </c>
      <c r="B121" s="15">
        <v>2</v>
      </c>
      <c r="C121" s="17" t="s">
        <v>461</v>
      </c>
      <c r="D121" s="14">
        <v>18000</v>
      </c>
      <c r="E121" s="45">
        <v>0.55000000000000004</v>
      </c>
      <c r="F121" s="14">
        <v>9900</v>
      </c>
      <c r="G121" s="14">
        <f t="shared" si="3"/>
        <v>19800</v>
      </c>
    </row>
    <row r="122" spans="1:7" x14ac:dyDescent="0.4">
      <c r="A122" s="14" t="s">
        <v>4653</v>
      </c>
      <c r="B122" s="15">
        <v>1</v>
      </c>
      <c r="C122" s="17" t="s">
        <v>4655</v>
      </c>
      <c r="D122" s="14">
        <v>8000</v>
      </c>
      <c r="E122" s="45">
        <v>0.55000000000000004</v>
      </c>
      <c r="F122" s="14">
        <v>4400</v>
      </c>
      <c r="G122" s="14">
        <f t="shared" si="3"/>
        <v>4400</v>
      </c>
    </row>
    <row r="123" spans="1:7" x14ac:dyDescent="0.4">
      <c r="A123" s="14" t="s">
        <v>4657</v>
      </c>
      <c r="B123" s="15">
        <v>1</v>
      </c>
      <c r="C123" s="17" t="s">
        <v>4659</v>
      </c>
      <c r="D123" s="14">
        <v>5000</v>
      </c>
      <c r="E123" s="45">
        <v>0.55000000000000004</v>
      </c>
      <c r="F123" s="14">
        <v>2750</v>
      </c>
      <c r="G123" s="14">
        <f t="shared" si="3"/>
        <v>2750</v>
      </c>
    </row>
    <row r="124" spans="1:7" x14ac:dyDescent="0.4">
      <c r="A124" s="14"/>
      <c r="B124" s="15"/>
      <c r="C124" s="17"/>
      <c r="D124" s="14"/>
      <c r="E124" s="14"/>
      <c r="F124" s="14"/>
      <c r="G124" s="14"/>
    </row>
    <row r="125" spans="1:7" x14ac:dyDescent="0.4">
      <c r="A125" s="14"/>
      <c r="B125" s="47">
        <v>162</v>
      </c>
      <c r="C125" s="17"/>
      <c r="D125" s="14"/>
      <c r="E125" s="14"/>
      <c r="F125" s="14"/>
      <c r="G125" s="48">
        <v>1259775</v>
      </c>
    </row>
    <row r="129" spans="1:7" x14ac:dyDescent="0.4">
      <c r="A129" s="4" t="s">
        <v>12</v>
      </c>
      <c r="B129" s="4" t="s">
        <v>2692</v>
      </c>
      <c r="C129" s="4" t="s">
        <v>4931</v>
      </c>
      <c r="D129" s="4" t="s">
        <v>3526</v>
      </c>
      <c r="E129" s="4" t="s">
        <v>1</v>
      </c>
      <c r="F129" s="44" t="s">
        <v>15</v>
      </c>
      <c r="G129" s="44" t="s">
        <v>4920</v>
      </c>
    </row>
    <row r="130" spans="1:7" x14ac:dyDescent="0.4">
      <c r="A130" s="14" t="s">
        <v>4661</v>
      </c>
      <c r="B130" s="15">
        <v>2</v>
      </c>
      <c r="C130" s="17" t="s">
        <v>4663</v>
      </c>
      <c r="D130" s="14">
        <v>10800</v>
      </c>
      <c r="E130" s="45">
        <v>0.45</v>
      </c>
      <c r="F130" s="14">
        <v>4860</v>
      </c>
      <c r="G130" s="46">
        <f t="shared" ref="G130:G155" si="4">IF(E130="품목별",F130,D130*B130*E130)</f>
        <v>9720</v>
      </c>
    </row>
    <row r="131" spans="1:7" x14ac:dyDescent="0.4">
      <c r="A131" s="14" t="s">
        <v>4665</v>
      </c>
      <c r="B131" s="15">
        <v>1</v>
      </c>
      <c r="C131" s="17" t="s">
        <v>4666</v>
      </c>
      <c r="D131" s="14">
        <v>9800</v>
      </c>
      <c r="E131" s="45">
        <v>0.45</v>
      </c>
      <c r="F131" s="14">
        <v>4410</v>
      </c>
      <c r="G131" s="14">
        <f t="shared" si="4"/>
        <v>4410</v>
      </c>
    </row>
    <row r="132" spans="1:7" x14ac:dyDescent="0.4">
      <c r="A132" s="14" t="s">
        <v>4668</v>
      </c>
      <c r="B132" s="15">
        <v>1</v>
      </c>
      <c r="C132" s="17" t="s">
        <v>4669</v>
      </c>
      <c r="D132" s="14">
        <v>8800</v>
      </c>
      <c r="E132" s="45">
        <v>0.45</v>
      </c>
      <c r="F132" s="14">
        <v>3960</v>
      </c>
      <c r="G132" s="14">
        <f t="shared" si="4"/>
        <v>3960</v>
      </c>
    </row>
    <row r="133" spans="1:7" x14ac:dyDescent="0.4">
      <c r="A133" s="14" t="s">
        <v>1322</v>
      </c>
      <c r="B133" s="15">
        <v>1</v>
      </c>
      <c r="C133" s="17" t="s">
        <v>1323</v>
      </c>
      <c r="D133" s="14">
        <v>6800</v>
      </c>
      <c r="E133" s="45">
        <v>0.45</v>
      </c>
      <c r="F133" s="14">
        <v>3060</v>
      </c>
      <c r="G133" s="14">
        <f t="shared" si="4"/>
        <v>3060</v>
      </c>
    </row>
    <row r="134" spans="1:7" x14ac:dyDescent="0.4">
      <c r="A134" s="14" t="s">
        <v>4672</v>
      </c>
      <c r="B134" s="15">
        <v>5</v>
      </c>
      <c r="C134" s="17" t="s">
        <v>4674</v>
      </c>
      <c r="D134" s="14">
        <v>2500</v>
      </c>
      <c r="E134" s="45">
        <v>0.45</v>
      </c>
      <c r="F134" s="14">
        <v>1125</v>
      </c>
      <c r="G134" s="14">
        <f t="shared" si="4"/>
        <v>5625</v>
      </c>
    </row>
    <row r="135" spans="1:7" x14ac:dyDescent="0.4">
      <c r="A135" s="14" t="s">
        <v>1786</v>
      </c>
      <c r="B135" s="15">
        <v>20</v>
      </c>
      <c r="C135" s="17" t="s">
        <v>1787</v>
      </c>
      <c r="D135" s="14">
        <v>6500</v>
      </c>
      <c r="E135" s="45">
        <v>0.45</v>
      </c>
      <c r="F135" s="14">
        <v>2925</v>
      </c>
      <c r="G135" s="14">
        <f t="shared" si="4"/>
        <v>58500</v>
      </c>
    </row>
    <row r="136" spans="1:7" x14ac:dyDescent="0.4">
      <c r="A136" s="14" t="s">
        <v>4677</v>
      </c>
      <c r="B136" s="15">
        <v>1</v>
      </c>
      <c r="C136" s="17" t="s">
        <v>4679</v>
      </c>
      <c r="D136" s="14">
        <v>3900</v>
      </c>
      <c r="E136" s="45">
        <v>0.45</v>
      </c>
      <c r="F136" s="14">
        <v>1755</v>
      </c>
      <c r="G136" s="14">
        <f t="shared" si="4"/>
        <v>1755</v>
      </c>
    </row>
    <row r="137" spans="1:7" x14ac:dyDescent="0.4">
      <c r="A137" s="14" t="s">
        <v>4681</v>
      </c>
      <c r="B137" s="15">
        <v>1</v>
      </c>
      <c r="C137" s="17" t="s">
        <v>4683</v>
      </c>
      <c r="D137" s="14">
        <v>6000</v>
      </c>
      <c r="E137" s="45">
        <v>0.45</v>
      </c>
      <c r="F137" s="14">
        <v>2700</v>
      </c>
      <c r="G137" s="14">
        <f t="shared" si="4"/>
        <v>2700</v>
      </c>
    </row>
    <row r="138" spans="1:7" x14ac:dyDescent="0.4">
      <c r="A138" s="14" t="s">
        <v>4685</v>
      </c>
      <c r="B138" s="15">
        <v>1</v>
      </c>
      <c r="C138" s="17" t="s">
        <v>4687</v>
      </c>
      <c r="D138" s="14">
        <v>2900</v>
      </c>
      <c r="E138" s="45">
        <v>0.45</v>
      </c>
      <c r="F138" s="14">
        <v>1305</v>
      </c>
      <c r="G138" s="14">
        <f t="shared" si="4"/>
        <v>1305</v>
      </c>
    </row>
    <row r="139" spans="1:7" x14ac:dyDescent="0.4">
      <c r="A139" s="14" t="s">
        <v>4689</v>
      </c>
      <c r="B139" s="15">
        <v>1</v>
      </c>
      <c r="C139" s="17" t="s">
        <v>4691</v>
      </c>
      <c r="D139" s="14">
        <v>6500</v>
      </c>
      <c r="E139" s="45">
        <v>0.45</v>
      </c>
      <c r="F139" s="14">
        <v>2925</v>
      </c>
      <c r="G139" s="14">
        <f t="shared" si="4"/>
        <v>2925</v>
      </c>
    </row>
    <row r="140" spans="1:7" x14ac:dyDescent="0.4">
      <c r="A140" s="14" t="s">
        <v>4693</v>
      </c>
      <c r="B140" s="15">
        <v>1</v>
      </c>
      <c r="C140" s="17" t="s">
        <v>4694</v>
      </c>
      <c r="D140" s="14">
        <v>17000</v>
      </c>
      <c r="E140" s="45">
        <v>0.45</v>
      </c>
      <c r="F140" s="14">
        <v>7650</v>
      </c>
      <c r="G140" s="14">
        <f t="shared" si="4"/>
        <v>7650</v>
      </c>
    </row>
    <row r="141" spans="1:7" x14ac:dyDescent="0.4">
      <c r="A141" s="14" t="s">
        <v>2594</v>
      </c>
      <c r="B141" s="15">
        <v>1</v>
      </c>
      <c r="C141" s="17" t="s">
        <v>2595</v>
      </c>
      <c r="D141" s="14">
        <v>6000</v>
      </c>
      <c r="E141" s="45">
        <v>0.45</v>
      </c>
      <c r="F141" s="14">
        <v>2700</v>
      </c>
      <c r="G141" s="14">
        <f t="shared" si="4"/>
        <v>2700</v>
      </c>
    </row>
    <row r="142" spans="1:7" x14ac:dyDescent="0.4">
      <c r="A142" s="14" t="s">
        <v>2586</v>
      </c>
      <c r="B142" s="15">
        <v>1</v>
      </c>
      <c r="C142" s="17" t="s">
        <v>2587</v>
      </c>
      <c r="D142" s="14">
        <v>6000</v>
      </c>
      <c r="E142" s="45">
        <v>0.45</v>
      </c>
      <c r="F142" s="14">
        <v>2700</v>
      </c>
      <c r="G142" s="14">
        <f t="shared" si="4"/>
        <v>2700</v>
      </c>
    </row>
    <row r="143" spans="1:7" x14ac:dyDescent="0.4">
      <c r="A143" s="14" t="s">
        <v>4698</v>
      </c>
      <c r="B143" s="15">
        <v>12</v>
      </c>
      <c r="C143" s="17" t="s">
        <v>4700</v>
      </c>
      <c r="D143" s="14">
        <v>2500</v>
      </c>
      <c r="E143" s="45">
        <v>0.45</v>
      </c>
      <c r="F143" s="14">
        <v>1125</v>
      </c>
      <c r="G143" s="14">
        <f t="shared" si="4"/>
        <v>13500</v>
      </c>
    </row>
    <row r="144" spans="1:7" x14ac:dyDescent="0.4">
      <c r="A144" s="14" t="s">
        <v>4702</v>
      </c>
      <c r="B144" s="15">
        <v>3</v>
      </c>
      <c r="C144" s="17" t="s">
        <v>4704</v>
      </c>
      <c r="D144" s="14">
        <v>7000</v>
      </c>
      <c r="E144" s="45">
        <v>0.45</v>
      </c>
      <c r="F144" s="14">
        <v>3150</v>
      </c>
      <c r="G144" s="14">
        <f t="shared" si="4"/>
        <v>9450</v>
      </c>
    </row>
    <row r="145" spans="1:7" x14ac:dyDescent="0.4">
      <c r="A145" s="14" t="s">
        <v>4706</v>
      </c>
      <c r="B145" s="15">
        <v>30</v>
      </c>
      <c r="C145" s="17" t="s">
        <v>4708</v>
      </c>
      <c r="D145" s="14">
        <v>14800</v>
      </c>
      <c r="E145" s="45">
        <v>0.45</v>
      </c>
      <c r="F145" s="14">
        <v>6660</v>
      </c>
      <c r="G145" s="14">
        <f t="shared" si="4"/>
        <v>199800</v>
      </c>
    </row>
    <row r="146" spans="1:7" x14ac:dyDescent="0.4">
      <c r="A146" s="14" t="s">
        <v>3290</v>
      </c>
      <c r="B146" s="15">
        <v>3</v>
      </c>
      <c r="C146" s="17" t="s">
        <v>3291</v>
      </c>
      <c r="D146" s="14">
        <v>1000</v>
      </c>
      <c r="E146" s="45">
        <v>0.45</v>
      </c>
      <c r="F146" s="14">
        <v>450</v>
      </c>
      <c r="G146" s="14">
        <f t="shared" si="4"/>
        <v>1350</v>
      </c>
    </row>
    <row r="147" spans="1:7" x14ac:dyDescent="0.4">
      <c r="A147" s="14" t="s">
        <v>4712</v>
      </c>
      <c r="B147" s="15">
        <v>1</v>
      </c>
      <c r="C147" s="17" t="s">
        <v>4713</v>
      </c>
      <c r="D147" s="14">
        <v>22000</v>
      </c>
      <c r="E147" s="45">
        <v>0.45</v>
      </c>
      <c r="F147" s="14">
        <v>9900</v>
      </c>
      <c r="G147" s="14">
        <f t="shared" si="4"/>
        <v>9900</v>
      </c>
    </row>
    <row r="148" spans="1:7" x14ac:dyDescent="0.4">
      <c r="A148" s="14" t="s">
        <v>4715</v>
      </c>
      <c r="B148" s="15">
        <v>1</v>
      </c>
      <c r="C148" s="17" t="s">
        <v>4716</v>
      </c>
      <c r="D148" s="14">
        <v>19000</v>
      </c>
      <c r="E148" s="45">
        <v>0.45</v>
      </c>
      <c r="F148" s="14">
        <v>8550</v>
      </c>
      <c r="G148" s="14">
        <f t="shared" si="4"/>
        <v>8550</v>
      </c>
    </row>
    <row r="149" spans="1:7" x14ac:dyDescent="0.4">
      <c r="A149" s="14" t="s">
        <v>4718</v>
      </c>
      <c r="B149" s="15">
        <v>2</v>
      </c>
      <c r="C149" s="17" t="s">
        <v>4720</v>
      </c>
      <c r="D149" s="14">
        <v>14000</v>
      </c>
      <c r="E149" s="45">
        <v>0.45</v>
      </c>
      <c r="F149" s="14">
        <v>6300</v>
      </c>
      <c r="G149" s="14">
        <f t="shared" si="4"/>
        <v>12600</v>
      </c>
    </row>
    <row r="150" spans="1:7" x14ac:dyDescent="0.4">
      <c r="A150" s="14" t="s">
        <v>4722</v>
      </c>
      <c r="B150" s="15">
        <v>1</v>
      </c>
      <c r="C150" s="17" t="s">
        <v>4723</v>
      </c>
      <c r="D150" s="14">
        <v>12000</v>
      </c>
      <c r="E150" s="45">
        <v>0.45</v>
      </c>
      <c r="F150" s="14">
        <v>5400</v>
      </c>
      <c r="G150" s="14">
        <f t="shared" si="4"/>
        <v>5400</v>
      </c>
    </row>
    <row r="151" spans="1:7" x14ac:dyDescent="0.4">
      <c r="A151" s="14" t="s">
        <v>4725</v>
      </c>
      <c r="B151" s="15">
        <v>1</v>
      </c>
      <c r="C151" s="17" t="s">
        <v>4727</v>
      </c>
      <c r="D151" s="14">
        <v>12000</v>
      </c>
      <c r="E151" s="45">
        <v>0.45</v>
      </c>
      <c r="F151" s="14">
        <v>5400</v>
      </c>
      <c r="G151" s="14">
        <f t="shared" si="4"/>
        <v>5400</v>
      </c>
    </row>
    <row r="152" spans="1:7" x14ac:dyDescent="0.4">
      <c r="A152" s="14" t="s">
        <v>4729</v>
      </c>
      <c r="B152" s="15">
        <v>1</v>
      </c>
      <c r="C152" s="17" t="s">
        <v>4730</v>
      </c>
      <c r="D152" s="14">
        <v>22000</v>
      </c>
      <c r="E152" s="45">
        <v>0.45</v>
      </c>
      <c r="F152" s="14">
        <v>9900</v>
      </c>
      <c r="G152" s="14">
        <f t="shared" si="4"/>
        <v>9900</v>
      </c>
    </row>
    <row r="153" spans="1:7" x14ac:dyDescent="0.4">
      <c r="A153" s="14" t="s">
        <v>4732</v>
      </c>
      <c r="B153" s="15">
        <v>2</v>
      </c>
      <c r="C153" s="17" t="s">
        <v>4734</v>
      </c>
      <c r="D153" s="14">
        <v>65000</v>
      </c>
      <c r="E153" s="45">
        <v>0.45</v>
      </c>
      <c r="F153" s="14">
        <v>29250</v>
      </c>
      <c r="G153" s="14">
        <f t="shared" si="4"/>
        <v>58500</v>
      </c>
    </row>
    <row r="154" spans="1:7" x14ac:dyDescent="0.4">
      <c r="A154" s="14" t="s">
        <v>4736</v>
      </c>
      <c r="B154" s="15">
        <v>8</v>
      </c>
      <c r="C154" s="17" t="s">
        <v>4738</v>
      </c>
      <c r="D154" s="14">
        <v>2500</v>
      </c>
      <c r="E154" s="45">
        <v>0.45</v>
      </c>
      <c r="F154" s="14">
        <v>1125</v>
      </c>
      <c r="G154" s="14">
        <f t="shared" si="4"/>
        <v>9000</v>
      </c>
    </row>
    <row r="155" spans="1:7" x14ac:dyDescent="0.4">
      <c r="A155" s="14" t="s">
        <v>4740</v>
      </c>
      <c r="B155" s="15">
        <v>1</v>
      </c>
      <c r="C155" s="17" t="s">
        <v>4742</v>
      </c>
      <c r="D155" s="14">
        <v>3300</v>
      </c>
      <c r="E155" s="45">
        <v>0.45</v>
      </c>
      <c r="F155" s="14">
        <v>1485</v>
      </c>
      <c r="G155" s="14">
        <f t="shared" si="4"/>
        <v>1485</v>
      </c>
    </row>
    <row r="156" spans="1:7" x14ac:dyDescent="0.4">
      <c r="A156" s="14"/>
      <c r="B156" s="15"/>
      <c r="C156" s="17"/>
      <c r="D156" s="14"/>
      <c r="E156" s="14"/>
      <c r="F156" s="14"/>
      <c r="G156" s="14"/>
    </row>
    <row r="157" spans="1:7" x14ac:dyDescent="0.4">
      <c r="A157" s="14"/>
      <c r="B157" s="47">
        <v>103</v>
      </c>
      <c r="C157" s="17"/>
      <c r="D157" s="14"/>
      <c r="E157" s="14"/>
      <c r="F157" s="14"/>
      <c r="G157" s="48">
        <v>451845</v>
      </c>
    </row>
    <row r="161" spans="1:7" x14ac:dyDescent="0.4">
      <c r="A161" s="4" t="s">
        <v>12</v>
      </c>
      <c r="B161" s="4" t="s">
        <v>2692</v>
      </c>
      <c r="C161" s="4" t="s">
        <v>130</v>
      </c>
      <c r="D161" s="4" t="s">
        <v>3526</v>
      </c>
      <c r="E161" s="4" t="s">
        <v>1</v>
      </c>
      <c r="F161" s="44" t="s">
        <v>15</v>
      </c>
      <c r="G161" s="44" t="s">
        <v>4920</v>
      </c>
    </row>
    <row r="162" spans="1:7" x14ac:dyDescent="0.4">
      <c r="A162" s="14" t="s">
        <v>4029</v>
      </c>
      <c r="B162" s="15">
        <v>1</v>
      </c>
      <c r="C162" s="17" t="s">
        <v>4030</v>
      </c>
      <c r="D162" s="14">
        <v>15000</v>
      </c>
      <c r="E162" s="45">
        <v>0.7</v>
      </c>
      <c r="F162" s="14">
        <v>10500</v>
      </c>
      <c r="G162" s="46">
        <f t="shared" ref="G162:G168" si="5">IF(E162="품목별",F162,D162*B162*E162)</f>
        <v>10500</v>
      </c>
    </row>
    <row r="163" spans="1:7" x14ac:dyDescent="0.4">
      <c r="A163" s="14" t="s">
        <v>2308</v>
      </c>
      <c r="B163" s="15">
        <v>1</v>
      </c>
      <c r="C163" s="17" t="s">
        <v>2309</v>
      </c>
      <c r="D163" s="14">
        <v>10000</v>
      </c>
      <c r="E163" s="45">
        <v>0.7</v>
      </c>
      <c r="F163" s="14">
        <v>7000</v>
      </c>
      <c r="G163" s="14">
        <f t="shared" si="5"/>
        <v>7000</v>
      </c>
    </row>
    <row r="164" spans="1:7" x14ac:dyDescent="0.4">
      <c r="A164" s="14" t="s">
        <v>4034</v>
      </c>
      <c r="B164" s="15">
        <v>1</v>
      </c>
      <c r="C164" s="17" t="s">
        <v>4036</v>
      </c>
      <c r="D164" s="14">
        <v>48000</v>
      </c>
      <c r="E164" s="45">
        <v>0.7</v>
      </c>
      <c r="F164" s="14">
        <v>33600</v>
      </c>
      <c r="G164" s="14">
        <f t="shared" si="5"/>
        <v>33600</v>
      </c>
    </row>
    <row r="165" spans="1:7" x14ac:dyDescent="0.4">
      <c r="A165" s="14" t="s">
        <v>2277</v>
      </c>
      <c r="B165" s="15">
        <v>1</v>
      </c>
      <c r="C165" s="17" t="s">
        <v>2278</v>
      </c>
      <c r="D165" s="14">
        <v>38000</v>
      </c>
      <c r="E165" s="45">
        <v>0.7</v>
      </c>
      <c r="F165" s="14">
        <v>26600</v>
      </c>
      <c r="G165" s="14">
        <f t="shared" si="5"/>
        <v>26600</v>
      </c>
    </row>
    <row r="166" spans="1:7" x14ac:dyDescent="0.4">
      <c r="A166" s="14" t="s">
        <v>879</v>
      </c>
      <c r="B166" s="15">
        <v>1</v>
      </c>
      <c r="C166" s="17" t="s">
        <v>880</v>
      </c>
      <c r="D166" s="14">
        <v>38000</v>
      </c>
      <c r="E166" s="45">
        <v>0.7</v>
      </c>
      <c r="F166" s="14">
        <v>26600</v>
      </c>
      <c r="G166" s="14">
        <f t="shared" si="5"/>
        <v>26600</v>
      </c>
    </row>
    <row r="167" spans="1:7" x14ac:dyDescent="0.4">
      <c r="A167" s="14" t="s">
        <v>2299</v>
      </c>
      <c r="B167" s="15">
        <v>2</v>
      </c>
      <c r="C167" s="17" t="s">
        <v>2300</v>
      </c>
      <c r="D167" s="14">
        <v>28000</v>
      </c>
      <c r="E167" s="45">
        <v>0.7</v>
      </c>
      <c r="F167" s="14">
        <v>19600</v>
      </c>
      <c r="G167" s="14">
        <f t="shared" si="5"/>
        <v>39200</v>
      </c>
    </row>
    <row r="168" spans="1:7" x14ac:dyDescent="0.4">
      <c r="A168" s="14" t="s">
        <v>2373</v>
      </c>
      <c r="B168" s="15">
        <v>1</v>
      </c>
      <c r="C168" s="17" t="s">
        <v>2375</v>
      </c>
      <c r="D168" s="14">
        <v>28000</v>
      </c>
      <c r="E168" s="45">
        <v>0.7</v>
      </c>
      <c r="F168" s="14">
        <v>19600</v>
      </c>
      <c r="G168" s="14">
        <f t="shared" si="5"/>
        <v>19600</v>
      </c>
    </row>
    <row r="169" spans="1:7" x14ac:dyDescent="0.4">
      <c r="A169" s="14"/>
      <c r="B169" s="15"/>
      <c r="C169" s="17"/>
      <c r="D169" s="14"/>
      <c r="E169" s="14"/>
      <c r="F169" s="14"/>
      <c r="G169" s="14"/>
    </row>
    <row r="170" spans="1:7" x14ac:dyDescent="0.4">
      <c r="A170" s="14"/>
      <c r="B170" s="47">
        <v>8</v>
      </c>
      <c r="C170" s="17"/>
      <c r="D170" s="14"/>
      <c r="E170" s="14"/>
      <c r="F170" s="14"/>
      <c r="G170" s="48">
        <v>163100</v>
      </c>
    </row>
    <row r="174" spans="1:7" x14ac:dyDescent="0.4">
      <c r="A174" s="4" t="s">
        <v>12</v>
      </c>
      <c r="B174" s="4" t="s">
        <v>2692</v>
      </c>
      <c r="C174" s="4" t="s">
        <v>4932</v>
      </c>
      <c r="D174" s="4" t="s">
        <v>3526</v>
      </c>
      <c r="E174" s="4" t="s">
        <v>1</v>
      </c>
      <c r="F174" s="44" t="s">
        <v>15</v>
      </c>
      <c r="G174" s="44" t="s">
        <v>4920</v>
      </c>
    </row>
    <row r="175" spans="1:7" x14ac:dyDescent="0.4">
      <c r="A175" s="14" t="s">
        <v>3643</v>
      </c>
      <c r="B175" s="15">
        <v>1</v>
      </c>
      <c r="C175" s="16" t="s">
        <v>3644</v>
      </c>
      <c r="D175" s="14">
        <v>4500</v>
      </c>
      <c r="E175" s="45">
        <v>0.55000000000000004</v>
      </c>
      <c r="F175" s="14">
        <v>2475</v>
      </c>
      <c r="G175" s="46">
        <f t="shared" ref="G175:G192" si="6">IF(E175="품목별",F175,D175*B175*E175)</f>
        <v>2475</v>
      </c>
    </row>
    <row r="176" spans="1:7" x14ac:dyDescent="0.4">
      <c r="A176" s="14" t="s">
        <v>3646</v>
      </c>
      <c r="B176" s="15">
        <v>1</v>
      </c>
      <c r="C176" s="16" t="s">
        <v>3647</v>
      </c>
      <c r="D176" s="14">
        <v>4500</v>
      </c>
      <c r="E176" s="45">
        <v>0.55000000000000004</v>
      </c>
      <c r="F176" s="14">
        <v>2475</v>
      </c>
      <c r="G176" s="14">
        <f t="shared" si="6"/>
        <v>2475</v>
      </c>
    </row>
    <row r="177" spans="1:7" x14ac:dyDescent="0.4">
      <c r="A177" s="14" t="s">
        <v>4760</v>
      </c>
      <c r="B177" s="15">
        <v>1</v>
      </c>
      <c r="C177" s="17" t="s">
        <v>4762</v>
      </c>
      <c r="D177" s="14">
        <v>20000</v>
      </c>
      <c r="E177" s="45">
        <v>0.55000000000000004</v>
      </c>
      <c r="F177" s="14">
        <v>11000</v>
      </c>
      <c r="G177" s="14">
        <f t="shared" si="6"/>
        <v>11000</v>
      </c>
    </row>
    <row r="178" spans="1:7" x14ac:dyDescent="0.4">
      <c r="A178" s="14" t="s">
        <v>3117</v>
      </c>
      <c r="B178" s="15">
        <v>1</v>
      </c>
      <c r="C178" s="17" t="s">
        <v>3118</v>
      </c>
      <c r="D178" s="14">
        <v>2500</v>
      </c>
      <c r="E178" s="45">
        <v>0.55000000000000004</v>
      </c>
      <c r="F178" s="14">
        <v>1375</v>
      </c>
      <c r="G178" s="14">
        <f t="shared" si="6"/>
        <v>1375</v>
      </c>
    </row>
    <row r="179" spans="1:7" x14ac:dyDescent="0.4">
      <c r="A179" s="14" t="s">
        <v>4766</v>
      </c>
      <c r="B179" s="15">
        <v>7</v>
      </c>
      <c r="C179" s="17" t="s">
        <v>4768</v>
      </c>
      <c r="D179" s="14">
        <v>2500</v>
      </c>
      <c r="E179" s="45">
        <v>0.55000000000000004</v>
      </c>
      <c r="F179" s="14">
        <v>1375</v>
      </c>
      <c r="G179" s="14">
        <f t="shared" si="6"/>
        <v>9625</v>
      </c>
    </row>
    <row r="180" spans="1:7" x14ac:dyDescent="0.4">
      <c r="A180" s="14" t="s">
        <v>4772</v>
      </c>
      <c r="B180" s="15">
        <v>1</v>
      </c>
      <c r="C180" s="17" t="s">
        <v>4774</v>
      </c>
      <c r="D180" s="14">
        <v>10800</v>
      </c>
      <c r="E180" s="45">
        <v>0.55000000000000004</v>
      </c>
      <c r="F180" s="14">
        <v>5940</v>
      </c>
      <c r="G180" s="14">
        <f t="shared" si="6"/>
        <v>5940.0000000000009</v>
      </c>
    </row>
    <row r="181" spans="1:7" x14ac:dyDescent="0.4">
      <c r="A181" s="14" t="s">
        <v>4779</v>
      </c>
      <c r="B181" s="15">
        <v>1</v>
      </c>
      <c r="C181" s="17" t="s">
        <v>4781</v>
      </c>
      <c r="D181" s="14">
        <v>3000</v>
      </c>
      <c r="E181" s="45">
        <v>0.55000000000000004</v>
      </c>
      <c r="F181" s="14">
        <v>1650</v>
      </c>
      <c r="G181" s="14">
        <f t="shared" si="6"/>
        <v>1650.0000000000002</v>
      </c>
    </row>
    <row r="182" spans="1:7" x14ac:dyDescent="0.4">
      <c r="A182" s="14" t="s">
        <v>3127</v>
      </c>
      <c r="B182" s="15">
        <v>1</v>
      </c>
      <c r="C182" s="17" t="s">
        <v>3128</v>
      </c>
      <c r="D182" s="14">
        <v>12800</v>
      </c>
      <c r="E182" s="45">
        <v>0.55000000000000004</v>
      </c>
      <c r="F182" s="14">
        <v>7040</v>
      </c>
      <c r="G182" s="14">
        <f t="shared" si="6"/>
        <v>7040.0000000000009</v>
      </c>
    </row>
    <row r="183" spans="1:7" x14ac:dyDescent="0.4">
      <c r="A183" s="14" t="s">
        <v>4788</v>
      </c>
      <c r="B183" s="15">
        <v>1</v>
      </c>
      <c r="C183" s="17" t="s">
        <v>4790</v>
      </c>
      <c r="D183" s="14">
        <v>9900</v>
      </c>
      <c r="E183" s="45">
        <v>0.55000000000000004</v>
      </c>
      <c r="F183" s="14">
        <v>5445</v>
      </c>
      <c r="G183" s="14">
        <f t="shared" si="6"/>
        <v>5445</v>
      </c>
    </row>
    <row r="184" spans="1:7" x14ac:dyDescent="0.4">
      <c r="A184" s="14" t="s">
        <v>4798</v>
      </c>
      <c r="B184" s="15">
        <v>1</v>
      </c>
      <c r="C184" s="17" t="s">
        <v>4799</v>
      </c>
      <c r="D184" s="14">
        <v>5900</v>
      </c>
      <c r="E184" s="45">
        <v>0.55000000000000004</v>
      </c>
      <c r="F184" s="14">
        <v>3245</v>
      </c>
      <c r="G184" s="14">
        <f t="shared" si="6"/>
        <v>3245.0000000000005</v>
      </c>
    </row>
    <row r="185" spans="1:7" x14ac:dyDescent="0.4">
      <c r="A185" s="14" t="s">
        <v>822</v>
      </c>
      <c r="B185" s="15">
        <v>1</v>
      </c>
      <c r="C185" s="17" t="s">
        <v>823</v>
      </c>
      <c r="D185" s="14">
        <v>9800</v>
      </c>
      <c r="E185" s="45">
        <v>0.55000000000000004</v>
      </c>
      <c r="F185" s="14">
        <v>5390</v>
      </c>
      <c r="G185" s="14">
        <f t="shared" si="6"/>
        <v>5390</v>
      </c>
    </row>
    <row r="186" spans="1:7" x14ac:dyDescent="0.4">
      <c r="A186" s="14" t="s">
        <v>2386</v>
      </c>
      <c r="B186" s="15">
        <v>1</v>
      </c>
      <c r="C186" s="17" t="s">
        <v>2388</v>
      </c>
      <c r="D186" s="14">
        <v>9800</v>
      </c>
      <c r="E186" s="45">
        <v>0.55000000000000004</v>
      </c>
      <c r="F186" s="14">
        <v>5390</v>
      </c>
      <c r="G186" s="14">
        <f t="shared" si="6"/>
        <v>5390</v>
      </c>
    </row>
    <row r="187" spans="1:7" x14ac:dyDescent="0.4">
      <c r="A187" s="14" t="s">
        <v>811</v>
      </c>
      <c r="B187" s="15">
        <v>2</v>
      </c>
      <c r="C187" s="17" t="s">
        <v>812</v>
      </c>
      <c r="D187" s="14">
        <v>6500</v>
      </c>
      <c r="E187" s="45">
        <v>0.55000000000000004</v>
      </c>
      <c r="F187" s="14">
        <v>3575</v>
      </c>
      <c r="G187" s="14">
        <f t="shared" si="6"/>
        <v>7150.0000000000009</v>
      </c>
    </row>
    <row r="188" spans="1:7" x14ac:dyDescent="0.4">
      <c r="A188" s="14" t="s">
        <v>4804</v>
      </c>
      <c r="B188" s="15">
        <v>1</v>
      </c>
      <c r="C188" s="17" t="s">
        <v>4806</v>
      </c>
      <c r="D188" s="14">
        <v>9900</v>
      </c>
      <c r="E188" s="45">
        <v>0.55000000000000004</v>
      </c>
      <c r="F188" s="14">
        <v>5445</v>
      </c>
      <c r="G188" s="14">
        <f t="shared" si="6"/>
        <v>5445</v>
      </c>
    </row>
    <row r="189" spans="1:7" x14ac:dyDescent="0.4">
      <c r="A189" s="14" t="s">
        <v>4808</v>
      </c>
      <c r="B189" s="15">
        <v>1</v>
      </c>
      <c r="C189" s="17" t="s">
        <v>4810</v>
      </c>
      <c r="D189" s="14">
        <v>3300</v>
      </c>
      <c r="E189" s="45">
        <v>0.55000000000000004</v>
      </c>
      <c r="F189" s="14">
        <v>1815</v>
      </c>
      <c r="G189" s="14">
        <f t="shared" si="6"/>
        <v>1815.0000000000002</v>
      </c>
    </row>
    <row r="190" spans="1:7" x14ac:dyDescent="0.4">
      <c r="A190" s="14" t="s">
        <v>4812</v>
      </c>
      <c r="B190" s="15">
        <v>1</v>
      </c>
      <c r="C190" s="17" t="s">
        <v>4814</v>
      </c>
      <c r="D190" s="14">
        <v>9500</v>
      </c>
      <c r="E190" s="45">
        <v>0.55000000000000004</v>
      </c>
      <c r="F190" s="14">
        <v>5225</v>
      </c>
      <c r="G190" s="14">
        <f t="shared" si="6"/>
        <v>5225</v>
      </c>
    </row>
    <row r="191" spans="1:7" x14ac:dyDescent="0.4">
      <c r="A191" s="14" t="s">
        <v>1005</v>
      </c>
      <c r="B191" s="15">
        <v>1</v>
      </c>
      <c r="C191" s="17" t="s">
        <v>1006</v>
      </c>
      <c r="D191" s="14">
        <v>9800</v>
      </c>
      <c r="E191" s="45">
        <v>0.55000000000000004</v>
      </c>
      <c r="F191" s="14">
        <v>5390</v>
      </c>
      <c r="G191" s="14">
        <f t="shared" si="6"/>
        <v>5390</v>
      </c>
    </row>
    <row r="192" spans="1:7" x14ac:dyDescent="0.4">
      <c r="A192" s="14" t="s">
        <v>2578</v>
      </c>
      <c r="B192" s="15">
        <v>1</v>
      </c>
      <c r="C192" s="17" t="s">
        <v>2579</v>
      </c>
      <c r="D192" s="14">
        <v>9800</v>
      </c>
      <c r="E192" s="45">
        <v>0.55000000000000004</v>
      </c>
      <c r="F192" s="14">
        <v>5390</v>
      </c>
      <c r="G192" s="14">
        <f t="shared" si="6"/>
        <v>5390</v>
      </c>
    </row>
    <row r="193" spans="1:7" x14ac:dyDescent="0.4">
      <c r="A193" s="14"/>
      <c r="B193" s="15"/>
      <c r="C193" s="17"/>
      <c r="D193" s="14"/>
      <c r="E193" s="14"/>
      <c r="F193" s="14"/>
      <c r="G193" s="14"/>
    </row>
    <row r="194" spans="1:7" x14ac:dyDescent="0.4">
      <c r="A194" s="14"/>
      <c r="B194" s="47">
        <v>25</v>
      </c>
      <c r="C194" s="17"/>
      <c r="D194" s="14"/>
      <c r="E194" s="14"/>
      <c r="F194" s="14"/>
      <c r="G194" s="48">
        <v>91465</v>
      </c>
    </row>
    <row r="198" spans="1:7" x14ac:dyDescent="0.4">
      <c r="A198" s="4" t="s">
        <v>12</v>
      </c>
      <c r="B198" s="4" t="s">
        <v>2692</v>
      </c>
      <c r="C198" s="4" t="s">
        <v>4933</v>
      </c>
      <c r="D198" s="4" t="s">
        <v>3526</v>
      </c>
      <c r="E198" s="4" t="s">
        <v>1</v>
      </c>
      <c r="F198" s="44" t="s">
        <v>15</v>
      </c>
      <c r="G198" s="44" t="s">
        <v>4920</v>
      </c>
    </row>
    <row r="199" spans="1:7" x14ac:dyDescent="0.4">
      <c r="A199" s="14" t="s">
        <v>3542</v>
      </c>
      <c r="B199" s="15">
        <v>1</v>
      </c>
      <c r="C199" s="18" t="s">
        <v>3543</v>
      </c>
      <c r="D199" s="14">
        <v>2000</v>
      </c>
      <c r="E199" s="45">
        <v>0.5</v>
      </c>
      <c r="F199" s="14">
        <v>1000</v>
      </c>
      <c r="G199" s="46">
        <f t="shared" ref="G199:G215" si="7">IF(E199="품목별",F199,D199*B199*E199)</f>
        <v>1000</v>
      </c>
    </row>
    <row r="200" spans="1:7" x14ac:dyDescent="0.4">
      <c r="A200" s="14" t="s">
        <v>3139</v>
      </c>
      <c r="B200" s="15">
        <v>36</v>
      </c>
      <c r="C200" s="18" t="s">
        <v>3140</v>
      </c>
      <c r="D200" s="14">
        <v>5000</v>
      </c>
      <c r="E200" s="45">
        <v>0.5</v>
      </c>
      <c r="F200" s="14">
        <v>2500</v>
      </c>
      <c r="G200" s="14">
        <f t="shared" si="7"/>
        <v>90000</v>
      </c>
    </row>
    <row r="201" spans="1:7" x14ac:dyDescent="0.4">
      <c r="A201" s="14" t="s">
        <v>3552</v>
      </c>
      <c r="B201" s="15">
        <v>2</v>
      </c>
      <c r="C201" s="18" t="s">
        <v>3554</v>
      </c>
      <c r="D201" s="14">
        <v>9000</v>
      </c>
      <c r="E201" s="45">
        <v>0.5</v>
      </c>
      <c r="F201" s="14">
        <v>4500</v>
      </c>
      <c r="G201" s="14">
        <f t="shared" si="7"/>
        <v>9000</v>
      </c>
    </row>
    <row r="202" spans="1:7" x14ac:dyDescent="0.4">
      <c r="A202" s="14" t="s">
        <v>3690</v>
      </c>
      <c r="B202" s="15">
        <v>2</v>
      </c>
      <c r="C202" s="17" t="s">
        <v>3692</v>
      </c>
      <c r="D202" s="14">
        <v>60000</v>
      </c>
      <c r="E202" s="45">
        <v>0.5</v>
      </c>
      <c r="F202" s="14">
        <v>30000</v>
      </c>
      <c r="G202" s="14">
        <f t="shared" si="7"/>
        <v>60000</v>
      </c>
    </row>
    <row r="203" spans="1:7" x14ac:dyDescent="0.4">
      <c r="A203" s="14" t="s">
        <v>3694</v>
      </c>
      <c r="B203" s="15">
        <v>1</v>
      </c>
      <c r="C203" s="17" t="s">
        <v>3695</v>
      </c>
      <c r="D203" s="14">
        <v>12000</v>
      </c>
      <c r="E203" s="45">
        <v>0.5</v>
      </c>
      <c r="F203" s="14">
        <v>6000</v>
      </c>
      <c r="G203" s="14">
        <f t="shared" si="7"/>
        <v>6000</v>
      </c>
    </row>
    <row r="204" spans="1:7" x14ac:dyDescent="0.4">
      <c r="A204" s="14" t="s">
        <v>3697</v>
      </c>
      <c r="B204" s="15">
        <v>1</v>
      </c>
      <c r="C204" s="17" t="s">
        <v>3698</v>
      </c>
      <c r="D204" s="14">
        <v>10000</v>
      </c>
      <c r="E204" s="45">
        <v>0.5</v>
      </c>
      <c r="F204" s="14">
        <v>5000</v>
      </c>
      <c r="G204" s="14">
        <f t="shared" si="7"/>
        <v>5000</v>
      </c>
    </row>
    <row r="205" spans="1:7" x14ac:dyDescent="0.4">
      <c r="A205" s="14" t="s">
        <v>3700</v>
      </c>
      <c r="B205" s="15">
        <v>1</v>
      </c>
      <c r="C205" s="17" t="s">
        <v>3702</v>
      </c>
      <c r="D205" s="14">
        <v>22000</v>
      </c>
      <c r="E205" s="45">
        <v>0.5</v>
      </c>
      <c r="F205" s="14">
        <v>11000</v>
      </c>
      <c r="G205" s="14">
        <f t="shared" si="7"/>
        <v>11000</v>
      </c>
    </row>
    <row r="206" spans="1:7" x14ac:dyDescent="0.4">
      <c r="A206" s="14" t="s">
        <v>3704</v>
      </c>
      <c r="B206" s="15">
        <v>1</v>
      </c>
      <c r="C206" s="17" t="s">
        <v>3705</v>
      </c>
      <c r="D206" s="14">
        <v>19000</v>
      </c>
      <c r="E206" s="45">
        <v>0.5</v>
      </c>
      <c r="F206" s="14">
        <v>9500</v>
      </c>
      <c r="G206" s="14">
        <f t="shared" si="7"/>
        <v>9500</v>
      </c>
    </row>
    <row r="207" spans="1:7" x14ac:dyDescent="0.4">
      <c r="A207" s="14" t="s">
        <v>2626</v>
      </c>
      <c r="B207" s="15">
        <v>4</v>
      </c>
      <c r="C207" s="17" t="s">
        <v>2627</v>
      </c>
      <c r="D207" s="14">
        <v>19000</v>
      </c>
      <c r="E207" s="45">
        <v>0.5</v>
      </c>
      <c r="F207" s="14">
        <v>9500</v>
      </c>
      <c r="G207" s="14">
        <f t="shared" si="7"/>
        <v>38000</v>
      </c>
    </row>
    <row r="208" spans="1:7" x14ac:dyDescent="0.4">
      <c r="A208" s="14" t="s">
        <v>3710</v>
      </c>
      <c r="B208" s="15">
        <v>1</v>
      </c>
      <c r="C208" s="17" t="s">
        <v>3711</v>
      </c>
      <c r="D208" s="14">
        <v>8000</v>
      </c>
      <c r="E208" s="45">
        <v>0.5</v>
      </c>
      <c r="F208" s="14">
        <v>4000</v>
      </c>
      <c r="G208" s="14">
        <f t="shared" si="7"/>
        <v>4000</v>
      </c>
    </row>
    <row r="209" spans="1:7" x14ac:dyDescent="0.4">
      <c r="A209" s="14" t="s">
        <v>3714</v>
      </c>
      <c r="B209" s="15">
        <v>1</v>
      </c>
      <c r="C209" s="17" t="s">
        <v>3716</v>
      </c>
      <c r="D209" s="14">
        <v>5500</v>
      </c>
      <c r="E209" s="45">
        <v>0.5</v>
      </c>
      <c r="F209" s="14">
        <v>2750</v>
      </c>
      <c r="G209" s="14">
        <f t="shared" si="7"/>
        <v>2750</v>
      </c>
    </row>
    <row r="210" spans="1:7" x14ac:dyDescent="0.4">
      <c r="A210" s="14" t="s">
        <v>3720</v>
      </c>
      <c r="B210" s="15">
        <v>1</v>
      </c>
      <c r="C210" s="17" t="s">
        <v>3721</v>
      </c>
      <c r="D210" s="14">
        <v>17000</v>
      </c>
      <c r="E210" s="45">
        <v>0.5</v>
      </c>
      <c r="F210" s="14">
        <v>8500</v>
      </c>
      <c r="G210" s="14">
        <f t="shared" si="7"/>
        <v>8500</v>
      </c>
    </row>
    <row r="211" spans="1:7" x14ac:dyDescent="0.4">
      <c r="A211" s="14" t="s">
        <v>3723</v>
      </c>
      <c r="B211" s="15">
        <v>1</v>
      </c>
      <c r="C211" s="17" t="s">
        <v>3724</v>
      </c>
      <c r="D211" s="14">
        <v>16000</v>
      </c>
      <c r="E211" s="45">
        <v>0.5</v>
      </c>
      <c r="F211" s="14">
        <v>8000</v>
      </c>
      <c r="G211" s="14">
        <f t="shared" si="7"/>
        <v>8000</v>
      </c>
    </row>
    <row r="212" spans="1:7" x14ac:dyDescent="0.4">
      <c r="A212" s="14" t="s">
        <v>3150</v>
      </c>
      <c r="B212" s="15">
        <v>5</v>
      </c>
      <c r="C212" s="17" t="s">
        <v>3151</v>
      </c>
      <c r="D212" s="14">
        <v>6000</v>
      </c>
      <c r="E212" s="45">
        <v>0.5</v>
      </c>
      <c r="F212" s="14">
        <v>3000</v>
      </c>
      <c r="G212" s="14">
        <f t="shared" si="7"/>
        <v>15000</v>
      </c>
    </row>
    <row r="213" spans="1:7" x14ac:dyDescent="0.4">
      <c r="A213" s="14" t="s">
        <v>3728</v>
      </c>
      <c r="B213" s="15">
        <v>1</v>
      </c>
      <c r="C213" s="17" t="s">
        <v>3730</v>
      </c>
      <c r="D213" s="14">
        <v>15000</v>
      </c>
      <c r="E213" s="45">
        <v>0.5</v>
      </c>
      <c r="F213" s="14">
        <v>7500</v>
      </c>
      <c r="G213" s="14">
        <f t="shared" si="7"/>
        <v>7500</v>
      </c>
    </row>
    <row r="214" spans="1:7" x14ac:dyDescent="0.4">
      <c r="A214" s="14" t="s">
        <v>3732</v>
      </c>
      <c r="B214" s="15">
        <v>1</v>
      </c>
      <c r="C214" s="17" t="s">
        <v>3734</v>
      </c>
      <c r="D214" s="14">
        <v>5000</v>
      </c>
      <c r="E214" s="45">
        <v>0.5</v>
      </c>
      <c r="F214" s="14">
        <v>2500</v>
      </c>
      <c r="G214" s="14">
        <f t="shared" si="7"/>
        <v>2500</v>
      </c>
    </row>
    <row r="215" spans="1:7" x14ac:dyDescent="0.4">
      <c r="A215" s="14" t="s">
        <v>3738</v>
      </c>
      <c r="B215" s="15">
        <v>1</v>
      </c>
      <c r="C215" s="17" t="s">
        <v>3739</v>
      </c>
      <c r="D215" s="14">
        <v>8000</v>
      </c>
      <c r="E215" s="45">
        <v>0.5</v>
      </c>
      <c r="F215" s="14">
        <v>4000</v>
      </c>
      <c r="G215" s="14">
        <f t="shared" si="7"/>
        <v>4000</v>
      </c>
    </row>
    <row r="216" spans="1:7" x14ac:dyDescent="0.4">
      <c r="A216" s="14"/>
      <c r="B216" s="15"/>
      <c r="C216" s="17"/>
      <c r="D216" s="14"/>
      <c r="E216" s="14"/>
      <c r="F216" s="14"/>
      <c r="G216" s="14"/>
    </row>
    <row r="217" spans="1:7" x14ac:dyDescent="0.4">
      <c r="A217" s="14"/>
      <c r="B217" s="47">
        <v>61</v>
      </c>
      <c r="C217" s="17"/>
      <c r="D217" s="14"/>
      <c r="E217" s="14"/>
      <c r="F217" s="14"/>
      <c r="G217" s="48">
        <v>281750</v>
      </c>
    </row>
    <row r="221" spans="1:7" x14ac:dyDescent="0.4">
      <c r="A221" s="4" t="s">
        <v>12</v>
      </c>
      <c r="B221" s="4" t="s">
        <v>2692</v>
      </c>
      <c r="C221" s="4" t="s">
        <v>153</v>
      </c>
      <c r="D221" s="4" t="s">
        <v>3526</v>
      </c>
      <c r="E221" s="4" t="s">
        <v>1</v>
      </c>
      <c r="F221" s="44" t="s">
        <v>15</v>
      </c>
      <c r="G221" s="44" t="s">
        <v>4920</v>
      </c>
    </row>
    <row r="222" spans="1:7" x14ac:dyDescent="0.4">
      <c r="A222" s="14" t="s">
        <v>4197</v>
      </c>
      <c r="B222" s="15">
        <v>1</v>
      </c>
      <c r="C222" s="17" t="s">
        <v>4199</v>
      </c>
      <c r="D222" s="14">
        <v>19000</v>
      </c>
      <c r="E222" s="45">
        <v>0.55000000000000004</v>
      </c>
      <c r="F222" s="14">
        <v>10450</v>
      </c>
      <c r="G222" s="46">
        <f t="shared" ref="G222:G225" si="8">IF(E222="품목별",F222,D222*B222*E222)</f>
        <v>10450</v>
      </c>
    </row>
    <row r="223" spans="1:7" x14ac:dyDescent="0.4">
      <c r="A223" s="14" t="s">
        <v>3154</v>
      </c>
      <c r="B223" s="15">
        <v>1</v>
      </c>
      <c r="C223" s="17" t="s">
        <v>4203</v>
      </c>
      <c r="D223" s="14">
        <v>42000</v>
      </c>
      <c r="E223" s="45">
        <v>0.55000000000000004</v>
      </c>
      <c r="F223" s="14">
        <v>23100</v>
      </c>
      <c r="G223" s="14">
        <f t="shared" si="8"/>
        <v>23100.000000000004</v>
      </c>
    </row>
    <row r="224" spans="1:7" x14ac:dyDescent="0.4">
      <c r="A224" s="14" t="s">
        <v>4205</v>
      </c>
      <c r="B224" s="15">
        <v>1</v>
      </c>
      <c r="C224" s="17" t="s">
        <v>4207</v>
      </c>
      <c r="D224" s="14">
        <v>23000</v>
      </c>
      <c r="E224" s="45">
        <v>0.55000000000000004</v>
      </c>
      <c r="F224" s="14">
        <v>12650</v>
      </c>
      <c r="G224" s="14">
        <f t="shared" si="8"/>
        <v>12650.000000000002</v>
      </c>
    </row>
    <row r="225" spans="1:7" x14ac:dyDescent="0.4">
      <c r="A225" s="14" t="s">
        <v>3156</v>
      </c>
      <c r="B225" s="15">
        <v>1</v>
      </c>
      <c r="C225" s="17" t="s">
        <v>3157</v>
      </c>
      <c r="D225" s="14">
        <v>18000</v>
      </c>
      <c r="E225" s="45">
        <v>0.55000000000000004</v>
      </c>
      <c r="F225" s="14">
        <v>9900</v>
      </c>
      <c r="G225" s="14">
        <f t="shared" si="8"/>
        <v>9900</v>
      </c>
    </row>
    <row r="226" spans="1:7" x14ac:dyDescent="0.4">
      <c r="A226" s="14"/>
      <c r="B226" s="15"/>
      <c r="C226" s="17"/>
      <c r="D226" s="14"/>
      <c r="E226" s="14"/>
      <c r="F226" s="14"/>
      <c r="G226" s="14"/>
    </row>
    <row r="227" spans="1:7" x14ac:dyDescent="0.4">
      <c r="A227" s="14"/>
      <c r="B227" s="47">
        <v>4</v>
      </c>
      <c r="C227" s="17"/>
      <c r="D227" s="14"/>
      <c r="E227" s="14"/>
      <c r="F227" s="14"/>
      <c r="G227" s="48">
        <v>56100</v>
      </c>
    </row>
    <row r="231" spans="1:7" x14ac:dyDescent="0.4">
      <c r="A231" s="4" t="s">
        <v>12</v>
      </c>
      <c r="B231" s="4" t="s">
        <v>2692</v>
      </c>
      <c r="C231" s="4" t="s">
        <v>4934</v>
      </c>
      <c r="D231" s="4" t="s">
        <v>3526</v>
      </c>
      <c r="E231" s="4" t="s">
        <v>1</v>
      </c>
      <c r="F231" s="44" t="s">
        <v>15</v>
      </c>
      <c r="G231" s="44" t="s">
        <v>4920</v>
      </c>
    </row>
    <row r="232" spans="1:7" x14ac:dyDescent="0.4">
      <c r="A232" s="14" t="s">
        <v>4751</v>
      </c>
      <c r="B232" s="15">
        <v>1</v>
      </c>
      <c r="C232" s="17" t="s">
        <v>4753</v>
      </c>
      <c r="D232" s="14">
        <v>16000</v>
      </c>
      <c r="E232" s="45">
        <v>0.6</v>
      </c>
      <c r="F232" s="14">
        <v>9600</v>
      </c>
      <c r="G232" s="46">
        <f t="shared" ref="G232:G234" si="9">IF(E232="품목별",F232,D232*B232*E232)</f>
        <v>9600</v>
      </c>
    </row>
    <row r="233" spans="1:7" x14ac:dyDescent="0.4">
      <c r="A233" s="14" t="s">
        <v>3170</v>
      </c>
      <c r="B233" s="15">
        <v>1</v>
      </c>
      <c r="C233" s="17" t="s">
        <v>3171</v>
      </c>
      <c r="D233" s="14">
        <v>7000</v>
      </c>
      <c r="E233" s="45">
        <v>0.6</v>
      </c>
      <c r="F233" s="14">
        <v>4200</v>
      </c>
      <c r="G233" s="14">
        <f t="shared" si="9"/>
        <v>4200</v>
      </c>
    </row>
    <row r="234" spans="1:7" x14ac:dyDescent="0.4">
      <c r="A234" s="14" t="s">
        <v>4829</v>
      </c>
      <c r="B234" s="15">
        <v>1</v>
      </c>
      <c r="C234" s="17" t="s">
        <v>4831</v>
      </c>
      <c r="D234" s="14">
        <v>16000</v>
      </c>
      <c r="E234" s="45">
        <v>0.6</v>
      </c>
      <c r="F234" s="14">
        <v>9600</v>
      </c>
      <c r="G234" s="14">
        <f t="shared" si="9"/>
        <v>9600</v>
      </c>
    </row>
    <row r="235" spans="1:7" x14ac:dyDescent="0.4">
      <c r="A235" s="14"/>
      <c r="B235" s="15"/>
      <c r="C235" s="17"/>
      <c r="D235" s="14"/>
      <c r="E235" s="14"/>
      <c r="F235" s="14"/>
      <c r="G235" s="14"/>
    </row>
    <row r="236" spans="1:7" x14ac:dyDescent="0.4">
      <c r="A236" s="14"/>
      <c r="B236" s="47">
        <v>3</v>
      </c>
      <c r="C236" s="17"/>
      <c r="D236" s="14"/>
      <c r="E236" s="14"/>
      <c r="F236" s="14"/>
      <c r="G236" s="48">
        <v>23400</v>
      </c>
    </row>
    <row r="240" spans="1:7" x14ac:dyDescent="0.4">
      <c r="A240" s="4" t="s">
        <v>12</v>
      </c>
      <c r="B240" s="4" t="s">
        <v>2692</v>
      </c>
      <c r="C240" s="4" t="s">
        <v>4935</v>
      </c>
      <c r="D240" s="4" t="s">
        <v>3526</v>
      </c>
      <c r="E240" s="4" t="s">
        <v>1</v>
      </c>
      <c r="F240" s="44" t="s">
        <v>15</v>
      </c>
      <c r="G240" s="44" t="s">
        <v>4920</v>
      </c>
    </row>
    <row r="241" spans="1:7" x14ac:dyDescent="0.4">
      <c r="A241" s="14" t="s">
        <v>4075</v>
      </c>
      <c r="B241" s="15">
        <v>1</v>
      </c>
      <c r="C241" s="17" t="s">
        <v>4077</v>
      </c>
      <c r="D241" s="14">
        <v>27000</v>
      </c>
      <c r="E241" s="45">
        <v>0.49</v>
      </c>
      <c r="F241" s="14">
        <v>13230</v>
      </c>
      <c r="G241" s="46">
        <f>IF(E241="품목별",F241,D241*B241*E241)</f>
        <v>13230</v>
      </c>
    </row>
    <row r="242" spans="1:7" x14ac:dyDescent="0.4">
      <c r="A242" s="14"/>
      <c r="B242" s="15"/>
      <c r="C242" s="17"/>
      <c r="D242" s="14"/>
      <c r="E242" s="14"/>
      <c r="F242" s="14"/>
      <c r="G242" s="14"/>
    </row>
    <row r="243" spans="1:7" x14ac:dyDescent="0.4">
      <c r="A243" s="14"/>
      <c r="B243" s="47">
        <v>1</v>
      </c>
      <c r="C243" s="17"/>
      <c r="D243" s="14"/>
      <c r="E243" s="14"/>
      <c r="F243" s="14"/>
      <c r="G243" s="48">
        <v>13230</v>
      </c>
    </row>
    <row r="247" spans="1:7" x14ac:dyDescent="0.4">
      <c r="A247" s="4" t="s">
        <v>12</v>
      </c>
      <c r="B247" s="4" t="s">
        <v>2692</v>
      </c>
      <c r="C247" s="4" t="s">
        <v>13</v>
      </c>
      <c r="D247" s="4" t="s">
        <v>3526</v>
      </c>
      <c r="E247" s="4" t="s">
        <v>1</v>
      </c>
      <c r="F247" s="44" t="s">
        <v>15</v>
      </c>
      <c r="G247" s="44" t="s">
        <v>4920</v>
      </c>
    </row>
    <row r="251" spans="1:7" x14ac:dyDescent="0.4">
      <c r="A251" s="4" t="s">
        <v>12</v>
      </c>
      <c r="B251" s="4" t="s">
        <v>2692</v>
      </c>
      <c r="C251" s="4" t="s">
        <v>13</v>
      </c>
      <c r="D251" s="4" t="s">
        <v>3526</v>
      </c>
      <c r="E251" s="4" t="s">
        <v>1</v>
      </c>
      <c r="F251" s="44" t="s">
        <v>15</v>
      </c>
      <c r="G251" s="44" t="s">
        <v>4920</v>
      </c>
    </row>
    <row r="255" spans="1:7" x14ac:dyDescent="0.4">
      <c r="A255" s="4" t="s">
        <v>12</v>
      </c>
      <c r="B255" s="4" t="s">
        <v>2692</v>
      </c>
      <c r="C255" s="4" t="s">
        <v>4936</v>
      </c>
      <c r="D255" s="4" t="s">
        <v>3526</v>
      </c>
      <c r="E255" s="4" t="s">
        <v>1</v>
      </c>
      <c r="F255" s="44" t="s">
        <v>15</v>
      </c>
      <c r="G255" s="44" t="s">
        <v>4920</v>
      </c>
    </row>
    <row r="256" spans="1:7" x14ac:dyDescent="0.4">
      <c r="A256" s="14" t="s">
        <v>3564</v>
      </c>
      <c r="B256" s="15">
        <v>1</v>
      </c>
      <c r="C256" s="18" t="s">
        <v>3566</v>
      </c>
      <c r="D256" s="14">
        <v>16800</v>
      </c>
      <c r="E256" s="45" t="s">
        <v>3567</v>
      </c>
      <c r="F256" s="52">
        <v>8800</v>
      </c>
      <c r="G256" s="46">
        <f>IF(E256="품목별",F256,D256*B256*E256)</f>
        <v>8800</v>
      </c>
    </row>
    <row r="257" spans="1:7" x14ac:dyDescent="0.4">
      <c r="A257" s="14"/>
      <c r="B257" s="15"/>
      <c r="C257" s="17"/>
      <c r="D257" s="14"/>
      <c r="E257" s="14"/>
      <c r="F257" s="14"/>
      <c r="G257" s="14"/>
    </row>
    <row r="258" spans="1:7" x14ac:dyDescent="0.4">
      <c r="A258" s="14"/>
      <c r="B258" s="47">
        <v>1</v>
      </c>
      <c r="C258" s="17"/>
      <c r="D258" s="14"/>
      <c r="E258" s="14"/>
      <c r="F258" s="14"/>
      <c r="G258" s="48">
        <v>8800</v>
      </c>
    </row>
    <row r="262" spans="1:7" x14ac:dyDescent="0.4">
      <c r="A262" s="4" t="s">
        <v>12</v>
      </c>
      <c r="B262" s="4" t="s">
        <v>2692</v>
      </c>
      <c r="C262" s="4" t="s">
        <v>4937</v>
      </c>
      <c r="D262" s="4" t="s">
        <v>3526</v>
      </c>
      <c r="E262" s="4" t="s">
        <v>1</v>
      </c>
      <c r="F262" s="44" t="s">
        <v>15</v>
      </c>
      <c r="G262" s="44" t="s">
        <v>4920</v>
      </c>
    </row>
    <row r="263" spans="1:7" x14ac:dyDescent="0.4">
      <c r="A263" s="14" t="s">
        <v>4266</v>
      </c>
      <c r="B263" s="15">
        <v>1</v>
      </c>
      <c r="C263" s="17" t="s">
        <v>4268</v>
      </c>
      <c r="D263" s="14">
        <v>5200</v>
      </c>
      <c r="E263" s="45" t="s">
        <v>3567</v>
      </c>
      <c r="F263" s="52">
        <v>5200</v>
      </c>
      <c r="G263" s="46">
        <f t="shared" ref="G263:G264" si="10">IF(E263="품목별",F263,D263*B263*E263)</f>
        <v>5200</v>
      </c>
    </row>
    <row r="264" spans="1:7" x14ac:dyDescent="0.4">
      <c r="A264" s="14" t="s">
        <v>4270</v>
      </c>
      <c r="B264" s="15">
        <v>1</v>
      </c>
      <c r="C264" s="17" t="s">
        <v>4272</v>
      </c>
      <c r="D264" s="14">
        <v>12300</v>
      </c>
      <c r="E264" s="45" t="s">
        <v>3567</v>
      </c>
      <c r="F264" s="52">
        <v>12300</v>
      </c>
      <c r="G264" s="14">
        <f t="shared" si="10"/>
        <v>12300</v>
      </c>
    </row>
    <row r="265" spans="1:7" x14ac:dyDescent="0.4">
      <c r="A265" s="14"/>
      <c r="B265" s="15"/>
      <c r="C265" s="17"/>
      <c r="D265" s="14"/>
      <c r="E265" s="14"/>
      <c r="F265" s="14"/>
      <c r="G265" s="14"/>
    </row>
    <row r="266" spans="1:7" x14ac:dyDescent="0.4">
      <c r="A266" s="14"/>
      <c r="B266" s="47">
        <v>2</v>
      </c>
      <c r="C266" s="17"/>
      <c r="D266" s="14"/>
      <c r="E266" s="14"/>
      <c r="F266" s="14"/>
      <c r="G266" s="48">
        <v>17500</v>
      </c>
    </row>
    <row r="270" spans="1:7" x14ac:dyDescent="0.4">
      <c r="A270" s="4" t="s">
        <v>12</v>
      </c>
      <c r="B270" s="4" t="s">
        <v>2692</v>
      </c>
      <c r="C270" s="4" t="s">
        <v>4938</v>
      </c>
      <c r="D270" s="4" t="s">
        <v>3526</v>
      </c>
      <c r="E270" s="4" t="s">
        <v>1</v>
      </c>
      <c r="F270" s="44" t="s">
        <v>15</v>
      </c>
      <c r="G270" s="44" t="s">
        <v>4920</v>
      </c>
    </row>
    <row r="271" spans="1:7" x14ac:dyDescent="0.4">
      <c r="A271" s="14" t="s">
        <v>4079</v>
      </c>
      <c r="B271" s="15">
        <v>1</v>
      </c>
      <c r="C271" s="17" t="s">
        <v>4080</v>
      </c>
      <c r="D271" s="14">
        <v>1500</v>
      </c>
      <c r="E271" s="45">
        <v>0.48</v>
      </c>
      <c r="F271" s="14">
        <v>720</v>
      </c>
      <c r="G271" s="46">
        <f t="shared" ref="G271:G297" si="11">IF(E271="품목별",F271,D271*B271*E271)</f>
        <v>720</v>
      </c>
    </row>
    <row r="272" spans="1:7" x14ac:dyDescent="0.4">
      <c r="A272" s="14" t="s">
        <v>4082</v>
      </c>
      <c r="B272" s="15">
        <v>1</v>
      </c>
      <c r="C272" s="17" t="s">
        <v>4084</v>
      </c>
      <c r="D272" s="14">
        <v>1500</v>
      </c>
      <c r="E272" s="45">
        <v>0.48</v>
      </c>
      <c r="F272" s="14">
        <v>720</v>
      </c>
      <c r="G272" s="14">
        <f t="shared" si="11"/>
        <v>720</v>
      </c>
    </row>
    <row r="273" spans="1:7" x14ac:dyDescent="0.4">
      <c r="A273" s="14" t="s">
        <v>4086</v>
      </c>
      <c r="B273" s="15">
        <v>1</v>
      </c>
      <c r="C273" s="17" t="s">
        <v>4088</v>
      </c>
      <c r="D273" s="14">
        <v>1500</v>
      </c>
      <c r="E273" s="45">
        <v>0.48</v>
      </c>
      <c r="F273" s="14">
        <v>720</v>
      </c>
      <c r="G273" s="14">
        <f t="shared" si="11"/>
        <v>720</v>
      </c>
    </row>
    <row r="274" spans="1:7" x14ac:dyDescent="0.4">
      <c r="A274" s="14" t="s">
        <v>4090</v>
      </c>
      <c r="B274" s="15">
        <v>1</v>
      </c>
      <c r="C274" s="17" t="s">
        <v>4092</v>
      </c>
      <c r="D274" s="14">
        <v>1500</v>
      </c>
      <c r="E274" s="45">
        <v>0.48</v>
      </c>
      <c r="F274" s="14">
        <v>720</v>
      </c>
      <c r="G274" s="14">
        <f t="shared" si="11"/>
        <v>720</v>
      </c>
    </row>
    <row r="275" spans="1:7" x14ac:dyDescent="0.4">
      <c r="A275" s="14" t="s">
        <v>3186</v>
      </c>
      <c r="B275" s="15">
        <v>3</v>
      </c>
      <c r="C275" s="17" t="s">
        <v>3187</v>
      </c>
      <c r="D275" s="14">
        <v>7700</v>
      </c>
      <c r="E275" s="45">
        <v>0.48</v>
      </c>
      <c r="F275" s="14">
        <v>3696</v>
      </c>
      <c r="G275" s="14">
        <f t="shared" si="11"/>
        <v>11088</v>
      </c>
    </row>
    <row r="276" spans="1:7" x14ac:dyDescent="0.4">
      <c r="A276" s="14" t="s">
        <v>2489</v>
      </c>
      <c r="B276" s="15">
        <v>2</v>
      </c>
      <c r="C276" s="17" t="s">
        <v>2490</v>
      </c>
      <c r="D276" s="14">
        <v>10000</v>
      </c>
      <c r="E276" s="45">
        <v>0.48</v>
      </c>
      <c r="F276" s="14">
        <v>4800</v>
      </c>
      <c r="G276" s="14">
        <f t="shared" si="11"/>
        <v>9600</v>
      </c>
    </row>
    <row r="277" spans="1:7" x14ac:dyDescent="0.4">
      <c r="A277" s="14" t="s">
        <v>4101</v>
      </c>
      <c r="B277" s="15">
        <v>3</v>
      </c>
      <c r="C277" s="17" t="s">
        <v>4103</v>
      </c>
      <c r="D277" s="14">
        <v>6900</v>
      </c>
      <c r="E277" s="45">
        <v>0.48</v>
      </c>
      <c r="F277" s="14">
        <v>3312</v>
      </c>
      <c r="G277" s="14">
        <f t="shared" si="11"/>
        <v>9936</v>
      </c>
    </row>
    <row r="278" spans="1:7" x14ac:dyDescent="0.4">
      <c r="A278" s="14" t="s">
        <v>4105</v>
      </c>
      <c r="B278" s="15">
        <v>1</v>
      </c>
      <c r="C278" s="17" t="s">
        <v>4107</v>
      </c>
      <c r="D278" s="14">
        <v>3500</v>
      </c>
      <c r="E278" s="45">
        <v>0.48</v>
      </c>
      <c r="F278" s="14">
        <v>1680</v>
      </c>
      <c r="G278" s="14">
        <f t="shared" si="11"/>
        <v>1680</v>
      </c>
    </row>
    <row r="279" spans="1:7" x14ac:dyDescent="0.4">
      <c r="A279" s="14" t="s">
        <v>4109</v>
      </c>
      <c r="B279" s="15">
        <v>1</v>
      </c>
      <c r="C279" s="17" t="s">
        <v>4111</v>
      </c>
      <c r="D279" s="14">
        <v>7000</v>
      </c>
      <c r="E279" s="45">
        <v>0.48</v>
      </c>
      <c r="F279" s="14">
        <v>3360</v>
      </c>
      <c r="G279" s="14">
        <f t="shared" si="11"/>
        <v>3360</v>
      </c>
    </row>
    <row r="280" spans="1:7" x14ac:dyDescent="0.4">
      <c r="A280" s="14" t="s">
        <v>3194</v>
      </c>
      <c r="B280" s="15">
        <v>1</v>
      </c>
      <c r="C280" s="17" t="s">
        <v>3195</v>
      </c>
      <c r="D280" s="14">
        <v>1000</v>
      </c>
      <c r="E280" s="45">
        <v>0.48</v>
      </c>
      <c r="F280" s="14">
        <v>480</v>
      </c>
      <c r="G280" s="14">
        <f t="shared" si="11"/>
        <v>480</v>
      </c>
    </row>
    <row r="281" spans="1:7" x14ac:dyDescent="0.4">
      <c r="A281" s="14" t="s">
        <v>3198</v>
      </c>
      <c r="B281" s="15">
        <v>4</v>
      </c>
      <c r="C281" s="17" t="s">
        <v>3199</v>
      </c>
      <c r="D281" s="14">
        <v>1000</v>
      </c>
      <c r="E281" s="45">
        <v>0.48</v>
      </c>
      <c r="F281" s="14">
        <v>480</v>
      </c>
      <c r="G281" s="14">
        <f t="shared" si="11"/>
        <v>1920</v>
      </c>
    </row>
    <row r="282" spans="1:7" x14ac:dyDescent="0.4">
      <c r="A282" s="14" t="s">
        <v>3200</v>
      </c>
      <c r="B282" s="15">
        <v>1</v>
      </c>
      <c r="C282" s="17" t="s">
        <v>3201</v>
      </c>
      <c r="D282" s="14">
        <v>1000</v>
      </c>
      <c r="E282" s="45">
        <v>0.48</v>
      </c>
      <c r="F282" s="14">
        <v>480</v>
      </c>
      <c r="G282" s="14">
        <f t="shared" si="11"/>
        <v>480</v>
      </c>
    </row>
    <row r="283" spans="1:7" x14ac:dyDescent="0.4">
      <c r="A283" s="14" t="s">
        <v>3204</v>
      </c>
      <c r="B283" s="15">
        <v>3</v>
      </c>
      <c r="C283" s="17" t="s">
        <v>3205</v>
      </c>
      <c r="D283" s="14">
        <v>1000</v>
      </c>
      <c r="E283" s="45">
        <v>0.48</v>
      </c>
      <c r="F283" s="14">
        <v>480</v>
      </c>
      <c r="G283" s="14">
        <f t="shared" si="11"/>
        <v>1440</v>
      </c>
    </row>
    <row r="284" spans="1:7" x14ac:dyDescent="0.4">
      <c r="A284" s="14" t="s">
        <v>3206</v>
      </c>
      <c r="B284" s="15">
        <v>1</v>
      </c>
      <c r="C284" s="17" t="s">
        <v>3207</v>
      </c>
      <c r="D284" s="14">
        <v>1000</v>
      </c>
      <c r="E284" s="45">
        <v>0.48</v>
      </c>
      <c r="F284" s="14">
        <v>480</v>
      </c>
      <c r="G284" s="14">
        <f t="shared" si="11"/>
        <v>480</v>
      </c>
    </row>
    <row r="285" spans="1:7" x14ac:dyDescent="0.4">
      <c r="A285" s="14" t="s">
        <v>4129</v>
      </c>
      <c r="B285" s="15">
        <v>1</v>
      </c>
      <c r="C285" s="17" t="s">
        <v>4131</v>
      </c>
      <c r="D285" s="14">
        <v>6700</v>
      </c>
      <c r="E285" s="45">
        <v>0.48</v>
      </c>
      <c r="F285" s="14">
        <v>3216</v>
      </c>
      <c r="G285" s="14">
        <f t="shared" si="11"/>
        <v>3216</v>
      </c>
    </row>
    <row r="286" spans="1:7" x14ac:dyDescent="0.4">
      <c r="A286" s="14" t="s">
        <v>2656</v>
      </c>
      <c r="B286" s="15">
        <v>1</v>
      </c>
      <c r="C286" s="17" t="s">
        <v>2657</v>
      </c>
      <c r="D286" s="14">
        <v>12000</v>
      </c>
      <c r="E286" s="45">
        <v>0.48</v>
      </c>
      <c r="F286" s="14">
        <v>5760</v>
      </c>
      <c r="G286" s="14">
        <f t="shared" si="11"/>
        <v>5760</v>
      </c>
    </row>
    <row r="287" spans="1:7" x14ac:dyDescent="0.4">
      <c r="A287" s="14" t="s">
        <v>1187</v>
      </c>
      <c r="B287" s="15">
        <v>12</v>
      </c>
      <c r="C287" s="17" t="s">
        <v>1189</v>
      </c>
      <c r="D287" s="14">
        <v>10000</v>
      </c>
      <c r="E287" s="45">
        <v>0.48</v>
      </c>
      <c r="F287" s="14">
        <v>4800</v>
      </c>
      <c r="G287" s="14">
        <f t="shared" si="11"/>
        <v>57600</v>
      </c>
    </row>
    <row r="288" spans="1:7" x14ac:dyDescent="0.4">
      <c r="A288" s="14" t="s">
        <v>4138</v>
      </c>
      <c r="B288" s="15">
        <v>1</v>
      </c>
      <c r="C288" s="17" t="s">
        <v>4139</v>
      </c>
      <c r="D288" s="14">
        <v>12000</v>
      </c>
      <c r="E288" s="45">
        <v>0.48</v>
      </c>
      <c r="F288" s="14">
        <v>5760</v>
      </c>
      <c r="G288" s="14">
        <f t="shared" si="11"/>
        <v>5760</v>
      </c>
    </row>
    <row r="289" spans="1:7" x14ac:dyDescent="0.4">
      <c r="A289" s="14" t="s">
        <v>4144</v>
      </c>
      <c r="B289" s="15">
        <v>1</v>
      </c>
      <c r="C289" s="17" t="s">
        <v>4145</v>
      </c>
      <c r="D289" s="14">
        <v>17000</v>
      </c>
      <c r="E289" s="45">
        <v>0.48</v>
      </c>
      <c r="F289" s="14">
        <v>8160</v>
      </c>
      <c r="G289" s="14">
        <f t="shared" si="11"/>
        <v>8160</v>
      </c>
    </row>
    <row r="290" spans="1:7" x14ac:dyDescent="0.4">
      <c r="A290" s="14" t="s">
        <v>4152</v>
      </c>
      <c r="B290" s="15">
        <v>1</v>
      </c>
      <c r="C290" s="17" t="s">
        <v>4154</v>
      </c>
      <c r="D290" s="14">
        <v>4900</v>
      </c>
      <c r="E290" s="45">
        <v>0.48</v>
      </c>
      <c r="F290" s="14">
        <v>2352</v>
      </c>
      <c r="G290" s="14">
        <f t="shared" si="11"/>
        <v>2352</v>
      </c>
    </row>
    <row r="291" spans="1:7" x14ac:dyDescent="0.4">
      <c r="A291" s="14" t="s">
        <v>4157</v>
      </c>
      <c r="B291" s="15">
        <v>1</v>
      </c>
      <c r="C291" s="17" t="s">
        <v>4159</v>
      </c>
      <c r="D291" s="14">
        <v>3500</v>
      </c>
      <c r="E291" s="45">
        <v>0.48</v>
      </c>
      <c r="F291" s="14">
        <v>1680</v>
      </c>
      <c r="G291" s="14">
        <f t="shared" si="11"/>
        <v>1680</v>
      </c>
    </row>
    <row r="292" spans="1:7" x14ac:dyDescent="0.4">
      <c r="A292" s="14" t="s">
        <v>1355</v>
      </c>
      <c r="B292" s="15">
        <v>5</v>
      </c>
      <c r="C292" s="17" t="s">
        <v>1356</v>
      </c>
      <c r="D292" s="14">
        <v>8000</v>
      </c>
      <c r="E292" s="45">
        <v>0.48</v>
      </c>
      <c r="F292" s="14">
        <v>3840</v>
      </c>
      <c r="G292" s="14">
        <f t="shared" si="11"/>
        <v>19200</v>
      </c>
    </row>
    <row r="293" spans="1:7" x14ac:dyDescent="0.4">
      <c r="A293" s="14" t="s">
        <v>4164</v>
      </c>
      <c r="B293" s="15">
        <v>1</v>
      </c>
      <c r="C293" s="17" t="s">
        <v>4165</v>
      </c>
      <c r="D293" s="14">
        <v>18000</v>
      </c>
      <c r="E293" s="45">
        <v>0.48</v>
      </c>
      <c r="F293" s="14">
        <v>8640</v>
      </c>
      <c r="G293" s="14">
        <f t="shared" si="11"/>
        <v>8640</v>
      </c>
    </row>
    <row r="294" spans="1:7" x14ac:dyDescent="0.4">
      <c r="A294" s="14" t="s">
        <v>4169</v>
      </c>
      <c r="B294" s="15">
        <v>1</v>
      </c>
      <c r="C294" s="17" t="s">
        <v>4171</v>
      </c>
      <c r="D294" s="14">
        <v>3500</v>
      </c>
      <c r="E294" s="45">
        <v>0.48</v>
      </c>
      <c r="F294" s="14">
        <v>1680</v>
      </c>
      <c r="G294" s="14">
        <f t="shared" si="11"/>
        <v>1680</v>
      </c>
    </row>
    <row r="295" spans="1:7" x14ac:dyDescent="0.4">
      <c r="A295" s="14" t="s">
        <v>2647</v>
      </c>
      <c r="B295" s="15">
        <v>1</v>
      </c>
      <c r="C295" s="17" t="s">
        <v>2648</v>
      </c>
      <c r="D295" s="14">
        <v>8900</v>
      </c>
      <c r="E295" s="45">
        <v>0.48</v>
      </c>
      <c r="F295" s="14">
        <v>4272</v>
      </c>
      <c r="G295" s="14">
        <f t="shared" si="11"/>
        <v>4272</v>
      </c>
    </row>
    <row r="296" spans="1:7" x14ac:dyDescent="0.4">
      <c r="A296" s="14" t="s">
        <v>4174</v>
      </c>
      <c r="B296" s="15">
        <v>2</v>
      </c>
      <c r="C296" s="17" t="s">
        <v>4176</v>
      </c>
      <c r="D296" s="14">
        <v>9000</v>
      </c>
      <c r="E296" s="45">
        <v>0.48</v>
      </c>
      <c r="F296" s="14">
        <v>4320</v>
      </c>
      <c r="G296" s="14">
        <f t="shared" si="11"/>
        <v>8640</v>
      </c>
    </row>
    <row r="297" spans="1:7" x14ac:dyDescent="0.4">
      <c r="A297" s="14" t="s">
        <v>4183</v>
      </c>
      <c r="B297" s="15">
        <v>1</v>
      </c>
      <c r="C297" s="17" t="s">
        <v>4185</v>
      </c>
      <c r="D297" s="14">
        <v>21000</v>
      </c>
      <c r="E297" s="45">
        <v>0.48</v>
      </c>
      <c r="F297" s="14">
        <v>10080</v>
      </c>
      <c r="G297" s="14">
        <f t="shared" si="11"/>
        <v>10080</v>
      </c>
    </row>
    <row r="298" spans="1:7" x14ac:dyDescent="0.4">
      <c r="A298" s="14"/>
      <c r="B298" s="15"/>
      <c r="C298" s="17"/>
      <c r="D298" s="14"/>
      <c r="E298" s="14"/>
      <c r="F298" s="14"/>
      <c r="G298" s="14"/>
    </row>
    <row r="299" spans="1:7" x14ac:dyDescent="0.4">
      <c r="A299" s="14"/>
      <c r="B299" s="47">
        <v>53</v>
      </c>
      <c r="C299" s="17"/>
      <c r="D299" s="14"/>
      <c r="E299" s="14"/>
      <c r="F299" s="14"/>
      <c r="G299" s="48">
        <v>180384</v>
      </c>
    </row>
    <row r="303" spans="1:7" x14ac:dyDescent="0.4">
      <c r="A303" s="4" t="s">
        <v>12</v>
      </c>
      <c r="B303" s="4" t="s">
        <v>2692</v>
      </c>
      <c r="C303" s="4" t="s">
        <v>245</v>
      </c>
      <c r="D303" s="4" t="s">
        <v>3526</v>
      </c>
      <c r="E303" s="4" t="s">
        <v>1</v>
      </c>
      <c r="F303" s="44" t="s">
        <v>15</v>
      </c>
      <c r="G303" s="44" t="s">
        <v>4920</v>
      </c>
    </row>
    <row r="304" spans="1:7" x14ac:dyDescent="0.4">
      <c r="A304" s="14" t="s">
        <v>3238</v>
      </c>
      <c r="B304" s="15">
        <v>5</v>
      </c>
      <c r="C304" s="17" t="s">
        <v>3239</v>
      </c>
      <c r="D304" s="14">
        <v>12900</v>
      </c>
      <c r="E304" s="45">
        <v>1</v>
      </c>
      <c r="F304" s="14">
        <v>12900</v>
      </c>
      <c r="G304" s="46">
        <f>IF(E304="품목별",F304,D304*B304*E304)</f>
        <v>64500</v>
      </c>
    </row>
    <row r="305" spans="1:7" x14ac:dyDescent="0.4">
      <c r="A305" s="14"/>
      <c r="B305" s="15"/>
      <c r="C305" s="17"/>
      <c r="D305" s="14"/>
      <c r="E305" s="14"/>
      <c r="F305" s="14"/>
      <c r="G305" s="14"/>
    </row>
    <row r="306" spans="1:7" x14ac:dyDescent="0.4">
      <c r="A306" s="14"/>
      <c r="B306" s="47">
        <v>5</v>
      </c>
      <c r="C306" s="17"/>
      <c r="D306" s="14"/>
      <c r="E306" s="14"/>
      <c r="F306" s="14"/>
      <c r="G306" s="48">
        <v>64500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1241"/>
  <sheetViews>
    <sheetView zoomScale="70" zoomScaleNormal="70" workbookViewId="0">
      <selection activeCell="F18" sqref="F18"/>
    </sheetView>
  </sheetViews>
  <sheetFormatPr defaultColWidth="9" defaultRowHeight="17.399999999999999" x14ac:dyDescent="0.4"/>
  <cols>
    <col min="1" max="1" width="10" bestFit="1" customWidth="1"/>
    <col min="2" max="2" width="8.3984375" bestFit="1" customWidth="1"/>
    <col min="3" max="3" width="85.09765625" bestFit="1" customWidth="1"/>
    <col min="4" max="4" width="9.19921875" bestFit="1" customWidth="1"/>
    <col min="5" max="5" width="12" style="10" bestFit="1" customWidth="1"/>
    <col min="8" max="8" width="14.19921875" style="10" bestFit="1" customWidth="1"/>
    <col min="10" max="10" width="16.5" style="10" bestFit="1" customWidth="1"/>
  </cols>
  <sheetData>
    <row r="1" spans="1:12" x14ac:dyDescent="0.4">
      <c r="A1" s="4" t="s">
        <v>12</v>
      </c>
      <c r="B1" s="4" t="s">
        <v>2692</v>
      </c>
      <c r="C1" s="4" t="s">
        <v>13</v>
      </c>
      <c r="D1" s="4" t="s">
        <v>2693</v>
      </c>
      <c r="E1" s="11" t="s">
        <v>2694</v>
      </c>
      <c r="F1" s="12" t="s">
        <v>2695</v>
      </c>
      <c r="G1" s="13" t="s">
        <v>2696</v>
      </c>
      <c r="H1" s="11" t="s">
        <v>2697</v>
      </c>
      <c r="I1" s="12" t="s">
        <v>2698</v>
      </c>
      <c r="J1" s="11" t="s">
        <v>2699</v>
      </c>
      <c r="K1" s="12" t="s">
        <v>2696</v>
      </c>
      <c r="L1" s="12" t="s">
        <v>2700</v>
      </c>
    </row>
    <row r="2" spans="1:12" x14ac:dyDescent="0.4">
      <c r="A2" s="14" t="s">
        <v>2701</v>
      </c>
      <c r="B2" s="15">
        <v>1</v>
      </c>
      <c r="C2" s="16" t="s">
        <v>2702</v>
      </c>
      <c r="D2" s="15">
        <v>0</v>
      </c>
      <c r="E2" s="10">
        <v>43118</v>
      </c>
      <c r="F2" t="s">
        <v>2703</v>
      </c>
    </row>
    <row r="3" spans="1:12" x14ac:dyDescent="0.4">
      <c r="A3" s="14" t="s">
        <v>2704</v>
      </c>
      <c r="B3" s="15">
        <v>1</v>
      </c>
      <c r="C3" s="17" t="s">
        <v>2705</v>
      </c>
      <c r="D3" s="15">
        <v>0</v>
      </c>
      <c r="E3" s="10">
        <v>43118</v>
      </c>
      <c r="F3" t="s">
        <v>2703</v>
      </c>
    </row>
    <row r="4" spans="1:12" x14ac:dyDescent="0.4">
      <c r="A4" s="14" t="s">
        <v>2706</v>
      </c>
      <c r="B4" s="15">
        <v>6</v>
      </c>
      <c r="C4" s="17" t="s">
        <v>2707</v>
      </c>
      <c r="D4" s="15">
        <v>0</v>
      </c>
      <c r="E4" s="10">
        <v>43118</v>
      </c>
      <c r="F4" t="s">
        <v>2703</v>
      </c>
    </row>
    <row r="5" spans="1:12" x14ac:dyDescent="0.4">
      <c r="A5" s="14" t="s">
        <v>2708</v>
      </c>
      <c r="B5" s="15">
        <v>1</v>
      </c>
      <c r="C5" s="17" t="s">
        <v>2709</v>
      </c>
      <c r="D5" s="15">
        <v>0</v>
      </c>
    </row>
    <row r="6" spans="1:12" x14ac:dyDescent="0.4">
      <c r="A6" s="14" t="s">
        <v>2710</v>
      </c>
      <c r="B6" s="15">
        <v>1</v>
      </c>
      <c r="C6" s="17" t="s">
        <v>2711</v>
      </c>
      <c r="D6" s="15">
        <v>1</v>
      </c>
    </row>
    <row r="7" spans="1:12" x14ac:dyDescent="0.4">
      <c r="A7" s="14" t="s">
        <v>2712</v>
      </c>
      <c r="B7" s="15">
        <v>1</v>
      </c>
      <c r="C7" s="17" t="s">
        <v>2713</v>
      </c>
      <c r="D7" s="15">
        <v>1</v>
      </c>
    </row>
    <row r="8" spans="1:12" x14ac:dyDescent="0.4">
      <c r="A8" s="14" t="s">
        <v>2714</v>
      </c>
      <c r="B8" s="15">
        <v>2</v>
      </c>
      <c r="C8" s="17" t="s">
        <v>2715</v>
      </c>
      <c r="D8" s="15">
        <v>2</v>
      </c>
    </row>
    <row r="9" spans="1:12" x14ac:dyDescent="0.4">
      <c r="A9" s="14" t="s">
        <v>2716</v>
      </c>
      <c r="B9" s="15">
        <v>1</v>
      </c>
      <c r="C9" s="17" t="s">
        <v>2717</v>
      </c>
      <c r="D9" s="15">
        <v>1</v>
      </c>
    </row>
    <row r="10" spans="1:12" x14ac:dyDescent="0.4">
      <c r="A10" s="14" t="s">
        <v>2128</v>
      </c>
      <c r="B10" s="15">
        <v>1</v>
      </c>
      <c r="C10" s="17" t="s">
        <v>2129</v>
      </c>
      <c r="D10" s="15">
        <v>1</v>
      </c>
    </row>
    <row r="11" spans="1:12" x14ac:dyDescent="0.4">
      <c r="A11" s="14" t="s">
        <v>2118</v>
      </c>
      <c r="B11" s="15">
        <v>1</v>
      </c>
      <c r="C11" s="17" t="s">
        <v>2119</v>
      </c>
      <c r="D11" s="15">
        <v>1</v>
      </c>
    </row>
    <row r="12" spans="1:12" x14ac:dyDescent="0.4">
      <c r="A12" s="14" t="s">
        <v>2718</v>
      </c>
      <c r="B12" s="15">
        <v>1</v>
      </c>
      <c r="C12" s="17" t="s">
        <v>2719</v>
      </c>
      <c r="D12" s="15">
        <v>1</v>
      </c>
    </row>
    <row r="13" spans="1:12" x14ac:dyDescent="0.4">
      <c r="A13" s="14" t="s">
        <v>2720</v>
      </c>
      <c r="B13" s="15">
        <v>1</v>
      </c>
      <c r="C13" s="17" t="s">
        <v>2721</v>
      </c>
      <c r="D13" s="15">
        <v>0</v>
      </c>
      <c r="E13" s="10">
        <v>43118</v>
      </c>
      <c r="F13" t="s">
        <v>2722</v>
      </c>
    </row>
    <row r="14" spans="1:12" x14ac:dyDescent="0.4">
      <c r="A14" s="14" t="s">
        <v>2723</v>
      </c>
      <c r="B14" s="15">
        <v>2</v>
      </c>
      <c r="C14" s="17" t="s">
        <v>2724</v>
      </c>
      <c r="D14" s="15">
        <v>2</v>
      </c>
    </row>
    <row r="15" spans="1:12" x14ac:dyDescent="0.4">
      <c r="A15" s="14" t="s">
        <v>1872</v>
      </c>
      <c r="B15" s="15">
        <v>1</v>
      </c>
      <c r="C15" s="17" t="s">
        <v>1873</v>
      </c>
      <c r="D15" s="15">
        <v>1</v>
      </c>
    </row>
    <row r="16" spans="1:12" x14ac:dyDescent="0.4">
      <c r="A16" s="14" t="s">
        <v>2725</v>
      </c>
      <c r="B16" s="15">
        <v>1</v>
      </c>
      <c r="C16" s="16" t="s">
        <v>2726</v>
      </c>
      <c r="D16" s="15">
        <v>1</v>
      </c>
    </row>
    <row r="17" spans="1:6" x14ac:dyDescent="0.4">
      <c r="A17" s="14" t="s">
        <v>2727</v>
      </c>
      <c r="B17" s="15">
        <v>3</v>
      </c>
      <c r="C17" s="16" t="s">
        <v>2728</v>
      </c>
      <c r="D17" s="15">
        <v>3</v>
      </c>
    </row>
    <row r="18" spans="1:6" x14ac:dyDescent="0.4">
      <c r="A18" s="14" t="s">
        <v>2729</v>
      </c>
      <c r="B18" s="15">
        <v>1</v>
      </c>
      <c r="C18" s="17" t="s">
        <v>2730</v>
      </c>
      <c r="D18" s="15">
        <v>1</v>
      </c>
    </row>
    <row r="19" spans="1:6" x14ac:dyDescent="0.4">
      <c r="A19" s="14" t="s">
        <v>2731</v>
      </c>
      <c r="B19" s="15">
        <v>3</v>
      </c>
      <c r="C19" s="17" t="s">
        <v>2732</v>
      </c>
      <c r="D19" s="15">
        <v>3</v>
      </c>
    </row>
    <row r="20" spans="1:6" x14ac:dyDescent="0.4">
      <c r="A20" s="14" t="s">
        <v>2733</v>
      </c>
      <c r="B20" s="15">
        <v>1</v>
      </c>
      <c r="C20" s="17" t="s">
        <v>2734</v>
      </c>
      <c r="D20" s="15">
        <v>1</v>
      </c>
    </row>
    <row r="21" spans="1:6" x14ac:dyDescent="0.4">
      <c r="A21" s="14" t="s">
        <v>2735</v>
      </c>
      <c r="B21" s="15">
        <v>1</v>
      </c>
      <c r="C21" s="17" t="s">
        <v>2736</v>
      </c>
      <c r="D21" s="15">
        <v>1</v>
      </c>
    </row>
    <row r="22" spans="1:6" x14ac:dyDescent="0.4">
      <c r="A22" s="14" t="s">
        <v>2737</v>
      </c>
      <c r="B22" s="15">
        <v>2</v>
      </c>
      <c r="C22" s="17" t="s">
        <v>2738</v>
      </c>
      <c r="D22" s="15">
        <v>1</v>
      </c>
      <c r="E22" s="10">
        <v>43118</v>
      </c>
      <c r="F22" t="s">
        <v>2703</v>
      </c>
    </row>
    <row r="23" spans="1:6" x14ac:dyDescent="0.4">
      <c r="A23" s="14" t="s">
        <v>2739</v>
      </c>
      <c r="B23" s="15">
        <v>3</v>
      </c>
      <c r="C23" s="17" t="s">
        <v>2740</v>
      </c>
      <c r="D23" s="15">
        <v>3</v>
      </c>
    </row>
    <row r="24" spans="1:6" x14ac:dyDescent="0.4">
      <c r="A24" s="14" t="s">
        <v>2741</v>
      </c>
      <c r="B24" s="15">
        <v>4</v>
      </c>
      <c r="C24" s="17" t="s">
        <v>2742</v>
      </c>
      <c r="D24" s="15">
        <v>4</v>
      </c>
    </row>
    <row r="25" spans="1:6" x14ac:dyDescent="0.4">
      <c r="A25" s="14" t="s">
        <v>2743</v>
      </c>
      <c r="B25" s="15">
        <v>2</v>
      </c>
      <c r="C25" s="17" t="s">
        <v>2744</v>
      </c>
      <c r="D25" s="15">
        <v>2</v>
      </c>
    </row>
    <row r="26" spans="1:6" x14ac:dyDescent="0.4">
      <c r="A26" s="14" t="s">
        <v>2745</v>
      </c>
      <c r="B26" s="15">
        <v>2</v>
      </c>
      <c r="C26" s="17" t="s">
        <v>2746</v>
      </c>
      <c r="D26" s="15">
        <v>2</v>
      </c>
    </row>
    <row r="27" spans="1:6" x14ac:dyDescent="0.4">
      <c r="A27" s="14" t="s">
        <v>2747</v>
      </c>
      <c r="B27" s="15">
        <v>1</v>
      </c>
      <c r="C27" s="17" t="s">
        <v>2748</v>
      </c>
      <c r="D27" s="15">
        <v>1</v>
      </c>
    </row>
    <row r="28" spans="1:6" x14ac:dyDescent="0.4">
      <c r="A28" s="14" t="s">
        <v>2749</v>
      </c>
      <c r="B28" s="15">
        <v>2</v>
      </c>
      <c r="C28" s="17" t="s">
        <v>2750</v>
      </c>
      <c r="D28" s="15">
        <v>2</v>
      </c>
    </row>
    <row r="29" spans="1:6" x14ac:dyDescent="0.4">
      <c r="A29" s="14" t="s">
        <v>2751</v>
      </c>
      <c r="B29" s="15">
        <v>1</v>
      </c>
      <c r="C29" s="17" t="s">
        <v>2752</v>
      </c>
      <c r="D29" s="15">
        <v>1</v>
      </c>
    </row>
    <row r="30" spans="1:6" x14ac:dyDescent="0.4">
      <c r="A30" s="14" t="s">
        <v>2753</v>
      </c>
      <c r="B30" s="15">
        <v>1</v>
      </c>
      <c r="C30" s="18" t="s">
        <v>2754</v>
      </c>
      <c r="D30" s="15">
        <v>0</v>
      </c>
      <c r="E30" s="10">
        <v>43118</v>
      </c>
      <c r="F30" t="s">
        <v>2722</v>
      </c>
    </row>
    <row r="31" spans="1:6" x14ac:dyDescent="0.4">
      <c r="A31" s="14" t="s">
        <v>2755</v>
      </c>
      <c r="B31" s="15">
        <v>1</v>
      </c>
      <c r="C31" s="17" t="s">
        <v>2756</v>
      </c>
      <c r="D31" s="15">
        <v>1</v>
      </c>
    </row>
    <row r="32" spans="1:6" x14ac:dyDescent="0.4">
      <c r="A32" s="14" t="s">
        <v>2757</v>
      </c>
      <c r="B32" s="15">
        <v>1</v>
      </c>
      <c r="C32" s="17" t="s">
        <v>2758</v>
      </c>
      <c r="D32" s="15">
        <v>1</v>
      </c>
    </row>
    <row r="33" spans="1:6" x14ac:dyDescent="0.4">
      <c r="A33" s="14" t="s">
        <v>2759</v>
      </c>
      <c r="B33" s="15">
        <v>1</v>
      </c>
      <c r="C33" s="17" t="s">
        <v>2760</v>
      </c>
      <c r="D33" s="15">
        <v>1</v>
      </c>
    </row>
    <row r="34" spans="1:6" x14ac:dyDescent="0.4">
      <c r="A34" s="14" t="s">
        <v>2761</v>
      </c>
      <c r="B34" s="15">
        <v>1</v>
      </c>
      <c r="C34" s="17" t="s">
        <v>2762</v>
      </c>
      <c r="D34" s="15">
        <v>1</v>
      </c>
    </row>
    <row r="35" spans="1:6" x14ac:dyDescent="0.4">
      <c r="A35" s="14" t="s">
        <v>2763</v>
      </c>
      <c r="B35" s="15">
        <v>3</v>
      </c>
      <c r="C35" s="17" t="s">
        <v>2764</v>
      </c>
      <c r="D35" s="15">
        <v>3</v>
      </c>
    </row>
    <row r="36" spans="1:6" x14ac:dyDescent="0.4">
      <c r="A36" s="14" t="s">
        <v>154</v>
      </c>
      <c r="B36" s="15">
        <v>2</v>
      </c>
      <c r="C36" s="17" t="s">
        <v>2765</v>
      </c>
      <c r="D36" s="15">
        <v>1</v>
      </c>
      <c r="E36" s="10">
        <v>43118</v>
      </c>
    </row>
    <row r="37" spans="1:6" x14ac:dyDescent="0.4">
      <c r="A37" s="14" t="s">
        <v>2766</v>
      </c>
      <c r="B37" s="15">
        <v>18</v>
      </c>
      <c r="C37" s="17" t="s">
        <v>2767</v>
      </c>
      <c r="D37" s="15">
        <v>0</v>
      </c>
      <c r="E37" s="10">
        <v>43118</v>
      </c>
      <c r="F37" t="s">
        <v>2768</v>
      </c>
    </row>
    <row r="38" spans="1:6" x14ac:dyDescent="0.4">
      <c r="A38" s="14" t="s">
        <v>2769</v>
      </c>
      <c r="B38" s="15">
        <v>1</v>
      </c>
      <c r="C38" s="17" t="s">
        <v>2770</v>
      </c>
      <c r="D38" s="15">
        <v>1</v>
      </c>
    </row>
    <row r="39" spans="1:6" x14ac:dyDescent="0.4">
      <c r="A39" s="14" t="s">
        <v>2771</v>
      </c>
      <c r="B39" s="15">
        <v>1</v>
      </c>
      <c r="C39" s="17" t="s">
        <v>2772</v>
      </c>
      <c r="D39" s="15">
        <v>1</v>
      </c>
    </row>
    <row r="40" spans="1:6" x14ac:dyDescent="0.4">
      <c r="A40" s="14" t="s">
        <v>2773</v>
      </c>
      <c r="B40" s="15">
        <v>1</v>
      </c>
      <c r="C40" s="17" t="s">
        <v>2774</v>
      </c>
      <c r="D40" s="15">
        <v>1</v>
      </c>
    </row>
    <row r="41" spans="1:6" x14ac:dyDescent="0.4">
      <c r="A41" s="14" t="s">
        <v>2775</v>
      </c>
      <c r="B41" s="15">
        <v>2</v>
      </c>
      <c r="C41" s="17" t="s">
        <v>2776</v>
      </c>
      <c r="D41" s="15">
        <v>2</v>
      </c>
    </row>
    <row r="42" spans="1:6" x14ac:dyDescent="0.4">
      <c r="A42" s="14" t="s">
        <v>2777</v>
      </c>
      <c r="B42" s="15">
        <v>2</v>
      </c>
      <c r="C42" s="17" t="s">
        <v>2778</v>
      </c>
      <c r="D42" s="15">
        <v>0</v>
      </c>
      <c r="E42" s="10">
        <v>43118</v>
      </c>
      <c r="F42" t="s">
        <v>2768</v>
      </c>
    </row>
    <row r="43" spans="1:6" x14ac:dyDescent="0.4">
      <c r="A43" s="14" t="s">
        <v>62</v>
      </c>
      <c r="B43" s="15">
        <v>4</v>
      </c>
      <c r="C43" s="17" t="s">
        <v>63</v>
      </c>
      <c r="D43" s="15">
        <v>4</v>
      </c>
    </row>
    <row r="44" spans="1:6" x14ac:dyDescent="0.4">
      <c r="A44" s="14" t="s">
        <v>2779</v>
      </c>
      <c r="B44" s="15">
        <v>2</v>
      </c>
      <c r="C44" s="17" t="s">
        <v>2780</v>
      </c>
      <c r="D44" s="15">
        <v>2</v>
      </c>
    </row>
    <row r="45" spans="1:6" x14ac:dyDescent="0.4">
      <c r="A45" s="14" t="s">
        <v>2781</v>
      </c>
      <c r="B45" s="15">
        <v>1</v>
      </c>
      <c r="C45" s="17" t="s">
        <v>2782</v>
      </c>
      <c r="D45" s="15">
        <v>1</v>
      </c>
    </row>
    <row r="46" spans="1:6" x14ac:dyDescent="0.4">
      <c r="A46" s="14" t="s">
        <v>2783</v>
      </c>
      <c r="B46" s="15">
        <v>10</v>
      </c>
      <c r="C46" s="17" t="s">
        <v>2784</v>
      </c>
      <c r="D46" s="15">
        <v>0</v>
      </c>
      <c r="E46" s="10">
        <v>43118</v>
      </c>
      <c r="F46" t="s">
        <v>2768</v>
      </c>
    </row>
    <row r="47" spans="1:6" x14ac:dyDescent="0.4">
      <c r="A47" s="14" t="s">
        <v>2785</v>
      </c>
      <c r="B47" s="15">
        <v>2</v>
      </c>
      <c r="C47" s="17" t="s">
        <v>2786</v>
      </c>
      <c r="D47" s="15">
        <v>2</v>
      </c>
    </row>
    <row r="48" spans="1:6" x14ac:dyDescent="0.4">
      <c r="A48" s="14" t="s">
        <v>2787</v>
      </c>
      <c r="B48" s="15">
        <v>1</v>
      </c>
      <c r="C48" s="17" t="s">
        <v>2788</v>
      </c>
      <c r="D48" s="15">
        <v>0</v>
      </c>
      <c r="E48" s="10">
        <v>43118</v>
      </c>
      <c r="F48" t="s">
        <v>2768</v>
      </c>
    </row>
    <row r="49" spans="1:6" x14ac:dyDescent="0.4">
      <c r="A49" s="14" t="s">
        <v>2789</v>
      </c>
      <c r="B49" s="15">
        <v>1</v>
      </c>
      <c r="C49" s="17" t="s">
        <v>2790</v>
      </c>
      <c r="D49" s="15">
        <v>1</v>
      </c>
    </row>
    <row r="50" spans="1:6" x14ac:dyDescent="0.4">
      <c r="A50" s="14" t="s">
        <v>2791</v>
      </c>
      <c r="B50" s="15">
        <v>3</v>
      </c>
      <c r="C50" s="17" t="s">
        <v>2792</v>
      </c>
      <c r="D50" s="15">
        <v>0</v>
      </c>
      <c r="E50" s="10">
        <v>43118</v>
      </c>
      <c r="F50" t="s">
        <v>2768</v>
      </c>
    </row>
    <row r="51" spans="1:6" x14ac:dyDescent="0.4">
      <c r="A51" s="14" t="s">
        <v>2793</v>
      </c>
      <c r="B51" s="15">
        <v>5</v>
      </c>
      <c r="C51" s="17" t="s">
        <v>2794</v>
      </c>
      <c r="D51" s="15">
        <v>5</v>
      </c>
    </row>
    <row r="52" spans="1:6" x14ac:dyDescent="0.4">
      <c r="A52" s="14" t="s">
        <v>2795</v>
      </c>
      <c r="B52" s="15">
        <v>1</v>
      </c>
      <c r="C52" s="17" t="s">
        <v>2796</v>
      </c>
      <c r="D52" s="15">
        <v>1</v>
      </c>
    </row>
    <row r="53" spans="1:6" x14ac:dyDescent="0.4">
      <c r="A53" s="14" t="s">
        <v>2797</v>
      </c>
      <c r="B53" s="15">
        <v>1</v>
      </c>
      <c r="C53" s="17" t="s">
        <v>2798</v>
      </c>
      <c r="D53" s="15">
        <v>1</v>
      </c>
    </row>
    <row r="54" spans="1:6" x14ac:dyDescent="0.4">
      <c r="A54" s="14" t="s">
        <v>1112</v>
      </c>
      <c r="B54" s="15">
        <v>1</v>
      </c>
      <c r="C54" s="17" t="s">
        <v>1113</v>
      </c>
      <c r="D54" s="15">
        <v>1</v>
      </c>
    </row>
    <row r="55" spans="1:6" x14ac:dyDescent="0.4">
      <c r="A55" s="14" t="s">
        <v>2799</v>
      </c>
      <c r="B55" s="15">
        <v>1</v>
      </c>
      <c r="C55" s="17" t="s">
        <v>2800</v>
      </c>
      <c r="D55" s="15">
        <v>1</v>
      </c>
    </row>
    <row r="56" spans="1:6" x14ac:dyDescent="0.4">
      <c r="A56" s="14" t="s">
        <v>2801</v>
      </c>
      <c r="B56" s="15">
        <v>1</v>
      </c>
      <c r="C56" s="17" t="s">
        <v>2802</v>
      </c>
      <c r="D56" s="15">
        <v>1</v>
      </c>
    </row>
    <row r="57" spans="1:6" x14ac:dyDescent="0.4">
      <c r="A57" s="14" t="s">
        <v>2803</v>
      </c>
      <c r="B57" s="15">
        <v>2</v>
      </c>
      <c r="C57" s="17" t="s">
        <v>2804</v>
      </c>
      <c r="D57" s="15">
        <v>2</v>
      </c>
    </row>
    <row r="58" spans="1:6" x14ac:dyDescent="0.4">
      <c r="A58" s="14" t="s">
        <v>2805</v>
      </c>
      <c r="B58" s="15">
        <v>1</v>
      </c>
      <c r="C58" s="17" t="s">
        <v>2806</v>
      </c>
      <c r="D58" s="15">
        <v>1</v>
      </c>
    </row>
    <row r="59" spans="1:6" x14ac:dyDescent="0.4">
      <c r="A59" s="14" t="s">
        <v>2807</v>
      </c>
      <c r="B59" s="15">
        <v>1</v>
      </c>
      <c r="C59" s="17" t="s">
        <v>2808</v>
      </c>
      <c r="D59" s="15">
        <v>1</v>
      </c>
    </row>
    <row r="60" spans="1:6" x14ac:dyDescent="0.4">
      <c r="A60" s="14" t="s">
        <v>2809</v>
      </c>
      <c r="B60" s="15">
        <v>1</v>
      </c>
      <c r="C60" s="17" t="s">
        <v>2810</v>
      </c>
      <c r="D60" s="15">
        <v>1</v>
      </c>
    </row>
    <row r="61" spans="1:6" x14ac:dyDescent="0.4">
      <c r="A61" s="14" t="s">
        <v>2811</v>
      </c>
      <c r="B61" s="15">
        <v>1</v>
      </c>
      <c r="C61" s="17" t="s">
        <v>2812</v>
      </c>
      <c r="D61" s="15">
        <v>1</v>
      </c>
    </row>
    <row r="62" spans="1:6" x14ac:dyDescent="0.4">
      <c r="A62" s="14" t="s">
        <v>2813</v>
      </c>
      <c r="B62" s="15">
        <v>1</v>
      </c>
      <c r="C62" s="17" t="s">
        <v>2814</v>
      </c>
      <c r="D62" s="15">
        <v>1</v>
      </c>
    </row>
    <row r="63" spans="1:6" x14ac:dyDescent="0.4">
      <c r="A63" s="14" t="s">
        <v>2815</v>
      </c>
      <c r="B63" s="15">
        <v>1</v>
      </c>
      <c r="C63" s="17" t="s">
        <v>2816</v>
      </c>
      <c r="D63" s="15">
        <v>0</v>
      </c>
      <c r="E63" s="10">
        <v>43118</v>
      </c>
      <c r="F63" t="s">
        <v>2703</v>
      </c>
    </row>
    <row r="64" spans="1:6" x14ac:dyDescent="0.4">
      <c r="A64" s="14" t="s">
        <v>2817</v>
      </c>
      <c r="B64" s="15">
        <v>2</v>
      </c>
      <c r="C64" s="17" t="s">
        <v>2818</v>
      </c>
      <c r="D64" s="15">
        <v>2</v>
      </c>
    </row>
    <row r="65" spans="1:8" x14ac:dyDescent="0.4">
      <c r="A65" s="14" t="s">
        <v>2819</v>
      </c>
      <c r="B65" s="15">
        <v>1</v>
      </c>
      <c r="C65" s="17" t="s">
        <v>2820</v>
      </c>
      <c r="D65" s="15">
        <v>1</v>
      </c>
    </row>
    <row r="66" spans="1:8" x14ac:dyDescent="0.4">
      <c r="A66" s="14" t="s">
        <v>2821</v>
      </c>
      <c r="B66" s="15">
        <v>1</v>
      </c>
      <c r="C66" s="17" t="s">
        <v>2822</v>
      </c>
      <c r="D66" s="15">
        <v>1</v>
      </c>
    </row>
    <row r="67" spans="1:8" x14ac:dyDescent="0.4">
      <c r="A67" s="14" t="s">
        <v>2823</v>
      </c>
      <c r="B67" s="15">
        <v>1</v>
      </c>
      <c r="C67" s="17" t="s">
        <v>2824</v>
      </c>
      <c r="D67" s="15">
        <v>1</v>
      </c>
    </row>
    <row r="68" spans="1:8" x14ac:dyDescent="0.4">
      <c r="A68" s="14" t="s">
        <v>2825</v>
      </c>
      <c r="B68" s="15">
        <v>10</v>
      </c>
      <c r="C68" s="17" t="s">
        <v>2826</v>
      </c>
      <c r="D68" s="15">
        <v>10</v>
      </c>
    </row>
    <row r="69" spans="1:8" x14ac:dyDescent="0.4">
      <c r="A69" s="14" t="s">
        <v>2827</v>
      </c>
      <c r="B69" s="15">
        <v>1</v>
      </c>
      <c r="C69" s="17" t="s">
        <v>2828</v>
      </c>
      <c r="D69" s="15">
        <v>1</v>
      </c>
    </row>
    <row r="70" spans="1:8" x14ac:dyDescent="0.4">
      <c r="A70" s="14" t="s">
        <v>2829</v>
      </c>
      <c r="B70" s="15">
        <v>1</v>
      </c>
      <c r="C70" s="17" t="s">
        <v>2830</v>
      </c>
      <c r="D70" s="15">
        <v>0</v>
      </c>
      <c r="E70" s="10">
        <v>43118</v>
      </c>
      <c r="F70" t="s">
        <v>2831</v>
      </c>
      <c r="G70">
        <v>1</v>
      </c>
      <c r="H70" s="10">
        <v>43120</v>
      </c>
    </row>
    <row r="71" spans="1:8" x14ac:dyDescent="0.4">
      <c r="A71" s="14" t="s">
        <v>2832</v>
      </c>
      <c r="B71" s="15">
        <v>1</v>
      </c>
      <c r="C71" s="17" t="s">
        <v>2833</v>
      </c>
      <c r="D71" s="15">
        <v>1</v>
      </c>
    </row>
    <row r="72" spans="1:8" x14ac:dyDescent="0.4">
      <c r="A72" s="14" t="s">
        <v>2834</v>
      </c>
      <c r="B72" s="15">
        <v>1</v>
      </c>
      <c r="C72" s="17" t="s">
        <v>2835</v>
      </c>
      <c r="D72" s="15">
        <v>1</v>
      </c>
    </row>
    <row r="73" spans="1:8" x14ac:dyDescent="0.4">
      <c r="A73" s="14" t="s">
        <v>2836</v>
      </c>
      <c r="B73" s="15">
        <v>1</v>
      </c>
      <c r="C73" s="17" t="s">
        <v>2837</v>
      </c>
      <c r="D73" s="15">
        <v>0</v>
      </c>
      <c r="E73" s="10">
        <v>43118</v>
      </c>
      <c r="F73" t="s">
        <v>2703</v>
      </c>
    </row>
    <row r="74" spans="1:8" x14ac:dyDescent="0.4">
      <c r="A74" s="14" t="s">
        <v>2838</v>
      </c>
      <c r="B74" s="15">
        <v>1</v>
      </c>
      <c r="C74" s="17" t="s">
        <v>2839</v>
      </c>
      <c r="D74" s="15">
        <v>0</v>
      </c>
      <c r="E74" s="10">
        <v>43118</v>
      </c>
      <c r="F74" t="s">
        <v>2703</v>
      </c>
    </row>
    <row r="75" spans="1:8" x14ac:dyDescent="0.4">
      <c r="A75" s="14" t="s">
        <v>2840</v>
      </c>
      <c r="B75" s="15">
        <v>1</v>
      </c>
      <c r="C75" s="17" t="s">
        <v>2841</v>
      </c>
      <c r="D75" s="15">
        <v>0</v>
      </c>
      <c r="E75" s="10">
        <v>43118</v>
      </c>
      <c r="F75" t="s">
        <v>2703</v>
      </c>
    </row>
    <row r="76" spans="1:8" x14ac:dyDescent="0.4">
      <c r="A76" s="14" t="s">
        <v>2842</v>
      </c>
      <c r="B76" s="15">
        <v>1</v>
      </c>
      <c r="C76" s="17" t="s">
        <v>2843</v>
      </c>
      <c r="D76" s="15">
        <v>1</v>
      </c>
    </row>
    <row r="77" spans="1:8" x14ac:dyDescent="0.4">
      <c r="A77" s="14" t="s">
        <v>2844</v>
      </c>
      <c r="B77" s="15">
        <v>1</v>
      </c>
      <c r="C77" s="17" t="s">
        <v>2845</v>
      </c>
      <c r="D77" s="15">
        <v>1</v>
      </c>
    </row>
    <row r="78" spans="1:8" x14ac:dyDescent="0.4">
      <c r="A78" s="14" t="s">
        <v>2846</v>
      </c>
      <c r="B78" s="15">
        <v>1</v>
      </c>
      <c r="C78" s="17" t="s">
        <v>2847</v>
      </c>
      <c r="D78" s="15">
        <v>0</v>
      </c>
      <c r="E78" s="10">
        <v>43118</v>
      </c>
      <c r="F78" t="s">
        <v>2703</v>
      </c>
    </row>
    <row r="79" spans="1:8" x14ac:dyDescent="0.4">
      <c r="A79" s="14" t="s">
        <v>2848</v>
      </c>
      <c r="B79" s="15">
        <v>10</v>
      </c>
      <c r="C79" s="16" t="s">
        <v>2849</v>
      </c>
      <c r="D79" s="15">
        <v>10</v>
      </c>
    </row>
    <row r="80" spans="1:8" x14ac:dyDescent="0.4">
      <c r="A80" s="14" t="s">
        <v>2850</v>
      </c>
      <c r="B80" s="15">
        <v>2</v>
      </c>
      <c r="C80" s="17" t="s">
        <v>2851</v>
      </c>
      <c r="D80" s="15">
        <v>2</v>
      </c>
    </row>
    <row r="81" spans="1:7" x14ac:dyDescent="0.4">
      <c r="A81" s="14" t="s">
        <v>2852</v>
      </c>
      <c r="B81" s="15">
        <v>4</v>
      </c>
      <c r="C81" s="17" t="s">
        <v>2853</v>
      </c>
      <c r="D81" s="15">
        <v>4</v>
      </c>
    </row>
    <row r="82" spans="1:7" x14ac:dyDescent="0.4">
      <c r="A82" s="14" t="s">
        <v>2854</v>
      </c>
      <c r="B82" s="15">
        <v>1</v>
      </c>
      <c r="C82" s="17" t="s">
        <v>2855</v>
      </c>
      <c r="D82" s="15">
        <v>0</v>
      </c>
      <c r="E82" s="10">
        <v>43118</v>
      </c>
      <c r="F82" t="s">
        <v>2703</v>
      </c>
    </row>
    <row r="83" spans="1:7" x14ac:dyDescent="0.4">
      <c r="A83" s="14" t="s">
        <v>2856</v>
      </c>
      <c r="B83" s="15">
        <v>2</v>
      </c>
      <c r="C83" s="17" t="s">
        <v>2857</v>
      </c>
      <c r="D83" s="15">
        <v>2</v>
      </c>
    </row>
    <row r="84" spans="1:7" x14ac:dyDescent="0.4">
      <c r="A84" s="14" t="s">
        <v>2858</v>
      </c>
      <c r="B84" s="15">
        <v>1</v>
      </c>
      <c r="C84" s="17" t="s">
        <v>2859</v>
      </c>
      <c r="D84" s="15">
        <v>1</v>
      </c>
    </row>
    <row r="85" spans="1:7" x14ac:dyDescent="0.4">
      <c r="A85" s="14" t="s">
        <v>2860</v>
      </c>
      <c r="B85" s="15">
        <v>1</v>
      </c>
      <c r="C85" s="17" t="s">
        <v>2861</v>
      </c>
      <c r="D85" s="15">
        <v>1</v>
      </c>
    </row>
    <row r="86" spans="1:7" x14ac:dyDescent="0.4">
      <c r="A86" s="14" t="s">
        <v>2862</v>
      </c>
      <c r="B86" s="15">
        <v>1</v>
      </c>
      <c r="C86" s="17" t="s">
        <v>2863</v>
      </c>
      <c r="D86" s="15">
        <v>1</v>
      </c>
    </row>
    <row r="87" spans="1:7" x14ac:dyDescent="0.4">
      <c r="A87" s="14" t="s">
        <v>1156</v>
      </c>
      <c r="B87" s="15">
        <v>1</v>
      </c>
      <c r="C87" s="17" t="s">
        <v>1157</v>
      </c>
      <c r="D87" s="15">
        <v>1</v>
      </c>
    </row>
    <row r="88" spans="1:7" x14ac:dyDescent="0.4">
      <c r="A88" s="14" t="s">
        <v>2864</v>
      </c>
      <c r="B88" s="15">
        <v>1</v>
      </c>
      <c r="C88" s="17" t="s">
        <v>2865</v>
      </c>
      <c r="D88" s="15">
        <v>1</v>
      </c>
    </row>
    <row r="89" spans="1:7" x14ac:dyDescent="0.4">
      <c r="A89" s="14" t="s">
        <v>2866</v>
      </c>
      <c r="B89" s="15">
        <v>1</v>
      </c>
      <c r="C89" s="17" t="s">
        <v>2867</v>
      </c>
      <c r="D89" s="15">
        <v>1</v>
      </c>
    </row>
    <row r="90" spans="1:7" x14ac:dyDescent="0.4">
      <c r="A90" s="14" t="s">
        <v>2868</v>
      </c>
      <c r="B90" s="15">
        <v>1</v>
      </c>
      <c r="C90" s="17" t="s">
        <v>2869</v>
      </c>
      <c r="D90" s="15">
        <v>1</v>
      </c>
    </row>
    <row r="91" spans="1:7" x14ac:dyDescent="0.4">
      <c r="A91" s="14" t="s">
        <v>1655</v>
      </c>
      <c r="B91" s="15">
        <v>1</v>
      </c>
      <c r="C91" s="17" t="s">
        <v>1656</v>
      </c>
      <c r="D91" s="15">
        <v>1</v>
      </c>
    </row>
    <row r="92" spans="1:7" x14ac:dyDescent="0.4">
      <c r="A92" s="14" t="s">
        <v>2870</v>
      </c>
      <c r="B92" s="15">
        <v>1</v>
      </c>
      <c r="C92" s="17" t="s">
        <v>2871</v>
      </c>
      <c r="D92" s="15">
        <v>1</v>
      </c>
    </row>
    <row r="93" spans="1:7" x14ac:dyDescent="0.4">
      <c r="A93" s="14" t="s">
        <v>2872</v>
      </c>
      <c r="B93" s="15">
        <v>3</v>
      </c>
      <c r="C93" s="17" t="s">
        <v>2873</v>
      </c>
      <c r="D93" s="15">
        <v>2</v>
      </c>
      <c r="E93" s="10">
        <v>43118</v>
      </c>
      <c r="F93" t="s">
        <v>2703</v>
      </c>
      <c r="G93">
        <v>1</v>
      </c>
    </row>
    <row r="94" spans="1:7" x14ac:dyDescent="0.4">
      <c r="A94" s="14" t="s">
        <v>2874</v>
      </c>
      <c r="B94" s="15">
        <v>1</v>
      </c>
      <c r="C94" s="17" t="s">
        <v>2875</v>
      </c>
      <c r="D94" s="15">
        <v>1</v>
      </c>
    </row>
    <row r="95" spans="1:7" x14ac:dyDescent="0.4">
      <c r="A95" s="14" t="s">
        <v>1338</v>
      </c>
      <c r="B95" s="15">
        <v>2</v>
      </c>
      <c r="C95" s="17" t="s">
        <v>1339</v>
      </c>
      <c r="D95" s="15">
        <v>2</v>
      </c>
    </row>
    <row r="96" spans="1:7" x14ac:dyDescent="0.4">
      <c r="A96" s="14" t="s">
        <v>2876</v>
      </c>
      <c r="B96" s="15">
        <v>1</v>
      </c>
      <c r="C96" s="17" t="s">
        <v>2877</v>
      </c>
      <c r="D96" s="15">
        <v>1</v>
      </c>
    </row>
    <row r="97" spans="1:8" x14ac:dyDescent="0.4">
      <c r="A97" s="14" t="s">
        <v>2878</v>
      </c>
      <c r="B97" s="15">
        <v>1</v>
      </c>
      <c r="C97" s="17" t="s">
        <v>2879</v>
      </c>
      <c r="D97" s="15">
        <v>1</v>
      </c>
    </row>
    <row r="98" spans="1:8" x14ac:dyDescent="0.4">
      <c r="A98" s="14" t="s">
        <v>2880</v>
      </c>
      <c r="B98" s="15">
        <v>1</v>
      </c>
      <c r="C98" s="17" t="s">
        <v>2881</v>
      </c>
      <c r="D98" s="15">
        <v>1</v>
      </c>
    </row>
    <row r="99" spans="1:8" x14ac:dyDescent="0.4">
      <c r="A99" s="14" t="s">
        <v>2882</v>
      </c>
      <c r="B99" s="15">
        <v>2</v>
      </c>
      <c r="C99" s="17" t="s">
        <v>2883</v>
      </c>
      <c r="D99" s="15">
        <v>2</v>
      </c>
    </row>
    <row r="100" spans="1:8" x14ac:dyDescent="0.4">
      <c r="A100" s="14" t="s">
        <v>2884</v>
      </c>
      <c r="B100" s="15">
        <v>1</v>
      </c>
      <c r="C100" s="17" t="s">
        <v>2885</v>
      </c>
      <c r="D100" s="15">
        <v>1</v>
      </c>
    </row>
    <row r="101" spans="1:8" x14ac:dyDescent="0.4">
      <c r="A101" s="14" t="s">
        <v>2886</v>
      </c>
      <c r="B101" s="15">
        <v>1</v>
      </c>
      <c r="C101" s="17" t="s">
        <v>2887</v>
      </c>
      <c r="D101" s="15">
        <v>1</v>
      </c>
    </row>
    <row r="102" spans="1:8" x14ac:dyDescent="0.4">
      <c r="A102" s="14" t="s">
        <v>2888</v>
      </c>
      <c r="B102" s="15">
        <v>6</v>
      </c>
      <c r="C102" s="17" t="s">
        <v>2889</v>
      </c>
      <c r="D102" s="15">
        <v>5</v>
      </c>
      <c r="E102" s="10">
        <v>43118</v>
      </c>
      <c r="F102" t="s">
        <v>2831</v>
      </c>
      <c r="G102">
        <v>1</v>
      </c>
      <c r="H102" s="10">
        <v>43120</v>
      </c>
    </row>
    <row r="103" spans="1:8" x14ac:dyDescent="0.4">
      <c r="A103" s="14" t="s">
        <v>2890</v>
      </c>
      <c r="B103" s="15">
        <v>1</v>
      </c>
      <c r="C103" s="17" t="s">
        <v>2891</v>
      </c>
      <c r="D103" s="15">
        <v>1</v>
      </c>
    </row>
    <row r="104" spans="1:8" x14ac:dyDescent="0.4">
      <c r="A104" s="14" t="s">
        <v>2892</v>
      </c>
      <c r="B104" s="15">
        <v>1</v>
      </c>
      <c r="C104" s="18" t="s">
        <v>2893</v>
      </c>
      <c r="D104" s="15">
        <v>0</v>
      </c>
      <c r="E104" s="10">
        <v>43118</v>
      </c>
      <c r="F104" t="s">
        <v>2722</v>
      </c>
    </row>
    <row r="105" spans="1:8" x14ac:dyDescent="0.4">
      <c r="A105" s="14" t="s">
        <v>2894</v>
      </c>
      <c r="B105" s="15">
        <v>1</v>
      </c>
      <c r="C105" s="17" t="s">
        <v>2895</v>
      </c>
      <c r="D105" s="15">
        <v>1</v>
      </c>
    </row>
    <row r="106" spans="1:8" x14ac:dyDescent="0.4">
      <c r="A106" s="14" t="s">
        <v>2896</v>
      </c>
      <c r="B106" s="15">
        <v>1</v>
      </c>
      <c r="C106" s="17" t="s">
        <v>2897</v>
      </c>
      <c r="D106" s="15">
        <v>1</v>
      </c>
    </row>
    <row r="107" spans="1:8" x14ac:dyDescent="0.4">
      <c r="A107" s="14" t="s">
        <v>2898</v>
      </c>
      <c r="B107" s="15">
        <v>1</v>
      </c>
      <c r="C107" s="17" t="s">
        <v>2899</v>
      </c>
      <c r="D107" s="15">
        <v>1</v>
      </c>
    </row>
    <row r="108" spans="1:8" x14ac:dyDescent="0.4">
      <c r="A108" s="14" t="s">
        <v>2900</v>
      </c>
      <c r="B108" s="15">
        <v>1</v>
      </c>
      <c r="C108" s="17" t="s">
        <v>2901</v>
      </c>
      <c r="D108" s="15">
        <v>1</v>
      </c>
    </row>
    <row r="109" spans="1:8" x14ac:dyDescent="0.4">
      <c r="A109" s="14" t="s">
        <v>2902</v>
      </c>
      <c r="B109" s="15">
        <v>1</v>
      </c>
      <c r="C109" s="17" t="s">
        <v>2903</v>
      </c>
      <c r="D109" s="15">
        <v>1</v>
      </c>
    </row>
    <row r="110" spans="1:8" x14ac:dyDescent="0.4">
      <c r="A110" s="14" t="s">
        <v>2904</v>
      </c>
      <c r="B110" s="15">
        <v>3</v>
      </c>
      <c r="C110" s="17" t="s">
        <v>2905</v>
      </c>
      <c r="D110" s="15">
        <v>3</v>
      </c>
    </row>
    <row r="111" spans="1:8" x14ac:dyDescent="0.4">
      <c r="A111" s="14" t="s">
        <v>2906</v>
      </c>
      <c r="B111" s="15">
        <v>1</v>
      </c>
      <c r="C111" s="17" t="s">
        <v>2907</v>
      </c>
      <c r="D111" s="15">
        <v>1</v>
      </c>
    </row>
    <row r="112" spans="1:8" x14ac:dyDescent="0.4">
      <c r="A112" s="14" t="s">
        <v>2908</v>
      </c>
      <c r="B112" s="15">
        <v>1</v>
      </c>
      <c r="C112" s="17" t="s">
        <v>2909</v>
      </c>
      <c r="D112" s="15">
        <v>1</v>
      </c>
    </row>
    <row r="113" spans="1:6" x14ac:dyDescent="0.4">
      <c r="A113" s="14" t="s">
        <v>2910</v>
      </c>
      <c r="B113" s="15">
        <v>1</v>
      </c>
      <c r="C113" s="17" t="s">
        <v>2911</v>
      </c>
      <c r="D113" s="15">
        <v>1</v>
      </c>
    </row>
    <row r="114" spans="1:6" x14ac:dyDescent="0.4">
      <c r="A114" s="14" t="s">
        <v>2912</v>
      </c>
      <c r="B114" s="15">
        <v>1</v>
      </c>
      <c r="C114" s="17" t="s">
        <v>2913</v>
      </c>
      <c r="D114" s="15">
        <v>1</v>
      </c>
    </row>
    <row r="115" spans="1:6" x14ac:dyDescent="0.4">
      <c r="A115" s="14" t="s">
        <v>2914</v>
      </c>
      <c r="B115" s="15">
        <v>5</v>
      </c>
      <c r="C115" s="17" t="s">
        <v>2915</v>
      </c>
      <c r="D115" s="15">
        <v>5</v>
      </c>
      <c r="E115" s="10">
        <v>43118</v>
      </c>
      <c r="F115" t="s">
        <v>2916</v>
      </c>
    </row>
    <row r="116" spans="1:6" x14ac:dyDescent="0.4">
      <c r="A116" s="14" t="s">
        <v>2917</v>
      </c>
      <c r="B116" s="15">
        <v>1</v>
      </c>
      <c r="C116" s="17" t="s">
        <v>2918</v>
      </c>
      <c r="D116" s="15">
        <v>1</v>
      </c>
    </row>
    <row r="117" spans="1:6" x14ac:dyDescent="0.4">
      <c r="A117" s="14" t="s">
        <v>2919</v>
      </c>
      <c r="B117" s="15">
        <v>1</v>
      </c>
      <c r="C117" s="17" t="s">
        <v>2920</v>
      </c>
      <c r="D117" s="15">
        <v>1</v>
      </c>
    </row>
    <row r="118" spans="1:6" x14ac:dyDescent="0.4">
      <c r="A118" s="14" t="s">
        <v>2921</v>
      </c>
      <c r="B118" s="15">
        <v>1</v>
      </c>
      <c r="C118" s="17" t="s">
        <v>2922</v>
      </c>
      <c r="D118" s="15">
        <v>1</v>
      </c>
    </row>
    <row r="119" spans="1:6" x14ac:dyDescent="0.4">
      <c r="A119" s="14" t="s">
        <v>2923</v>
      </c>
      <c r="B119" s="15">
        <v>1</v>
      </c>
      <c r="C119" s="17" t="s">
        <v>2924</v>
      </c>
      <c r="D119" s="15">
        <v>1</v>
      </c>
    </row>
    <row r="120" spans="1:6" x14ac:dyDescent="0.4">
      <c r="A120" s="14" t="s">
        <v>2925</v>
      </c>
      <c r="B120" s="15">
        <v>1</v>
      </c>
      <c r="C120" s="17" t="s">
        <v>2926</v>
      </c>
      <c r="D120" s="15">
        <v>1</v>
      </c>
    </row>
    <row r="121" spans="1:6" x14ac:dyDescent="0.4">
      <c r="A121" s="14" t="s">
        <v>1599</v>
      </c>
      <c r="B121" s="15">
        <v>1</v>
      </c>
      <c r="C121" s="17" t="s">
        <v>1600</v>
      </c>
      <c r="D121" s="15">
        <v>1</v>
      </c>
    </row>
    <row r="122" spans="1:6" x14ac:dyDescent="0.4">
      <c r="A122" s="14" t="s">
        <v>2927</v>
      </c>
      <c r="B122" s="15">
        <v>1</v>
      </c>
      <c r="C122" s="17" t="s">
        <v>2928</v>
      </c>
      <c r="D122" s="15">
        <v>1</v>
      </c>
    </row>
    <row r="123" spans="1:6" x14ac:dyDescent="0.4">
      <c r="A123" s="14" t="s">
        <v>2929</v>
      </c>
      <c r="B123" s="15">
        <v>5</v>
      </c>
      <c r="C123" s="17" t="s">
        <v>2930</v>
      </c>
      <c r="D123" s="15">
        <v>5</v>
      </c>
    </row>
    <row r="124" spans="1:6" x14ac:dyDescent="0.4">
      <c r="A124" s="14" t="s">
        <v>2931</v>
      </c>
      <c r="B124" s="15">
        <v>2</v>
      </c>
      <c r="C124" s="17" t="s">
        <v>2932</v>
      </c>
      <c r="D124" s="15">
        <v>2</v>
      </c>
    </row>
    <row r="125" spans="1:6" x14ac:dyDescent="0.4">
      <c r="A125" s="14" t="s">
        <v>2933</v>
      </c>
      <c r="B125" s="15">
        <v>2</v>
      </c>
      <c r="C125" s="17" t="s">
        <v>2934</v>
      </c>
      <c r="D125" s="15">
        <v>2</v>
      </c>
    </row>
    <row r="126" spans="1:6" x14ac:dyDescent="0.4">
      <c r="A126" s="14" t="s">
        <v>2935</v>
      </c>
      <c r="B126" s="15">
        <v>1</v>
      </c>
      <c r="C126" s="17" t="s">
        <v>2936</v>
      </c>
      <c r="D126" s="15">
        <v>1</v>
      </c>
    </row>
    <row r="127" spans="1:6" x14ac:dyDescent="0.4">
      <c r="A127" s="14" t="s">
        <v>2937</v>
      </c>
      <c r="B127" s="15">
        <v>1</v>
      </c>
      <c r="C127" s="17" t="s">
        <v>2938</v>
      </c>
      <c r="D127" s="15">
        <v>0</v>
      </c>
      <c r="E127" s="10">
        <v>43118</v>
      </c>
      <c r="F127" t="s">
        <v>2722</v>
      </c>
    </row>
    <row r="128" spans="1:6" x14ac:dyDescent="0.4">
      <c r="A128" s="14" t="s">
        <v>2939</v>
      </c>
      <c r="B128" s="15">
        <v>1</v>
      </c>
      <c r="C128" s="17" t="s">
        <v>2940</v>
      </c>
      <c r="D128" s="15">
        <v>1</v>
      </c>
    </row>
    <row r="129" spans="1:8" x14ac:dyDescent="0.4">
      <c r="A129" s="14" t="s">
        <v>2941</v>
      </c>
      <c r="B129" s="15">
        <v>1</v>
      </c>
      <c r="C129" s="17" t="s">
        <v>2942</v>
      </c>
      <c r="D129" s="15">
        <v>0</v>
      </c>
      <c r="E129" s="10">
        <v>43118</v>
      </c>
      <c r="F129" t="s">
        <v>2703</v>
      </c>
    </row>
    <row r="130" spans="1:8" x14ac:dyDescent="0.4">
      <c r="A130" s="14" t="s">
        <v>1946</v>
      </c>
      <c r="B130" s="15">
        <v>2</v>
      </c>
      <c r="C130" s="17" t="s">
        <v>1947</v>
      </c>
      <c r="D130" s="15">
        <v>2</v>
      </c>
    </row>
    <row r="131" spans="1:8" x14ac:dyDescent="0.4">
      <c r="A131" s="14" t="s">
        <v>2943</v>
      </c>
      <c r="B131" s="15">
        <v>1</v>
      </c>
      <c r="C131" s="17" t="s">
        <v>2944</v>
      </c>
      <c r="D131" s="15">
        <v>1</v>
      </c>
    </row>
    <row r="132" spans="1:8" x14ac:dyDescent="0.4">
      <c r="A132" s="14" t="s">
        <v>2398</v>
      </c>
      <c r="B132" s="15">
        <v>1</v>
      </c>
      <c r="C132" s="17" t="s">
        <v>2399</v>
      </c>
      <c r="D132" s="15">
        <v>1</v>
      </c>
    </row>
    <row r="133" spans="1:8" x14ac:dyDescent="0.4">
      <c r="A133" s="14" t="s">
        <v>2945</v>
      </c>
      <c r="B133" s="15">
        <v>1</v>
      </c>
      <c r="C133" s="17" t="s">
        <v>2946</v>
      </c>
      <c r="D133" s="15">
        <v>1</v>
      </c>
    </row>
    <row r="134" spans="1:8" x14ac:dyDescent="0.4">
      <c r="A134" s="14" t="s">
        <v>2947</v>
      </c>
      <c r="B134" s="15">
        <v>1</v>
      </c>
      <c r="C134" s="17" t="s">
        <v>2948</v>
      </c>
      <c r="D134" s="15">
        <v>1</v>
      </c>
    </row>
    <row r="135" spans="1:8" x14ac:dyDescent="0.4">
      <c r="A135" s="14" t="s">
        <v>2949</v>
      </c>
      <c r="B135" s="15">
        <v>1</v>
      </c>
      <c r="C135" s="17" t="s">
        <v>2950</v>
      </c>
      <c r="D135" s="15">
        <v>1</v>
      </c>
    </row>
    <row r="136" spans="1:8" x14ac:dyDescent="0.4">
      <c r="A136" s="14" t="s">
        <v>2951</v>
      </c>
      <c r="B136" s="15">
        <v>1</v>
      </c>
      <c r="C136" s="17" t="s">
        <v>2952</v>
      </c>
      <c r="D136" s="15">
        <v>1</v>
      </c>
    </row>
    <row r="137" spans="1:8" x14ac:dyDescent="0.4">
      <c r="A137" s="14" t="s">
        <v>2953</v>
      </c>
      <c r="B137" s="15">
        <v>1</v>
      </c>
      <c r="C137" s="17" t="s">
        <v>2954</v>
      </c>
      <c r="D137" s="15">
        <v>0</v>
      </c>
      <c r="E137" s="10" t="s">
        <v>2955</v>
      </c>
    </row>
    <row r="138" spans="1:8" x14ac:dyDescent="0.4">
      <c r="A138" s="14" t="s">
        <v>2956</v>
      </c>
      <c r="B138" s="15">
        <v>1</v>
      </c>
      <c r="C138" s="17" t="s">
        <v>2957</v>
      </c>
      <c r="D138" s="15">
        <v>0</v>
      </c>
      <c r="E138" s="10" t="s">
        <v>2955</v>
      </c>
    </row>
    <row r="139" spans="1:8" x14ac:dyDescent="0.4">
      <c r="A139" s="14" t="s">
        <v>2958</v>
      </c>
      <c r="B139" s="15">
        <v>1</v>
      </c>
      <c r="C139" s="18" t="s">
        <v>2959</v>
      </c>
      <c r="D139" s="15">
        <v>0</v>
      </c>
      <c r="E139" s="10">
        <v>43118</v>
      </c>
      <c r="F139" t="s">
        <v>2722</v>
      </c>
    </row>
    <row r="140" spans="1:8" x14ac:dyDescent="0.4">
      <c r="A140" s="14" t="s">
        <v>2960</v>
      </c>
      <c r="B140" s="15">
        <v>1</v>
      </c>
      <c r="C140" s="16" t="s">
        <v>2961</v>
      </c>
      <c r="D140" s="15">
        <v>0</v>
      </c>
      <c r="E140" s="10">
        <v>43118</v>
      </c>
      <c r="F140" t="s">
        <v>2703</v>
      </c>
    </row>
    <row r="141" spans="1:8" x14ac:dyDescent="0.4">
      <c r="A141" s="14" t="s">
        <v>2962</v>
      </c>
      <c r="B141" s="15">
        <v>1</v>
      </c>
      <c r="C141" s="16" t="s">
        <v>2963</v>
      </c>
      <c r="D141" s="15">
        <v>0</v>
      </c>
      <c r="E141" s="10">
        <v>43118</v>
      </c>
      <c r="F141" t="s">
        <v>2703</v>
      </c>
    </row>
    <row r="142" spans="1:8" x14ac:dyDescent="0.4">
      <c r="A142" s="14" t="s">
        <v>2964</v>
      </c>
      <c r="B142" s="15">
        <v>1</v>
      </c>
      <c r="C142" s="17" t="s">
        <v>2965</v>
      </c>
      <c r="D142" s="15">
        <v>0</v>
      </c>
      <c r="E142" s="10">
        <v>43118</v>
      </c>
      <c r="F142" t="s">
        <v>2966</v>
      </c>
      <c r="G142">
        <v>1</v>
      </c>
      <c r="H142" s="10">
        <v>43119</v>
      </c>
    </row>
    <row r="143" spans="1:8" x14ac:dyDescent="0.4">
      <c r="A143" s="14" t="s">
        <v>2967</v>
      </c>
      <c r="B143" s="15">
        <v>1</v>
      </c>
      <c r="C143" s="17" t="s">
        <v>2968</v>
      </c>
      <c r="D143" s="15">
        <v>0</v>
      </c>
      <c r="E143" s="10">
        <v>43118</v>
      </c>
      <c r="F143" t="s">
        <v>2966</v>
      </c>
      <c r="G143">
        <v>1</v>
      </c>
      <c r="H143" s="10">
        <v>43119</v>
      </c>
    </row>
    <row r="144" spans="1:8" x14ac:dyDescent="0.4">
      <c r="A144" s="14" t="s">
        <v>2969</v>
      </c>
      <c r="B144" s="15">
        <v>1</v>
      </c>
      <c r="C144" s="17" t="s">
        <v>2970</v>
      </c>
      <c r="D144" s="15">
        <v>0</v>
      </c>
      <c r="E144" s="10">
        <v>43118</v>
      </c>
      <c r="F144" t="s">
        <v>2966</v>
      </c>
      <c r="G144">
        <v>1</v>
      </c>
      <c r="H144" s="10">
        <v>43119</v>
      </c>
    </row>
    <row r="145" spans="1:8" x14ac:dyDescent="0.4">
      <c r="A145" s="14" t="s">
        <v>2971</v>
      </c>
      <c r="B145" s="15">
        <v>11</v>
      </c>
      <c r="C145" s="17" t="s">
        <v>2972</v>
      </c>
      <c r="D145" s="15">
        <v>0</v>
      </c>
      <c r="E145" s="10">
        <v>43118</v>
      </c>
      <c r="F145" t="s">
        <v>2831</v>
      </c>
      <c r="G145">
        <v>11</v>
      </c>
      <c r="H145" s="10">
        <v>43122</v>
      </c>
    </row>
    <row r="146" spans="1:8" x14ac:dyDescent="0.4">
      <c r="A146" s="14" t="s">
        <v>2973</v>
      </c>
      <c r="B146" s="15">
        <v>1</v>
      </c>
      <c r="C146" s="17" t="s">
        <v>2974</v>
      </c>
      <c r="D146" s="15">
        <v>0</v>
      </c>
      <c r="E146" s="10">
        <v>43118</v>
      </c>
      <c r="F146" t="s">
        <v>2831</v>
      </c>
      <c r="G146">
        <v>1</v>
      </c>
      <c r="H146" s="10">
        <v>43122</v>
      </c>
    </row>
    <row r="147" spans="1:8" x14ac:dyDescent="0.4">
      <c r="A147" s="14" t="s">
        <v>2975</v>
      </c>
      <c r="B147" s="15">
        <v>1</v>
      </c>
      <c r="C147" s="17" t="s">
        <v>2976</v>
      </c>
      <c r="D147" s="15">
        <v>15</v>
      </c>
    </row>
    <row r="148" spans="1:8" x14ac:dyDescent="0.4">
      <c r="A148" s="14" t="s">
        <v>2977</v>
      </c>
      <c r="B148" s="15">
        <v>3</v>
      </c>
      <c r="C148" s="17" t="s">
        <v>2978</v>
      </c>
      <c r="D148" s="15">
        <v>0</v>
      </c>
      <c r="E148" s="10">
        <v>43118</v>
      </c>
      <c r="F148" t="s">
        <v>2703</v>
      </c>
    </row>
    <row r="149" spans="1:8" x14ac:dyDescent="0.4">
      <c r="A149" s="14" t="s">
        <v>2979</v>
      </c>
      <c r="B149" s="15">
        <v>11</v>
      </c>
      <c r="C149" s="17" t="s">
        <v>2980</v>
      </c>
      <c r="D149" s="15">
        <v>0</v>
      </c>
      <c r="E149" s="10">
        <v>43118</v>
      </c>
      <c r="F149" t="s">
        <v>2703</v>
      </c>
    </row>
    <row r="150" spans="1:8" x14ac:dyDescent="0.4">
      <c r="A150" s="14" t="s">
        <v>2981</v>
      </c>
      <c r="B150" s="15">
        <v>1</v>
      </c>
      <c r="C150" s="17" t="s">
        <v>2982</v>
      </c>
      <c r="D150" s="15">
        <v>0</v>
      </c>
      <c r="E150" s="10">
        <v>43118</v>
      </c>
      <c r="F150" t="s">
        <v>2831</v>
      </c>
      <c r="G150">
        <v>3</v>
      </c>
      <c r="H150" s="10">
        <v>43123</v>
      </c>
    </row>
    <row r="151" spans="1:8" x14ac:dyDescent="0.4">
      <c r="A151" s="14" t="s">
        <v>2983</v>
      </c>
      <c r="B151" s="15">
        <v>1</v>
      </c>
      <c r="C151" s="17" t="s">
        <v>2984</v>
      </c>
      <c r="D151" s="15">
        <v>0</v>
      </c>
      <c r="E151" s="10">
        <v>43118</v>
      </c>
      <c r="F151" t="s">
        <v>2831</v>
      </c>
      <c r="G151">
        <v>3</v>
      </c>
      <c r="H151" s="10">
        <v>43123</v>
      </c>
    </row>
    <row r="152" spans="1:8" x14ac:dyDescent="0.4">
      <c r="A152" s="14" t="s">
        <v>2985</v>
      </c>
      <c r="B152" s="15">
        <v>2</v>
      </c>
      <c r="C152" s="17" t="s">
        <v>2986</v>
      </c>
      <c r="D152" s="15">
        <v>0</v>
      </c>
      <c r="E152" s="10">
        <v>43118</v>
      </c>
      <c r="F152" t="s">
        <v>2722</v>
      </c>
    </row>
    <row r="153" spans="1:8" x14ac:dyDescent="0.4">
      <c r="A153" s="14" t="s">
        <v>2987</v>
      </c>
      <c r="B153" s="15">
        <v>3</v>
      </c>
      <c r="C153" s="17" t="s">
        <v>2988</v>
      </c>
      <c r="D153" s="15">
        <v>0</v>
      </c>
      <c r="E153" s="10">
        <v>43118</v>
      </c>
      <c r="F153" t="s">
        <v>2703</v>
      </c>
    </row>
    <row r="154" spans="1:8" x14ac:dyDescent="0.4">
      <c r="A154" s="14" t="s">
        <v>2989</v>
      </c>
      <c r="B154" s="15">
        <v>68</v>
      </c>
      <c r="C154" s="19" t="s">
        <v>2990</v>
      </c>
      <c r="D154" s="15">
        <v>0</v>
      </c>
      <c r="E154" s="10">
        <v>43118</v>
      </c>
      <c r="F154" t="s">
        <v>2703</v>
      </c>
    </row>
    <row r="155" spans="1:8" x14ac:dyDescent="0.4">
      <c r="A155" s="14" t="s">
        <v>2991</v>
      </c>
      <c r="B155" s="15">
        <v>1</v>
      </c>
      <c r="C155" s="19" t="s">
        <v>2992</v>
      </c>
      <c r="D155" s="15">
        <v>0</v>
      </c>
      <c r="E155" s="10">
        <v>43118</v>
      </c>
      <c r="F155" t="s">
        <v>2966</v>
      </c>
      <c r="G155">
        <v>1</v>
      </c>
      <c r="H155" s="10">
        <v>43119</v>
      </c>
    </row>
    <row r="156" spans="1:8" x14ac:dyDescent="0.4">
      <c r="A156" s="14" t="s">
        <v>2993</v>
      </c>
      <c r="B156" s="15">
        <v>1</v>
      </c>
      <c r="C156" s="17" t="s">
        <v>2994</v>
      </c>
      <c r="D156" s="15">
        <v>3</v>
      </c>
    </row>
    <row r="157" spans="1:8" x14ac:dyDescent="0.4">
      <c r="A157" s="14" t="s">
        <v>2995</v>
      </c>
      <c r="B157" s="15">
        <v>1</v>
      </c>
      <c r="C157" s="17" t="s">
        <v>2996</v>
      </c>
      <c r="D157" s="15">
        <v>3</v>
      </c>
    </row>
    <row r="158" spans="1:8" x14ac:dyDescent="0.4">
      <c r="A158" s="14" t="s">
        <v>2997</v>
      </c>
      <c r="B158" s="15">
        <v>1</v>
      </c>
      <c r="C158" s="17" t="s">
        <v>2998</v>
      </c>
      <c r="D158" s="15">
        <v>3</v>
      </c>
    </row>
    <row r="159" spans="1:8" x14ac:dyDescent="0.4">
      <c r="A159" s="14" t="s">
        <v>2999</v>
      </c>
      <c r="B159" s="15">
        <v>1</v>
      </c>
      <c r="C159" s="17" t="s">
        <v>3000</v>
      </c>
      <c r="D159" s="15">
        <v>3</v>
      </c>
    </row>
    <row r="160" spans="1:8" x14ac:dyDescent="0.4">
      <c r="A160" s="14" t="s">
        <v>3001</v>
      </c>
      <c r="B160" s="15">
        <v>10</v>
      </c>
      <c r="C160" s="16" t="s">
        <v>3002</v>
      </c>
      <c r="D160" s="15">
        <v>30</v>
      </c>
    </row>
    <row r="161" spans="1:8" x14ac:dyDescent="0.4">
      <c r="A161" s="14" t="s">
        <v>3003</v>
      </c>
      <c r="B161" s="15">
        <v>30</v>
      </c>
      <c r="C161" s="17" t="s">
        <v>3004</v>
      </c>
      <c r="D161" s="15">
        <v>30</v>
      </c>
    </row>
    <row r="162" spans="1:8" x14ac:dyDescent="0.4">
      <c r="A162" s="14" t="s">
        <v>3005</v>
      </c>
      <c r="B162" s="15">
        <v>1</v>
      </c>
      <c r="C162" s="17" t="s">
        <v>3006</v>
      </c>
      <c r="D162" s="15">
        <v>1</v>
      </c>
    </row>
    <row r="163" spans="1:8" x14ac:dyDescent="0.4">
      <c r="A163" s="14" t="s">
        <v>3007</v>
      </c>
      <c r="B163" s="15">
        <v>1</v>
      </c>
      <c r="C163" s="17" t="s">
        <v>3008</v>
      </c>
      <c r="D163" s="15">
        <v>1</v>
      </c>
    </row>
    <row r="164" spans="1:8" x14ac:dyDescent="0.4">
      <c r="A164" s="14" t="s">
        <v>3009</v>
      </c>
      <c r="B164" s="15">
        <v>1</v>
      </c>
      <c r="C164" s="17" t="s">
        <v>3010</v>
      </c>
      <c r="D164" s="15">
        <v>0</v>
      </c>
      <c r="E164" s="10">
        <v>43118</v>
      </c>
      <c r="F164" t="s">
        <v>2831</v>
      </c>
      <c r="G164">
        <v>1</v>
      </c>
      <c r="H164" s="10">
        <v>43122</v>
      </c>
    </row>
    <row r="165" spans="1:8" x14ac:dyDescent="0.4">
      <c r="A165" s="14" t="s">
        <v>3011</v>
      </c>
      <c r="B165" s="15">
        <v>1</v>
      </c>
      <c r="C165" s="17" t="s">
        <v>3012</v>
      </c>
      <c r="D165" s="15">
        <v>0</v>
      </c>
      <c r="E165" s="10">
        <v>43118</v>
      </c>
      <c r="F165" t="s">
        <v>2831</v>
      </c>
      <c r="G165">
        <v>1</v>
      </c>
      <c r="H165" s="10">
        <v>43122</v>
      </c>
    </row>
    <row r="166" spans="1:8" x14ac:dyDescent="0.4">
      <c r="A166" s="14" t="s">
        <v>3013</v>
      </c>
      <c r="B166" s="15">
        <v>1</v>
      </c>
      <c r="C166" s="17" t="s">
        <v>3014</v>
      </c>
      <c r="D166" s="15">
        <v>1</v>
      </c>
    </row>
    <row r="167" spans="1:8" x14ac:dyDescent="0.4">
      <c r="A167" s="14" t="s">
        <v>3015</v>
      </c>
      <c r="B167" s="15">
        <v>1</v>
      </c>
      <c r="C167" s="17" t="s">
        <v>3016</v>
      </c>
      <c r="D167" s="15">
        <v>1</v>
      </c>
    </row>
    <row r="168" spans="1:8" x14ac:dyDescent="0.4">
      <c r="A168" s="14" t="s">
        <v>3017</v>
      </c>
      <c r="B168" s="15">
        <v>1</v>
      </c>
      <c r="C168" s="17" t="s">
        <v>3018</v>
      </c>
      <c r="D168" s="15">
        <v>1</v>
      </c>
    </row>
    <row r="169" spans="1:8" x14ac:dyDescent="0.4">
      <c r="A169" s="14" t="s">
        <v>3019</v>
      </c>
      <c r="B169" s="15">
        <v>1</v>
      </c>
      <c r="C169" s="17" t="s">
        <v>3020</v>
      </c>
      <c r="D169" s="15">
        <v>0</v>
      </c>
      <c r="E169" s="10">
        <v>43118</v>
      </c>
      <c r="F169" t="s">
        <v>2831</v>
      </c>
      <c r="G169">
        <v>1</v>
      </c>
      <c r="H169" s="10">
        <v>43119</v>
      </c>
    </row>
    <row r="170" spans="1:8" x14ac:dyDescent="0.4">
      <c r="A170" s="14" t="s">
        <v>3021</v>
      </c>
      <c r="B170" s="15">
        <v>11</v>
      </c>
      <c r="C170" s="18" t="s">
        <v>3022</v>
      </c>
      <c r="D170" s="15">
        <v>0</v>
      </c>
      <c r="E170" s="10">
        <v>43118</v>
      </c>
      <c r="F170" t="s">
        <v>2831</v>
      </c>
      <c r="G170">
        <v>11</v>
      </c>
      <c r="H170" s="10">
        <v>43119</v>
      </c>
    </row>
    <row r="171" spans="1:8" x14ac:dyDescent="0.4">
      <c r="A171" s="14" t="s">
        <v>3023</v>
      </c>
      <c r="B171" s="15">
        <v>1</v>
      </c>
      <c r="C171" s="17" t="s">
        <v>3024</v>
      </c>
      <c r="D171" s="15">
        <v>1</v>
      </c>
    </row>
    <row r="172" spans="1:8" x14ac:dyDescent="0.4">
      <c r="A172" s="14" t="s">
        <v>3025</v>
      </c>
      <c r="B172" s="15">
        <v>1</v>
      </c>
      <c r="C172" s="17" t="s">
        <v>3026</v>
      </c>
      <c r="D172" s="15">
        <v>0</v>
      </c>
      <c r="E172" s="10">
        <v>43118</v>
      </c>
      <c r="F172" t="s">
        <v>2831</v>
      </c>
      <c r="G172">
        <v>1</v>
      </c>
      <c r="H172" s="10">
        <v>43119</v>
      </c>
    </row>
    <row r="173" spans="1:8" x14ac:dyDescent="0.4">
      <c r="A173" s="14" t="s">
        <v>3027</v>
      </c>
      <c r="B173" s="15">
        <v>1</v>
      </c>
      <c r="C173" s="17" t="s">
        <v>3028</v>
      </c>
      <c r="D173" s="15">
        <v>1</v>
      </c>
    </row>
    <row r="174" spans="1:8" x14ac:dyDescent="0.4">
      <c r="A174" s="14" t="s">
        <v>3029</v>
      </c>
      <c r="B174" s="15">
        <v>1</v>
      </c>
      <c r="C174" s="17" t="s">
        <v>3030</v>
      </c>
      <c r="D174" s="15">
        <v>1</v>
      </c>
    </row>
    <row r="175" spans="1:8" x14ac:dyDescent="0.4">
      <c r="A175" s="14" t="s">
        <v>3031</v>
      </c>
      <c r="B175" s="15">
        <v>1</v>
      </c>
      <c r="C175" s="17" t="s">
        <v>3032</v>
      </c>
      <c r="D175" s="15">
        <v>1</v>
      </c>
    </row>
    <row r="176" spans="1:8" x14ac:dyDescent="0.4">
      <c r="A176" s="14" t="s">
        <v>3033</v>
      </c>
      <c r="B176" s="15">
        <v>1</v>
      </c>
      <c r="C176" s="17" t="s">
        <v>3034</v>
      </c>
      <c r="D176" s="15">
        <v>1</v>
      </c>
    </row>
    <row r="177" spans="1:8" x14ac:dyDescent="0.4">
      <c r="A177" s="14" t="s">
        <v>3035</v>
      </c>
      <c r="B177" s="15">
        <v>9</v>
      </c>
      <c r="C177" s="17" t="s">
        <v>3036</v>
      </c>
      <c r="D177" s="15">
        <v>0</v>
      </c>
      <c r="E177" s="10">
        <v>43118</v>
      </c>
      <c r="F177" t="s">
        <v>2703</v>
      </c>
    </row>
    <row r="178" spans="1:8" x14ac:dyDescent="0.4">
      <c r="A178" s="14" t="s">
        <v>3037</v>
      </c>
      <c r="B178" s="15">
        <v>1</v>
      </c>
      <c r="C178" s="17" t="s">
        <v>3038</v>
      </c>
      <c r="D178" s="15">
        <v>1</v>
      </c>
    </row>
    <row r="179" spans="1:8" x14ac:dyDescent="0.4">
      <c r="A179" s="14" t="s">
        <v>3039</v>
      </c>
      <c r="B179" s="15">
        <v>3</v>
      </c>
      <c r="C179" s="17" t="s">
        <v>3040</v>
      </c>
      <c r="D179" s="15">
        <v>3</v>
      </c>
    </row>
    <row r="180" spans="1:8" x14ac:dyDescent="0.4">
      <c r="A180" s="14" t="s">
        <v>3041</v>
      </c>
      <c r="B180" s="15">
        <v>1</v>
      </c>
      <c r="C180" s="17" t="s">
        <v>3042</v>
      </c>
      <c r="D180" s="15">
        <v>1</v>
      </c>
    </row>
    <row r="181" spans="1:8" x14ac:dyDescent="0.4">
      <c r="A181" s="14" t="s">
        <v>3043</v>
      </c>
      <c r="B181" s="15">
        <v>10</v>
      </c>
      <c r="C181" s="17" t="s">
        <v>3044</v>
      </c>
      <c r="D181" s="15">
        <v>10</v>
      </c>
    </row>
    <row r="182" spans="1:8" x14ac:dyDescent="0.4">
      <c r="A182" s="14" t="s">
        <v>3045</v>
      </c>
      <c r="B182" s="15">
        <v>1</v>
      </c>
      <c r="C182" s="17" t="s">
        <v>3046</v>
      </c>
      <c r="D182" s="15">
        <v>1</v>
      </c>
    </row>
    <row r="183" spans="1:8" x14ac:dyDescent="0.4">
      <c r="A183" s="14" t="s">
        <v>3047</v>
      </c>
      <c r="B183" s="15">
        <v>1</v>
      </c>
      <c r="C183" s="17" t="s">
        <v>3048</v>
      </c>
      <c r="D183" s="15">
        <v>1</v>
      </c>
    </row>
    <row r="184" spans="1:8" x14ac:dyDescent="0.4">
      <c r="A184" s="14" t="s">
        <v>3049</v>
      </c>
      <c r="B184" s="15">
        <v>3</v>
      </c>
      <c r="C184" s="17" t="s">
        <v>3050</v>
      </c>
      <c r="D184" s="15">
        <v>3</v>
      </c>
    </row>
    <row r="185" spans="1:8" x14ac:dyDescent="0.4">
      <c r="A185" s="14" t="s">
        <v>3051</v>
      </c>
      <c r="B185" s="15">
        <v>1</v>
      </c>
      <c r="C185" s="17" t="s">
        <v>3052</v>
      </c>
      <c r="D185" s="15">
        <v>1</v>
      </c>
    </row>
    <row r="186" spans="1:8" x14ac:dyDescent="0.4">
      <c r="A186" s="14" t="s">
        <v>3053</v>
      </c>
      <c r="B186" s="15">
        <v>1</v>
      </c>
      <c r="C186" s="17" t="s">
        <v>3054</v>
      </c>
      <c r="D186" s="15">
        <v>1</v>
      </c>
    </row>
    <row r="187" spans="1:8" x14ac:dyDescent="0.4">
      <c r="A187" s="14" t="s">
        <v>3055</v>
      </c>
      <c r="B187" s="15">
        <v>1</v>
      </c>
      <c r="C187" s="17" t="s">
        <v>3056</v>
      </c>
      <c r="D187" s="15">
        <v>1</v>
      </c>
    </row>
    <row r="188" spans="1:8" x14ac:dyDescent="0.4">
      <c r="A188" s="14" t="s">
        <v>3057</v>
      </c>
      <c r="B188" s="15">
        <v>3</v>
      </c>
      <c r="C188" s="17" t="s">
        <v>3058</v>
      </c>
      <c r="D188" s="15">
        <v>3</v>
      </c>
    </row>
    <row r="189" spans="1:8" x14ac:dyDescent="0.4">
      <c r="A189" s="14" t="s">
        <v>3059</v>
      </c>
      <c r="B189" s="15">
        <v>2</v>
      </c>
      <c r="C189" s="17" t="s">
        <v>3060</v>
      </c>
      <c r="D189" s="15">
        <v>2</v>
      </c>
    </row>
    <row r="190" spans="1:8" x14ac:dyDescent="0.4">
      <c r="A190" s="14" t="s">
        <v>3061</v>
      </c>
      <c r="B190" s="15">
        <v>1</v>
      </c>
      <c r="C190" s="17" t="s">
        <v>3062</v>
      </c>
      <c r="D190" s="15">
        <v>1</v>
      </c>
    </row>
    <row r="191" spans="1:8" x14ac:dyDescent="0.4">
      <c r="A191" s="14" t="s">
        <v>3063</v>
      </c>
      <c r="B191" s="15">
        <v>6</v>
      </c>
      <c r="C191" s="17" t="s">
        <v>3064</v>
      </c>
      <c r="D191" s="15">
        <v>0</v>
      </c>
      <c r="E191" s="10">
        <v>43118</v>
      </c>
      <c r="F191" t="s">
        <v>2831</v>
      </c>
      <c r="G191">
        <v>6</v>
      </c>
      <c r="H191" s="10">
        <v>43119</v>
      </c>
    </row>
    <row r="192" spans="1:8" x14ac:dyDescent="0.4">
      <c r="A192" s="14" t="s">
        <v>3065</v>
      </c>
      <c r="B192" s="15">
        <v>3</v>
      </c>
      <c r="C192" s="17" t="s">
        <v>3066</v>
      </c>
      <c r="D192" s="15">
        <v>3</v>
      </c>
    </row>
    <row r="193" spans="1:8" x14ac:dyDescent="0.4">
      <c r="A193" s="14" t="s">
        <v>3067</v>
      </c>
      <c r="B193" s="15">
        <v>3</v>
      </c>
      <c r="C193" s="17" t="s">
        <v>3068</v>
      </c>
      <c r="D193" s="15">
        <v>3</v>
      </c>
    </row>
    <row r="194" spans="1:8" x14ac:dyDescent="0.4">
      <c r="A194" s="14" t="s">
        <v>3069</v>
      </c>
      <c r="B194" s="15">
        <v>4</v>
      </c>
      <c r="C194" s="17" t="s">
        <v>3070</v>
      </c>
      <c r="D194" s="15">
        <v>0</v>
      </c>
      <c r="E194" s="10">
        <v>43118</v>
      </c>
      <c r="F194" t="s">
        <v>2831</v>
      </c>
      <c r="G194">
        <v>4</v>
      </c>
      <c r="H194" s="10">
        <v>43120</v>
      </c>
    </row>
    <row r="195" spans="1:8" x14ac:dyDescent="0.4">
      <c r="A195" s="14" t="s">
        <v>3071</v>
      </c>
      <c r="B195" s="15">
        <v>1</v>
      </c>
      <c r="C195" s="17" t="s">
        <v>3072</v>
      </c>
      <c r="D195" s="15">
        <v>1</v>
      </c>
    </row>
    <row r="196" spans="1:8" x14ac:dyDescent="0.4">
      <c r="A196" s="14" t="s">
        <v>3073</v>
      </c>
      <c r="B196" s="15">
        <v>1</v>
      </c>
      <c r="C196" s="17" t="s">
        <v>3074</v>
      </c>
      <c r="D196" s="15">
        <v>1</v>
      </c>
    </row>
    <row r="197" spans="1:8" x14ac:dyDescent="0.4">
      <c r="A197" s="14" t="s">
        <v>3075</v>
      </c>
      <c r="B197" s="15">
        <v>1</v>
      </c>
      <c r="C197" s="17" t="s">
        <v>3076</v>
      </c>
      <c r="D197" s="15">
        <v>1</v>
      </c>
    </row>
    <row r="198" spans="1:8" x14ac:dyDescent="0.4">
      <c r="A198" s="14" t="s">
        <v>3077</v>
      </c>
      <c r="B198" s="15">
        <v>1</v>
      </c>
      <c r="C198" s="17" t="s">
        <v>3078</v>
      </c>
      <c r="D198" s="15">
        <v>1</v>
      </c>
    </row>
    <row r="199" spans="1:8" x14ac:dyDescent="0.4">
      <c r="A199" s="14" t="s">
        <v>3079</v>
      </c>
      <c r="B199" s="15">
        <v>1</v>
      </c>
      <c r="C199" s="17" t="s">
        <v>3080</v>
      </c>
      <c r="D199" s="15">
        <v>1</v>
      </c>
    </row>
    <row r="200" spans="1:8" x14ac:dyDescent="0.4">
      <c r="A200" s="14" t="s">
        <v>3081</v>
      </c>
      <c r="B200" s="15">
        <v>1</v>
      </c>
      <c r="C200" s="17" t="s">
        <v>3082</v>
      </c>
      <c r="D200" s="15">
        <v>1</v>
      </c>
    </row>
    <row r="201" spans="1:8" x14ac:dyDescent="0.4">
      <c r="A201" s="14" t="s">
        <v>3083</v>
      </c>
      <c r="B201" s="15">
        <v>1</v>
      </c>
      <c r="C201" s="17" t="s">
        <v>3084</v>
      </c>
      <c r="D201" s="15">
        <v>1</v>
      </c>
    </row>
    <row r="202" spans="1:8" x14ac:dyDescent="0.4">
      <c r="A202" s="14" t="s">
        <v>3085</v>
      </c>
      <c r="B202" s="15">
        <v>1</v>
      </c>
      <c r="C202" s="17" t="s">
        <v>3086</v>
      </c>
      <c r="D202" s="15">
        <v>1</v>
      </c>
    </row>
    <row r="203" spans="1:8" x14ac:dyDescent="0.4">
      <c r="A203" s="14" t="s">
        <v>3087</v>
      </c>
      <c r="B203" s="15">
        <v>3</v>
      </c>
      <c r="C203" s="17" t="s">
        <v>3088</v>
      </c>
      <c r="D203" s="15">
        <v>3</v>
      </c>
    </row>
    <row r="204" spans="1:8" x14ac:dyDescent="0.4">
      <c r="A204" s="14" t="s">
        <v>3089</v>
      </c>
      <c r="B204" s="15">
        <v>1</v>
      </c>
      <c r="C204" s="17" t="s">
        <v>3090</v>
      </c>
      <c r="D204" s="15">
        <v>1</v>
      </c>
    </row>
    <row r="205" spans="1:8" x14ac:dyDescent="0.4">
      <c r="A205" s="14" t="s">
        <v>3091</v>
      </c>
      <c r="B205" s="15">
        <v>1</v>
      </c>
      <c r="C205" s="17" t="s">
        <v>3092</v>
      </c>
      <c r="D205" s="15">
        <v>1</v>
      </c>
    </row>
    <row r="206" spans="1:8" x14ac:dyDescent="0.4">
      <c r="A206" s="14" t="s">
        <v>3093</v>
      </c>
      <c r="B206" s="15">
        <v>1</v>
      </c>
      <c r="C206" s="17" t="s">
        <v>3094</v>
      </c>
      <c r="D206" s="15">
        <v>1</v>
      </c>
    </row>
    <row r="207" spans="1:8" x14ac:dyDescent="0.4">
      <c r="A207" s="14" t="s">
        <v>3095</v>
      </c>
      <c r="B207" s="15">
        <v>1</v>
      </c>
      <c r="C207" s="17" t="s">
        <v>3096</v>
      </c>
      <c r="D207" s="15">
        <v>1</v>
      </c>
    </row>
    <row r="208" spans="1:8" x14ac:dyDescent="0.4">
      <c r="A208" s="14" t="s">
        <v>3097</v>
      </c>
      <c r="B208" s="15">
        <v>2</v>
      </c>
      <c r="C208" s="17" t="s">
        <v>3098</v>
      </c>
      <c r="D208" s="15">
        <v>2</v>
      </c>
    </row>
    <row r="209" spans="1:8" x14ac:dyDescent="0.4">
      <c r="A209" s="14" t="s">
        <v>3099</v>
      </c>
      <c r="B209" s="15">
        <v>3</v>
      </c>
      <c r="C209" s="17" t="s">
        <v>3100</v>
      </c>
      <c r="D209" s="15">
        <v>0</v>
      </c>
      <c r="E209" s="10">
        <v>43118</v>
      </c>
      <c r="F209" t="s">
        <v>2831</v>
      </c>
      <c r="G209">
        <v>3</v>
      </c>
      <c r="H209" s="10">
        <v>43119</v>
      </c>
    </row>
    <row r="210" spans="1:8" x14ac:dyDescent="0.4">
      <c r="A210" s="14" t="s">
        <v>3101</v>
      </c>
      <c r="B210" s="15">
        <v>1</v>
      </c>
      <c r="C210" s="17" t="s">
        <v>3102</v>
      </c>
      <c r="D210" s="15">
        <v>1</v>
      </c>
    </row>
    <row r="211" spans="1:8" x14ac:dyDescent="0.4">
      <c r="A211" s="14" t="s">
        <v>3103</v>
      </c>
      <c r="B211" s="15">
        <v>1</v>
      </c>
      <c r="C211" s="17" t="s">
        <v>3104</v>
      </c>
      <c r="D211" s="15">
        <v>1</v>
      </c>
    </row>
    <row r="212" spans="1:8" x14ac:dyDescent="0.4">
      <c r="A212" s="14" t="s">
        <v>460</v>
      </c>
      <c r="B212" s="15">
        <v>1</v>
      </c>
      <c r="C212" s="17" t="s">
        <v>461</v>
      </c>
      <c r="D212" s="15">
        <v>1</v>
      </c>
    </row>
    <row r="213" spans="1:8" x14ac:dyDescent="0.4">
      <c r="A213" s="14" t="s">
        <v>3105</v>
      </c>
      <c r="B213" s="15">
        <v>1</v>
      </c>
      <c r="C213" s="17" t="s">
        <v>3106</v>
      </c>
      <c r="D213" s="15">
        <v>1</v>
      </c>
    </row>
    <row r="214" spans="1:8" x14ac:dyDescent="0.4">
      <c r="A214" s="14" t="s">
        <v>3107</v>
      </c>
      <c r="B214" s="15">
        <v>1</v>
      </c>
      <c r="C214" s="17" t="s">
        <v>3108</v>
      </c>
      <c r="D214" s="15">
        <v>1</v>
      </c>
    </row>
    <row r="215" spans="1:8" x14ac:dyDescent="0.4">
      <c r="A215" s="14" t="s">
        <v>3109</v>
      </c>
      <c r="B215" s="15">
        <v>1</v>
      </c>
      <c r="C215" s="17" t="s">
        <v>3110</v>
      </c>
      <c r="D215" s="15">
        <v>1</v>
      </c>
    </row>
    <row r="216" spans="1:8" x14ac:dyDescent="0.4">
      <c r="A216" s="14" t="s">
        <v>3111</v>
      </c>
      <c r="B216" s="15">
        <v>1</v>
      </c>
      <c r="C216" s="17" t="s">
        <v>3112</v>
      </c>
      <c r="D216" s="15">
        <v>1</v>
      </c>
    </row>
    <row r="217" spans="1:8" x14ac:dyDescent="0.4">
      <c r="A217" s="14" t="s">
        <v>3113</v>
      </c>
      <c r="B217" s="15">
        <v>1</v>
      </c>
      <c r="C217" s="17" t="s">
        <v>3114</v>
      </c>
      <c r="D217" s="15">
        <v>0</v>
      </c>
      <c r="E217" s="10">
        <v>43118</v>
      </c>
      <c r="F217" t="s">
        <v>2703</v>
      </c>
    </row>
    <row r="218" spans="1:8" x14ac:dyDescent="0.4">
      <c r="A218" s="14" t="s">
        <v>3115</v>
      </c>
      <c r="B218" s="15">
        <v>2</v>
      </c>
      <c r="C218" s="17" t="s">
        <v>3116</v>
      </c>
      <c r="D218" s="15">
        <v>2</v>
      </c>
    </row>
    <row r="219" spans="1:8" x14ac:dyDescent="0.4">
      <c r="A219" s="14" t="s">
        <v>3117</v>
      </c>
      <c r="B219" s="15">
        <v>2</v>
      </c>
      <c r="C219" s="17" t="s">
        <v>3118</v>
      </c>
      <c r="D219" s="15">
        <v>2</v>
      </c>
    </row>
    <row r="220" spans="1:8" x14ac:dyDescent="0.4">
      <c r="A220" s="14" t="s">
        <v>3119</v>
      </c>
      <c r="B220" s="15">
        <v>2</v>
      </c>
      <c r="C220" s="17" t="s">
        <v>3120</v>
      </c>
      <c r="D220" s="15">
        <v>2</v>
      </c>
    </row>
    <row r="221" spans="1:8" x14ac:dyDescent="0.4">
      <c r="A221" s="14" t="s">
        <v>3121</v>
      </c>
      <c r="B221" s="15">
        <v>2</v>
      </c>
      <c r="C221" s="17" t="s">
        <v>3122</v>
      </c>
      <c r="D221" s="15">
        <v>2</v>
      </c>
    </row>
    <row r="222" spans="1:8" x14ac:dyDescent="0.4">
      <c r="A222" s="14" t="s">
        <v>3123</v>
      </c>
      <c r="B222" s="15">
        <v>1</v>
      </c>
      <c r="C222" s="17" t="s">
        <v>3124</v>
      </c>
      <c r="D222" s="15">
        <v>1</v>
      </c>
    </row>
    <row r="223" spans="1:8" x14ac:dyDescent="0.4">
      <c r="A223" s="14" t="s">
        <v>3125</v>
      </c>
      <c r="B223" s="15">
        <v>1</v>
      </c>
      <c r="C223" s="17" t="s">
        <v>3126</v>
      </c>
      <c r="D223" s="15">
        <v>1</v>
      </c>
    </row>
    <row r="224" spans="1:8" x14ac:dyDescent="0.4">
      <c r="A224" s="14" t="s">
        <v>3127</v>
      </c>
      <c r="B224" s="15">
        <v>2</v>
      </c>
      <c r="C224" s="17" t="s">
        <v>3128</v>
      </c>
      <c r="D224" s="15">
        <v>2</v>
      </c>
    </row>
    <row r="225" spans="1:12" x14ac:dyDescent="0.4">
      <c r="A225" s="14" t="s">
        <v>3129</v>
      </c>
      <c r="B225" s="15">
        <v>1</v>
      </c>
      <c r="C225" s="17" t="s">
        <v>3130</v>
      </c>
      <c r="D225" s="15">
        <v>1</v>
      </c>
    </row>
    <row r="226" spans="1:12" x14ac:dyDescent="0.4">
      <c r="A226" s="14" t="s">
        <v>3131</v>
      </c>
      <c r="B226" s="15">
        <v>1</v>
      </c>
      <c r="C226" s="17" t="s">
        <v>3132</v>
      </c>
      <c r="D226" s="15">
        <v>1</v>
      </c>
    </row>
    <row r="227" spans="1:12" x14ac:dyDescent="0.4">
      <c r="A227" s="14" t="s">
        <v>3133</v>
      </c>
      <c r="B227" s="15">
        <v>1</v>
      </c>
      <c r="C227" s="17" t="s">
        <v>3134</v>
      </c>
      <c r="D227" s="15">
        <v>1</v>
      </c>
    </row>
    <row r="228" spans="1:12" x14ac:dyDescent="0.4">
      <c r="A228" s="14" t="s">
        <v>3135</v>
      </c>
      <c r="B228" s="15">
        <v>1</v>
      </c>
      <c r="C228" s="17" t="s">
        <v>3136</v>
      </c>
      <c r="D228" s="15">
        <v>1</v>
      </c>
    </row>
    <row r="229" spans="1:12" x14ac:dyDescent="0.4">
      <c r="A229" s="14" t="s">
        <v>3137</v>
      </c>
      <c r="B229" s="15">
        <v>4</v>
      </c>
      <c r="C229" s="17" t="s">
        <v>3138</v>
      </c>
      <c r="D229" s="15">
        <v>4</v>
      </c>
    </row>
    <row r="230" spans="1:12" x14ac:dyDescent="0.4">
      <c r="A230" s="14" t="s">
        <v>3139</v>
      </c>
      <c r="B230" s="15">
        <v>35</v>
      </c>
      <c r="C230" s="18" t="s">
        <v>3140</v>
      </c>
      <c r="D230" s="15">
        <v>0</v>
      </c>
    </row>
    <row r="231" spans="1:12" x14ac:dyDescent="0.4">
      <c r="A231" s="14" t="s">
        <v>3141</v>
      </c>
      <c r="B231" s="15">
        <v>1</v>
      </c>
      <c r="C231" s="17" t="s">
        <v>3142</v>
      </c>
      <c r="D231" s="15">
        <v>1</v>
      </c>
    </row>
    <row r="232" spans="1:12" x14ac:dyDescent="0.4">
      <c r="A232" s="14" t="s">
        <v>3143</v>
      </c>
      <c r="B232" s="15">
        <v>1</v>
      </c>
      <c r="C232" s="17" t="s">
        <v>3144</v>
      </c>
      <c r="D232" s="15">
        <v>1</v>
      </c>
    </row>
    <row r="233" spans="1:12" x14ac:dyDescent="0.4">
      <c r="A233" s="14" t="s">
        <v>3145</v>
      </c>
      <c r="B233" s="15">
        <v>1</v>
      </c>
      <c r="C233" s="17" t="s">
        <v>3146</v>
      </c>
      <c r="D233" s="15">
        <v>1</v>
      </c>
    </row>
    <row r="234" spans="1:12" x14ac:dyDescent="0.4">
      <c r="A234" s="14" t="s">
        <v>3147</v>
      </c>
      <c r="B234" s="15">
        <v>1</v>
      </c>
      <c r="C234" s="17" t="s">
        <v>3148</v>
      </c>
      <c r="D234" s="15">
        <v>0</v>
      </c>
      <c r="E234" s="10">
        <v>43118</v>
      </c>
      <c r="F234" t="s">
        <v>2722</v>
      </c>
      <c r="L234" t="s">
        <v>3149</v>
      </c>
    </row>
    <row r="235" spans="1:12" x14ac:dyDescent="0.4">
      <c r="A235" s="14" t="s">
        <v>3150</v>
      </c>
      <c r="B235" s="15">
        <v>1</v>
      </c>
      <c r="C235" s="17" t="s">
        <v>3151</v>
      </c>
      <c r="D235" s="15">
        <v>0</v>
      </c>
      <c r="E235" s="10">
        <v>43118</v>
      </c>
      <c r="F235" t="s">
        <v>2831</v>
      </c>
      <c r="G235">
        <v>1</v>
      </c>
      <c r="H235" s="10">
        <v>43120</v>
      </c>
    </row>
    <row r="236" spans="1:12" x14ac:dyDescent="0.4">
      <c r="A236" s="14" t="s">
        <v>3152</v>
      </c>
      <c r="B236" s="15">
        <v>1</v>
      </c>
      <c r="C236" s="17" t="s">
        <v>3153</v>
      </c>
      <c r="D236" s="15">
        <v>1</v>
      </c>
    </row>
    <row r="237" spans="1:12" x14ac:dyDescent="0.4">
      <c r="A237" s="14" t="s">
        <v>3154</v>
      </c>
      <c r="B237" s="15">
        <v>1</v>
      </c>
      <c r="C237" s="17" t="s">
        <v>3155</v>
      </c>
      <c r="D237" s="15">
        <v>0</v>
      </c>
    </row>
    <row r="238" spans="1:12" x14ac:dyDescent="0.4">
      <c r="A238" s="14" t="s">
        <v>3156</v>
      </c>
      <c r="B238" s="15">
        <v>1</v>
      </c>
      <c r="C238" s="17" t="s">
        <v>3157</v>
      </c>
      <c r="D238" s="15">
        <v>0</v>
      </c>
    </row>
    <row r="239" spans="1:12" x14ac:dyDescent="0.4">
      <c r="A239" s="14" t="s">
        <v>3158</v>
      </c>
      <c r="B239" s="15">
        <v>1</v>
      </c>
      <c r="C239" s="17" t="s">
        <v>3159</v>
      </c>
      <c r="D239" s="15">
        <v>1</v>
      </c>
    </row>
    <row r="240" spans="1:12" x14ac:dyDescent="0.4">
      <c r="A240" s="14" t="s">
        <v>3160</v>
      </c>
      <c r="B240" s="15">
        <v>2</v>
      </c>
      <c r="C240" s="17" t="s">
        <v>3161</v>
      </c>
      <c r="D240" s="15">
        <v>2</v>
      </c>
    </row>
    <row r="241" spans="1:8" x14ac:dyDescent="0.4">
      <c r="A241" s="14" t="s">
        <v>3162</v>
      </c>
      <c r="B241" s="15">
        <v>2</v>
      </c>
      <c r="C241" s="17" t="s">
        <v>3163</v>
      </c>
      <c r="D241" s="15">
        <v>2</v>
      </c>
    </row>
    <row r="242" spans="1:8" x14ac:dyDescent="0.4">
      <c r="A242" s="14" t="s">
        <v>3164</v>
      </c>
      <c r="B242" s="15">
        <v>1</v>
      </c>
      <c r="C242" s="17" t="s">
        <v>3165</v>
      </c>
      <c r="D242" s="15">
        <v>1</v>
      </c>
    </row>
    <row r="243" spans="1:8" x14ac:dyDescent="0.4">
      <c r="A243" s="14" t="s">
        <v>3166</v>
      </c>
      <c r="B243" s="15">
        <v>1</v>
      </c>
      <c r="C243" s="17" t="s">
        <v>3167</v>
      </c>
      <c r="D243" s="15">
        <v>1</v>
      </c>
    </row>
    <row r="244" spans="1:8" x14ac:dyDescent="0.4">
      <c r="A244" s="14" t="s">
        <v>3168</v>
      </c>
      <c r="B244" s="15">
        <v>1</v>
      </c>
      <c r="C244" s="17" t="s">
        <v>3169</v>
      </c>
      <c r="D244" s="15">
        <v>1</v>
      </c>
    </row>
    <row r="245" spans="1:8" x14ac:dyDescent="0.4">
      <c r="A245" s="14" t="s">
        <v>3170</v>
      </c>
      <c r="B245" s="15">
        <v>1</v>
      </c>
      <c r="C245" s="17" t="s">
        <v>3171</v>
      </c>
      <c r="D245" s="15">
        <v>1</v>
      </c>
    </row>
    <row r="246" spans="1:8" x14ac:dyDescent="0.4">
      <c r="A246" s="14" t="s">
        <v>3172</v>
      </c>
      <c r="B246" s="15">
        <v>3</v>
      </c>
      <c r="C246" s="17" t="s">
        <v>3173</v>
      </c>
      <c r="D246" s="15">
        <v>3</v>
      </c>
    </row>
    <row r="247" spans="1:8" x14ac:dyDescent="0.4">
      <c r="A247" s="14" t="s">
        <v>3174</v>
      </c>
      <c r="B247" s="15">
        <v>2</v>
      </c>
      <c r="C247" s="17" t="s">
        <v>3175</v>
      </c>
      <c r="D247" s="15">
        <v>2</v>
      </c>
    </row>
    <row r="248" spans="1:8" x14ac:dyDescent="0.4">
      <c r="A248" s="14" t="s">
        <v>3176</v>
      </c>
      <c r="B248" s="15">
        <v>1</v>
      </c>
      <c r="C248" s="18" t="s">
        <v>3177</v>
      </c>
      <c r="D248" s="15">
        <v>1</v>
      </c>
    </row>
    <row r="249" spans="1:8" x14ac:dyDescent="0.4">
      <c r="A249" s="14" t="s">
        <v>3178</v>
      </c>
      <c r="B249" s="15">
        <v>1</v>
      </c>
      <c r="C249" s="17" t="s">
        <v>3179</v>
      </c>
      <c r="D249" s="15">
        <v>1</v>
      </c>
    </row>
    <row r="250" spans="1:8" x14ac:dyDescent="0.4">
      <c r="A250" s="14" t="s">
        <v>3180</v>
      </c>
      <c r="B250" s="15">
        <v>1</v>
      </c>
      <c r="C250" s="17" t="s">
        <v>3181</v>
      </c>
      <c r="D250" s="15">
        <v>1</v>
      </c>
    </row>
    <row r="251" spans="1:8" x14ac:dyDescent="0.4">
      <c r="A251" s="14" t="s">
        <v>3182</v>
      </c>
      <c r="B251" s="15">
        <v>3</v>
      </c>
      <c r="C251" s="17" t="s">
        <v>3183</v>
      </c>
      <c r="D251" s="15">
        <v>3</v>
      </c>
    </row>
    <row r="252" spans="1:8" x14ac:dyDescent="0.4">
      <c r="A252" s="14" t="s">
        <v>3184</v>
      </c>
      <c r="B252" s="15">
        <v>1</v>
      </c>
      <c r="C252" s="17" t="s">
        <v>3185</v>
      </c>
      <c r="D252" s="15">
        <v>1</v>
      </c>
    </row>
    <row r="253" spans="1:8" x14ac:dyDescent="0.4">
      <c r="A253" s="14" t="s">
        <v>3186</v>
      </c>
      <c r="B253" s="15">
        <v>4</v>
      </c>
      <c r="C253" s="17" t="s">
        <v>3187</v>
      </c>
      <c r="D253" s="15">
        <v>4</v>
      </c>
    </row>
    <row r="254" spans="1:8" x14ac:dyDescent="0.4">
      <c r="A254" s="14" t="s">
        <v>3188</v>
      </c>
      <c r="B254" s="15">
        <v>2</v>
      </c>
      <c r="C254" s="17" t="s">
        <v>3189</v>
      </c>
      <c r="D254" s="15">
        <v>2</v>
      </c>
    </row>
    <row r="255" spans="1:8" x14ac:dyDescent="0.4">
      <c r="A255" s="14" t="s">
        <v>3190</v>
      </c>
      <c r="B255" s="15">
        <v>1</v>
      </c>
      <c r="C255" s="17" t="s">
        <v>3191</v>
      </c>
      <c r="D255" s="15">
        <v>0</v>
      </c>
      <c r="E255" s="10">
        <v>43118</v>
      </c>
      <c r="F255" t="s">
        <v>2703</v>
      </c>
      <c r="G255">
        <v>1</v>
      </c>
      <c r="H255" s="10">
        <v>43120</v>
      </c>
    </row>
    <row r="256" spans="1:8" x14ac:dyDescent="0.4">
      <c r="A256" s="14" t="s">
        <v>3192</v>
      </c>
      <c r="B256" s="15">
        <v>1</v>
      </c>
      <c r="C256" s="17" t="s">
        <v>3193</v>
      </c>
      <c r="D256" s="15">
        <v>1</v>
      </c>
    </row>
    <row r="257" spans="1:4" x14ac:dyDescent="0.4">
      <c r="A257" s="14" t="s">
        <v>3194</v>
      </c>
      <c r="B257" s="15">
        <v>1</v>
      </c>
      <c r="C257" s="17" t="s">
        <v>3195</v>
      </c>
      <c r="D257" s="15">
        <v>1</v>
      </c>
    </row>
    <row r="258" spans="1:4" x14ac:dyDescent="0.4">
      <c r="A258" s="14" t="s">
        <v>3196</v>
      </c>
      <c r="B258" s="15">
        <v>1</v>
      </c>
      <c r="C258" s="17" t="s">
        <v>3197</v>
      </c>
      <c r="D258" s="15">
        <v>1</v>
      </c>
    </row>
    <row r="259" spans="1:4" x14ac:dyDescent="0.4">
      <c r="A259" s="14" t="s">
        <v>3198</v>
      </c>
      <c r="B259" s="15">
        <v>1</v>
      </c>
      <c r="C259" s="17" t="s">
        <v>3199</v>
      </c>
      <c r="D259" s="15">
        <v>1</v>
      </c>
    </row>
    <row r="260" spans="1:4" x14ac:dyDescent="0.4">
      <c r="A260" s="14" t="s">
        <v>3200</v>
      </c>
      <c r="B260" s="15">
        <v>1</v>
      </c>
      <c r="C260" s="17" t="s">
        <v>3201</v>
      </c>
      <c r="D260" s="15">
        <v>1</v>
      </c>
    </row>
    <row r="261" spans="1:4" x14ac:dyDescent="0.4">
      <c r="A261" s="14" t="s">
        <v>3202</v>
      </c>
      <c r="B261" s="15">
        <v>3</v>
      </c>
      <c r="C261" s="17" t="s">
        <v>3203</v>
      </c>
      <c r="D261" s="15">
        <v>3</v>
      </c>
    </row>
    <row r="262" spans="1:4" x14ac:dyDescent="0.4">
      <c r="A262" s="14" t="s">
        <v>3204</v>
      </c>
      <c r="B262" s="15">
        <v>4</v>
      </c>
      <c r="C262" s="17" t="s">
        <v>3205</v>
      </c>
      <c r="D262" s="15">
        <v>4</v>
      </c>
    </row>
    <row r="263" spans="1:4" x14ac:dyDescent="0.4">
      <c r="A263" s="14" t="s">
        <v>3206</v>
      </c>
      <c r="B263" s="15">
        <v>1</v>
      </c>
      <c r="C263" s="17" t="s">
        <v>3207</v>
      </c>
      <c r="D263" s="15">
        <v>1</v>
      </c>
    </row>
    <row r="264" spans="1:4" x14ac:dyDescent="0.4">
      <c r="A264" s="14" t="s">
        <v>3208</v>
      </c>
      <c r="B264" s="15">
        <v>1</v>
      </c>
      <c r="C264" s="17" t="s">
        <v>3209</v>
      </c>
      <c r="D264" s="15">
        <v>1</v>
      </c>
    </row>
    <row r="265" spans="1:4" x14ac:dyDescent="0.4">
      <c r="A265" s="14" t="s">
        <v>3210</v>
      </c>
      <c r="B265" s="15">
        <v>1</v>
      </c>
      <c r="C265" s="17" t="s">
        <v>3211</v>
      </c>
      <c r="D265" s="15">
        <v>1</v>
      </c>
    </row>
    <row r="266" spans="1:4" x14ac:dyDescent="0.4">
      <c r="A266" s="14" t="s">
        <v>3212</v>
      </c>
      <c r="B266" s="15">
        <v>1</v>
      </c>
      <c r="C266" s="17" t="s">
        <v>3213</v>
      </c>
      <c r="D266" s="15">
        <v>1</v>
      </c>
    </row>
    <row r="267" spans="1:4" x14ac:dyDescent="0.4">
      <c r="A267" s="14" t="s">
        <v>3214</v>
      </c>
      <c r="B267" s="15">
        <v>1</v>
      </c>
      <c r="C267" s="17" t="s">
        <v>3215</v>
      </c>
      <c r="D267" s="15">
        <v>1</v>
      </c>
    </row>
    <row r="268" spans="1:4" x14ac:dyDescent="0.4">
      <c r="A268" s="14" t="s">
        <v>3216</v>
      </c>
      <c r="B268" s="15">
        <v>2</v>
      </c>
      <c r="C268" s="17" t="s">
        <v>3217</v>
      </c>
      <c r="D268" s="15">
        <v>2</v>
      </c>
    </row>
    <row r="269" spans="1:4" x14ac:dyDescent="0.4">
      <c r="A269" s="14" t="s">
        <v>3218</v>
      </c>
      <c r="B269" s="15">
        <v>1</v>
      </c>
      <c r="C269" s="17" t="s">
        <v>3219</v>
      </c>
      <c r="D269" s="15">
        <v>1</v>
      </c>
    </row>
    <row r="270" spans="1:4" x14ac:dyDescent="0.4">
      <c r="A270" s="14" t="s">
        <v>3220</v>
      </c>
      <c r="B270" s="15">
        <v>1</v>
      </c>
      <c r="C270" s="17" t="s">
        <v>3221</v>
      </c>
      <c r="D270" s="15">
        <v>1</v>
      </c>
    </row>
    <row r="271" spans="1:4" x14ac:dyDescent="0.4">
      <c r="A271" s="14" t="s">
        <v>3222</v>
      </c>
      <c r="B271" s="15">
        <v>1</v>
      </c>
      <c r="C271" s="17" t="s">
        <v>3223</v>
      </c>
      <c r="D271" s="15">
        <v>1</v>
      </c>
    </row>
    <row r="272" spans="1:4" x14ac:dyDescent="0.4">
      <c r="A272" s="14" t="s">
        <v>1355</v>
      </c>
      <c r="B272" s="15">
        <v>1</v>
      </c>
      <c r="C272" s="17" t="s">
        <v>1356</v>
      </c>
      <c r="D272" s="15">
        <v>1</v>
      </c>
    </row>
    <row r="273" spans="1:8" x14ac:dyDescent="0.4">
      <c r="A273" s="14" t="s">
        <v>3224</v>
      </c>
      <c r="B273" s="15">
        <v>1</v>
      </c>
      <c r="C273" s="17" t="s">
        <v>3225</v>
      </c>
      <c r="D273" s="15">
        <v>1</v>
      </c>
    </row>
    <row r="274" spans="1:8" x14ac:dyDescent="0.4">
      <c r="A274" s="14" t="s">
        <v>3226</v>
      </c>
      <c r="B274" s="15">
        <v>1</v>
      </c>
      <c r="C274" s="17" t="s">
        <v>3227</v>
      </c>
      <c r="D274" s="15">
        <v>1</v>
      </c>
    </row>
    <row r="275" spans="1:8" x14ac:dyDescent="0.4">
      <c r="A275" s="14" t="s">
        <v>3228</v>
      </c>
      <c r="B275" s="15">
        <v>4</v>
      </c>
      <c r="C275" s="17" t="s">
        <v>3229</v>
      </c>
      <c r="D275" s="15">
        <v>0</v>
      </c>
      <c r="E275" s="10">
        <v>43118</v>
      </c>
      <c r="F275" t="s">
        <v>2722</v>
      </c>
    </row>
    <row r="276" spans="1:8" x14ac:dyDescent="0.4">
      <c r="A276" s="14" t="s">
        <v>3230</v>
      </c>
      <c r="B276" s="15">
        <v>1</v>
      </c>
      <c r="C276" s="17" t="s">
        <v>3231</v>
      </c>
      <c r="D276" s="15">
        <v>0</v>
      </c>
      <c r="E276" s="10">
        <v>43118</v>
      </c>
      <c r="F276" t="s">
        <v>2703</v>
      </c>
      <c r="G276">
        <v>1</v>
      </c>
      <c r="H276" s="10">
        <v>43120</v>
      </c>
    </row>
    <row r="277" spans="1:8" x14ac:dyDescent="0.4">
      <c r="A277" s="14" t="s">
        <v>3232</v>
      </c>
      <c r="B277" s="15">
        <v>1</v>
      </c>
      <c r="C277" s="17" t="s">
        <v>3233</v>
      </c>
      <c r="D277" s="15">
        <v>1</v>
      </c>
    </row>
    <row r="278" spans="1:8" x14ac:dyDescent="0.4">
      <c r="A278" s="14" t="s">
        <v>3234</v>
      </c>
      <c r="B278" s="15">
        <v>2</v>
      </c>
      <c r="C278" s="17" t="s">
        <v>3235</v>
      </c>
      <c r="D278" s="15">
        <v>0</v>
      </c>
      <c r="E278" s="10">
        <v>43118</v>
      </c>
      <c r="F278" t="s">
        <v>2703</v>
      </c>
    </row>
    <row r="279" spans="1:8" x14ac:dyDescent="0.4">
      <c r="A279" s="14" t="s">
        <v>3236</v>
      </c>
      <c r="B279" s="15">
        <v>1</v>
      </c>
      <c r="C279" s="17" t="s">
        <v>3237</v>
      </c>
      <c r="D279" s="15">
        <v>1</v>
      </c>
    </row>
    <row r="280" spans="1:8" x14ac:dyDescent="0.4">
      <c r="A280" s="14" t="s">
        <v>510</v>
      </c>
      <c r="B280" s="15">
        <v>1</v>
      </c>
      <c r="C280" s="17" t="s">
        <v>511</v>
      </c>
      <c r="D280" s="15">
        <v>1</v>
      </c>
    </row>
    <row r="281" spans="1:8" x14ac:dyDescent="0.4">
      <c r="A281" s="14" t="s">
        <v>3238</v>
      </c>
      <c r="B281" s="15">
        <v>6</v>
      </c>
      <c r="C281" s="17" t="s">
        <v>3239</v>
      </c>
      <c r="D281" s="15">
        <v>5</v>
      </c>
      <c r="E281" s="10">
        <v>43118</v>
      </c>
      <c r="F281" t="s">
        <v>2966</v>
      </c>
      <c r="G281">
        <v>1</v>
      </c>
      <c r="H281" s="10">
        <v>43119</v>
      </c>
    </row>
    <row r="282" spans="1:8" x14ac:dyDescent="0.4">
      <c r="A282" t="s">
        <v>3240</v>
      </c>
      <c r="B282">
        <v>1</v>
      </c>
      <c r="C282" t="s">
        <v>3241</v>
      </c>
      <c r="E282" s="10">
        <v>43117</v>
      </c>
      <c r="F282" t="s">
        <v>623</v>
      </c>
    </row>
    <row r="283" spans="1:8" x14ac:dyDescent="0.4">
      <c r="A283" t="s">
        <v>3242</v>
      </c>
      <c r="B283">
        <v>1</v>
      </c>
      <c r="C283" t="s">
        <v>3243</v>
      </c>
      <c r="E283" s="10">
        <v>43117</v>
      </c>
      <c r="F283" t="s">
        <v>623</v>
      </c>
    </row>
    <row r="284" spans="1:8" x14ac:dyDescent="0.4">
      <c r="A284" t="s">
        <v>3244</v>
      </c>
      <c r="B284">
        <v>1</v>
      </c>
      <c r="C284" t="s">
        <v>3245</v>
      </c>
      <c r="E284" s="10">
        <v>43117</v>
      </c>
      <c r="F284" t="s">
        <v>623</v>
      </c>
    </row>
    <row r="285" spans="1:8" x14ac:dyDescent="0.4">
      <c r="A285" t="s">
        <v>3246</v>
      </c>
      <c r="B285">
        <v>10</v>
      </c>
      <c r="C285" t="s">
        <v>3247</v>
      </c>
      <c r="E285" s="10">
        <v>43117</v>
      </c>
      <c r="F285" t="s">
        <v>623</v>
      </c>
    </row>
    <row r="286" spans="1:8" x14ac:dyDescent="0.4">
      <c r="A286" t="s">
        <v>3248</v>
      </c>
      <c r="B286">
        <v>1</v>
      </c>
      <c r="C286" t="s">
        <v>3249</v>
      </c>
      <c r="E286" s="10">
        <v>43117</v>
      </c>
      <c r="F286" t="s">
        <v>623</v>
      </c>
    </row>
    <row r="287" spans="1:8" x14ac:dyDescent="0.4">
      <c r="A287" t="s">
        <v>3250</v>
      </c>
      <c r="B287">
        <v>1</v>
      </c>
      <c r="C287" t="s">
        <v>3251</v>
      </c>
      <c r="E287" s="10">
        <v>43117</v>
      </c>
      <c r="F287" t="s">
        <v>623</v>
      </c>
    </row>
    <row r="288" spans="1:8" x14ac:dyDescent="0.4">
      <c r="A288" t="s">
        <v>3252</v>
      </c>
      <c r="B288">
        <v>2</v>
      </c>
      <c r="C288" t="s">
        <v>3253</v>
      </c>
      <c r="E288" s="10">
        <v>43117</v>
      </c>
      <c r="F288" t="s">
        <v>623</v>
      </c>
    </row>
    <row r="289" spans="1:12" x14ac:dyDescent="0.4">
      <c r="A289" t="s">
        <v>3254</v>
      </c>
      <c r="B289">
        <v>1</v>
      </c>
      <c r="C289" t="s">
        <v>3255</v>
      </c>
      <c r="E289" s="10">
        <v>43117</v>
      </c>
      <c r="F289" t="s">
        <v>623</v>
      </c>
    </row>
    <row r="290" spans="1:12" x14ac:dyDescent="0.4">
      <c r="A290" t="s">
        <v>3256</v>
      </c>
      <c r="B290">
        <v>1</v>
      </c>
      <c r="C290" t="s">
        <v>3257</v>
      </c>
      <c r="E290" s="10">
        <v>43117</v>
      </c>
      <c r="F290" t="s">
        <v>820</v>
      </c>
    </row>
    <row r="291" spans="1:12" x14ac:dyDescent="0.4">
      <c r="A291" t="s">
        <v>3258</v>
      </c>
      <c r="B291">
        <v>1</v>
      </c>
      <c r="C291" t="s">
        <v>3259</v>
      </c>
      <c r="E291" s="10">
        <v>43117</v>
      </c>
      <c r="F291" t="s">
        <v>623</v>
      </c>
      <c r="L291" t="s">
        <v>3260</v>
      </c>
    </row>
    <row r="292" spans="1:12" x14ac:dyDescent="0.4">
      <c r="A292" t="s">
        <v>3261</v>
      </c>
      <c r="B292">
        <v>1</v>
      </c>
      <c r="C292" t="s">
        <v>3262</v>
      </c>
      <c r="E292" s="10">
        <v>43117</v>
      </c>
      <c r="F292" t="s">
        <v>623</v>
      </c>
      <c r="L292" t="s">
        <v>3263</v>
      </c>
    </row>
    <row r="293" spans="1:12" x14ac:dyDescent="0.4">
      <c r="A293" t="s">
        <v>3264</v>
      </c>
      <c r="B293">
        <v>20</v>
      </c>
      <c r="C293" t="s">
        <v>3265</v>
      </c>
      <c r="E293" s="10">
        <v>43117</v>
      </c>
      <c r="F293" t="s">
        <v>820</v>
      </c>
    </row>
    <row r="294" spans="1:12" x14ac:dyDescent="0.4">
      <c r="A294" t="s">
        <v>3266</v>
      </c>
      <c r="B294">
        <v>1</v>
      </c>
      <c r="C294" t="s">
        <v>3267</v>
      </c>
      <c r="E294" s="10">
        <v>43117</v>
      </c>
      <c r="F294" t="s">
        <v>623</v>
      </c>
      <c r="L294" t="s">
        <v>3263</v>
      </c>
    </row>
    <row r="295" spans="1:12" x14ac:dyDescent="0.4">
      <c r="A295" t="s">
        <v>3268</v>
      </c>
      <c r="B295">
        <v>4</v>
      </c>
      <c r="C295" t="s">
        <v>3269</v>
      </c>
      <c r="E295" s="10">
        <v>43117</v>
      </c>
      <c r="F295" t="s">
        <v>820</v>
      </c>
    </row>
    <row r="296" spans="1:12" x14ac:dyDescent="0.4">
      <c r="A296" t="s">
        <v>3270</v>
      </c>
      <c r="B296">
        <v>1</v>
      </c>
      <c r="C296" t="s">
        <v>3271</v>
      </c>
      <c r="E296" s="10">
        <v>43117</v>
      </c>
      <c r="F296" t="s">
        <v>623</v>
      </c>
    </row>
    <row r="297" spans="1:12" x14ac:dyDescent="0.4">
      <c r="A297" t="s">
        <v>3272</v>
      </c>
      <c r="B297">
        <v>1</v>
      </c>
      <c r="C297" t="s">
        <v>3273</v>
      </c>
      <c r="E297" s="10">
        <v>43117</v>
      </c>
      <c r="F297" t="s">
        <v>3274</v>
      </c>
      <c r="G297">
        <v>1</v>
      </c>
    </row>
    <row r="298" spans="1:12" x14ac:dyDescent="0.4">
      <c r="A298" t="s">
        <v>3275</v>
      </c>
      <c r="B298">
        <v>2</v>
      </c>
      <c r="C298" t="s">
        <v>3276</v>
      </c>
      <c r="E298" s="10">
        <v>43117</v>
      </c>
      <c r="F298" t="s">
        <v>623</v>
      </c>
    </row>
    <row r="299" spans="1:12" x14ac:dyDescent="0.4">
      <c r="A299" t="s">
        <v>3277</v>
      </c>
      <c r="B299">
        <v>1</v>
      </c>
      <c r="C299" t="s">
        <v>3278</v>
      </c>
      <c r="E299" s="10">
        <v>43117</v>
      </c>
      <c r="F299" t="s">
        <v>623</v>
      </c>
    </row>
    <row r="300" spans="1:12" x14ac:dyDescent="0.4">
      <c r="A300" t="s">
        <v>3279</v>
      </c>
      <c r="B300">
        <v>1</v>
      </c>
      <c r="C300" t="s">
        <v>3280</v>
      </c>
      <c r="E300" s="10">
        <v>43117</v>
      </c>
      <c r="F300" t="s">
        <v>820</v>
      </c>
    </row>
    <row r="301" spans="1:12" x14ac:dyDescent="0.4">
      <c r="A301" t="s">
        <v>3281</v>
      </c>
      <c r="B301">
        <v>3</v>
      </c>
      <c r="C301" t="s">
        <v>3282</v>
      </c>
      <c r="E301" s="10">
        <v>43117</v>
      </c>
      <c r="F301" t="s">
        <v>379</v>
      </c>
    </row>
    <row r="302" spans="1:12" x14ac:dyDescent="0.4">
      <c r="A302" t="s">
        <v>3283</v>
      </c>
      <c r="B302">
        <v>2</v>
      </c>
      <c r="C302" t="s">
        <v>3284</v>
      </c>
      <c r="E302" s="10">
        <v>43117</v>
      </c>
      <c r="F302" t="s">
        <v>623</v>
      </c>
    </row>
    <row r="303" spans="1:12" x14ac:dyDescent="0.4">
      <c r="A303" t="s">
        <v>3285</v>
      </c>
      <c r="B303">
        <v>39</v>
      </c>
      <c r="C303" t="s">
        <v>3286</v>
      </c>
      <c r="E303" s="10">
        <v>43117</v>
      </c>
      <c r="F303" t="s">
        <v>820</v>
      </c>
    </row>
    <row r="304" spans="1:12" x14ac:dyDescent="0.4">
      <c r="A304" t="s">
        <v>3287</v>
      </c>
      <c r="B304">
        <v>5</v>
      </c>
      <c r="C304" t="s">
        <v>3288</v>
      </c>
      <c r="E304" s="10">
        <v>43117</v>
      </c>
      <c r="F304" t="s">
        <v>820</v>
      </c>
    </row>
    <row r="305" spans="1:8" x14ac:dyDescent="0.4">
      <c r="A305" t="s">
        <v>1786</v>
      </c>
      <c r="B305">
        <v>30</v>
      </c>
      <c r="C305" t="s">
        <v>1787</v>
      </c>
      <c r="E305" s="10">
        <v>43117</v>
      </c>
      <c r="F305" t="s">
        <v>3289</v>
      </c>
      <c r="G305">
        <v>20</v>
      </c>
      <c r="H305" s="10">
        <v>43118</v>
      </c>
    </row>
    <row r="306" spans="1:8" x14ac:dyDescent="0.4">
      <c r="A306" t="s">
        <v>3290</v>
      </c>
      <c r="B306">
        <v>3</v>
      </c>
      <c r="C306" t="s">
        <v>3291</v>
      </c>
      <c r="E306" s="10">
        <v>43117</v>
      </c>
      <c r="F306" t="s">
        <v>3289</v>
      </c>
      <c r="G306">
        <v>3</v>
      </c>
      <c r="H306" s="10">
        <v>43118</v>
      </c>
    </row>
    <row r="307" spans="1:8" x14ac:dyDescent="0.4">
      <c r="A307" t="s">
        <v>3292</v>
      </c>
      <c r="B307">
        <v>1</v>
      </c>
      <c r="C307" t="s">
        <v>3293</v>
      </c>
      <c r="E307" s="10">
        <v>43117</v>
      </c>
      <c r="F307" t="s">
        <v>623</v>
      </c>
    </row>
    <row r="308" spans="1:8" x14ac:dyDescent="0.4">
      <c r="A308" t="s">
        <v>3294</v>
      </c>
      <c r="B308">
        <v>20</v>
      </c>
      <c r="C308" t="s">
        <v>3295</v>
      </c>
      <c r="E308" s="10">
        <v>43118</v>
      </c>
      <c r="F308" t="s">
        <v>820</v>
      </c>
    </row>
    <row r="309" spans="1:8" x14ac:dyDescent="0.4">
      <c r="A309" t="s">
        <v>3296</v>
      </c>
      <c r="B309">
        <v>1</v>
      </c>
      <c r="C309" t="s">
        <v>3297</v>
      </c>
      <c r="E309" s="10">
        <v>43117</v>
      </c>
      <c r="F309" t="s">
        <v>820</v>
      </c>
    </row>
    <row r="310" spans="1:8" x14ac:dyDescent="0.4">
      <c r="A310" t="s">
        <v>3298</v>
      </c>
      <c r="B310">
        <v>1</v>
      </c>
      <c r="C310" t="s">
        <v>3299</v>
      </c>
      <c r="E310" s="10">
        <v>43117</v>
      </c>
      <c r="F310" t="s">
        <v>623</v>
      </c>
    </row>
    <row r="311" spans="1:8" x14ac:dyDescent="0.4">
      <c r="A311" t="s">
        <v>3300</v>
      </c>
      <c r="B311">
        <v>1</v>
      </c>
      <c r="C311" t="s">
        <v>3301</v>
      </c>
      <c r="E311" s="10">
        <v>43117</v>
      </c>
      <c r="F311" t="s">
        <v>820</v>
      </c>
    </row>
    <row r="312" spans="1:8" x14ac:dyDescent="0.4">
      <c r="A312" t="s">
        <v>3302</v>
      </c>
      <c r="B312">
        <v>1</v>
      </c>
      <c r="C312" t="s">
        <v>3303</v>
      </c>
      <c r="E312" s="10">
        <v>43116</v>
      </c>
      <c r="F312" t="s">
        <v>623</v>
      </c>
    </row>
    <row r="313" spans="1:8" x14ac:dyDescent="0.4">
      <c r="A313" t="s">
        <v>3304</v>
      </c>
      <c r="B313">
        <v>3</v>
      </c>
      <c r="C313" t="s">
        <v>3305</v>
      </c>
      <c r="E313" s="10">
        <v>43116</v>
      </c>
      <c r="F313" t="s">
        <v>820</v>
      </c>
    </row>
    <row r="314" spans="1:8" x14ac:dyDescent="0.4">
      <c r="A314" t="s">
        <v>3306</v>
      </c>
      <c r="B314">
        <v>1</v>
      </c>
      <c r="C314" t="s">
        <v>3307</v>
      </c>
      <c r="E314" s="10">
        <v>43116</v>
      </c>
      <c r="F314" t="s">
        <v>623</v>
      </c>
    </row>
    <row r="315" spans="1:8" x14ac:dyDescent="0.4">
      <c r="A315" t="s">
        <v>3308</v>
      </c>
      <c r="B315">
        <v>1</v>
      </c>
      <c r="C315" t="s">
        <v>3309</v>
      </c>
      <c r="E315" s="10">
        <v>43116</v>
      </c>
      <c r="F315" t="s">
        <v>623</v>
      </c>
    </row>
    <row r="316" spans="1:8" x14ac:dyDescent="0.4">
      <c r="A316" t="s">
        <v>3310</v>
      </c>
      <c r="B316">
        <v>1</v>
      </c>
      <c r="C316" t="s">
        <v>3311</v>
      </c>
      <c r="E316" s="10">
        <v>43116</v>
      </c>
      <c r="F316" t="s">
        <v>623</v>
      </c>
    </row>
    <row r="317" spans="1:8" x14ac:dyDescent="0.4">
      <c r="A317" t="s">
        <v>3312</v>
      </c>
      <c r="B317">
        <v>1</v>
      </c>
      <c r="C317" t="s">
        <v>3313</v>
      </c>
      <c r="E317" s="10">
        <v>43116</v>
      </c>
      <c r="F317" t="s">
        <v>623</v>
      </c>
    </row>
    <row r="318" spans="1:8" x14ac:dyDescent="0.4">
      <c r="A318" t="s">
        <v>3314</v>
      </c>
      <c r="B318">
        <v>1</v>
      </c>
      <c r="C318" t="s">
        <v>3315</v>
      </c>
      <c r="E318" s="10">
        <v>43116</v>
      </c>
      <c r="F318" t="s">
        <v>623</v>
      </c>
    </row>
    <row r="319" spans="1:8" x14ac:dyDescent="0.4">
      <c r="A319" t="s">
        <v>3316</v>
      </c>
      <c r="B319">
        <v>1</v>
      </c>
      <c r="C319" t="s">
        <v>3317</v>
      </c>
      <c r="E319" s="10">
        <v>43116</v>
      </c>
      <c r="F319" t="s">
        <v>623</v>
      </c>
    </row>
    <row r="320" spans="1:8" x14ac:dyDescent="0.4">
      <c r="A320" t="s">
        <v>3318</v>
      </c>
      <c r="B320">
        <v>1</v>
      </c>
      <c r="C320" t="s">
        <v>3319</v>
      </c>
      <c r="E320" s="10">
        <v>43116</v>
      </c>
      <c r="F320" t="s">
        <v>379</v>
      </c>
    </row>
    <row r="321" spans="1:12" x14ac:dyDescent="0.4">
      <c r="A321" t="s">
        <v>3320</v>
      </c>
      <c r="B321">
        <v>1</v>
      </c>
      <c r="C321" t="s">
        <v>3321</v>
      </c>
      <c r="E321" s="10">
        <v>43116</v>
      </c>
      <c r="F321" t="s">
        <v>820</v>
      </c>
    </row>
    <row r="322" spans="1:12" x14ac:dyDescent="0.4">
      <c r="A322" t="s">
        <v>3322</v>
      </c>
      <c r="B322">
        <v>1</v>
      </c>
      <c r="C322" t="s">
        <v>3323</v>
      </c>
      <c r="E322" s="10">
        <v>43116</v>
      </c>
      <c r="F322" t="s">
        <v>820</v>
      </c>
    </row>
    <row r="323" spans="1:12" x14ac:dyDescent="0.4">
      <c r="A323" t="s">
        <v>3324</v>
      </c>
      <c r="B323">
        <v>1</v>
      </c>
      <c r="C323" t="s">
        <v>3325</v>
      </c>
      <c r="E323" s="10">
        <v>43116</v>
      </c>
      <c r="F323" t="s">
        <v>820</v>
      </c>
    </row>
    <row r="324" spans="1:12" x14ac:dyDescent="0.4">
      <c r="A324" t="s">
        <v>3326</v>
      </c>
      <c r="B324">
        <v>1</v>
      </c>
      <c r="C324" t="s">
        <v>3327</v>
      </c>
      <c r="E324" s="10">
        <v>43116</v>
      </c>
      <c r="F324" t="s">
        <v>623</v>
      </c>
    </row>
    <row r="325" spans="1:12" x14ac:dyDescent="0.4">
      <c r="A325" t="s">
        <v>3328</v>
      </c>
      <c r="B325">
        <v>1</v>
      </c>
      <c r="C325" t="s">
        <v>3329</v>
      </c>
      <c r="E325" s="10">
        <v>43116</v>
      </c>
      <c r="F325" t="s">
        <v>820</v>
      </c>
    </row>
    <row r="326" spans="1:12" x14ac:dyDescent="0.4">
      <c r="A326" t="s">
        <v>3330</v>
      </c>
      <c r="B326">
        <v>1</v>
      </c>
      <c r="C326" t="s">
        <v>3331</v>
      </c>
      <c r="E326" s="10">
        <v>43116</v>
      </c>
      <c r="F326" t="s">
        <v>820</v>
      </c>
    </row>
    <row r="327" spans="1:12" x14ac:dyDescent="0.4">
      <c r="A327" t="s">
        <v>3332</v>
      </c>
      <c r="B327">
        <v>1</v>
      </c>
      <c r="C327" t="s">
        <v>3333</v>
      </c>
      <c r="E327" s="10">
        <v>43116</v>
      </c>
      <c r="F327" t="s">
        <v>3289</v>
      </c>
      <c r="G327">
        <v>1</v>
      </c>
      <c r="H327" s="10">
        <v>43118</v>
      </c>
    </row>
    <row r="328" spans="1:12" x14ac:dyDescent="0.4">
      <c r="A328" t="s">
        <v>3334</v>
      </c>
      <c r="B328">
        <v>1</v>
      </c>
      <c r="C328" t="s">
        <v>3335</v>
      </c>
      <c r="E328" s="10">
        <v>43116</v>
      </c>
      <c r="F328" t="s">
        <v>820</v>
      </c>
    </row>
    <row r="329" spans="1:12" x14ac:dyDescent="0.4">
      <c r="A329" t="s">
        <v>3336</v>
      </c>
      <c r="B329">
        <v>1</v>
      </c>
      <c r="C329" t="s">
        <v>3337</v>
      </c>
      <c r="E329" s="10">
        <v>43116</v>
      </c>
      <c r="F329" t="s">
        <v>623</v>
      </c>
    </row>
    <row r="330" spans="1:12" x14ac:dyDescent="0.4">
      <c r="A330" t="s">
        <v>3338</v>
      </c>
      <c r="B330">
        <v>1</v>
      </c>
      <c r="C330" t="s">
        <v>3339</v>
      </c>
      <c r="E330" s="10">
        <v>43116</v>
      </c>
      <c r="F330" t="s">
        <v>623</v>
      </c>
    </row>
    <row r="331" spans="1:12" x14ac:dyDescent="0.4">
      <c r="A331" t="s">
        <v>3340</v>
      </c>
      <c r="B331">
        <v>1</v>
      </c>
      <c r="C331" t="s">
        <v>3341</v>
      </c>
      <c r="E331" s="10">
        <v>43116</v>
      </c>
      <c r="F331" t="s">
        <v>623</v>
      </c>
      <c r="I331" t="s">
        <v>3342</v>
      </c>
      <c r="J331" s="10">
        <v>43116</v>
      </c>
      <c r="K331">
        <v>1</v>
      </c>
    </row>
    <row r="332" spans="1:12" x14ac:dyDescent="0.4">
      <c r="A332" t="s">
        <v>3343</v>
      </c>
      <c r="B332">
        <v>1</v>
      </c>
      <c r="C332" t="s">
        <v>3344</v>
      </c>
      <c r="E332" s="10">
        <v>43116</v>
      </c>
      <c r="F332" t="s">
        <v>623</v>
      </c>
      <c r="I332" t="s">
        <v>3342</v>
      </c>
      <c r="J332" s="10">
        <v>43116</v>
      </c>
      <c r="K332">
        <v>1</v>
      </c>
    </row>
    <row r="333" spans="1:12" x14ac:dyDescent="0.4">
      <c r="A333" t="s">
        <v>3345</v>
      </c>
      <c r="B333">
        <v>1</v>
      </c>
      <c r="C333" t="s">
        <v>3346</v>
      </c>
      <c r="E333" s="10">
        <v>43116</v>
      </c>
      <c r="F333" t="s">
        <v>623</v>
      </c>
    </row>
    <row r="334" spans="1:12" x14ac:dyDescent="0.4">
      <c r="A334" t="s">
        <v>3347</v>
      </c>
      <c r="B334">
        <v>1</v>
      </c>
      <c r="C334" t="s">
        <v>3348</v>
      </c>
      <c r="E334" s="10">
        <v>43116</v>
      </c>
      <c r="F334" t="s">
        <v>623</v>
      </c>
      <c r="L334" t="s">
        <v>3263</v>
      </c>
    </row>
    <row r="335" spans="1:12" x14ac:dyDescent="0.4">
      <c r="A335" t="s">
        <v>3349</v>
      </c>
      <c r="B335">
        <v>1</v>
      </c>
      <c r="C335" t="s">
        <v>3350</v>
      </c>
      <c r="E335" s="10">
        <v>43116</v>
      </c>
      <c r="F335" t="s">
        <v>623</v>
      </c>
      <c r="I335" t="s">
        <v>3342</v>
      </c>
      <c r="J335" s="10">
        <v>43116</v>
      </c>
      <c r="K335">
        <v>1</v>
      </c>
    </row>
    <row r="336" spans="1:12" x14ac:dyDescent="0.4">
      <c r="A336" t="s">
        <v>3351</v>
      </c>
      <c r="B336">
        <v>1</v>
      </c>
      <c r="C336" t="s">
        <v>3352</v>
      </c>
      <c r="E336" s="10">
        <v>43116</v>
      </c>
      <c r="F336" t="s">
        <v>623</v>
      </c>
    </row>
    <row r="337" spans="1:11" x14ac:dyDescent="0.4">
      <c r="A337" t="s">
        <v>3353</v>
      </c>
      <c r="B337">
        <v>1</v>
      </c>
      <c r="C337" t="s">
        <v>3354</v>
      </c>
      <c r="E337" s="10">
        <v>43116</v>
      </c>
      <c r="F337" t="s">
        <v>623</v>
      </c>
    </row>
    <row r="338" spans="1:11" x14ac:dyDescent="0.4">
      <c r="A338" t="s">
        <v>2454</v>
      </c>
      <c r="B338">
        <v>4</v>
      </c>
      <c r="C338" t="s">
        <v>2455</v>
      </c>
      <c r="E338" s="10">
        <v>43116</v>
      </c>
      <c r="F338" t="s">
        <v>3289</v>
      </c>
      <c r="G338">
        <v>4</v>
      </c>
      <c r="H338" s="10">
        <v>43117</v>
      </c>
    </row>
    <row r="339" spans="1:11" x14ac:dyDescent="0.4">
      <c r="A339" t="s">
        <v>3355</v>
      </c>
      <c r="B339">
        <v>1</v>
      </c>
      <c r="C339" t="s">
        <v>3356</v>
      </c>
      <c r="E339" s="10">
        <v>43116</v>
      </c>
      <c r="F339" t="s">
        <v>820</v>
      </c>
    </row>
    <row r="340" spans="1:11" x14ac:dyDescent="0.4">
      <c r="A340" t="s">
        <v>3357</v>
      </c>
      <c r="B340">
        <v>1</v>
      </c>
      <c r="C340" t="s">
        <v>3358</v>
      </c>
      <c r="E340" s="10">
        <v>43116</v>
      </c>
      <c r="F340" t="s">
        <v>623</v>
      </c>
    </row>
    <row r="341" spans="1:11" x14ac:dyDescent="0.4">
      <c r="A341" t="s">
        <v>3359</v>
      </c>
      <c r="B341">
        <v>1</v>
      </c>
      <c r="C341" t="s">
        <v>3360</v>
      </c>
      <c r="E341" s="10">
        <v>43116</v>
      </c>
      <c r="F341" t="s">
        <v>820</v>
      </c>
      <c r="I341" t="s">
        <v>3361</v>
      </c>
      <c r="J341" s="10">
        <v>43116</v>
      </c>
      <c r="K341">
        <v>1</v>
      </c>
    </row>
    <row r="342" spans="1:11" x14ac:dyDescent="0.4">
      <c r="A342" t="s">
        <v>3362</v>
      </c>
      <c r="B342">
        <v>1</v>
      </c>
      <c r="C342" t="s">
        <v>3363</v>
      </c>
      <c r="E342" s="10">
        <v>43116</v>
      </c>
      <c r="F342" t="s">
        <v>820</v>
      </c>
    </row>
    <row r="343" spans="1:11" x14ac:dyDescent="0.4">
      <c r="A343" t="s">
        <v>3364</v>
      </c>
      <c r="B343">
        <v>2</v>
      </c>
      <c r="C343" t="s">
        <v>3365</v>
      </c>
      <c r="E343" s="10">
        <v>43116</v>
      </c>
      <c r="F343" t="s">
        <v>820</v>
      </c>
      <c r="G343">
        <v>1</v>
      </c>
    </row>
    <row r="344" spans="1:11" x14ac:dyDescent="0.4">
      <c r="A344" t="s">
        <v>3366</v>
      </c>
      <c r="B344">
        <v>1</v>
      </c>
      <c r="C344" t="s">
        <v>3367</v>
      </c>
      <c r="E344" s="10">
        <v>43116</v>
      </c>
      <c r="F344" t="s">
        <v>820</v>
      </c>
    </row>
    <row r="345" spans="1:11" x14ac:dyDescent="0.4">
      <c r="A345" t="s">
        <v>3368</v>
      </c>
      <c r="B345">
        <v>1</v>
      </c>
      <c r="C345" t="s">
        <v>3369</v>
      </c>
      <c r="E345" s="10">
        <v>43116</v>
      </c>
      <c r="F345" t="s">
        <v>820</v>
      </c>
    </row>
    <row r="346" spans="1:11" x14ac:dyDescent="0.4">
      <c r="A346" t="s">
        <v>3370</v>
      </c>
      <c r="B346">
        <v>1</v>
      </c>
      <c r="C346" t="s">
        <v>3371</v>
      </c>
      <c r="E346" s="10">
        <v>43116</v>
      </c>
      <c r="F346" t="s">
        <v>820</v>
      </c>
    </row>
    <row r="347" spans="1:11" x14ac:dyDescent="0.4">
      <c r="A347" t="s">
        <v>3372</v>
      </c>
      <c r="B347">
        <v>1</v>
      </c>
      <c r="C347" t="s">
        <v>3373</v>
      </c>
      <c r="E347" s="10">
        <v>43116</v>
      </c>
      <c r="F347" t="s">
        <v>623</v>
      </c>
    </row>
    <row r="348" spans="1:11" x14ac:dyDescent="0.4">
      <c r="A348" t="s">
        <v>3374</v>
      </c>
      <c r="B348">
        <v>1</v>
      </c>
      <c r="C348" t="s">
        <v>3375</v>
      </c>
      <c r="E348" s="10">
        <v>43116</v>
      </c>
      <c r="F348" t="s">
        <v>820</v>
      </c>
    </row>
    <row r="349" spans="1:11" x14ac:dyDescent="0.4">
      <c r="A349" t="s">
        <v>1187</v>
      </c>
      <c r="B349">
        <v>1</v>
      </c>
      <c r="C349" t="s">
        <v>1189</v>
      </c>
      <c r="E349" s="10">
        <v>43116</v>
      </c>
      <c r="F349" t="s">
        <v>379</v>
      </c>
    </row>
    <row r="350" spans="1:11" x14ac:dyDescent="0.4">
      <c r="A350" t="s">
        <v>3376</v>
      </c>
      <c r="B350">
        <v>1</v>
      </c>
      <c r="C350" t="s">
        <v>3377</v>
      </c>
      <c r="E350" s="10">
        <v>43116</v>
      </c>
      <c r="F350" t="s">
        <v>820</v>
      </c>
    </row>
    <row r="351" spans="1:11" x14ac:dyDescent="0.4">
      <c r="A351" t="s">
        <v>3378</v>
      </c>
      <c r="B351">
        <v>10</v>
      </c>
      <c r="C351" t="s">
        <v>3379</v>
      </c>
      <c r="E351" s="10">
        <v>43115</v>
      </c>
      <c r="F351" t="s">
        <v>623</v>
      </c>
    </row>
    <row r="352" spans="1:11" x14ac:dyDescent="0.4">
      <c r="A352" t="s">
        <v>3380</v>
      </c>
      <c r="B352">
        <v>4</v>
      </c>
      <c r="C352" t="s">
        <v>3381</v>
      </c>
      <c r="E352" s="10">
        <v>43115</v>
      </c>
      <c r="F352" t="s">
        <v>820</v>
      </c>
    </row>
    <row r="353" spans="1:11" x14ac:dyDescent="0.4">
      <c r="A353" t="s">
        <v>3382</v>
      </c>
      <c r="B353">
        <v>10</v>
      </c>
      <c r="C353" t="s">
        <v>3383</v>
      </c>
      <c r="E353" s="10">
        <v>43115</v>
      </c>
      <c r="F353" t="s">
        <v>820</v>
      </c>
    </row>
    <row r="354" spans="1:11" x14ac:dyDescent="0.4">
      <c r="A354" t="s">
        <v>3384</v>
      </c>
      <c r="B354">
        <v>40</v>
      </c>
      <c r="C354" t="s">
        <v>3385</v>
      </c>
      <c r="E354" s="10">
        <v>43115</v>
      </c>
      <c r="F354" t="s">
        <v>820</v>
      </c>
    </row>
    <row r="355" spans="1:11" x14ac:dyDescent="0.4">
      <c r="A355" t="s">
        <v>3386</v>
      </c>
      <c r="B355">
        <v>3</v>
      </c>
      <c r="C355" t="s">
        <v>3387</v>
      </c>
      <c r="E355" s="10">
        <v>43115</v>
      </c>
      <c r="F355" t="s">
        <v>820</v>
      </c>
    </row>
    <row r="356" spans="1:11" x14ac:dyDescent="0.4">
      <c r="A356" t="s">
        <v>3388</v>
      </c>
      <c r="B356">
        <v>1</v>
      </c>
      <c r="C356" t="s">
        <v>3389</v>
      </c>
      <c r="E356" s="10">
        <v>43115</v>
      </c>
      <c r="F356" t="s">
        <v>379</v>
      </c>
    </row>
    <row r="357" spans="1:11" x14ac:dyDescent="0.4">
      <c r="A357" t="s">
        <v>3390</v>
      </c>
      <c r="B357">
        <v>2</v>
      </c>
      <c r="C357" t="s">
        <v>3391</v>
      </c>
      <c r="E357" s="10">
        <v>43115</v>
      </c>
      <c r="F357" t="s">
        <v>820</v>
      </c>
    </row>
    <row r="358" spans="1:11" x14ac:dyDescent="0.4">
      <c r="A358" t="s">
        <v>3392</v>
      </c>
      <c r="B358">
        <v>1</v>
      </c>
      <c r="C358" t="s">
        <v>3393</v>
      </c>
      <c r="E358" s="10">
        <v>43115</v>
      </c>
      <c r="F358" t="s">
        <v>623</v>
      </c>
    </row>
    <row r="359" spans="1:11" x14ac:dyDescent="0.4">
      <c r="A359" t="s">
        <v>3394</v>
      </c>
      <c r="B359">
        <v>1</v>
      </c>
      <c r="C359" t="s">
        <v>3395</v>
      </c>
      <c r="E359" s="10">
        <v>43115</v>
      </c>
      <c r="F359" t="s">
        <v>820</v>
      </c>
    </row>
    <row r="360" spans="1:11" x14ac:dyDescent="0.4">
      <c r="A360" t="s">
        <v>3396</v>
      </c>
      <c r="B360">
        <v>1</v>
      </c>
      <c r="C360" t="s">
        <v>3397</v>
      </c>
      <c r="E360" s="10">
        <v>43115</v>
      </c>
      <c r="F360" t="s">
        <v>820</v>
      </c>
    </row>
    <row r="361" spans="1:11" x14ac:dyDescent="0.4">
      <c r="A361" t="s">
        <v>3398</v>
      </c>
      <c r="B361">
        <v>2</v>
      </c>
      <c r="C361" t="s">
        <v>3399</v>
      </c>
      <c r="E361" s="10">
        <v>43115</v>
      </c>
      <c r="F361" t="s">
        <v>820</v>
      </c>
    </row>
    <row r="362" spans="1:11" x14ac:dyDescent="0.4">
      <c r="A362" t="s">
        <v>1643</v>
      </c>
      <c r="B362">
        <v>1</v>
      </c>
      <c r="C362" t="s">
        <v>1644</v>
      </c>
      <c r="E362" s="10">
        <v>43115</v>
      </c>
      <c r="F362" t="s">
        <v>820</v>
      </c>
    </row>
    <row r="363" spans="1:11" x14ac:dyDescent="0.4">
      <c r="A363" t="s">
        <v>3400</v>
      </c>
      <c r="B363">
        <v>1</v>
      </c>
      <c r="C363" t="s">
        <v>3401</v>
      </c>
      <c r="E363" s="10">
        <v>43115</v>
      </c>
      <c r="F363" t="s">
        <v>623</v>
      </c>
      <c r="I363" t="s">
        <v>3342</v>
      </c>
      <c r="J363" s="10">
        <v>43115</v>
      </c>
      <c r="K363">
        <v>1</v>
      </c>
    </row>
    <row r="364" spans="1:11" x14ac:dyDescent="0.4">
      <c r="A364" t="s">
        <v>3402</v>
      </c>
      <c r="B364">
        <v>1</v>
      </c>
      <c r="C364" t="s">
        <v>3403</v>
      </c>
      <c r="E364" s="10">
        <v>43115</v>
      </c>
      <c r="F364" t="s">
        <v>820</v>
      </c>
      <c r="I364" t="s">
        <v>3342</v>
      </c>
      <c r="J364" s="10">
        <v>43115</v>
      </c>
      <c r="K364">
        <v>1</v>
      </c>
    </row>
    <row r="365" spans="1:11" x14ac:dyDescent="0.4">
      <c r="A365" t="s">
        <v>3404</v>
      </c>
      <c r="B365">
        <v>1</v>
      </c>
      <c r="C365" t="s">
        <v>3405</v>
      </c>
      <c r="E365" s="10">
        <v>43115</v>
      </c>
      <c r="F365" t="s">
        <v>3274</v>
      </c>
      <c r="I365" t="s">
        <v>3342</v>
      </c>
      <c r="J365" s="10">
        <v>43115</v>
      </c>
      <c r="K365">
        <v>1</v>
      </c>
    </row>
    <row r="366" spans="1:11" x14ac:dyDescent="0.4">
      <c r="A366" t="s">
        <v>3406</v>
      </c>
      <c r="B366">
        <v>2</v>
      </c>
      <c r="C366" t="s">
        <v>3407</v>
      </c>
      <c r="E366" s="10">
        <v>43115</v>
      </c>
      <c r="F366" t="s">
        <v>3274</v>
      </c>
      <c r="I366" t="s">
        <v>3342</v>
      </c>
      <c r="J366" s="10">
        <v>43115</v>
      </c>
      <c r="K366">
        <v>2</v>
      </c>
    </row>
    <row r="367" spans="1:11" x14ac:dyDescent="0.4">
      <c r="A367" t="s">
        <v>3408</v>
      </c>
      <c r="B367">
        <v>1</v>
      </c>
      <c r="C367" t="s">
        <v>3409</v>
      </c>
      <c r="E367" s="10">
        <v>43115</v>
      </c>
      <c r="F367" t="s">
        <v>3274</v>
      </c>
      <c r="I367" t="s">
        <v>3342</v>
      </c>
      <c r="J367" s="10">
        <v>43115</v>
      </c>
      <c r="K367">
        <v>1</v>
      </c>
    </row>
    <row r="368" spans="1:11" x14ac:dyDescent="0.4">
      <c r="A368" t="s">
        <v>3410</v>
      </c>
      <c r="B368">
        <v>70</v>
      </c>
      <c r="C368" t="s">
        <v>3411</v>
      </c>
      <c r="E368" s="10">
        <v>43115</v>
      </c>
      <c r="F368" t="s">
        <v>820</v>
      </c>
    </row>
    <row r="369" spans="1:12" x14ac:dyDescent="0.4">
      <c r="A369" t="s">
        <v>3412</v>
      </c>
      <c r="B369">
        <v>11</v>
      </c>
      <c r="C369" t="s">
        <v>3413</v>
      </c>
      <c r="E369" s="10">
        <v>43115</v>
      </c>
      <c r="F369" t="s">
        <v>623</v>
      </c>
      <c r="L369" t="s">
        <v>3263</v>
      </c>
    </row>
    <row r="370" spans="1:12" x14ac:dyDescent="0.4">
      <c r="A370" t="s">
        <v>3414</v>
      </c>
      <c r="B370">
        <v>2</v>
      </c>
      <c r="C370" t="s">
        <v>3415</v>
      </c>
      <c r="E370" s="10">
        <v>43115</v>
      </c>
      <c r="F370" t="s">
        <v>623</v>
      </c>
    </row>
    <row r="371" spans="1:12" x14ac:dyDescent="0.4">
      <c r="A371" t="s">
        <v>3416</v>
      </c>
      <c r="B371">
        <v>1</v>
      </c>
      <c r="C371" t="s">
        <v>3417</v>
      </c>
      <c r="E371" s="10">
        <v>43115</v>
      </c>
      <c r="F371" t="s">
        <v>3289</v>
      </c>
      <c r="G371">
        <v>1</v>
      </c>
      <c r="H371" s="10">
        <v>43117</v>
      </c>
    </row>
    <row r="372" spans="1:12" x14ac:dyDescent="0.4">
      <c r="A372" t="s">
        <v>3418</v>
      </c>
      <c r="B372">
        <v>1</v>
      </c>
      <c r="C372" t="s">
        <v>3419</v>
      </c>
      <c r="E372" s="10">
        <v>43115</v>
      </c>
      <c r="F372" t="s">
        <v>820</v>
      </c>
    </row>
    <row r="373" spans="1:12" x14ac:dyDescent="0.4">
      <c r="A373" t="s">
        <v>3420</v>
      </c>
      <c r="B373">
        <v>1</v>
      </c>
      <c r="C373" t="s">
        <v>3421</v>
      </c>
      <c r="E373" s="10">
        <v>43115</v>
      </c>
      <c r="F373" t="s">
        <v>820</v>
      </c>
    </row>
    <row r="374" spans="1:12" x14ac:dyDescent="0.4">
      <c r="A374" t="s">
        <v>3422</v>
      </c>
      <c r="B374">
        <v>1</v>
      </c>
      <c r="C374" t="s">
        <v>3423</v>
      </c>
      <c r="E374" s="10">
        <v>43115</v>
      </c>
      <c r="F374" t="s">
        <v>623</v>
      </c>
    </row>
    <row r="375" spans="1:12" x14ac:dyDescent="0.4">
      <c r="A375" t="s">
        <v>3424</v>
      </c>
      <c r="B375">
        <v>1</v>
      </c>
      <c r="C375" t="s">
        <v>3425</v>
      </c>
      <c r="E375" s="10">
        <v>43115</v>
      </c>
      <c r="F375" t="s">
        <v>623</v>
      </c>
    </row>
    <row r="376" spans="1:12" x14ac:dyDescent="0.4">
      <c r="A376" t="s">
        <v>3426</v>
      </c>
      <c r="B376">
        <v>1</v>
      </c>
      <c r="C376" t="s">
        <v>3427</v>
      </c>
      <c r="E376" s="10">
        <v>43115</v>
      </c>
      <c r="F376" t="s">
        <v>820</v>
      </c>
    </row>
    <row r="377" spans="1:12" x14ac:dyDescent="0.4">
      <c r="A377" t="s">
        <v>3428</v>
      </c>
      <c r="B377">
        <v>2</v>
      </c>
      <c r="C377" t="s">
        <v>3429</v>
      </c>
      <c r="E377" s="10">
        <v>43115</v>
      </c>
      <c r="F377" t="s">
        <v>820</v>
      </c>
    </row>
    <row r="378" spans="1:12" x14ac:dyDescent="0.4">
      <c r="A378" t="s">
        <v>3430</v>
      </c>
      <c r="B378">
        <v>1</v>
      </c>
      <c r="C378" t="s">
        <v>3431</v>
      </c>
      <c r="E378" s="10">
        <v>43115</v>
      </c>
      <c r="F378" t="s">
        <v>623</v>
      </c>
    </row>
    <row r="379" spans="1:12" x14ac:dyDescent="0.4">
      <c r="A379" t="s">
        <v>3432</v>
      </c>
      <c r="B379">
        <v>1</v>
      </c>
      <c r="C379" t="s">
        <v>3433</v>
      </c>
      <c r="E379" s="10">
        <v>43115</v>
      </c>
      <c r="F379" t="s">
        <v>623</v>
      </c>
    </row>
    <row r="380" spans="1:12" x14ac:dyDescent="0.4">
      <c r="A380" t="s">
        <v>3434</v>
      </c>
      <c r="B380">
        <v>3</v>
      </c>
      <c r="C380" t="s">
        <v>3435</v>
      </c>
      <c r="E380" s="10">
        <v>43115</v>
      </c>
      <c r="F380" t="s">
        <v>623</v>
      </c>
      <c r="L380" t="s">
        <v>3260</v>
      </c>
    </row>
    <row r="381" spans="1:12" x14ac:dyDescent="0.4">
      <c r="A381" t="s">
        <v>3436</v>
      </c>
      <c r="B381">
        <v>1</v>
      </c>
      <c r="C381" t="s">
        <v>3437</v>
      </c>
      <c r="E381" s="10">
        <v>43115</v>
      </c>
      <c r="F381" t="s">
        <v>623</v>
      </c>
      <c r="L381" t="s">
        <v>3260</v>
      </c>
    </row>
    <row r="382" spans="1:12" x14ac:dyDescent="0.4">
      <c r="A382" t="s">
        <v>3438</v>
      </c>
      <c r="B382">
        <v>1</v>
      </c>
      <c r="C382" t="s">
        <v>3439</v>
      </c>
      <c r="E382" s="10">
        <v>43115</v>
      </c>
      <c r="F382" t="s">
        <v>623</v>
      </c>
      <c r="L382" t="s">
        <v>3260</v>
      </c>
    </row>
    <row r="383" spans="1:12" x14ac:dyDescent="0.4">
      <c r="A383" t="s">
        <v>3440</v>
      </c>
      <c r="B383">
        <v>1</v>
      </c>
      <c r="C383" t="s">
        <v>3441</v>
      </c>
      <c r="E383" s="10">
        <v>43115</v>
      </c>
      <c r="F383" t="s">
        <v>623</v>
      </c>
      <c r="L383" t="s">
        <v>3260</v>
      </c>
    </row>
    <row r="384" spans="1:12" x14ac:dyDescent="0.4">
      <c r="A384" t="s">
        <v>3442</v>
      </c>
      <c r="B384">
        <v>2</v>
      </c>
      <c r="C384" t="s">
        <v>3443</v>
      </c>
      <c r="E384" s="10">
        <v>43115</v>
      </c>
      <c r="F384" t="s">
        <v>820</v>
      </c>
    </row>
    <row r="385" spans="1:11" x14ac:dyDescent="0.4">
      <c r="A385" t="s">
        <v>3444</v>
      </c>
      <c r="B385">
        <v>1</v>
      </c>
      <c r="C385" t="s">
        <v>3445</v>
      </c>
      <c r="E385" s="10">
        <v>43115</v>
      </c>
      <c r="F385" t="s">
        <v>820</v>
      </c>
    </row>
    <row r="386" spans="1:11" x14ac:dyDescent="0.4">
      <c r="A386" t="s">
        <v>3446</v>
      </c>
      <c r="B386">
        <v>1</v>
      </c>
      <c r="C386" t="s">
        <v>3447</v>
      </c>
      <c r="E386" s="10">
        <v>43115</v>
      </c>
      <c r="F386" t="s">
        <v>820</v>
      </c>
    </row>
    <row r="387" spans="1:11" x14ac:dyDescent="0.4">
      <c r="A387" t="s">
        <v>3448</v>
      </c>
      <c r="B387">
        <v>1</v>
      </c>
      <c r="C387" t="s">
        <v>3449</v>
      </c>
      <c r="E387" s="10">
        <v>43115</v>
      </c>
      <c r="F387" t="s">
        <v>623</v>
      </c>
    </row>
    <row r="388" spans="1:11" x14ac:dyDescent="0.4">
      <c r="A388" t="s">
        <v>3450</v>
      </c>
      <c r="B388">
        <v>1</v>
      </c>
      <c r="C388" t="s">
        <v>3451</v>
      </c>
      <c r="E388" s="10">
        <v>43115</v>
      </c>
      <c r="F388" t="s">
        <v>379</v>
      </c>
    </row>
    <row r="389" spans="1:11" x14ac:dyDescent="0.4">
      <c r="A389" t="s">
        <v>3452</v>
      </c>
      <c r="B389">
        <v>1</v>
      </c>
      <c r="C389" t="s">
        <v>3453</v>
      </c>
      <c r="E389" s="10">
        <v>43115</v>
      </c>
      <c r="F389" t="s">
        <v>623</v>
      </c>
      <c r="I389" t="s">
        <v>228</v>
      </c>
      <c r="J389" s="10">
        <v>43115</v>
      </c>
      <c r="K389">
        <v>1</v>
      </c>
    </row>
    <row r="390" spans="1:11" x14ac:dyDescent="0.4">
      <c r="A390" t="s">
        <v>3454</v>
      </c>
      <c r="B390">
        <v>1</v>
      </c>
      <c r="C390" t="s">
        <v>3455</v>
      </c>
      <c r="E390" s="10">
        <v>43115</v>
      </c>
      <c r="F390" t="s">
        <v>623</v>
      </c>
    </row>
    <row r="391" spans="1:11" x14ac:dyDescent="0.4">
      <c r="A391" t="s">
        <v>1094</v>
      </c>
      <c r="B391">
        <v>1</v>
      </c>
      <c r="C391" t="s">
        <v>1095</v>
      </c>
      <c r="E391" s="10">
        <v>43115</v>
      </c>
      <c r="F391" t="s">
        <v>623</v>
      </c>
    </row>
    <row r="392" spans="1:11" x14ac:dyDescent="0.4">
      <c r="A392" t="s">
        <v>3456</v>
      </c>
      <c r="B392">
        <v>1</v>
      </c>
      <c r="C392" t="s">
        <v>3457</v>
      </c>
      <c r="E392" s="10">
        <v>43115</v>
      </c>
      <c r="F392" t="s">
        <v>623</v>
      </c>
    </row>
    <row r="393" spans="1:11" x14ac:dyDescent="0.4">
      <c r="A393" t="s">
        <v>3458</v>
      </c>
      <c r="B393">
        <v>1</v>
      </c>
      <c r="C393" t="s">
        <v>3459</v>
      </c>
      <c r="E393" s="10">
        <v>43114</v>
      </c>
      <c r="F393" t="s">
        <v>623</v>
      </c>
    </row>
    <row r="394" spans="1:11" x14ac:dyDescent="0.4">
      <c r="A394" t="s">
        <v>3460</v>
      </c>
      <c r="B394">
        <v>1</v>
      </c>
      <c r="C394" t="s">
        <v>3461</v>
      </c>
      <c r="E394" s="10">
        <v>43114</v>
      </c>
      <c r="F394" t="s">
        <v>820</v>
      </c>
    </row>
    <row r="395" spans="1:11" x14ac:dyDescent="0.4">
      <c r="A395" t="s">
        <v>3462</v>
      </c>
      <c r="B395">
        <v>1</v>
      </c>
      <c r="C395" t="s">
        <v>3463</v>
      </c>
      <c r="E395" s="10">
        <v>43114</v>
      </c>
      <c r="F395" t="s">
        <v>820</v>
      </c>
    </row>
    <row r="396" spans="1:11" x14ac:dyDescent="0.4">
      <c r="A396" t="s">
        <v>3464</v>
      </c>
      <c r="B396">
        <v>1</v>
      </c>
      <c r="C396" t="s">
        <v>3465</v>
      </c>
      <c r="E396" s="10">
        <v>43114</v>
      </c>
      <c r="F396" t="s">
        <v>820</v>
      </c>
    </row>
    <row r="397" spans="1:11" x14ac:dyDescent="0.4">
      <c r="A397" t="s">
        <v>3466</v>
      </c>
      <c r="B397">
        <v>3</v>
      </c>
      <c r="C397" t="s">
        <v>3467</v>
      </c>
      <c r="E397" s="10">
        <v>43114</v>
      </c>
      <c r="F397" t="s">
        <v>820</v>
      </c>
    </row>
    <row r="398" spans="1:11" x14ac:dyDescent="0.4">
      <c r="A398" t="s">
        <v>3468</v>
      </c>
      <c r="B398">
        <v>2</v>
      </c>
      <c r="C398" t="s">
        <v>3469</v>
      </c>
      <c r="E398" s="10">
        <v>43114</v>
      </c>
      <c r="F398" t="s">
        <v>820</v>
      </c>
    </row>
    <row r="399" spans="1:11" x14ac:dyDescent="0.4">
      <c r="A399" t="s">
        <v>3470</v>
      </c>
      <c r="B399">
        <v>1</v>
      </c>
      <c r="C399" t="s">
        <v>3471</v>
      </c>
      <c r="E399" s="10">
        <v>43114</v>
      </c>
      <c r="F399" t="s">
        <v>623</v>
      </c>
    </row>
    <row r="400" spans="1:11" x14ac:dyDescent="0.4">
      <c r="A400" t="s">
        <v>3472</v>
      </c>
      <c r="B400">
        <v>1</v>
      </c>
      <c r="C400" t="s">
        <v>3473</v>
      </c>
      <c r="E400" s="10">
        <v>43114</v>
      </c>
      <c r="F400" t="s">
        <v>820</v>
      </c>
    </row>
    <row r="401" spans="1:11" x14ac:dyDescent="0.4">
      <c r="A401" t="s">
        <v>3474</v>
      </c>
      <c r="B401">
        <v>1</v>
      </c>
      <c r="C401" t="s">
        <v>3475</v>
      </c>
      <c r="E401" s="10">
        <v>43114</v>
      </c>
      <c r="F401" t="s">
        <v>623</v>
      </c>
    </row>
    <row r="402" spans="1:11" x14ac:dyDescent="0.4">
      <c r="A402" t="s">
        <v>3476</v>
      </c>
      <c r="B402">
        <v>1</v>
      </c>
      <c r="C402" t="s">
        <v>3477</v>
      </c>
      <c r="E402" s="10">
        <v>43114</v>
      </c>
      <c r="F402" t="s">
        <v>820</v>
      </c>
    </row>
    <row r="403" spans="1:11" x14ac:dyDescent="0.4">
      <c r="A403" t="s">
        <v>3478</v>
      </c>
      <c r="B403">
        <v>1</v>
      </c>
      <c r="C403" t="s">
        <v>3479</v>
      </c>
      <c r="E403" s="10">
        <v>43115</v>
      </c>
      <c r="F403" t="s">
        <v>820</v>
      </c>
    </row>
    <row r="404" spans="1:11" x14ac:dyDescent="0.4">
      <c r="A404" t="s">
        <v>3480</v>
      </c>
      <c r="B404">
        <v>2</v>
      </c>
      <c r="C404" t="s">
        <v>3481</v>
      </c>
      <c r="E404" s="10">
        <v>43115</v>
      </c>
      <c r="F404" t="s">
        <v>820</v>
      </c>
    </row>
    <row r="405" spans="1:11" x14ac:dyDescent="0.4">
      <c r="A405" t="s">
        <v>3482</v>
      </c>
      <c r="B405">
        <v>1</v>
      </c>
      <c r="C405" t="s">
        <v>3483</v>
      </c>
      <c r="E405" s="10">
        <v>43115</v>
      </c>
      <c r="F405" t="s">
        <v>820</v>
      </c>
    </row>
    <row r="406" spans="1:11" x14ac:dyDescent="0.4">
      <c r="A406" t="s">
        <v>3484</v>
      </c>
      <c r="B406">
        <v>1</v>
      </c>
      <c r="C406" t="s">
        <v>3485</v>
      </c>
      <c r="E406" s="10">
        <v>43115</v>
      </c>
      <c r="F406" t="s">
        <v>820</v>
      </c>
    </row>
    <row r="407" spans="1:11" x14ac:dyDescent="0.4">
      <c r="A407" t="s">
        <v>3486</v>
      </c>
      <c r="B407">
        <v>4</v>
      </c>
      <c r="C407" t="s">
        <v>3487</v>
      </c>
      <c r="E407" s="10">
        <v>43115</v>
      </c>
      <c r="F407" t="s">
        <v>820</v>
      </c>
    </row>
    <row r="408" spans="1:11" x14ac:dyDescent="0.4">
      <c r="A408" t="s">
        <v>3488</v>
      </c>
      <c r="B408">
        <v>1</v>
      </c>
      <c r="C408" t="s">
        <v>3489</v>
      </c>
      <c r="E408" s="10">
        <v>43114</v>
      </c>
      <c r="F408" t="s">
        <v>623</v>
      </c>
    </row>
    <row r="409" spans="1:11" x14ac:dyDescent="0.4">
      <c r="A409" t="s">
        <v>3490</v>
      </c>
      <c r="B409">
        <v>1</v>
      </c>
      <c r="C409" t="s">
        <v>3491</v>
      </c>
      <c r="E409" s="10">
        <v>43114</v>
      </c>
      <c r="F409" t="s">
        <v>379</v>
      </c>
    </row>
    <row r="410" spans="1:11" x14ac:dyDescent="0.4">
      <c r="A410" t="s">
        <v>3492</v>
      </c>
      <c r="B410">
        <v>10</v>
      </c>
      <c r="C410" t="s">
        <v>3493</v>
      </c>
      <c r="E410" s="10">
        <v>43114</v>
      </c>
      <c r="F410" t="s">
        <v>820</v>
      </c>
    </row>
    <row r="411" spans="1:11" x14ac:dyDescent="0.4">
      <c r="A411" t="s">
        <v>3494</v>
      </c>
      <c r="B411">
        <v>100</v>
      </c>
      <c r="C411" t="s">
        <v>3495</v>
      </c>
      <c r="E411" s="10">
        <v>43114</v>
      </c>
      <c r="F411" t="s">
        <v>820</v>
      </c>
    </row>
    <row r="412" spans="1:11" x14ac:dyDescent="0.4">
      <c r="A412" t="s">
        <v>3496</v>
      </c>
      <c r="B412">
        <v>50</v>
      </c>
      <c r="C412" t="s">
        <v>3497</v>
      </c>
      <c r="E412" s="10">
        <v>43114</v>
      </c>
      <c r="F412" t="s">
        <v>820</v>
      </c>
    </row>
    <row r="413" spans="1:11" x14ac:dyDescent="0.4">
      <c r="A413" t="s">
        <v>3498</v>
      </c>
      <c r="B413">
        <v>1</v>
      </c>
      <c r="C413" t="s">
        <v>3499</v>
      </c>
      <c r="E413" s="10">
        <v>43114</v>
      </c>
      <c r="F413" t="s">
        <v>820</v>
      </c>
    </row>
    <row r="414" spans="1:11" x14ac:dyDescent="0.4">
      <c r="A414" t="s">
        <v>3500</v>
      </c>
      <c r="B414">
        <v>1</v>
      </c>
      <c r="C414" t="s">
        <v>3501</v>
      </c>
      <c r="E414" s="10">
        <v>43114</v>
      </c>
      <c r="F414" t="s">
        <v>623</v>
      </c>
    </row>
    <row r="415" spans="1:11" x14ac:dyDescent="0.4">
      <c r="A415" t="s">
        <v>3502</v>
      </c>
      <c r="B415">
        <v>1</v>
      </c>
      <c r="C415" t="s">
        <v>3503</v>
      </c>
      <c r="E415" s="10">
        <v>43114</v>
      </c>
      <c r="F415" t="s">
        <v>623</v>
      </c>
    </row>
    <row r="416" spans="1:11" x14ac:dyDescent="0.4">
      <c r="A416" t="s">
        <v>3504</v>
      </c>
      <c r="B416">
        <v>1</v>
      </c>
      <c r="C416" t="s">
        <v>3505</v>
      </c>
      <c r="E416" s="10">
        <v>43114</v>
      </c>
      <c r="F416" t="s">
        <v>623</v>
      </c>
      <c r="I416" t="s">
        <v>3342</v>
      </c>
      <c r="J416" s="10">
        <v>43114</v>
      </c>
      <c r="K416">
        <v>1</v>
      </c>
    </row>
    <row r="417" spans="1:11" x14ac:dyDescent="0.4">
      <c r="A417" t="s">
        <v>3506</v>
      </c>
      <c r="B417">
        <v>1</v>
      </c>
      <c r="C417" t="s">
        <v>3507</v>
      </c>
      <c r="E417" s="10">
        <v>43114</v>
      </c>
      <c r="F417" t="s">
        <v>820</v>
      </c>
      <c r="I417" t="s">
        <v>3361</v>
      </c>
      <c r="J417" s="10">
        <v>43114</v>
      </c>
      <c r="K417">
        <v>1</v>
      </c>
    </row>
    <row r="418" spans="1:11" x14ac:dyDescent="0.4">
      <c r="A418" t="s">
        <v>3508</v>
      </c>
      <c r="B418">
        <v>1</v>
      </c>
      <c r="C418" t="s">
        <v>3509</v>
      </c>
      <c r="E418" s="10">
        <v>43114</v>
      </c>
      <c r="F418" t="s">
        <v>820</v>
      </c>
      <c r="I418" t="s">
        <v>3361</v>
      </c>
      <c r="J418" s="10">
        <v>43114</v>
      </c>
      <c r="K418">
        <v>1</v>
      </c>
    </row>
    <row r="419" spans="1:11" x14ac:dyDescent="0.4">
      <c r="A419" t="s">
        <v>3510</v>
      </c>
      <c r="B419">
        <v>1</v>
      </c>
      <c r="C419" t="s">
        <v>3511</v>
      </c>
      <c r="E419" s="10">
        <v>43114</v>
      </c>
      <c r="F419" t="s">
        <v>623</v>
      </c>
      <c r="I419" t="s">
        <v>3361</v>
      </c>
      <c r="J419" s="10">
        <v>43114</v>
      </c>
      <c r="K419">
        <v>1</v>
      </c>
    </row>
    <row r="420" spans="1:11" x14ac:dyDescent="0.4">
      <c r="A420" t="s">
        <v>3512</v>
      </c>
      <c r="B420">
        <v>1</v>
      </c>
      <c r="C420" t="s">
        <v>3513</v>
      </c>
      <c r="E420" s="10">
        <v>43112</v>
      </c>
      <c r="F420" t="s">
        <v>820</v>
      </c>
    </row>
    <row r="421" spans="1:11" x14ac:dyDescent="0.4">
      <c r="A421" t="s">
        <v>3514</v>
      </c>
      <c r="B421">
        <v>2</v>
      </c>
      <c r="C421" t="s">
        <v>3515</v>
      </c>
      <c r="E421" s="10">
        <v>43112</v>
      </c>
      <c r="F421" t="s">
        <v>623</v>
      </c>
    </row>
    <row r="422" spans="1:11" x14ac:dyDescent="0.4">
      <c r="A422" t="s">
        <v>3516</v>
      </c>
      <c r="B422">
        <v>5</v>
      </c>
      <c r="C422" t="s">
        <v>3517</v>
      </c>
      <c r="E422" s="10">
        <v>43112</v>
      </c>
      <c r="F422" t="s">
        <v>820</v>
      </c>
    </row>
    <row r="423" spans="1:11" x14ac:dyDescent="0.4">
      <c r="A423" t="s">
        <v>3416</v>
      </c>
      <c r="B423">
        <v>1</v>
      </c>
      <c r="C423" t="s">
        <v>3417</v>
      </c>
      <c r="E423" s="10">
        <v>43112</v>
      </c>
      <c r="F423" t="s">
        <v>820</v>
      </c>
    </row>
    <row r="424" spans="1:11" x14ac:dyDescent="0.4">
      <c r="E424"/>
      <c r="H424"/>
      <c r="J424"/>
    </row>
    <row r="425" spans="1:11" x14ac:dyDescent="0.4">
      <c r="E425"/>
      <c r="H425"/>
      <c r="J425"/>
    </row>
    <row r="426" spans="1:11" x14ac:dyDescent="0.4">
      <c r="E426"/>
      <c r="H426"/>
      <c r="J426"/>
    </row>
    <row r="427" spans="1:11" x14ac:dyDescent="0.4">
      <c r="E427"/>
      <c r="H427"/>
      <c r="J427"/>
    </row>
    <row r="428" spans="1:11" x14ac:dyDescent="0.4">
      <c r="E428"/>
      <c r="H428"/>
      <c r="J428"/>
    </row>
    <row r="429" spans="1:11" x14ac:dyDescent="0.4">
      <c r="E429"/>
      <c r="H429"/>
      <c r="J429"/>
    </row>
    <row r="430" spans="1:11" x14ac:dyDescent="0.4">
      <c r="E430"/>
      <c r="H430"/>
      <c r="J430"/>
    </row>
    <row r="431" spans="1:11" x14ac:dyDescent="0.4">
      <c r="E431"/>
      <c r="H431"/>
      <c r="J431"/>
    </row>
    <row r="432" spans="1:11" x14ac:dyDescent="0.4">
      <c r="E432"/>
      <c r="H432"/>
      <c r="J432"/>
    </row>
    <row r="433" spans="5:10" x14ac:dyDescent="0.4">
      <c r="E433"/>
      <c r="H433"/>
      <c r="J433"/>
    </row>
    <row r="434" spans="5:10" x14ac:dyDescent="0.4">
      <c r="E434"/>
      <c r="H434"/>
      <c r="J434"/>
    </row>
    <row r="435" spans="5:10" x14ac:dyDescent="0.4">
      <c r="E435"/>
      <c r="H435"/>
      <c r="J435"/>
    </row>
    <row r="436" spans="5:10" x14ac:dyDescent="0.4">
      <c r="E436"/>
      <c r="H436"/>
      <c r="J436"/>
    </row>
    <row r="437" spans="5:10" x14ac:dyDescent="0.4">
      <c r="E437"/>
      <c r="H437"/>
      <c r="J437"/>
    </row>
    <row r="438" spans="5:10" x14ac:dyDescent="0.4">
      <c r="E438"/>
      <c r="H438"/>
      <c r="J438"/>
    </row>
    <row r="439" spans="5:10" x14ac:dyDescent="0.4">
      <c r="E439"/>
      <c r="H439"/>
      <c r="J439"/>
    </row>
    <row r="440" spans="5:10" x14ac:dyDescent="0.4">
      <c r="E440"/>
      <c r="H440"/>
      <c r="J440"/>
    </row>
    <row r="441" spans="5:10" x14ac:dyDescent="0.4">
      <c r="E441"/>
      <c r="H441"/>
      <c r="J441"/>
    </row>
    <row r="442" spans="5:10" x14ac:dyDescent="0.4">
      <c r="E442"/>
      <c r="H442"/>
      <c r="J442"/>
    </row>
    <row r="443" spans="5:10" x14ac:dyDescent="0.4">
      <c r="E443"/>
      <c r="H443"/>
      <c r="J443"/>
    </row>
    <row r="444" spans="5:10" x14ac:dyDescent="0.4">
      <c r="E444"/>
      <c r="H444"/>
      <c r="J444"/>
    </row>
    <row r="445" spans="5:10" x14ac:dyDescent="0.4">
      <c r="E445"/>
      <c r="H445"/>
      <c r="J445"/>
    </row>
    <row r="446" spans="5:10" x14ac:dyDescent="0.4">
      <c r="E446"/>
      <c r="H446"/>
      <c r="J446"/>
    </row>
    <row r="447" spans="5:10" x14ac:dyDescent="0.4">
      <c r="E447"/>
      <c r="H447"/>
      <c r="J447"/>
    </row>
    <row r="448" spans="5:10" x14ac:dyDescent="0.4">
      <c r="E448"/>
      <c r="H448"/>
      <c r="J448"/>
    </row>
    <row r="449" spans="5:10" x14ac:dyDescent="0.4">
      <c r="E449"/>
      <c r="H449"/>
      <c r="J449"/>
    </row>
    <row r="450" spans="5:10" x14ac:dyDescent="0.4">
      <c r="E450"/>
      <c r="H450"/>
      <c r="J450"/>
    </row>
    <row r="451" spans="5:10" x14ac:dyDescent="0.4">
      <c r="E451"/>
      <c r="H451"/>
      <c r="J451"/>
    </row>
    <row r="452" spans="5:10" x14ac:dyDescent="0.4">
      <c r="E452"/>
      <c r="H452"/>
      <c r="J452"/>
    </row>
    <row r="453" spans="5:10" x14ac:dyDescent="0.4">
      <c r="E453"/>
      <c r="H453"/>
      <c r="J453"/>
    </row>
    <row r="454" spans="5:10" x14ac:dyDescent="0.4">
      <c r="E454"/>
      <c r="H454"/>
      <c r="J454"/>
    </row>
    <row r="455" spans="5:10" x14ac:dyDescent="0.4">
      <c r="E455"/>
      <c r="H455"/>
      <c r="J455"/>
    </row>
    <row r="456" spans="5:10" x14ac:dyDescent="0.4">
      <c r="E456"/>
      <c r="H456"/>
      <c r="J456"/>
    </row>
    <row r="457" spans="5:10" x14ac:dyDescent="0.4">
      <c r="E457"/>
      <c r="H457"/>
      <c r="J457"/>
    </row>
    <row r="458" spans="5:10" x14ac:dyDescent="0.4">
      <c r="E458"/>
      <c r="H458"/>
      <c r="J458"/>
    </row>
    <row r="459" spans="5:10" x14ac:dyDescent="0.4">
      <c r="E459"/>
      <c r="H459"/>
      <c r="J459"/>
    </row>
    <row r="460" spans="5:10" x14ac:dyDescent="0.4">
      <c r="E460"/>
      <c r="H460"/>
      <c r="J460"/>
    </row>
    <row r="461" spans="5:10" x14ac:dyDescent="0.4">
      <c r="E461"/>
      <c r="H461"/>
      <c r="J461"/>
    </row>
    <row r="462" spans="5:10" x14ac:dyDescent="0.4">
      <c r="E462"/>
      <c r="H462"/>
      <c r="J462"/>
    </row>
    <row r="463" spans="5:10" x14ac:dyDescent="0.4">
      <c r="E463"/>
      <c r="H463"/>
      <c r="J463"/>
    </row>
    <row r="464" spans="5:10" x14ac:dyDescent="0.4">
      <c r="E464"/>
      <c r="H464"/>
      <c r="J464"/>
    </row>
    <row r="465" spans="5:10" x14ac:dyDescent="0.4">
      <c r="E465"/>
      <c r="H465"/>
      <c r="J465"/>
    </row>
    <row r="466" spans="5:10" x14ac:dyDescent="0.4">
      <c r="E466"/>
      <c r="H466"/>
      <c r="J466"/>
    </row>
    <row r="467" spans="5:10" x14ac:dyDescent="0.4">
      <c r="E467"/>
      <c r="H467"/>
      <c r="J467"/>
    </row>
    <row r="468" spans="5:10" x14ac:dyDescent="0.4">
      <c r="E468"/>
      <c r="H468"/>
      <c r="J468"/>
    </row>
    <row r="469" spans="5:10" x14ac:dyDescent="0.4">
      <c r="E469"/>
      <c r="H469"/>
      <c r="J469"/>
    </row>
    <row r="470" spans="5:10" x14ac:dyDescent="0.4">
      <c r="E470"/>
      <c r="H470"/>
      <c r="J470"/>
    </row>
    <row r="471" spans="5:10" x14ac:dyDescent="0.4">
      <c r="E471"/>
      <c r="H471"/>
      <c r="J471"/>
    </row>
    <row r="472" spans="5:10" x14ac:dyDescent="0.4">
      <c r="E472"/>
      <c r="H472"/>
      <c r="J472"/>
    </row>
    <row r="473" spans="5:10" x14ac:dyDescent="0.4">
      <c r="E473"/>
      <c r="H473"/>
      <c r="J473"/>
    </row>
    <row r="474" spans="5:10" x14ac:dyDescent="0.4">
      <c r="E474"/>
      <c r="H474"/>
      <c r="J474"/>
    </row>
    <row r="475" spans="5:10" x14ac:dyDescent="0.4">
      <c r="E475"/>
      <c r="H475"/>
      <c r="J475"/>
    </row>
    <row r="476" spans="5:10" x14ac:dyDescent="0.4">
      <c r="E476"/>
      <c r="H476"/>
      <c r="J476"/>
    </row>
    <row r="477" spans="5:10" x14ac:dyDescent="0.4">
      <c r="E477"/>
      <c r="H477"/>
      <c r="J477"/>
    </row>
    <row r="478" spans="5:10" x14ac:dyDescent="0.4">
      <c r="E478"/>
      <c r="H478"/>
      <c r="J478"/>
    </row>
    <row r="479" spans="5:10" x14ac:dyDescent="0.4">
      <c r="E479"/>
      <c r="H479"/>
      <c r="J479"/>
    </row>
    <row r="480" spans="5:10" x14ac:dyDescent="0.4">
      <c r="E480"/>
      <c r="H480"/>
      <c r="J480"/>
    </row>
    <row r="481" spans="5:10" x14ac:dyDescent="0.4">
      <c r="E481"/>
      <c r="H481"/>
      <c r="J481"/>
    </row>
    <row r="482" spans="5:10" x14ac:dyDescent="0.4">
      <c r="E482"/>
      <c r="H482"/>
      <c r="J482"/>
    </row>
    <row r="483" spans="5:10" x14ac:dyDescent="0.4">
      <c r="E483"/>
      <c r="H483"/>
      <c r="J483"/>
    </row>
    <row r="484" spans="5:10" x14ac:dyDescent="0.4">
      <c r="E484"/>
      <c r="H484"/>
      <c r="J484"/>
    </row>
    <row r="485" spans="5:10" x14ac:dyDescent="0.4">
      <c r="E485"/>
      <c r="H485"/>
      <c r="J485"/>
    </row>
    <row r="486" spans="5:10" x14ac:dyDescent="0.4">
      <c r="E486"/>
      <c r="H486"/>
      <c r="J486"/>
    </row>
    <row r="487" spans="5:10" x14ac:dyDescent="0.4">
      <c r="E487"/>
      <c r="H487"/>
      <c r="J487"/>
    </row>
    <row r="488" spans="5:10" x14ac:dyDescent="0.4">
      <c r="E488"/>
      <c r="H488"/>
      <c r="J488"/>
    </row>
    <row r="489" spans="5:10" x14ac:dyDescent="0.4">
      <c r="E489"/>
      <c r="H489"/>
      <c r="J489"/>
    </row>
    <row r="490" spans="5:10" x14ac:dyDescent="0.4">
      <c r="E490"/>
      <c r="H490"/>
      <c r="J490"/>
    </row>
    <row r="491" spans="5:10" x14ac:dyDescent="0.4">
      <c r="E491"/>
      <c r="H491"/>
      <c r="J491"/>
    </row>
    <row r="492" spans="5:10" x14ac:dyDescent="0.4">
      <c r="E492"/>
      <c r="H492"/>
      <c r="J492"/>
    </row>
    <row r="493" spans="5:10" x14ac:dyDescent="0.4">
      <c r="E493"/>
      <c r="H493"/>
      <c r="J493"/>
    </row>
    <row r="494" spans="5:10" x14ac:dyDescent="0.4">
      <c r="E494"/>
      <c r="H494"/>
      <c r="J494"/>
    </row>
    <row r="495" spans="5:10" x14ac:dyDescent="0.4">
      <c r="E495"/>
      <c r="H495"/>
      <c r="J495"/>
    </row>
    <row r="496" spans="5:10" x14ac:dyDescent="0.4">
      <c r="E496"/>
      <c r="H496"/>
      <c r="J496"/>
    </row>
    <row r="497" spans="5:10" x14ac:dyDescent="0.4">
      <c r="E497"/>
      <c r="H497"/>
      <c r="J497"/>
    </row>
    <row r="498" spans="5:10" x14ac:dyDescent="0.4">
      <c r="E498"/>
      <c r="H498"/>
      <c r="J498"/>
    </row>
    <row r="499" spans="5:10" x14ac:dyDescent="0.4">
      <c r="E499"/>
      <c r="H499"/>
      <c r="J499"/>
    </row>
    <row r="500" spans="5:10" x14ac:dyDescent="0.4">
      <c r="E500"/>
      <c r="H500"/>
      <c r="J500"/>
    </row>
    <row r="501" spans="5:10" x14ac:dyDescent="0.4">
      <c r="E501"/>
      <c r="H501"/>
      <c r="J501"/>
    </row>
    <row r="502" spans="5:10" x14ac:dyDescent="0.4">
      <c r="E502"/>
      <c r="H502"/>
      <c r="J502"/>
    </row>
    <row r="503" spans="5:10" x14ac:dyDescent="0.4">
      <c r="E503"/>
      <c r="H503"/>
      <c r="J503"/>
    </row>
    <row r="504" spans="5:10" x14ac:dyDescent="0.4">
      <c r="E504"/>
      <c r="H504"/>
      <c r="J504"/>
    </row>
    <row r="505" spans="5:10" x14ac:dyDescent="0.4">
      <c r="E505"/>
      <c r="H505"/>
      <c r="J505"/>
    </row>
    <row r="506" spans="5:10" x14ac:dyDescent="0.4">
      <c r="E506"/>
      <c r="H506"/>
      <c r="J506"/>
    </row>
    <row r="507" spans="5:10" x14ac:dyDescent="0.4">
      <c r="E507"/>
      <c r="H507"/>
      <c r="J507"/>
    </row>
    <row r="508" spans="5:10" x14ac:dyDescent="0.4">
      <c r="E508"/>
      <c r="H508"/>
      <c r="J508"/>
    </row>
    <row r="509" spans="5:10" x14ac:dyDescent="0.4">
      <c r="E509"/>
      <c r="H509"/>
      <c r="J509"/>
    </row>
    <row r="510" spans="5:10" x14ac:dyDescent="0.4">
      <c r="E510"/>
      <c r="H510"/>
      <c r="J510"/>
    </row>
    <row r="511" spans="5:10" x14ac:dyDescent="0.4">
      <c r="E511"/>
      <c r="H511"/>
      <c r="J511"/>
    </row>
    <row r="512" spans="5:10" x14ac:dyDescent="0.4">
      <c r="E512"/>
      <c r="H512"/>
      <c r="J512"/>
    </row>
    <row r="513" spans="5:10" x14ac:dyDescent="0.4">
      <c r="E513"/>
      <c r="H513"/>
      <c r="J513"/>
    </row>
    <row r="514" spans="5:10" x14ac:dyDescent="0.4">
      <c r="E514"/>
      <c r="H514"/>
      <c r="J514"/>
    </row>
    <row r="515" spans="5:10" x14ac:dyDescent="0.4">
      <c r="E515"/>
      <c r="H515"/>
      <c r="J515"/>
    </row>
    <row r="516" spans="5:10" x14ac:dyDescent="0.4">
      <c r="E516"/>
      <c r="H516"/>
      <c r="J516"/>
    </row>
    <row r="517" spans="5:10" x14ac:dyDescent="0.4">
      <c r="E517"/>
      <c r="H517"/>
      <c r="J517"/>
    </row>
    <row r="518" spans="5:10" x14ac:dyDescent="0.4">
      <c r="E518"/>
      <c r="H518"/>
      <c r="J518"/>
    </row>
    <row r="519" spans="5:10" x14ac:dyDescent="0.4">
      <c r="E519"/>
      <c r="H519"/>
      <c r="J519"/>
    </row>
    <row r="520" spans="5:10" x14ac:dyDescent="0.4">
      <c r="E520"/>
      <c r="H520"/>
      <c r="J520"/>
    </row>
    <row r="521" spans="5:10" x14ac:dyDescent="0.4">
      <c r="E521"/>
      <c r="H521"/>
      <c r="J521"/>
    </row>
    <row r="522" spans="5:10" x14ac:dyDescent="0.4">
      <c r="E522"/>
      <c r="H522"/>
      <c r="J522"/>
    </row>
    <row r="523" spans="5:10" x14ac:dyDescent="0.4">
      <c r="E523"/>
      <c r="H523"/>
      <c r="J523"/>
    </row>
    <row r="524" spans="5:10" x14ac:dyDescent="0.4">
      <c r="E524"/>
      <c r="H524"/>
      <c r="J524"/>
    </row>
    <row r="525" spans="5:10" x14ac:dyDescent="0.4">
      <c r="E525"/>
      <c r="H525"/>
      <c r="J525"/>
    </row>
    <row r="526" spans="5:10" x14ac:dyDescent="0.4">
      <c r="E526"/>
      <c r="H526"/>
      <c r="J526"/>
    </row>
    <row r="527" spans="5:10" x14ac:dyDescent="0.4">
      <c r="E527"/>
      <c r="H527"/>
      <c r="J527"/>
    </row>
    <row r="528" spans="5:10" x14ac:dyDescent="0.4">
      <c r="E528"/>
      <c r="H528"/>
      <c r="J528"/>
    </row>
    <row r="529" spans="5:10" x14ac:dyDescent="0.4">
      <c r="E529"/>
      <c r="H529"/>
      <c r="J529"/>
    </row>
    <row r="530" spans="5:10" x14ac:dyDescent="0.4">
      <c r="E530"/>
      <c r="H530"/>
      <c r="J530"/>
    </row>
    <row r="531" spans="5:10" x14ac:dyDescent="0.4">
      <c r="E531"/>
      <c r="H531"/>
      <c r="J531"/>
    </row>
    <row r="532" spans="5:10" x14ac:dyDescent="0.4">
      <c r="E532"/>
      <c r="H532"/>
      <c r="J532"/>
    </row>
    <row r="533" spans="5:10" x14ac:dyDescent="0.4">
      <c r="E533"/>
      <c r="H533"/>
      <c r="J533"/>
    </row>
    <row r="534" spans="5:10" x14ac:dyDescent="0.4">
      <c r="E534"/>
      <c r="H534"/>
      <c r="J534"/>
    </row>
    <row r="535" spans="5:10" x14ac:dyDescent="0.4">
      <c r="E535"/>
      <c r="H535"/>
      <c r="J535"/>
    </row>
    <row r="536" spans="5:10" x14ac:dyDescent="0.4">
      <c r="E536"/>
      <c r="H536"/>
      <c r="J536"/>
    </row>
    <row r="537" spans="5:10" x14ac:dyDescent="0.4">
      <c r="E537"/>
      <c r="H537"/>
      <c r="J537"/>
    </row>
    <row r="538" spans="5:10" x14ac:dyDescent="0.4">
      <c r="E538"/>
      <c r="H538"/>
      <c r="J538"/>
    </row>
    <row r="539" spans="5:10" x14ac:dyDescent="0.4">
      <c r="E539"/>
      <c r="H539"/>
      <c r="J539"/>
    </row>
    <row r="540" spans="5:10" x14ac:dyDescent="0.4">
      <c r="E540"/>
      <c r="H540"/>
      <c r="J540"/>
    </row>
    <row r="541" spans="5:10" x14ac:dyDescent="0.4">
      <c r="E541"/>
      <c r="H541"/>
      <c r="J541"/>
    </row>
    <row r="542" spans="5:10" x14ac:dyDescent="0.4">
      <c r="E542"/>
      <c r="H542"/>
      <c r="J542"/>
    </row>
    <row r="543" spans="5:10" x14ac:dyDescent="0.4">
      <c r="E543"/>
      <c r="H543"/>
      <c r="J543"/>
    </row>
    <row r="544" spans="5:10" x14ac:dyDescent="0.4">
      <c r="E544"/>
      <c r="H544"/>
      <c r="J544"/>
    </row>
    <row r="545" spans="5:10" x14ac:dyDescent="0.4">
      <c r="E545"/>
      <c r="H545"/>
      <c r="J545"/>
    </row>
    <row r="546" spans="5:10" x14ac:dyDescent="0.4">
      <c r="E546"/>
      <c r="H546"/>
      <c r="J546"/>
    </row>
    <row r="547" spans="5:10" x14ac:dyDescent="0.4">
      <c r="E547"/>
      <c r="H547"/>
      <c r="J547"/>
    </row>
    <row r="548" spans="5:10" x14ac:dyDescent="0.4">
      <c r="E548"/>
      <c r="H548"/>
      <c r="J548"/>
    </row>
    <row r="549" spans="5:10" x14ac:dyDescent="0.4">
      <c r="E549"/>
      <c r="H549"/>
      <c r="J549"/>
    </row>
    <row r="550" spans="5:10" x14ac:dyDescent="0.4">
      <c r="E550"/>
      <c r="H550"/>
      <c r="J550"/>
    </row>
    <row r="551" spans="5:10" x14ac:dyDescent="0.4">
      <c r="E551"/>
      <c r="H551"/>
      <c r="J551"/>
    </row>
    <row r="552" spans="5:10" x14ac:dyDescent="0.4">
      <c r="E552"/>
      <c r="H552"/>
      <c r="J552"/>
    </row>
    <row r="553" spans="5:10" x14ac:dyDescent="0.4">
      <c r="E553"/>
      <c r="H553"/>
      <c r="J553"/>
    </row>
    <row r="554" spans="5:10" x14ac:dyDescent="0.4">
      <c r="E554"/>
      <c r="H554"/>
      <c r="J554"/>
    </row>
    <row r="555" spans="5:10" x14ac:dyDescent="0.4">
      <c r="E555"/>
      <c r="H555"/>
      <c r="J555"/>
    </row>
    <row r="556" spans="5:10" x14ac:dyDescent="0.4">
      <c r="E556"/>
      <c r="H556"/>
      <c r="J556"/>
    </row>
    <row r="557" spans="5:10" x14ac:dyDescent="0.4">
      <c r="E557"/>
      <c r="H557"/>
      <c r="J557"/>
    </row>
    <row r="558" spans="5:10" x14ac:dyDescent="0.4">
      <c r="E558"/>
      <c r="H558"/>
      <c r="J558"/>
    </row>
    <row r="559" spans="5:10" x14ac:dyDescent="0.4">
      <c r="E559"/>
      <c r="H559"/>
      <c r="J559"/>
    </row>
    <row r="560" spans="5:10" x14ac:dyDescent="0.4">
      <c r="E560"/>
      <c r="H560"/>
      <c r="J560"/>
    </row>
    <row r="561" spans="5:10" x14ac:dyDescent="0.4">
      <c r="E561"/>
      <c r="H561"/>
      <c r="J561"/>
    </row>
    <row r="562" spans="5:10" x14ac:dyDescent="0.4">
      <c r="E562"/>
      <c r="H562"/>
      <c r="J562"/>
    </row>
    <row r="563" spans="5:10" x14ac:dyDescent="0.4">
      <c r="E563"/>
      <c r="H563"/>
      <c r="J563"/>
    </row>
    <row r="564" spans="5:10" x14ac:dyDescent="0.4">
      <c r="E564"/>
      <c r="H564"/>
      <c r="J564"/>
    </row>
    <row r="565" spans="5:10" x14ac:dyDescent="0.4">
      <c r="E565"/>
      <c r="H565"/>
      <c r="J565"/>
    </row>
    <row r="566" spans="5:10" x14ac:dyDescent="0.4">
      <c r="E566"/>
      <c r="H566"/>
      <c r="J566"/>
    </row>
    <row r="567" spans="5:10" x14ac:dyDescent="0.4">
      <c r="E567"/>
      <c r="H567"/>
      <c r="J567"/>
    </row>
    <row r="568" spans="5:10" x14ac:dyDescent="0.4">
      <c r="E568"/>
      <c r="H568"/>
      <c r="J568"/>
    </row>
    <row r="569" spans="5:10" x14ac:dyDescent="0.4">
      <c r="E569"/>
      <c r="H569"/>
      <c r="J569"/>
    </row>
    <row r="570" spans="5:10" x14ac:dyDescent="0.4">
      <c r="E570"/>
      <c r="H570"/>
      <c r="J570"/>
    </row>
    <row r="571" spans="5:10" x14ac:dyDescent="0.4">
      <c r="E571"/>
      <c r="H571"/>
      <c r="J571"/>
    </row>
    <row r="572" spans="5:10" x14ac:dyDescent="0.4">
      <c r="E572"/>
      <c r="H572"/>
      <c r="J572"/>
    </row>
    <row r="573" spans="5:10" x14ac:dyDescent="0.4">
      <c r="E573"/>
      <c r="H573"/>
      <c r="J573"/>
    </row>
    <row r="574" spans="5:10" x14ac:dyDescent="0.4">
      <c r="E574"/>
      <c r="H574"/>
      <c r="J574"/>
    </row>
    <row r="575" spans="5:10" x14ac:dyDescent="0.4">
      <c r="E575"/>
      <c r="H575"/>
      <c r="J575"/>
    </row>
    <row r="576" spans="5:10" x14ac:dyDescent="0.4">
      <c r="E576"/>
      <c r="H576"/>
      <c r="J576"/>
    </row>
    <row r="577" spans="5:10" x14ac:dyDescent="0.4">
      <c r="E577"/>
      <c r="H577"/>
      <c r="J577"/>
    </row>
    <row r="578" spans="5:10" x14ac:dyDescent="0.4">
      <c r="E578"/>
      <c r="H578"/>
      <c r="J578"/>
    </row>
    <row r="579" spans="5:10" x14ac:dyDescent="0.4">
      <c r="E579"/>
      <c r="H579"/>
      <c r="J579"/>
    </row>
    <row r="580" spans="5:10" x14ac:dyDescent="0.4">
      <c r="E580"/>
      <c r="H580"/>
      <c r="J580"/>
    </row>
    <row r="581" spans="5:10" x14ac:dyDescent="0.4">
      <c r="E581"/>
      <c r="H581"/>
      <c r="J581"/>
    </row>
    <row r="582" spans="5:10" x14ac:dyDescent="0.4">
      <c r="E582"/>
      <c r="H582"/>
      <c r="J582"/>
    </row>
    <row r="583" spans="5:10" x14ac:dyDescent="0.4">
      <c r="E583"/>
      <c r="H583"/>
      <c r="J583"/>
    </row>
    <row r="584" spans="5:10" x14ac:dyDescent="0.4">
      <c r="E584"/>
      <c r="H584"/>
      <c r="J584"/>
    </row>
    <row r="585" spans="5:10" x14ac:dyDescent="0.4">
      <c r="E585"/>
      <c r="H585"/>
      <c r="J585"/>
    </row>
    <row r="586" spans="5:10" x14ac:dyDescent="0.4">
      <c r="E586"/>
      <c r="H586"/>
      <c r="J586"/>
    </row>
    <row r="587" spans="5:10" x14ac:dyDescent="0.4">
      <c r="E587"/>
      <c r="H587"/>
      <c r="J587"/>
    </row>
    <row r="588" spans="5:10" x14ac:dyDescent="0.4">
      <c r="E588"/>
      <c r="H588"/>
      <c r="J588"/>
    </row>
    <row r="589" spans="5:10" x14ac:dyDescent="0.4">
      <c r="E589"/>
      <c r="H589"/>
      <c r="J589"/>
    </row>
    <row r="590" spans="5:10" x14ac:dyDescent="0.4">
      <c r="E590"/>
      <c r="H590"/>
      <c r="J590"/>
    </row>
    <row r="591" spans="5:10" x14ac:dyDescent="0.4">
      <c r="E591"/>
      <c r="H591"/>
      <c r="J591"/>
    </row>
    <row r="592" spans="5:10" x14ac:dyDescent="0.4">
      <c r="E592"/>
      <c r="H592"/>
      <c r="J592"/>
    </row>
    <row r="593" spans="5:10" x14ac:dyDescent="0.4">
      <c r="E593"/>
      <c r="H593"/>
      <c r="J593"/>
    </row>
    <row r="594" spans="5:10" x14ac:dyDescent="0.4">
      <c r="E594"/>
      <c r="H594"/>
      <c r="J594"/>
    </row>
    <row r="595" spans="5:10" x14ac:dyDescent="0.4">
      <c r="E595"/>
      <c r="H595"/>
      <c r="J595"/>
    </row>
    <row r="596" spans="5:10" x14ac:dyDescent="0.4">
      <c r="E596"/>
      <c r="H596"/>
      <c r="J596"/>
    </row>
    <row r="597" spans="5:10" x14ac:dyDescent="0.4">
      <c r="E597"/>
      <c r="H597"/>
      <c r="J597"/>
    </row>
    <row r="598" spans="5:10" x14ac:dyDescent="0.4">
      <c r="E598"/>
      <c r="H598"/>
      <c r="J598"/>
    </row>
    <row r="599" spans="5:10" x14ac:dyDescent="0.4">
      <c r="E599"/>
      <c r="H599"/>
      <c r="J599"/>
    </row>
    <row r="600" spans="5:10" x14ac:dyDescent="0.4">
      <c r="E600"/>
      <c r="H600"/>
      <c r="J600"/>
    </row>
    <row r="601" spans="5:10" x14ac:dyDescent="0.4">
      <c r="E601"/>
      <c r="H601"/>
      <c r="J601"/>
    </row>
    <row r="602" spans="5:10" x14ac:dyDescent="0.4">
      <c r="E602"/>
      <c r="H602"/>
      <c r="J602"/>
    </row>
    <row r="603" spans="5:10" x14ac:dyDescent="0.4">
      <c r="E603"/>
      <c r="H603"/>
      <c r="J603"/>
    </row>
    <row r="604" spans="5:10" x14ac:dyDescent="0.4">
      <c r="E604"/>
      <c r="H604"/>
      <c r="J604"/>
    </row>
    <row r="605" spans="5:10" x14ac:dyDescent="0.4">
      <c r="E605"/>
      <c r="H605"/>
      <c r="J605"/>
    </row>
    <row r="606" spans="5:10" x14ac:dyDescent="0.4">
      <c r="E606"/>
      <c r="H606"/>
      <c r="J606"/>
    </row>
    <row r="607" spans="5:10" x14ac:dyDescent="0.4">
      <c r="E607"/>
      <c r="H607"/>
      <c r="J607"/>
    </row>
    <row r="608" spans="5:10" x14ac:dyDescent="0.4">
      <c r="E608"/>
      <c r="H608"/>
      <c r="J608"/>
    </row>
    <row r="609" spans="5:10" x14ac:dyDescent="0.4">
      <c r="E609"/>
      <c r="H609"/>
      <c r="J609"/>
    </row>
    <row r="610" spans="5:10" x14ac:dyDescent="0.4">
      <c r="E610"/>
      <c r="H610"/>
      <c r="J610"/>
    </row>
    <row r="611" spans="5:10" x14ac:dyDescent="0.4">
      <c r="E611"/>
      <c r="H611"/>
      <c r="J611"/>
    </row>
    <row r="612" spans="5:10" x14ac:dyDescent="0.4">
      <c r="E612"/>
      <c r="H612"/>
      <c r="J612"/>
    </row>
    <row r="613" spans="5:10" x14ac:dyDescent="0.4">
      <c r="E613"/>
      <c r="H613"/>
      <c r="J613"/>
    </row>
    <row r="614" spans="5:10" x14ac:dyDescent="0.4">
      <c r="E614"/>
      <c r="H614"/>
      <c r="J614"/>
    </row>
    <row r="615" spans="5:10" x14ac:dyDescent="0.4">
      <c r="E615"/>
      <c r="H615"/>
      <c r="J615"/>
    </row>
    <row r="616" spans="5:10" x14ac:dyDescent="0.4">
      <c r="E616"/>
      <c r="H616"/>
      <c r="J616"/>
    </row>
    <row r="617" spans="5:10" x14ac:dyDescent="0.4">
      <c r="E617"/>
      <c r="H617"/>
      <c r="J617"/>
    </row>
    <row r="618" spans="5:10" x14ac:dyDescent="0.4">
      <c r="E618"/>
      <c r="H618"/>
      <c r="J618"/>
    </row>
    <row r="619" spans="5:10" x14ac:dyDescent="0.4">
      <c r="E619"/>
      <c r="H619"/>
      <c r="J619"/>
    </row>
    <row r="620" spans="5:10" x14ac:dyDescent="0.4">
      <c r="E620"/>
      <c r="H620"/>
      <c r="J620"/>
    </row>
    <row r="621" spans="5:10" x14ac:dyDescent="0.4">
      <c r="E621"/>
      <c r="H621"/>
      <c r="J621"/>
    </row>
    <row r="622" spans="5:10" x14ac:dyDescent="0.4">
      <c r="E622"/>
      <c r="H622"/>
      <c r="J622"/>
    </row>
    <row r="623" spans="5:10" x14ac:dyDescent="0.4">
      <c r="E623"/>
      <c r="H623"/>
      <c r="J623"/>
    </row>
    <row r="624" spans="5:10" x14ac:dyDescent="0.4">
      <c r="E624"/>
      <c r="H624"/>
      <c r="J624"/>
    </row>
    <row r="625" spans="5:10" x14ac:dyDescent="0.4">
      <c r="E625"/>
      <c r="H625"/>
      <c r="J625"/>
    </row>
    <row r="626" spans="5:10" x14ac:dyDescent="0.4">
      <c r="E626"/>
      <c r="H626"/>
      <c r="J626"/>
    </row>
    <row r="627" spans="5:10" x14ac:dyDescent="0.4">
      <c r="E627"/>
      <c r="H627"/>
      <c r="J627"/>
    </row>
    <row r="628" spans="5:10" x14ac:dyDescent="0.4">
      <c r="E628"/>
      <c r="H628"/>
      <c r="J628"/>
    </row>
    <row r="629" spans="5:10" x14ac:dyDescent="0.4">
      <c r="E629"/>
      <c r="H629"/>
      <c r="J629"/>
    </row>
    <row r="630" spans="5:10" x14ac:dyDescent="0.4">
      <c r="E630"/>
      <c r="H630"/>
      <c r="J630"/>
    </row>
    <row r="631" spans="5:10" x14ac:dyDescent="0.4">
      <c r="E631"/>
      <c r="H631"/>
      <c r="J631"/>
    </row>
    <row r="632" spans="5:10" x14ac:dyDescent="0.4">
      <c r="E632"/>
      <c r="H632"/>
      <c r="J632"/>
    </row>
    <row r="633" spans="5:10" x14ac:dyDescent="0.4">
      <c r="E633"/>
      <c r="H633"/>
      <c r="J633"/>
    </row>
    <row r="634" spans="5:10" x14ac:dyDescent="0.4">
      <c r="E634"/>
      <c r="H634"/>
      <c r="J634"/>
    </row>
    <row r="635" spans="5:10" x14ac:dyDescent="0.4">
      <c r="E635"/>
      <c r="H635"/>
      <c r="J635"/>
    </row>
    <row r="636" spans="5:10" x14ac:dyDescent="0.4">
      <c r="E636"/>
      <c r="H636"/>
      <c r="J636"/>
    </row>
    <row r="637" spans="5:10" x14ac:dyDescent="0.4">
      <c r="E637"/>
      <c r="H637"/>
      <c r="J637"/>
    </row>
    <row r="638" spans="5:10" x14ac:dyDescent="0.4">
      <c r="E638"/>
      <c r="H638"/>
      <c r="J638"/>
    </row>
    <row r="639" spans="5:10" x14ac:dyDescent="0.4">
      <c r="E639"/>
      <c r="H639"/>
      <c r="J639"/>
    </row>
    <row r="640" spans="5:10" x14ac:dyDescent="0.4">
      <c r="E640"/>
      <c r="H640"/>
      <c r="J640"/>
    </row>
    <row r="641" spans="5:10" x14ac:dyDescent="0.4">
      <c r="E641"/>
      <c r="H641"/>
      <c r="J641"/>
    </row>
    <row r="642" spans="5:10" x14ac:dyDescent="0.4">
      <c r="E642"/>
      <c r="H642"/>
      <c r="J642"/>
    </row>
    <row r="643" spans="5:10" x14ac:dyDescent="0.4">
      <c r="E643"/>
      <c r="H643"/>
      <c r="J643"/>
    </row>
    <row r="644" spans="5:10" x14ac:dyDescent="0.4">
      <c r="E644"/>
      <c r="H644"/>
      <c r="J644"/>
    </row>
    <row r="645" spans="5:10" x14ac:dyDescent="0.4">
      <c r="E645"/>
      <c r="H645"/>
      <c r="J645"/>
    </row>
    <row r="646" spans="5:10" x14ac:dyDescent="0.4">
      <c r="E646"/>
      <c r="H646"/>
      <c r="J646"/>
    </row>
    <row r="647" spans="5:10" x14ac:dyDescent="0.4">
      <c r="E647"/>
      <c r="H647"/>
      <c r="J647"/>
    </row>
    <row r="648" spans="5:10" x14ac:dyDescent="0.4">
      <c r="E648"/>
      <c r="H648"/>
      <c r="J648"/>
    </row>
    <row r="649" spans="5:10" x14ac:dyDescent="0.4">
      <c r="E649"/>
      <c r="H649"/>
      <c r="J649"/>
    </row>
    <row r="650" spans="5:10" x14ac:dyDescent="0.4">
      <c r="E650"/>
      <c r="H650"/>
      <c r="J650"/>
    </row>
    <row r="651" spans="5:10" x14ac:dyDescent="0.4">
      <c r="E651"/>
      <c r="H651"/>
      <c r="J651"/>
    </row>
    <row r="652" spans="5:10" x14ac:dyDescent="0.4">
      <c r="E652"/>
      <c r="H652"/>
      <c r="J652"/>
    </row>
    <row r="653" spans="5:10" x14ac:dyDescent="0.4">
      <c r="E653"/>
      <c r="H653"/>
      <c r="J653"/>
    </row>
    <row r="654" spans="5:10" x14ac:dyDescent="0.4">
      <c r="E654"/>
      <c r="H654"/>
      <c r="J654"/>
    </row>
    <row r="655" spans="5:10" x14ac:dyDescent="0.4">
      <c r="E655"/>
      <c r="H655"/>
      <c r="J655"/>
    </row>
    <row r="656" spans="5:10" x14ac:dyDescent="0.4">
      <c r="E656"/>
      <c r="H656"/>
      <c r="J656"/>
    </row>
    <row r="657" spans="5:10" x14ac:dyDescent="0.4">
      <c r="E657"/>
      <c r="H657"/>
      <c r="J657"/>
    </row>
    <row r="658" spans="5:10" x14ac:dyDescent="0.4">
      <c r="E658"/>
      <c r="H658"/>
      <c r="J658"/>
    </row>
    <row r="659" spans="5:10" x14ac:dyDescent="0.4">
      <c r="E659"/>
      <c r="H659"/>
      <c r="J659"/>
    </row>
    <row r="660" spans="5:10" x14ac:dyDescent="0.4">
      <c r="E660"/>
      <c r="H660"/>
      <c r="J660"/>
    </row>
    <row r="661" spans="5:10" x14ac:dyDescent="0.4">
      <c r="E661"/>
      <c r="H661"/>
      <c r="J661"/>
    </row>
    <row r="662" spans="5:10" x14ac:dyDescent="0.4">
      <c r="E662"/>
      <c r="H662"/>
      <c r="J662"/>
    </row>
    <row r="663" spans="5:10" x14ac:dyDescent="0.4">
      <c r="E663"/>
      <c r="H663"/>
      <c r="J663"/>
    </row>
    <row r="664" spans="5:10" x14ac:dyDescent="0.4">
      <c r="E664"/>
      <c r="H664"/>
      <c r="J664"/>
    </row>
    <row r="665" spans="5:10" x14ac:dyDescent="0.4">
      <c r="E665"/>
      <c r="H665"/>
      <c r="J665"/>
    </row>
    <row r="666" spans="5:10" x14ac:dyDescent="0.4">
      <c r="E666"/>
      <c r="H666"/>
      <c r="J666"/>
    </row>
    <row r="667" spans="5:10" x14ac:dyDescent="0.4">
      <c r="E667"/>
      <c r="H667"/>
      <c r="J667"/>
    </row>
    <row r="668" spans="5:10" x14ac:dyDescent="0.4">
      <c r="E668"/>
      <c r="H668"/>
      <c r="J668"/>
    </row>
    <row r="669" spans="5:10" x14ac:dyDescent="0.4">
      <c r="E669"/>
      <c r="H669"/>
      <c r="J669"/>
    </row>
    <row r="670" spans="5:10" x14ac:dyDescent="0.4">
      <c r="E670"/>
      <c r="H670"/>
      <c r="J670"/>
    </row>
    <row r="671" spans="5:10" x14ac:dyDescent="0.4">
      <c r="E671"/>
      <c r="H671"/>
      <c r="J671"/>
    </row>
    <row r="672" spans="5:10" x14ac:dyDescent="0.4">
      <c r="E672"/>
      <c r="H672"/>
      <c r="J672"/>
    </row>
    <row r="673" spans="5:10" x14ac:dyDescent="0.4">
      <c r="E673"/>
      <c r="H673"/>
      <c r="J673"/>
    </row>
    <row r="674" spans="5:10" x14ac:dyDescent="0.4">
      <c r="E674"/>
      <c r="H674"/>
      <c r="J674"/>
    </row>
    <row r="675" spans="5:10" x14ac:dyDescent="0.4">
      <c r="E675"/>
      <c r="H675"/>
      <c r="J675"/>
    </row>
    <row r="676" spans="5:10" x14ac:dyDescent="0.4">
      <c r="E676"/>
      <c r="H676"/>
      <c r="J676"/>
    </row>
    <row r="677" spans="5:10" x14ac:dyDescent="0.4">
      <c r="E677"/>
      <c r="H677"/>
      <c r="J677"/>
    </row>
    <row r="678" spans="5:10" x14ac:dyDescent="0.4">
      <c r="E678"/>
      <c r="H678"/>
      <c r="J678"/>
    </row>
    <row r="679" spans="5:10" x14ac:dyDescent="0.4">
      <c r="E679"/>
      <c r="H679"/>
      <c r="J679"/>
    </row>
    <row r="680" spans="5:10" x14ac:dyDescent="0.4">
      <c r="E680"/>
      <c r="H680"/>
      <c r="J680"/>
    </row>
    <row r="681" spans="5:10" x14ac:dyDescent="0.4">
      <c r="E681"/>
      <c r="H681"/>
      <c r="J681"/>
    </row>
    <row r="682" spans="5:10" x14ac:dyDescent="0.4">
      <c r="E682"/>
      <c r="H682"/>
      <c r="J682"/>
    </row>
    <row r="683" spans="5:10" x14ac:dyDescent="0.4">
      <c r="E683"/>
      <c r="H683"/>
      <c r="J683"/>
    </row>
    <row r="684" spans="5:10" x14ac:dyDescent="0.4">
      <c r="E684"/>
      <c r="H684"/>
      <c r="J684"/>
    </row>
    <row r="685" spans="5:10" x14ac:dyDescent="0.4">
      <c r="E685"/>
      <c r="H685"/>
      <c r="J685"/>
    </row>
    <row r="686" spans="5:10" x14ac:dyDescent="0.4">
      <c r="E686"/>
      <c r="H686"/>
      <c r="J686"/>
    </row>
    <row r="687" spans="5:10" x14ac:dyDescent="0.4">
      <c r="E687"/>
      <c r="H687"/>
      <c r="J687"/>
    </row>
    <row r="688" spans="5:10" x14ac:dyDescent="0.4">
      <c r="E688"/>
      <c r="H688"/>
      <c r="J688"/>
    </row>
    <row r="689" spans="5:10" x14ac:dyDescent="0.4">
      <c r="E689"/>
      <c r="H689"/>
      <c r="J689"/>
    </row>
    <row r="690" spans="5:10" x14ac:dyDescent="0.4">
      <c r="E690"/>
      <c r="H690"/>
      <c r="J690"/>
    </row>
    <row r="691" spans="5:10" x14ac:dyDescent="0.4">
      <c r="E691"/>
      <c r="H691"/>
      <c r="J691"/>
    </row>
    <row r="692" spans="5:10" x14ac:dyDescent="0.4">
      <c r="E692"/>
      <c r="H692"/>
      <c r="J692"/>
    </row>
    <row r="693" spans="5:10" x14ac:dyDescent="0.4">
      <c r="E693"/>
      <c r="H693"/>
      <c r="J693"/>
    </row>
    <row r="694" spans="5:10" x14ac:dyDescent="0.4">
      <c r="E694"/>
      <c r="H694"/>
      <c r="J694"/>
    </row>
    <row r="695" spans="5:10" x14ac:dyDescent="0.4">
      <c r="E695"/>
      <c r="H695"/>
      <c r="J695"/>
    </row>
    <row r="696" spans="5:10" x14ac:dyDescent="0.4">
      <c r="E696"/>
      <c r="H696"/>
      <c r="J696"/>
    </row>
    <row r="697" spans="5:10" x14ac:dyDescent="0.4">
      <c r="E697"/>
      <c r="H697"/>
      <c r="J697"/>
    </row>
    <row r="698" spans="5:10" x14ac:dyDescent="0.4">
      <c r="E698"/>
      <c r="H698"/>
      <c r="J698"/>
    </row>
    <row r="699" spans="5:10" x14ac:dyDescent="0.4">
      <c r="E699"/>
      <c r="H699"/>
      <c r="J699"/>
    </row>
    <row r="700" spans="5:10" x14ac:dyDescent="0.4">
      <c r="E700"/>
      <c r="H700"/>
      <c r="J700"/>
    </row>
    <row r="701" spans="5:10" x14ac:dyDescent="0.4">
      <c r="E701"/>
      <c r="H701"/>
      <c r="J701"/>
    </row>
    <row r="702" spans="5:10" x14ac:dyDescent="0.4">
      <c r="E702"/>
      <c r="H702"/>
      <c r="J702"/>
    </row>
    <row r="703" spans="5:10" x14ac:dyDescent="0.4">
      <c r="E703"/>
      <c r="H703"/>
      <c r="J703"/>
    </row>
    <row r="704" spans="5:10" x14ac:dyDescent="0.4">
      <c r="E704"/>
      <c r="H704"/>
      <c r="J704"/>
    </row>
    <row r="705" spans="5:10" x14ac:dyDescent="0.4">
      <c r="E705"/>
      <c r="H705"/>
      <c r="J705"/>
    </row>
    <row r="706" spans="5:10" x14ac:dyDescent="0.4">
      <c r="E706"/>
      <c r="H706"/>
      <c r="J706"/>
    </row>
    <row r="707" spans="5:10" x14ac:dyDescent="0.4">
      <c r="E707"/>
      <c r="H707"/>
      <c r="J707"/>
    </row>
    <row r="708" spans="5:10" x14ac:dyDescent="0.4">
      <c r="E708"/>
      <c r="H708"/>
      <c r="J708"/>
    </row>
    <row r="709" spans="5:10" x14ac:dyDescent="0.4">
      <c r="E709"/>
      <c r="H709"/>
      <c r="J709"/>
    </row>
    <row r="710" spans="5:10" x14ac:dyDescent="0.4">
      <c r="E710"/>
      <c r="H710"/>
      <c r="J710"/>
    </row>
    <row r="711" spans="5:10" x14ac:dyDescent="0.4">
      <c r="E711"/>
      <c r="H711"/>
      <c r="J711"/>
    </row>
    <row r="712" spans="5:10" x14ac:dyDescent="0.4">
      <c r="E712"/>
      <c r="H712"/>
      <c r="J712"/>
    </row>
    <row r="713" spans="5:10" x14ac:dyDescent="0.4">
      <c r="E713"/>
      <c r="H713"/>
      <c r="J713"/>
    </row>
    <row r="714" spans="5:10" x14ac:dyDescent="0.4">
      <c r="E714"/>
      <c r="H714"/>
      <c r="J714"/>
    </row>
    <row r="715" spans="5:10" x14ac:dyDescent="0.4">
      <c r="E715"/>
      <c r="H715"/>
      <c r="J715"/>
    </row>
    <row r="716" spans="5:10" x14ac:dyDescent="0.4">
      <c r="E716"/>
      <c r="H716"/>
      <c r="J716"/>
    </row>
    <row r="717" spans="5:10" x14ac:dyDescent="0.4">
      <c r="E717"/>
      <c r="H717"/>
      <c r="J717"/>
    </row>
    <row r="718" spans="5:10" x14ac:dyDescent="0.4">
      <c r="E718"/>
      <c r="H718"/>
      <c r="J718"/>
    </row>
    <row r="719" spans="5:10" x14ac:dyDescent="0.4">
      <c r="E719"/>
      <c r="H719"/>
      <c r="J719"/>
    </row>
    <row r="720" spans="5:10" x14ac:dyDescent="0.4">
      <c r="E720"/>
      <c r="H720"/>
      <c r="J720"/>
    </row>
    <row r="721" spans="5:10" x14ac:dyDescent="0.4">
      <c r="E721"/>
      <c r="H721"/>
      <c r="J721"/>
    </row>
    <row r="722" spans="5:10" x14ac:dyDescent="0.4">
      <c r="E722"/>
      <c r="H722"/>
      <c r="J722"/>
    </row>
    <row r="723" spans="5:10" x14ac:dyDescent="0.4">
      <c r="E723"/>
      <c r="H723"/>
      <c r="J723"/>
    </row>
    <row r="724" spans="5:10" x14ac:dyDescent="0.4">
      <c r="E724"/>
      <c r="H724"/>
      <c r="J724"/>
    </row>
    <row r="725" spans="5:10" x14ac:dyDescent="0.4">
      <c r="E725"/>
      <c r="H725"/>
      <c r="J725"/>
    </row>
    <row r="726" spans="5:10" x14ac:dyDescent="0.4">
      <c r="E726"/>
      <c r="H726"/>
      <c r="J726"/>
    </row>
    <row r="727" spans="5:10" x14ac:dyDescent="0.4">
      <c r="E727"/>
      <c r="H727"/>
      <c r="J727"/>
    </row>
    <row r="728" spans="5:10" x14ac:dyDescent="0.4">
      <c r="E728"/>
      <c r="H728"/>
      <c r="J728"/>
    </row>
    <row r="729" spans="5:10" x14ac:dyDescent="0.4">
      <c r="E729"/>
      <c r="H729"/>
      <c r="J729"/>
    </row>
    <row r="730" spans="5:10" x14ac:dyDescent="0.4">
      <c r="E730"/>
      <c r="H730"/>
      <c r="J730"/>
    </row>
    <row r="731" spans="5:10" x14ac:dyDescent="0.4">
      <c r="E731"/>
      <c r="H731"/>
      <c r="J731"/>
    </row>
    <row r="732" spans="5:10" x14ac:dyDescent="0.4">
      <c r="E732"/>
      <c r="H732"/>
      <c r="J732"/>
    </row>
    <row r="733" spans="5:10" x14ac:dyDescent="0.4">
      <c r="E733"/>
      <c r="H733"/>
      <c r="J733"/>
    </row>
    <row r="734" spans="5:10" x14ac:dyDescent="0.4">
      <c r="E734"/>
      <c r="H734"/>
      <c r="J734"/>
    </row>
    <row r="735" spans="5:10" x14ac:dyDescent="0.4">
      <c r="E735"/>
      <c r="H735"/>
      <c r="J735"/>
    </row>
    <row r="736" spans="5:10" x14ac:dyDescent="0.4">
      <c r="E736"/>
      <c r="H736"/>
      <c r="J736"/>
    </row>
    <row r="737" spans="5:10" x14ac:dyDescent="0.4">
      <c r="E737"/>
      <c r="H737"/>
      <c r="J737"/>
    </row>
    <row r="738" spans="5:10" x14ac:dyDescent="0.4">
      <c r="E738"/>
      <c r="H738"/>
      <c r="J738"/>
    </row>
    <row r="739" spans="5:10" x14ac:dyDescent="0.4">
      <c r="E739"/>
      <c r="H739"/>
      <c r="J739"/>
    </row>
    <row r="740" spans="5:10" x14ac:dyDescent="0.4">
      <c r="E740"/>
      <c r="H740"/>
      <c r="J740"/>
    </row>
    <row r="741" spans="5:10" x14ac:dyDescent="0.4">
      <c r="E741"/>
      <c r="H741"/>
      <c r="J741"/>
    </row>
    <row r="742" spans="5:10" x14ac:dyDescent="0.4">
      <c r="E742"/>
      <c r="H742"/>
      <c r="J742"/>
    </row>
    <row r="743" spans="5:10" x14ac:dyDescent="0.4">
      <c r="E743"/>
      <c r="H743"/>
      <c r="J743"/>
    </row>
    <row r="744" spans="5:10" x14ac:dyDescent="0.4">
      <c r="E744"/>
      <c r="H744"/>
      <c r="J744"/>
    </row>
    <row r="745" spans="5:10" x14ac:dyDescent="0.4">
      <c r="E745"/>
      <c r="H745"/>
      <c r="J745"/>
    </row>
    <row r="746" spans="5:10" x14ac:dyDescent="0.4">
      <c r="E746"/>
      <c r="H746"/>
      <c r="J746"/>
    </row>
    <row r="747" spans="5:10" x14ac:dyDescent="0.4">
      <c r="E747"/>
      <c r="H747"/>
      <c r="J747"/>
    </row>
    <row r="748" spans="5:10" x14ac:dyDescent="0.4">
      <c r="E748"/>
      <c r="H748"/>
      <c r="J748"/>
    </row>
    <row r="749" spans="5:10" x14ac:dyDescent="0.4">
      <c r="E749"/>
      <c r="H749"/>
      <c r="J749"/>
    </row>
    <row r="750" spans="5:10" x14ac:dyDescent="0.4">
      <c r="E750"/>
      <c r="H750"/>
      <c r="J750"/>
    </row>
    <row r="751" spans="5:10" x14ac:dyDescent="0.4">
      <c r="E751"/>
      <c r="H751"/>
      <c r="J751"/>
    </row>
    <row r="752" spans="5:10" x14ac:dyDescent="0.4">
      <c r="E752"/>
      <c r="H752"/>
      <c r="J752"/>
    </row>
    <row r="753" spans="5:10" x14ac:dyDescent="0.4">
      <c r="E753"/>
      <c r="H753"/>
      <c r="J753"/>
    </row>
    <row r="754" spans="5:10" x14ac:dyDescent="0.4">
      <c r="E754"/>
      <c r="H754"/>
      <c r="J754"/>
    </row>
    <row r="755" spans="5:10" x14ac:dyDescent="0.4">
      <c r="E755"/>
      <c r="H755"/>
      <c r="J755"/>
    </row>
    <row r="756" spans="5:10" x14ac:dyDescent="0.4">
      <c r="E756"/>
      <c r="H756"/>
      <c r="J756"/>
    </row>
    <row r="757" spans="5:10" x14ac:dyDescent="0.4">
      <c r="E757"/>
      <c r="H757"/>
      <c r="J757"/>
    </row>
    <row r="758" spans="5:10" x14ac:dyDescent="0.4">
      <c r="E758"/>
      <c r="H758"/>
      <c r="J758"/>
    </row>
    <row r="759" spans="5:10" x14ac:dyDescent="0.4">
      <c r="E759"/>
      <c r="H759"/>
      <c r="J759"/>
    </row>
    <row r="760" spans="5:10" x14ac:dyDescent="0.4">
      <c r="E760"/>
      <c r="H760"/>
      <c r="J760"/>
    </row>
    <row r="761" spans="5:10" x14ac:dyDescent="0.4">
      <c r="E761"/>
      <c r="H761"/>
      <c r="J761"/>
    </row>
    <row r="762" spans="5:10" x14ac:dyDescent="0.4">
      <c r="E762"/>
      <c r="H762"/>
      <c r="J762"/>
    </row>
    <row r="763" spans="5:10" x14ac:dyDescent="0.4">
      <c r="E763"/>
      <c r="H763"/>
      <c r="J763"/>
    </row>
    <row r="764" spans="5:10" x14ac:dyDescent="0.4">
      <c r="E764"/>
      <c r="H764"/>
      <c r="J764"/>
    </row>
    <row r="765" spans="5:10" x14ac:dyDescent="0.4">
      <c r="E765"/>
      <c r="H765"/>
      <c r="J765"/>
    </row>
    <row r="766" spans="5:10" x14ac:dyDescent="0.4">
      <c r="E766"/>
      <c r="H766"/>
      <c r="J766"/>
    </row>
    <row r="767" spans="5:10" x14ac:dyDescent="0.4">
      <c r="E767"/>
      <c r="H767"/>
      <c r="J767"/>
    </row>
    <row r="768" spans="5:10" x14ac:dyDescent="0.4">
      <c r="E768"/>
      <c r="H768"/>
      <c r="J768"/>
    </row>
    <row r="769" spans="5:10" x14ac:dyDescent="0.4">
      <c r="E769"/>
      <c r="H769"/>
      <c r="J769"/>
    </row>
    <row r="770" spans="5:10" x14ac:dyDescent="0.4">
      <c r="E770"/>
      <c r="H770"/>
      <c r="J770"/>
    </row>
    <row r="771" spans="5:10" x14ac:dyDescent="0.4">
      <c r="E771"/>
      <c r="H771"/>
      <c r="J771"/>
    </row>
    <row r="772" spans="5:10" x14ac:dyDescent="0.4">
      <c r="E772"/>
      <c r="H772"/>
      <c r="J772"/>
    </row>
    <row r="773" spans="5:10" x14ac:dyDescent="0.4">
      <c r="E773"/>
      <c r="H773"/>
      <c r="J773"/>
    </row>
    <row r="774" spans="5:10" x14ac:dyDescent="0.4">
      <c r="E774"/>
      <c r="H774"/>
      <c r="J774"/>
    </row>
    <row r="775" spans="5:10" x14ac:dyDescent="0.4">
      <c r="E775"/>
      <c r="H775"/>
      <c r="J775"/>
    </row>
    <row r="776" spans="5:10" x14ac:dyDescent="0.4">
      <c r="E776"/>
      <c r="H776"/>
      <c r="J776"/>
    </row>
    <row r="777" spans="5:10" x14ac:dyDescent="0.4">
      <c r="E777"/>
      <c r="H777"/>
      <c r="J777"/>
    </row>
    <row r="778" spans="5:10" x14ac:dyDescent="0.4">
      <c r="E778"/>
      <c r="H778"/>
      <c r="J778"/>
    </row>
    <row r="779" spans="5:10" x14ac:dyDescent="0.4">
      <c r="E779"/>
      <c r="H779"/>
      <c r="J779"/>
    </row>
    <row r="780" spans="5:10" x14ac:dyDescent="0.4">
      <c r="E780"/>
      <c r="H780"/>
      <c r="J780"/>
    </row>
    <row r="781" spans="5:10" x14ac:dyDescent="0.4">
      <c r="E781"/>
      <c r="H781"/>
      <c r="J781"/>
    </row>
    <row r="782" spans="5:10" x14ac:dyDescent="0.4">
      <c r="E782"/>
      <c r="H782"/>
      <c r="J782"/>
    </row>
    <row r="783" spans="5:10" x14ac:dyDescent="0.4">
      <c r="E783"/>
      <c r="H783"/>
      <c r="J783"/>
    </row>
    <row r="784" spans="5:10" x14ac:dyDescent="0.4">
      <c r="E784"/>
      <c r="H784"/>
      <c r="J784"/>
    </row>
    <row r="785" spans="5:10" x14ac:dyDescent="0.4">
      <c r="E785"/>
      <c r="H785"/>
      <c r="J785"/>
    </row>
    <row r="786" spans="5:10" x14ac:dyDescent="0.4">
      <c r="E786"/>
      <c r="H786"/>
      <c r="J786"/>
    </row>
    <row r="787" spans="5:10" x14ac:dyDescent="0.4">
      <c r="E787"/>
      <c r="H787"/>
      <c r="J787"/>
    </row>
    <row r="788" spans="5:10" x14ac:dyDescent="0.4">
      <c r="E788"/>
      <c r="H788"/>
      <c r="J788"/>
    </row>
    <row r="789" spans="5:10" x14ac:dyDescent="0.4">
      <c r="E789"/>
      <c r="H789"/>
      <c r="J789"/>
    </row>
    <row r="790" spans="5:10" x14ac:dyDescent="0.4">
      <c r="E790"/>
      <c r="H790"/>
      <c r="J790"/>
    </row>
    <row r="791" spans="5:10" x14ac:dyDescent="0.4">
      <c r="E791"/>
      <c r="H791"/>
      <c r="J791"/>
    </row>
    <row r="792" spans="5:10" x14ac:dyDescent="0.4">
      <c r="E792"/>
      <c r="H792"/>
      <c r="J792"/>
    </row>
    <row r="793" spans="5:10" x14ac:dyDescent="0.4">
      <c r="E793"/>
      <c r="H793"/>
      <c r="J793"/>
    </row>
    <row r="794" spans="5:10" x14ac:dyDescent="0.4">
      <c r="E794"/>
      <c r="H794"/>
      <c r="J794"/>
    </row>
    <row r="795" spans="5:10" x14ac:dyDescent="0.4">
      <c r="E795"/>
      <c r="H795"/>
      <c r="J795"/>
    </row>
    <row r="796" spans="5:10" x14ac:dyDescent="0.4">
      <c r="E796"/>
      <c r="H796"/>
      <c r="J796"/>
    </row>
    <row r="797" spans="5:10" x14ac:dyDescent="0.4">
      <c r="E797"/>
      <c r="H797"/>
      <c r="J797"/>
    </row>
    <row r="798" spans="5:10" x14ac:dyDescent="0.4">
      <c r="E798"/>
      <c r="H798"/>
      <c r="J798"/>
    </row>
    <row r="799" spans="5:10" x14ac:dyDescent="0.4">
      <c r="E799"/>
      <c r="H799"/>
      <c r="J799"/>
    </row>
    <row r="800" spans="5:10" x14ac:dyDescent="0.4">
      <c r="E800"/>
      <c r="H800"/>
      <c r="J800"/>
    </row>
    <row r="801" spans="5:10" x14ac:dyDescent="0.4">
      <c r="E801"/>
      <c r="H801"/>
      <c r="J801"/>
    </row>
    <row r="802" spans="5:10" x14ac:dyDescent="0.4">
      <c r="E802"/>
      <c r="H802"/>
      <c r="J802"/>
    </row>
    <row r="803" spans="5:10" x14ac:dyDescent="0.4">
      <c r="E803"/>
      <c r="H803"/>
      <c r="J803"/>
    </row>
    <row r="804" spans="5:10" x14ac:dyDescent="0.4">
      <c r="E804"/>
      <c r="H804"/>
      <c r="J804"/>
    </row>
    <row r="805" spans="5:10" x14ac:dyDescent="0.4">
      <c r="E805"/>
      <c r="H805"/>
      <c r="J805"/>
    </row>
    <row r="806" spans="5:10" x14ac:dyDescent="0.4">
      <c r="E806"/>
      <c r="H806"/>
      <c r="J806"/>
    </row>
    <row r="807" spans="5:10" x14ac:dyDescent="0.4">
      <c r="E807"/>
      <c r="H807"/>
      <c r="J807"/>
    </row>
    <row r="808" spans="5:10" x14ac:dyDescent="0.4">
      <c r="E808"/>
      <c r="H808"/>
      <c r="J808"/>
    </row>
    <row r="809" spans="5:10" x14ac:dyDescent="0.4">
      <c r="E809"/>
      <c r="H809"/>
      <c r="J809"/>
    </row>
    <row r="810" spans="5:10" x14ac:dyDescent="0.4">
      <c r="E810"/>
      <c r="H810"/>
      <c r="J810"/>
    </row>
    <row r="811" spans="5:10" x14ac:dyDescent="0.4">
      <c r="E811"/>
      <c r="H811"/>
      <c r="J811"/>
    </row>
    <row r="812" spans="5:10" x14ac:dyDescent="0.4">
      <c r="E812"/>
      <c r="H812"/>
      <c r="J812"/>
    </row>
    <row r="813" spans="5:10" x14ac:dyDescent="0.4">
      <c r="E813"/>
      <c r="H813"/>
      <c r="J813"/>
    </row>
    <row r="814" spans="5:10" x14ac:dyDescent="0.4">
      <c r="E814"/>
      <c r="H814"/>
      <c r="J814"/>
    </row>
    <row r="815" spans="5:10" x14ac:dyDescent="0.4">
      <c r="E815"/>
      <c r="H815"/>
      <c r="J815"/>
    </row>
    <row r="816" spans="5:10" x14ac:dyDescent="0.4">
      <c r="E816"/>
      <c r="H816"/>
      <c r="J816"/>
    </row>
    <row r="817" spans="5:10" x14ac:dyDescent="0.4">
      <c r="E817"/>
      <c r="H817"/>
      <c r="J817"/>
    </row>
    <row r="818" spans="5:10" x14ac:dyDescent="0.4">
      <c r="E818"/>
      <c r="H818"/>
      <c r="J818"/>
    </row>
    <row r="819" spans="5:10" x14ac:dyDescent="0.4">
      <c r="E819"/>
      <c r="H819"/>
      <c r="J819"/>
    </row>
    <row r="820" spans="5:10" x14ac:dyDescent="0.4">
      <c r="E820"/>
      <c r="H820"/>
      <c r="J820"/>
    </row>
    <row r="821" spans="5:10" x14ac:dyDescent="0.4">
      <c r="E821"/>
      <c r="H821"/>
      <c r="J821"/>
    </row>
    <row r="822" spans="5:10" x14ac:dyDescent="0.4">
      <c r="E822"/>
      <c r="H822"/>
      <c r="J822"/>
    </row>
    <row r="823" spans="5:10" x14ac:dyDescent="0.4">
      <c r="E823"/>
      <c r="H823"/>
      <c r="J823"/>
    </row>
    <row r="824" spans="5:10" x14ac:dyDescent="0.4">
      <c r="E824"/>
      <c r="H824"/>
      <c r="J824"/>
    </row>
    <row r="825" spans="5:10" x14ac:dyDescent="0.4">
      <c r="E825"/>
      <c r="H825"/>
      <c r="J825"/>
    </row>
    <row r="826" spans="5:10" x14ac:dyDescent="0.4">
      <c r="E826"/>
      <c r="H826"/>
      <c r="J826"/>
    </row>
    <row r="827" spans="5:10" x14ac:dyDescent="0.4">
      <c r="E827"/>
      <c r="H827"/>
      <c r="J827"/>
    </row>
    <row r="828" spans="5:10" x14ac:dyDescent="0.4">
      <c r="E828"/>
      <c r="H828"/>
      <c r="J828"/>
    </row>
    <row r="829" spans="5:10" x14ac:dyDescent="0.4">
      <c r="E829"/>
      <c r="H829"/>
      <c r="J829"/>
    </row>
    <row r="830" spans="5:10" x14ac:dyDescent="0.4">
      <c r="E830"/>
      <c r="H830"/>
      <c r="J830"/>
    </row>
    <row r="831" spans="5:10" x14ac:dyDescent="0.4">
      <c r="E831"/>
      <c r="H831"/>
      <c r="J831"/>
    </row>
    <row r="832" spans="5:10" x14ac:dyDescent="0.4">
      <c r="E832"/>
      <c r="H832"/>
      <c r="J832"/>
    </row>
    <row r="833" spans="5:10" x14ac:dyDescent="0.4">
      <c r="E833"/>
      <c r="H833"/>
      <c r="J833"/>
    </row>
    <row r="834" spans="5:10" x14ac:dyDescent="0.4">
      <c r="E834"/>
      <c r="H834"/>
      <c r="J834"/>
    </row>
    <row r="835" spans="5:10" x14ac:dyDescent="0.4">
      <c r="E835"/>
      <c r="H835"/>
      <c r="J835"/>
    </row>
    <row r="836" spans="5:10" x14ac:dyDescent="0.4">
      <c r="E836"/>
      <c r="H836"/>
      <c r="J836"/>
    </row>
    <row r="837" spans="5:10" x14ac:dyDescent="0.4">
      <c r="E837"/>
      <c r="H837"/>
      <c r="J837"/>
    </row>
    <row r="838" spans="5:10" x14ac:dyDescent="0.4">
      <c r="E838"/>
      <c r="H838"/>
      <c r="J838"/>
    </row>
    <row r="839" spans="5:10" x14ac:dyDescent="0.4">
      <c r="E839"/>
      <c r="H839"/>
      <c r="J839"/>
    </row>
    <row r="840" spans="5:10" x14ac:dyDescent="0.4">
      <c r="E840"/>
      <c r="H840"/>
      <c r="J840"/>
    </row>
    <row r="841" spans="5:10" x14ac:dyDescent="0.4">
      <c r="E841"/>
      <c r="H841"/>
      <c r="J841"/>
    </row>
    <row r="842" spans="5:10" x14ac:dyDescent="0.4">
      <c r="E842"/>
      <c r="H842"/>
      <c r="J842"/>
    </row>
    <row r="843" spans="5:10" x14ac:dyDescent="0.4">
      <c r="E843"/>
      <c r="H843"/>
      <c r="J843"/>
    </row>
    <row r="844" spans="5:10" x14ac:dyDescent="0.4">
      <c r="E844"/>
      <c r="H844"/>
      <c r="J844"/>
    </row>
    <row r="845" spans="5:10" x14ac:dyDescent="0.4">
      <c r="E845"/>
      <c r="H845"/>
      <c r="J845"/>
    </row>
    <row r="846" spans="5:10" x14ac:dyDescent="0.4">
      <c r="E846"/>
      <c r="H846"/>
      <c r="J846"/>
    </row>
    <row r="847" spans="5:10" x14ac:dyDescent="0.4">
      <c r="E847"/>
      <c r="H847"/>
      <c r="J847"/>
    </row>
    <row r="848" spans="5:10" x14ac:dyDescent="0.4">
      <c r="E848"/>
      <c r="H848"/>
      <c r="J848"/>
    </row>
    <row r="849" spans="5:10" x14ac:dyDescent="0.4">
      <c r="E849"/>
      <c r="H849"/>
      <c r="J849"/>
    </row>
    <row r="850" spans="5:10" x14ac:dyDescent="0.4">
      <c r="E850"/>
      <c r="H850"/>
      <c r="J850"/>
    </row>
    <row r="851" spans="5:10" x14ac:dyDescent="0.4">
      <c r="E851"/>
      <c r="H851"/>
      <c r="J851"/>
    </row>
    <row r="852" spans="5:10" x14ac:dyDescent="0.4">
      <c r="E852"/>
      <c r="H852"/>
      <c r="J852"/>
    </row>
    <row r="853" spans="5:10" x14ac:dyDescent="0.4">
      <c r="E853"/>
      <c r="H853"/>
      <c r="J853"/>
    </row>
    <row r="854" spans="5:10" x14ac:dyDescent="0.4">
      <c r="E854"/>
      <c r="H854"/>
      <c r="J854"/>
    </row>
    <row r="855" spans="5:10" x14ac:dyDescent="0.4">
      <c r="E855"/>
      <c r="H855"/>
      <c r="J855"/>
    </row>
    <row r="856" spans="5:10" x14ac:dyDescent="0.4">
      <c r="E856"/>
      <c r="H856"/>
      <c r="J856"/>
    </row>
    <row r="857" spans="5:10" x14ac:dyDescent="0.4">
      <c r="E857"/>
      <c r="H857"/>
      <c r="J857"/>
    </row>
    <row r="858" spans="5:10" x14ac:dyDescent="0.4">
      <c r="E858"/>
      <c r="H858"/>
      <c r="J858"/>
    </row>
    <row r="859" spans="5:10" x14ac:dyDescent="0.4">
      <c r="E859"/>
      <c r="H859"/>
      <c r="J859"/>
    </row>
    <row r="860" spans="5:10" x14ac:dyDescent="0.4">
      <c r="E860"/>
      <c r="H860"/>
      <c r="J860"/>
    </row>
    <row r="861" spans="5:10" x14ac:dyDescent="0.4">
      <c r="E861"/>
      <c r="H861"/>
      <c r="J861"/>
    </row>
    <row r="862" spans="5:10" x14ac:dyDescent="0.4">
      <c r="E862"/>
      <c r="H862"/>
      <c r="J862"/>
    </row>
    <row r="863" spans="5:10" x14ac:dyDescent="0.4">
      <c r="E863"/>
      <c r="H863"/>
      <c r="J863"/>
    </row>
    <row r="864" spans="5:10" x14ac:dyDescent="0.4">
      <c r="E864"/>
      <c r="H864"/>
      <c r="J864"/>
    </row>
    <row r="865" spans="5:10" x14ac:dyDescent="0.4">
      <c r="E865"/>
      <c r="H865"/>
      <c r="J865"/>
    </row>
    <row r="866" spans="5:10" x14ac:dyDescent="0.4">
      <c r="E866"/>
      <c r="H866"/>
      <c r="J866"/>
    </row>
    <row r="867" spans="5:10" x14ac:dyDescent="0.4">
      <c r="E867"/>
      <c r="H867"/>
      <c r="J867"/>
    </row>
    <row r="868" spans="5:10" x14ac:dyDescent="0.4">
      <c r="E868"/>
      <c r="H868"/>
      <c r="J868"/>
    </row>
    <row r="869" spans="5:10" x14ac:dyDescent="0.4">
      <c r="E869"/>
      <c r="H869"/>
      <c r="J869"/>
    </row>
    <row r="870" spans="5:10" x14ac:dyDescent="0.4">
      <c r="E870"/>
      <c r="H870"/>
      <c r="J870"/>
    </row>
    <row r="871" spans="5:10" x14ac:dyDescent="0.4">
      <c r="E871"/>
      <c r="H871"/>
      <c r="J871"/>
    </row>
    <row r="872" spans="5:10" x14ac:dyDescent="0.4">
      <c r="E872"/>
      <c r="H872"/>
      <c r="J872"/>
    </row>
    <row r="873" spans="5:10" x14ac:dyDescent="0.4">
      <c r="E873"/>
      <c r="H873"/>
      <c r="J873"/>
    </row>
    <row r="874" spans="5:10" x14ac:dyDescent="0.4">
      <c r="E874"/>
      <c r="H874"/>
      <c r="J874"/>
    </row>
    <row r="875" spans="5:10" x14ac:dyDescent="0.4">
      <c r="E875"/>
      <c r="H875"/>
      <c r="J875"/>
    </row>
    <row r="876" spans="5:10" x14ac:dyDescent="0.4">
      <c r="E876"/>
      <c r="H876"/>
      <c r="J876"/>
    </row>
    <row r="877" spans="5:10" x14ac:dyDescent="0.4">
      <c r="E877"/>
      <c r="H877"/>
      <c r="J877"/>
    </row>
    <row r="878" spans="5:10" x14ac:dyDescent="0.4">
      <c r="E878"/>
      <c r="H878"/>
      <c r="J878"/>
    </row>
    <row r="879" spans="5:10" x14ac:dyDescent="0.4">
      <c r="E879"/>
      <c r="H879"/>
      <c r="J879"/>
    </row>
    <row r="880" spans="5:10" x14ac:dyDescent="0.4">
      <c r="E880"/>
      <c r="H880"/>
      <c r="J880"/>
    </row>
    <row r="881" spans="5:10" x14ac:dyDescent="0.4">
      <c r="E881"/>
      <c r="H881"/>
      <c r="J881"/>
    </row>
    <row r="882" spans="5:10" x14ac:dyDescent="0.4">
      <c r="E882"/>
      <c r="H882"/>
      <c r="J882"/>
    </row>
    <row r="883" spans="5:10" x14ac:dyDescent="0.4">
      <c r="E883"/>
      <c r="H883"/>
      <c r="J883"/>
    </row>
    <row r="884" spans="5:10" x14ac:dyDescent="0.4">
      <c r="E884"/>
      <c r="H884"/>
      <c r="J884"/>
    </row>
    <row r="885" spans="5:10" x14ac:dyDescent="0.4">
      <c r="E885"/>
      <c r="H885"/>
      <c r="J885"/>
    </row>
    <row r="886" spans="5:10" x14ac:dyDescent="0.4">
      <c r="E886"/>
      <c r="H886"/>
      <c r="J886"/>
    </row>
    <row r="887" spans="5:10" x14ac:dyDescent="0.4">
      <c r="E887"/>
      <c r="H887"/>
      <c r="J887"/>
    </row>
    <row r="888" spans="5:10" x14ac:dyDescent="0.4">
      <c r="E888"/>
      <c r="H888"/>
      <c r="J888"/>
    </row>
    <row r="889" spans="5:10" x14ac:dyDescent="0.4">
      <c r="E889"/>
      <c r="H889"/>
      <c r="J889"/>
    </row>
    <row r="890" spans="5:10" x14ac:dyDescent="0.4">
      <c r="E890"/>
      <c r="H890"/>
      <c r="J890"/>
    </row>
    <row r="891" spans="5:10" x14ac:dyDescent="0.4">
      <c r="E891"/>
      <c r="H891"/>
      <c r="J891"/>
    </row>
    <row r="892" spans="5:10" x14ac:dyDescent="0.4">
      <c r="E892"/>
      <c r="H892"/>
      <c r="J892"/>
    </row>
    <row r="893" spans="5:10" x14ac:dyDescent="0.4">
      <c r="E893"/>
      <c r="H893"/>
      <c r="J893"/>
    </row>
    <row r="894" spans="5:10" x14ac:dyDescent="0.4">
      <c r="E894"/>
      <c r="H894"/>
      <c r="J894"/>
    </row>
    <row r="895" spans="5:10" x14ac:dyDescent="0.4">
      <c r="E895"/>
      <c r="H895"/>
      <c r="J895"/>
    </row>
    <row r="896" spans="5:10" x14ac:dyDescent="0.4">
      <c r="E896"/>
      <c r="H896"/>
      <c r="J896"/>
    </row>
    <row r="897" spans="5:10" x14ac:dyDescent="0.4">
      <c r="E897"/>
      <c r="H897"/>
      <c r="J897"/>
    </row>
    <row r="898" spans="5:10" x14ac:dyDescent="0.4">
      <c r="E898"/>
      <c r="H898"/>
      <c r="J898"/>
    </row>
    <row r="899" spans="5:10" x14ac:dyDescent="0.4">
      <c r="E899"/>
      <c r="H899"/>
      <c r="J899"/>
    </row>
    <row r="900" spans="5:10" x14ac:dyDescent="0.4">
      <c r="E900"/>
      <c r="H900"/>
      <c r="J900"/>
    </row>
    <row r="901" spans="5:10" x14ac:dyDescent="0.4">
      <c r="E901"/>
      <c r="H901"/>
      <c r="J901"/>
    </row>
    <row r="902" spans="5:10" x14ac:dyDescent="0.4">
      <c r="E902"/>
      <c r="H902"/>
      <c r="J902"/>
    </row>
    <row r="903" spans="5:10" x14ac:dyDescent="0.4">
      <c r="E903"/>
      <c r="H903"/>
      <c r="J903"/>
    </row>
    <row r="904" spans="5:10" x14ac:dyDescent="0.4">
      <c r="E904"/>
      <c r="H904"/>
      <c r="J904"/>
    </row>
    <row r="905" spans="5:10" x14ac:dyDescent="0.4">
      <c r="E905"/>
      <c r="H905"/>
      <c r="J905"/>
    </row>
    <row r="906" spans="5:10" x14ac:dyDescent="0.4">
      <c r="E906"/>
      <c r="H906"/>
      <c r="J906"/>
    </row>
    <row r="907" spans="5:10" x14ac:dyDescent="0.4">
      <c r="E907"/>
      <c r="H907"/>
      <c r="J907"/>
    </row>
    <row r="908" spans="5:10" x14ac:dyDescent="0.4">
      <c r="E908"/>
      <c r="H908"/>
      <c r="J908"/>
    </row>
    <row r="909" spans="5:10" x14ac:dyDescent="0.4">
      <c r="E909"/>
      <c r="H909"/>
      <c r="J909"/>
    </row>
    <row r="910" spans="5:10" x14ac:dyDescent="0.4">
      <c r="E910"/>
      <c r="H910"/>
      <c r="J910"/>
    </row>
    <row r="911" spans="5:10" x14ac:dyDescent="0.4">
      <c r="E911"/>
      <c r="H911"/>
      <c r="J911"/>
    </row>
    <row r="912" spans="5:10" x14ac:dyDescent="0.4">
      <c r="E912"/>
      <c r="H912"/>
      <c r="J912"/>
    </row>
    <row r="913" spans="5:10" x14ac:dyDescent="0.4">
      <c r="E913"/>
      <c r="H913"/>
      <c r="J913"/>
    </row>
    <row r="914" spans="5:10" x14ac:dyDescent="0.4">
      <c r="E914"/>
      <c r="H914"/>
      <c r="J914"/>
    </row>
    <row r="915" spans="5:10" x14ac:dyDescent="0.4">
      <c r="E915"/>
      <c r="H915"/>
      <c r="J915"/>
    </row>
    <row r="916" spans="5:10" x14ac:dyDescent="0.4">
      <c r="E916"/>
      <c r="H916"/>
      <c r="J916"/>
    </row>
    <row r="917" spans="5:10" x14ac:dyDescent="0.4">
      <c r="E917"/>
      <c r="H917"/>
      <c r="J917"/>
    </row>
    <row r="918" spans="5:10" x14ac:dyDescent="0.4">
      <c r="E918"/>
      <c r="H918"/>
      <c r="J918"/>
    </row>
    <row r="919" spans="5:10" x14ac:dyDescent="0.4">
      <c r="E919"/>
      <c r="H919"/>
      <c r="J919"/>
    </row>
    <row r="920" spans="5:10" x14ac:dyDescent="0.4">
      <c r="E920"/>
      <c r="H920"/>
      <c r="J920"/>
    </row>
    <row r="921" spans="5:10" x14ac:dyDescent="0.4">
      <c r="E921"/>
      <c r="H921"/>
      <c r="J921"/>
    </row>
    <row r="922" spans="5:10" x14ac:dyDescent="0.4">
      <c r="E922"/>
      <c r="H922"/>
      <c r="J922"/>
    </row>
    <row r="923" spans="5:10" x14ac:dyDescent="0.4">
      <c r="E923"/>
      <c r="H923"/>
      <c r="J923"/>
    </row>
    <row r="924" spans="5:10" x14ac:dyDescent="0.4">
      <c r="E924"/>
      <c r="H924"/>
      <c r="J924"/>
    </row>
    <row r="925" spans="5:10" x14ac:dyDescent="0.4">
      <c r="E925"/>
      <c r="H925"/>
      <c r="J925"/>
    </row>
    <row r="926" spans="5:10" x14ac:dyDescent="0.4">
      <c r="E926"/>
      <c r="H926"/>
      <c r="J926"/>
    </row>
    <row r="927" spans="5:10" x14ac:dyDescent="0.4">
      <c r="E927"/>
      <c r="H927"/>
      <c r="J927"/>
    </row>
    <row r="928" spans="5:10" x14ac:dyDescent="0.4">
      <c r="E928"/>
      <c r="H928"/>
      <c r="J928"/>
    </row>
    <row r="929" spans="5:10" x14ac:dyDescent="0.4">
      <c r="E929"/>
      <c r="H929"/>
      <c r="J929"/>
    </row>
    <row r="930" spans="5:10" x14ac:dyDescent="0.4">
      <c r="E930"/>
      <c r="H930"/>
      <c r="J930"/>
    </row>
    <row r="931" spans="5:10" x14ac:dyDescent="0.4">
      <c r="E931"/>
      <c r="H931"/>
      <c r="J931"/>
    </row>
    <row r="932" spans="5:10" x14ac:dyDescent="0.4">
      <c r="E932"/>
      <c r="H932"/>
      <c r="J932"/>
    </row>
    <row r="933" spans="5:10" x14ac:dyDescent="0.4">
      <c r="E933"/>
      <c r="H933"/>
      <c r="J933"/>
    </row>
    <row r="934" spans="5:10" x14ac:dyDescent="0.4">
      <c r="E934"/>
      <c r="H934"/>
      <c r="J934"/>
    </row>
    <row r="935" spans="5:10" x14ac:dyDescent="0.4">
      <c r="E935"/>
      <c r="H935"/>
      <c r="J935"/>
    </row>
    <row r="936" spans="5:10" x14ac:dyDescent="0.4">
      <c r="E936"/>
      <c r="H936"/>
      <c r="J936"/>
    </row>
    <row r="937" spans="5:10" x14ac:dyDescent="0.4">
      <c r="E937"/>
      <c r="H937"/>
      <c r="J937"/>
    </row>
    <row r="938" spans="5:10" x14ac:dyDescent="0.4">
      <c r="E938"/>
      <c r="H938"/>
      <c r="J938"/>
    </row>
    <row r="939" spans="5:10" x14ac:dyDescent="0.4">
      <c r="E939"/>
      <c r="H939"/>
      <c r="J939"/>
    </row>
    <row r="940" spans="5:10" x14ac:dyDescent="0.4">
      <c r="E940"/>
      <c r="H940"/>
      <c r="J940"/>
    </row>
    <row r="941" spans="5:10" x14ac:dyDescent="0.4">
      <c r="E941"/>
      <c r="H941"/>
      <c r="J941"/>
    </row>
    <row r="942" spans="5:10" x14ac:dyDescent="0.4">
      <c r="E942"/>
      <c r="H942"/>
      <c r="J942"/>
    </row>
    <row r="943" spans="5:10" x14ac:dyDescent="0.4">
      <c r="E943"/>
      <c r="H943"/>
      <c r="J943"/>
    </row>
    <row r="944" spans="5:10" x14ac:dyDescent="0.4">
      <c r="E944"/>
      <c r="H944"/>
      <c r="J944"/>
    </row>
    <row r="945" spans="5:10" x14ac:dyDescent="0.4">
      <c r="E945"/>
      <c r="H945"/>
      <c r="J945"/>
    </row>
    <row r="946" spans="5:10" x14ac:dyDescent="0.4">
      <c r="E946"/>
      <c r="H946"/>
      <c r="J946"/>
    </row>
    <row r="947" spans="5:10" x14ac:dyDescent="0.4">
      <c r="E947"/>
      <c r="H947"/>
      <c r="J947"/>
    </row>
    <row r="948" spans="5:10" x14ac:dyDescent="0.4">
      <c r="E948"/>
      <c r="H948"/>
      <c r="J948"/>
    </row>
    <row r="949" spans="5:10" x14ac:dyDescent="0.4">
      <c r="E949"/>
      <c r="H949"/>
      <c r="J949"/>
    </row>
    <row r="950" spans="5:10" x14ac:dyDescent="0.4">
      <c r="E950"/>
      <c r="H950"/>
      <c r="J950"/>
    </row>
    <row r="951" spans="5:10" x14ac:dyDescent="0.4">
      <c r="E951"/>
      <c r="H951"/>
      <c r="J951"/>
    </row>
    <row r="952" spans="5:10" x14ac:dyDescent="0.4">
      <c r="E952"/>
      <c r="H952"/>
      <c r="J952"/>
    </row>
    <row r="953" spans="5:10" x14ac:dyDescent="0.4">
      <c r="E953"/>
      <c r="H953"/>
      <c r="J953"/>
    </row>
    <row r="954" spans="5:10" x14ac:dyDescent="0.4">
      <c r="E954"/>
      <c r="H954"/>
      <c r="J954"/>
    </row>
    <row r="955" spans="5:10" x14ac:dyDescent="0.4">
      <c r="E955"/>
      <c r="H955"/>
      <c r="J955"/>
    </row>
    <row r="956" spans="5:10" x14ac:dyDescent="0.4">
      <c r="E956"/>
      <c r="H956"/>
      <c r="J956"/>
    </row>
    <row r="957" spans="5:10" x14ac:dyDescent="0.4">
      <c r="E957"/>
      <c r="H957"/>
      <c r="J957"/>
    </row>
    <row r="958" spans="5:10" x14ac:dyDescent="0.4">
      <c r="E958"/>
      <c r="H958"/>
      <c r="J958"/>
    </row>
    <row r="959" spans="5:10" x14ac:dyDescent="0.4">
      <c r="E959"/>
      <c r="H959"/>
      <c r="J959"/>
    </row>
    <row r="960" spans="5:10" x14ac:dyDescent="0.4">
      <c r="E960"/>
      <c r="H960"/>
      <c r="J960"/>
    </row>
    <row r="961" spans="5:10" x14ac:dyDescent="0.4">
      <c r="E961"/>
      <c r="H961"/>
      <c r="J961"/>
    </row>
    <row r="962" spans="5:10" x14ac:dyDescent="0.4">
      <c r="E962"/>
      <c r="H962"/>
      <c r="J962"/>
    </row>
    <row r="963" spans="5:10" x14ac:dyDescent="0.4">
      <c r="E963"/>
      <c r="H963"/>
      <c r="J963"/>
    </row>
    <row r="964" spans="5:10" x14ac:dyDescent="0.4">
      <c r="E964"/>
      <c r="H964"/>
      <c r="J964"/>
    </row>
    <row r="965" spans="5:10" x14ac:dyDescent="0.4">
      <c r="E965"/>
      <c r="H965"/>
      <c r="J965"/>
    </row>
    <row r="966" spans="5:10" x14ac:dyDescent="0.4">
      <c r="E966"/>
      <c r="H966"/>
      <c r="J966"/>
    </row>
    <row r="967" spans="5:10" x14ac:dyDescent="0.4">
      <c r="E967"/>
      <c r="H967"/>
      <c r="J967"/>
    </row>
    <row r="968" spans="5:10" x14ac:dyDescent="0.4">
      <c r="E968"/>
      <c r="H968"/>
      <c r="J968"/>
    </row>
    <row r="969" spans="5:10" x14ac:dyDescent="0.4">
      <c r="E969"/>
      <c r="H969"/>
      <c r="J969"/>
    </row>
    <row r="970" spans="5:10" x14ac:dyDescent="0.4">
      <c r="E970"/>
      <c r="H970"/>
      <c r="J970"/>
    </row>
    <row r="971" spans="5:10" x14ac:dyDescent="0.4">
      <c r="E971"/>
      <c r="H971"/>
      <c r="J971"/>
    </row>
    <row r="972" spans="5:10" x14ac:dyDescent="0.4">
      <c r="E972"/>
      <c r="H972"/>
      <c r="J972"/>
    </row>
    <row r="973" spans="5:10" x14ac:dyDescent="0.4">
      <c r="E973"/>
      <c r="H973"/>
      <c r="J973"/>
    </row>
    <row r="974" spans="5:10" x14ac:dyDescent="0.4">
      <c r="E974"/>
      <c r="H974"/>
      <c r="J974"/>
    </row>
    <row r="975" spans="5:10" x14ac:dyDescent="0.4">
      <c r="E975"/>
      <c r="H975"/>
      <c r="J975"/>
    </row>
    <row r="976" spans="5:10" x14ac:dyDescent="0.4">
      <c r="E976"/>
      <c r="H976"/>
      <c r="J976"/>
    </row>
    <row r="977" spans="5:10" x14ac:dyDescent="0.4">
      <c r="E977"/>
      <c r="H977"/>
      <c r="J977"/>
    </row>
    <row r="978" spans="5:10" x14ac:dyDescent="0.4">
      <c r="E978"/>
      <c r="H978"/>
      <c r="J978"/>
    </row>
    <row r="979" spans="5:10" x14ac:dyDescent="0.4">
      <c r="E979"/>
      <c r="H979"/>
      <c r="J979"/>
    </row>
    <row r="980" spans="5:10" x14ac:dyDescent="0.4">
      <c r="E980"/>
      <c r="H980"/>
      <c r="J980"/>
    </row>
    <row r="981" spans="5:10" x14ac:dyDescent="0.4">
      <c r="E981"/>
      <c r="H981"/>
      <c r="J981"/>
    </row>
    <row r="982" spans="5:10" x14ac:dyDescent="0.4">
      <c r="E982"/>
      <c r="H982"/>
      <c r="J982"/>
    </row>
    <row r="983" spans="5:10" x14ac:dyDescent="0.4">
      <c r="E983"/>
      <c r="H983"/>
      <c r="J983"/>
    </row>
    <row r="984" spans="5:10" x14ac:dyDescent="0.4">
      <c r="E984"/>
      <c r="H984"/>
      <c r="J984"/>
    </row>
    <row r="985" spans="5:10" x14ac:dyDescent="0.4">
      <c r="E985"/>
      <c r="H985"/>
      <c r="J985"/>
    </row>
    <row r="986" spans="5:10" x14ac:dyDescent="0.4">
      <c r="E986"/>
      <c r="H986"/>
      <c r="J986"/>
    </row>
    <row r="987" spans="5:10" x14ac:dyDescent="0.4">
      <c r="E987"/>
      <c r="H987"/>
      <c r="J987"/>
    </row>
    <row r="988" spans="5:10" x14ac:dyDescent="0.4">
      <c r="E988"/>
      <c r="H988"/>
      <c r="J988"/>
    </row>
    <row r="989" spans="5:10" x14ac:dyDescent="0.4">
      <c r="E989"/>
      <c r="H989"/>
      <c r="J989"/>
    </row>
    <row r="990" spans="5:10" x14ac:dyDescent="0.4">
      <c r="E990"/>
      <c r="H990"/>
      <c r="J990"/>
    </row>
    <row r="991" spans="5:10" x14ac:dyDescent="0.4">
      <c r="E991"/>
      <c r="H991"/>
      <c r="J991"/>
    </row>
    <row r="992" spans="5:10" x14ac:dyDescent="0.4">
      <c r="E992"/>
      <c r="H992"/>
      <c r="J992"/>
    </row>
    <row r="993" spans="5:10" x14ac:dyDescent="0.4">
      <c r="E993"/>
      <c r="H993"/>
      <c r="J993"/>
    </row>
    <row r="994" spans="5:10" x14ac:dyDescent="0.4">
      <c r="E994"/>
      <c r="H994"/>
      <c r="J994"/>
    </row>
    <row r="995" spans="5:10" x14ac:dyDescent="0.4">
      <c r="E995"/>
      <c r="H995"/>
      <c r="J995"/>
    </row>
    <row r="996" spans="5:10" x14ac:dyDescent="0.4">
      <c r="E996"/>
      <c r="H996"/>
      <c r="J996"/>
    </row>
    <row r="997" spans="5:10" x14ac:dyDescent="0.4">
      <c r="E997"/>
      <c r="H997"/>
      <c r="J997"/>
    </row>
    <row r="998" spans="5:10" x14ac:dyDescent="0.4">
      <c r="E998"/>
      <c r="H998"/>
      <c r="J998"/>
    </row>
    <row r="999" spans="5:10" x14ac:dyDescent="0.4">
      <c r="E999"/>
      <c r="H999"/>
      <c r="J999"/>
    </row>
    <row r="1000" spans="5:10" x14ac:dyDescent="0.4">
      <c r="E1000"/>
      <c r="H1000"/>
      <c r="J1000"/>
    </row>
    <row r="1001" spans="5:10" x14ac:dyDescent="0.4">
      <c r="E1001"/>
      <c r="H1001"/>
      <c r="J1001"/>
    </row>
    <row r="1002" spans="5:10" x14ac:dyDescent="0.4">
      <c r="E1002"/>
      <c r="H1002"/>
      <c r="J1002"/>
    </row>
    <row r="1003" spans="5:10" x14ac:dyDescent="0.4">
      <c r="E1003"/>
      <c r="H1003"/>
      <c r="J1003"/>
    </row>
    <row r="1004" spans="5:10" x14ac:dyDescent="0.4">
      <c r="E1004"/>
      <c r="H1004"/>
      <c r="J1004"/>
    </row>
    <row r="1005" spans="5:10" x14ac:dyDescent="0.4">
      <c r="E1005"/>
      <c r="H1005"/>
      <c r="J1005"/>
    </row>
    <row r="1006" spans="5:10" x14ac:dyDescent="0.4">
      <c r="E1006"/>
      <c r="H1006"/>
      <c r="J1006"/>
    </row>
    <row r="1007" spans="5:10" x14ac:dyDescent="0.4">
      <c r="E1007"/>
      <c r="H1007"/>
      <c r="J1007"/>
    </row>
    <row r="1008" spans="5:10" x14ac:dyDescent="0.4">
      <c r="E1008"/>
      <c r="H1008"/>
      <c r="J1008"/>
    </row>
    <row r="1009" spans="5:10" x14ac:dyDescent="0.4">
      <c r="E1009"/>
      <c r="H1009"/>
      <c r="J1009"/>
    </row>
    <row r="1010" spans="5:10" x14ac:dyDescent="0.4">
      <c r="E1010"/>
      <c r="H1010"/>
      <c r="J1010"/>
    </row>
    <row r="1011" spans="5:10" x14ac:dyDescent="0.4">
      <c r="E1011"/>
      <c r="H1011"/>
      <c r="J1011"/>
    </row>
    <row r="1012" spans="5:10" x14ac:dyDescent="0.4">
      <c r="E1012"/>
      <c r="H1012"/>
      <c r="J1012"/>
    </row>
    <row r="1013" spans="5:10" x14ac:dyDescent="0.4">
      <c r="E1013"/>
      <c r="H1013"/>
      <c r="J1013"/>
    </row>
    <row r="1014" spans="5:10" x14ac:dyDescent="0.4">
      <c r="E1014"/>
      <c r="H1014"/>
      <c r="J1014"/>
    </row>
    <row r="1015" spans="5:10" x14ac:dyDescent="0.4">
      <c r="E1015"/>
      <c r="H1015"/>
      <c r="J1015"/>
    </row>
    <row r="1016" spans="5:10" x14ac:dyDescent="0.4">
      <c r="E1016"/>
      <c r="H1016"/>
      <c r="J1016"/>
    </row>
    <row r="1017" spans="5:10" x14ac:dyDescent="0.4">
      <c r="E1017"/>
      <c r="H1017"/>
      <c r="J1017"/>
    </row>
    <row r="1018" spans="5:10" x14ac:dyDescent="0.4">
      <c r="E1018"/>
      <c r="H1018"/>
      <c r="J1018"/>
    </row>
    <row r="1019" spans="5:10" x14ac:dyDescent="0.4">
      <c r="E1019"/>
      <c r="H1019"/>
      <c r="J1019"/>
    </row>
    <row r="1020" spans="5:10" x14ac:dyDescent="0.4">
      <c r="E1020"/>
      <c r="H1020"/>
      <c r="J1020"/>
    </row>
    <row r="1021" spans="5:10" x14ac:dyDescent="0.4">
      <c r="E1021"/>
      <c r="H1021"/>
      <c r="J1021"/>
    </row>
    <row r="1022" spans="5:10" x14ac:dyDescent="0.4">
      <c r="E1022"/>
      <c r="H1022"/>
      <c r="J1022"/>
    </row>
    <row r="1023" spans="5:10" x14ac:dyDescent="0.4">
      <c r="E1023"/>
      <c r="H1023"/>
      <c r="J1023"/>
    </row>
    <row r="1024" spans="5:10" x14ac:dyDescent="0.4">
      <c r="E1024"/>
      <c r="H1024"/>
      <c r="J1024"/>
    </row>
    <row r="1025" spans="5:10" x14ac:dyDescent="0.4">
      <c r="E1025"/>
      <c r="H1025"/>
      <c r="J1025"/>
    </row>
    <row r="1026" spans="5:10" x14ac:dyDescent="0.4">
      <c r="E1026"/>
      <c r="H1026"/>
      <c r="J1026"/>
    </row>
    <row r="1027" spans="5:10" x14ac:dyDescent="0.4">
      <c r="E1027"/>
      <c r="H1027"/>
      <c r="J1027"/>
    </row>
    <row r="1028" spans="5:10" x14ac:dyDescent="0.4">
      <c r="E1028"/>
      <c r="H1028"/>
      <c r="J1028"/>
    </row>
    <row r="1029" spans="5:10" x14ac:dyDescent="0.4">
      <c r="E1029"/>
      <c r="H1029"/>
      <c r="J1029"/>
    </row>
    <row r="1030" spans="5:10" x14ac:dyDescent="0.4">
      <c r="E1030"/>
      <c r="H1030"/>
      <c r="J1030"/>
    </row>
    <row r="1031" spans="5:10" x14ac:dyDescent="0.4">
      <c r="E1031"/>
      <c r="H1031"/>
      <c r="J1031"/>
    </row>
    <row r="1032" spans="5:10" x14ac:dyDescent="0.4">
      <c r="E1032"/>
      <c r="H1032"/>
      <c r="J1032"/>
    </row>
    <row r="1033" spans="5:10" x14ac:dyDescent="0.4">
      <c r="E1033"/>
      <c r="H1033"/>
      <c r="J1033"/>
    </row>
    <row r="1034" spans="5:10" x14ac:dyDescent="0.4">
      <c r="E1034"/>
      <c r="H1034"/>
      <c r="J1034"/>
    </row>
    <row r="1035" spans="5:10" x14ac:dyDescent="0.4">
      <c r="E1035"/>
      <c r="H1035"/>
      <c r="J1035"/>
    </row>
    <row r="1036" spans="5:10" x14ac:dyDescent="0.4">
      <c r="E1036"/>
      <c r="H1036"/>
      <c r="J1036"/>
    </row>
    <row r="1037" spans="5:10" x14ac:dyDescent="0.4">
      <c r="E1037"/>
      <c r="H1037"/>
      <c r="J1037"/>
    </row>
    <row r="1038" spans="5:10" x14ac:dyDescent="0.4">
      <c r="E1038"/>
      <c r="H1038"/>
      <c r="J1038"/>
    </row>
    <row r="1039" spans="5:10" x14ac:dyDescent="0.4">
      <c r="E1039"/>
      <c r="H1039"/>
      <c r="J1039"/>
    </row>
    <row r="1040" spans="5:10" x14ac:dyDescent="0.4">
      <c r="E1040"/>
      <c r="H1040"/>
      <c r="J1040"/>
    </row>
    <row r="1041" spans="5:10" x14ac:dyDescent="0.4">
      <c r="E1041"/>
      <c r="H1041"/>
      <c r="J1041"/>
    </row>
    <row r="1042" spans="5:10" x14ac:dyDescent="0.4">
      <c r="E1042"/>
      <c r="H1042"/>
      <c r="J1042"/>
    </row>
    <row r="1043" spans="5:10" x14ac:dyDescent="0.4">
      <c r="E1043"/>
      <c r="H1043"/>
      <c r="J1043"/>
    </row>
    <row r="1044" spans="5:10" x14ac:dyDescent="0.4">
      <c r="E1044"/>
      <c r="H1044"/>
      <c r="J1044"/>
    </row>
    <row r="1045" spans="5:10" x14ac:dyDescent="0.4">
      <c r="E1045"/>
      <c r="H1045"/>
      <c r="J1045"/>
    </row>
    <row r="1046" spans="5:10" x14ac:dyDescent="0.4">
      <c r="E1046"/>
      <c r="H1046"/>
      <c r="J1046"/>
    </row>
    <row r="1047" spans="5:10" x14ac:dyDescent="0.4">
      <c r="E1047"/>
      <c r="H1047"/>
      <c r="J1047"/>
    </row>
    <row r="1048" spans="5:10" x14ac:dyDescent="0.4">
      <c r="E1048"/>
      <c r="H1048"/>
      <c r="J1048"/>
    </row>
    <row r="1049" spans="5:10" x14ac:dyDescent="0.4">
      <c r="E1049"/>
      <c r="H1049"/>
      <c r="J1049"/>
    </row>
    <row r="1050" spans="5:10" x14ac:dyDescent="0.4">
      <c r="E1050"/>
      <c r="H1050"/>
      <c r="J1050"/>
    </row>
    <row r="1051" spans="5:10" x14ac:dyDescent="0.4">
      <c r="E1051"/>
      <c r="H1051"/>
      <c r="J1051"/>
    </row>
    <row r="1052" spans="5:10" x14ac:dyDescent="0.4">
      <c r="E1052"/>
      <c r="H1052"/>
      <c r="J1052"/>
    </row>
    <row r="1053" spans="5:10" x14ac:dyDescent="0.4">
      <c r="E1053"/>
      <c r="H1053"/>
      <c r="J1053"/>
    </row>
    <row r="1054" spans="5:10" x14ac:dyDescent="0.4">
      <c r="E1054"/>
      <c r="H1054"/>
      <c r="J1054"/>
    </row>
    <row r="1055" spans="5:10" x14ac:dyDescent="0.4">
      <c r="E1055"/>
      <c r="H1055"/>
      <c r="J1055"/>
    </row>
    <row r="1056" spans="5:10" x14ac:dyDescent="0.4">
      <c r="E1056"/>
      <c r="H1056"/>
      <c r="J1056"/>
    </row>
    <row r="1057" spans="5:10" x14ac:dyDescent="0.4">
      <c r="E1057"/>
      <c r="H1057"/>
      <c r="J1057"/>
    </row>
    <row r="1058" spans="5:10" x14ac:dyDescent="0.4">
      <c r="E1058"/>
      <c r="H1058"/>
      <c r="J1058"/>
    </row>
    <row r="1059" spans="5:10" x14ac:dyDescent="0.4">
      <c r="E1059"/>
      <c r="H1059"/>
      <c r="J1059"/>
    </row>
    <row r="1060" spans="5:10" x14ac:dyDescent="0.4">
      <c r="E1060"/>
      <c r="H1060"/>
      <c r="J1060"/>
    </row>
    <row r="1061" spans="5:10" x14ac:dyDescent="0.4">
      <c r="E1061"/>
      <c r="H1061"/>
      <c r="J1061"/>
    </row>
    <row r="1062" spans="5:10" x14ac:dyDescent="0.4">
      <c r="E1062"/>
      <c r="H1062"/>
      <c r="J1062"/>
    </row>
    <row r="1063" spans="5:10" x14ac:dyDescent="0.4">
      <c r="E1063"/>
      <c r="H1063"/>
      <c r="J1063"/>
    </row>
    <row r="1064" spans="5:10" x14ac:dyDescent="0.4">
      <c r="E1064"/>
      <c r="H1064"/>
      <c r="J1064"/>
    </row>
    <row r="1065" spans="5:10" x14ac:dyDescent="0.4">
      <c r="E1065"/>
      <c r="H1065"/>
      <c r="J1065"/>
    </row>
    <row r="1066" spans="5:10" x14ac:dyDescent="0.4">
      <c r="E1066"/>
      <c r="H1066"/>
      <c r="J1066"/>
    </row>
    <row r="1067" spans="5:10" x14ac:dyDescent="0.4">
      <c r="E1067"/>
      <c r="H1067"/>
      <c r="J1067"/>
    </row>
    <row r="1068" spans="5:10" x14ac:dyDescent="0.4">
      <c r="E1068"/>
      <c r="H1068"/>
      <c r="J1068"/>
    </row>
    <row r="1069" spans="5:10" x14ac:dyDescent="0.4">
      <c r="E1069"/>
      <c r="H1069"/>
      <c r="J1069"/>
    </row>
    <row r="1070" spans="5:10" x14ac:dyDescent="0.4">
      <c r="E1070"/>
      <c r="H1070"/>
      <c r="J1070"/>
    </row>
    <row r="1071" spans="5:10" x14ac:dyDescent="0.4">
      <c r="E1071"/>
      <c r="H1071"/>
      <c r="J1071"/>
    </row>
    <row r="1072" spans="5:10" x14ac:dyDescent="0.4">
      <c r="E1072"/>
      <c r="H1072"/>
      <c r="J1072"/>
    </row>
    <row r="1073" spans="5:10" x14ac:dyDescent="0.4">
      <c r="E1073"/>
      <c r="H1073"/>
      <c r="J1073"/>
    </row>
    <row r="1074" spans="5:10" x14ac:dyDescent="0.4">
      <c r="E1074"/>
      <c r="H1074"/>
      <c r="J1074"/>
    </row>
    <row r="1075" spans="5:10" x14ac:dyDescent="0.4">
      <c r="E1075"/>
      <c r="H1075"/>
      <c r="J1075"/>
    </row>
    <row r="1076" spans="5:10" x14ac:dyDescent="0.4">
      <c r="E1076"/>
      <c r="H1076"/>
      <c r="J1076"/>
    </row>
    <row r="1077" spans="5:10" x14ac:dyDescent="0.4">
      <c r="E1077"/>
      <c r="H1077"/>
      <c r="J1077"/>
    </row>
    <row r="1078" spans="5:10" x14ac:dyDescent="0.4">
      <c r="E1078"/>
      <c r="H1078"/>
      <c r="J1078"/>
    </row>
    <row r="1079" spans="5:10" x14ac:dyDescent="0.4">
      <c r="E1079"/>
      <c r="H1079"/>
      <c r="J1079"/>
    </row>
    <row r="1080" spans="5:10" x14ac:dyDescent="0.4">
      <c r="E1080"/>
      <c r="H1080"/>
      <c r="J1080"/>
    </row>
    <row r="1081" spans="5:10" x14ac:dyDescent="0.4">
      <c r="E1081"/>
      <c r="H1081"/>
      <c r="J1081"/>
    </row>
    <row r="1082" spans="5:10" x14ac:dyDescent="0.4">
      <c r="E1082"/>
      <c r="H1082"/>
      <c r="J1082"/>
    </row>
    <row r="1083" spans="5:10" x14ac:dyDescent="0.4">
      <c r="E1083"/>
      <c r="H1083"/>
      <c r="J1083"/>
    </row>
    <row r="1084" spans="5:10" x14ac:dyDescent="0.4">
      <c r="E1084"/>
      <c r="H1084"/>
      <c r="J1084"/>
    </row>
    <row r="1085" spans="5:10" x14ac:dyDescent="0.4">
      <c r="E1085"/>
      <c r="H1085"/>
      <c r="J1085"/>
    </row>
    <row r="1086" spans="5:10" x14ac:dyDescent="0.4">
      <c r="E1086"/>
      <c r="H1086"/>
      <c r="J1086"/>
    </row>
    <row r="1087" spans="5:10" x14ac:dyDescent="0.4">
      <c r="E1087"/>
      <c r="H1087"/>
      <c r="J1087"/>
    </row>
    <row r="1088" spans="5:10" x14ac:dyDescent="0.4">
      <c r="E1088"/>
      <c r="H1088"/>
      <c r="J1088"/>
    </row>
    <row r="1089" spans="5:10" x14ac:dyDescent="0.4">
      <c r="E1089"/>
      <c r="H1089"/>
      <c r="J1089"/>
    </row>
    <row r="1090" spans="5:10" x14ac:dyDescent="0.4">
      <c r="E1090"/>
      <c r="H1090"/>
      <c r="J1090"/>
    </row>
    <row r="1091" spans="5:10" x14ac:dyDescent="0.4">
      <c r="E1091"/>
      <c r="H1091"/>
      <c r="J1091"/>
    </row>
    <row r="1092" spans="5:10" x14ac:dyDescent="0.4">
      <c r="E1092"/>
      <c r="H1092"/>
      <c r="J1092"/>
    </row>
    <row r="1093" spans="5:10" x14ac:dyDescent="0.4">
      <c r="E1093"/>
      <c r="H1093"/>
      <c r="J1093"/>
    </row>
    <row r="1094" spans="5:10" x14ac:dyDescent="0.4">
      <c r="E1094"/>
      <c r="H1094"/>
      <c r="J1094"/>
    </row>
    <row r="1095" spans="5:10" x14ac:dyDescent="0.4">
      <c r="E1095"/>
      <c r="H1095"/>
      <c r="J1095"/>
    </row>
    <row r="1096" spans="5:10" x14ac:dyDescent="0.4">
      <c r="E1096"/>
      <c r="H1096"/>
      <c r="J1096"/>
    </row>
    <row r="1097" spans="5:10" x14ac:dyDescent="0.4">
      <c r="E1097"/>
      <c r="H1097"/>
      <c r="J1097"/>
    </row>
    <row r="1098" spans="5:10" x14ac:dyDescent="0.4">
      <c r="E1098"/>
      <c r="H1098"/>
      <c r="J1098"/>
    </row>
    <row r="1099" spans="5:10" x14ac:dyDescent="0.4">
      <c r="E1099"/>
      <c r="H1099"/>
      <c r="J1099"/>
    </row>
    <row r="1100" spans="5:10" x14ac:dyDescent="0.4">
      <c r="E1100"/>
      <c r="H1100"/>
      <c r="J1100"/>
    </row>
    <row r="1101" spans="5:10" x14ac:dyDescent="0.4">
      <c r="E1101"/>
      <c r="H1101"/>
      <c r="J1101"/>
    </row>
    <row r="1102" spans="5:10" x14ac:dyDescent="0.4">
      <c r="E1102"/>
      <c r="H1102"/>
      <c r="J1102"/>
    </row>
    <row r="1103" spans="5:10" x14ac:dyDescent="0.4">
      <c r="E1103"/>
      <c r="H1103"/>
      <c r="J1103"/>
    </row>
    <row r="1104" spans="5:10" x14ac:dyDescent="0.4">
      <c r="E1104"/>
      <c r="H1104"/>
      <c r="J1104"/>
    </row>
    <row r="1105" spans="5:10" x14ac:dyDescent="0.4">
      <c r="E1105"/>
      <c r="H1105"/>
      <c r="J1105"/>
    </row>
    <row r="1106" spans="5:10" x14ac:dyDescent="0.4">
      <c r="E1106"/>
      <c r="H1106"/>
      <c r="J1106"/>
    </row>
    <row r="1107" spans="5:10" x14ac:dyDescent="0.4">
      <c r="E1107"/>
      <c r="H1107"/>
      <c r="J1107"/>
    </row>
    <row r="1108" spans="5:10" x14ac:dyDescent="0.4">
      <c r="E1108"/>
      <c r="H1108"/>
      <c r="J1108"/>
    </row>
    <row r="1109" spans="5:10" x14ac:dyDescent="0.4">
      <c r="E1109"/>
      <c r="H1109"/>
      <c r="J1109"/>
    </row>
    <row r="1110" spans="5:10" x14ac:dyDescent="0.4">
      <c r="E1110"/>
      <c r="H1110"/>
      <c r="J1110"/>
    </row>
    <row r="1111" spans="5:10" x14ac:dyDescent="0.4">
      <c r="E1111"/>
      <c r="H1111"/>
      <c r="J1111"/>
    </row>
    <row r="1112" spans="5:10" x14ac:dyDescent="0.4">
      <c r="E1112"/>
      <c r="H1112"/>
      <c r="J1112"/>
    </row>
    <row r="1113" spans="5:10" x14ac:dyDescent="0.4">
      <c r="E1113"/>
      <c r="H1113"/>
      <c r="J1113"/>
    </row>
    <row r="1114" spans="5:10" x14ac:dyDescent="0.4">
      <c r="E1114"/>
      <c r="H1114"/>
      <c r="J1114"/>
    </row>
    <row r="1115" spans="5:10" x14ac:dyDescent="0.4">
      <c r="E1115"/>
      <c r="H1115"/>
      <c r="J1115"/>
    </row>
    <row r="1116" spans="5:10" x14ac:dyDescent="0.4">
      <c r="E1116"/>
      <c r="H1116"/>
      <c r="J1116"/>
    </row>
    <row r="1117" spans="5:10" x14ac:dyDescent="0.4">
      <c r="E1117"/>
      <c r="H1117"/>
      <c r="J1117"/>
    </row>
    <row r="1118" spans="5:10" x14ac:dyDescent="0.4">
      <c r="E1118"/>
      <c r="H1118"/>
      <c r="J1118"/>
    </row>
    <row r="1119" spans="5:10" x14ac:dyDescent="0.4">
      <c r="E1119"/>
      <c r="H1119"/>
      <c r="J1119"/>
    </row>
    <row r="1120" spans="5:10" x14ac:dyDescent="0.4">
      <c r="E1120"/>
      <c r="H1120"/>
      <c r="J1120"/>
    </row>
    <row r="1121" spans="5:10" x14ac:dyDescent="0.4">
      <c r="E1121"/>
      <c r="H1121"/>
      <c r="J1121"/>
    </row>
    <row r="1122" spans="5:10" x14ac:dyDescent="0.4">
      <c r="E1122"/>
      <c r="H1122"/>
      <c r="J1122"/>
    </row>
    <row r="1123" spans="5:10" x14ac:dyDescent="0.4">
      <c r="E1123"/>
      <c r="H1123"/>
      <c r="J1123"/>
    </row>
    <row r="1124" spans="5:10" x14ac:dyDescent="0.4">
      <c r="E1124"/>
      <c r="H1124"/>
      <c r="J1124"/>
    </row>
    <row r="1125" spans="5:10" x14ac:dyDescent="0.4">
      <c r="E1125"/>
      <c r="H1125"/>
      <c r="J1125"/>
    </row>
    <row r="1126" spans="5:10" x14ac:dyDescent="0.4">
      <c r="E1126"/>
      <c r="H1126"/>
      <c r="J1126"/>
    </row>
    <row r="1127" spans="5:10" x14ac:dyDescent="0.4">
      <c r="E1127"/>
      <c r="H1127"/>
      <c r="J1127"/>
    </row>
    <row r="1128" spans="5:10" x14ac:dyDescent="0.4">
      <c r="E1128"/>
      <c r="H1128"/>
      <c r="J1128"/>
    </row>
    <row r="1129" spans="5:10" x14ac:dyDescent="0.4">
      <c r="E1129"/>
      <c r="H1129"/>
      <c r="J1129"/>
    </row>
    <row r="1130" spans="5:10" x14ac:dyDescent="0.4">
      <c r="E1130"/>
      <c r="H1130"/>
      <c r="J1130"/>
    </row>
    <row r="1131" spans="5:10" x14ac:dyDescent="0.4">
      <c r="E1131"/>
      <c r="H1131"/>
      <c r="J1131"/>
    </row>
    <row r="1132" spans="5:10" x14ac:dyDescent="0.4">
      <c r="E1132"/>
      <c r="H1132"/>
      <c r="J1132"/>
    </row>
    <row r="1133" spans="5:10" x14ac:dyDescent="0.4">
      <c r="E1133"/>
      <c r="H1133"/>
      <c r="J1133"/>
    </row>
    <row r="1134" spans="5:10" x14ac:dyDescent="0.4">
      <c r="E1134"/>
      <c r="H1134"/>
      <c r="J1134"/>
    </row>
    <row r="1135" spans="5:10" x14ac:dyDescent="0.4">
      <c r="E1135"/>
      <c r="H1135"/>
      <c r="J1135"/>
    </row>
    <row r="1136" spans="5:10" x14ac:dyDescent="0.4">
      <c r="E1136"/>
      <c r="H1136"/>
      <c r="J1136"/>
    </row>
    <row r="1137" spans="5:10" x14ac:dyDescent="0.4">
      <c r="E1137"/>
      <c r="H1137"/>
      <c r="J1137"/>
    </row>
    <row r="1138" spans="5:10" x14ac:dyDescent="0.4">
      <c r="E1138"/>
      <c r="H1138"/>
      <c r="J1138"/>
    </row>
    <row r="1139" spans="5:10" x14ac:dyDescent="0.4">
      <c r="E1139"/>
      <c r="H1139"/>
      <c r="J1139"/>
    </row>
    <row r="1140" spans="5:10" x14ac:dyDescent="0.4">
      <c r="E1140"/>
      <c r="H1140"/>
      <c r="J1140"/>
    </row>
    <row r="1141" spans="5:10" x14ac:dyDescent="0.4">
      <c r="E1141"/>
      <c r="H1141"/>
      <c r="J1141"/>
    </row>
    <row r="1142" spans="5:10" x14ac:dyDescent="0.4">
      <c r="E1142"/>
      <c r="H1142"/>
      <c r="J1142"/>
    </row>
    <row r="1143" spans="5:10" x14ac:dyDescent="0.4">
      <c r="E1143"/>
      <c r="H1143"/>
      <c r="J1143"/>
    </row>
    <row r="1144" spans="5:10" x14ac:dyDescent="0.4">
      <c r="E1144"/>
      <c r="H1144"/>
      <c r="J1144"/>
    </row>
    <row r="1145" spans="5:10" x14ac:dyDescent="0.4">
      <c r="E1145"/>
      <c r="H1145"/>
      <c r="J1145"/>
    </row>
    <row r="1146" spans="5:10" x14ac:dyDescent="0.4">
      <c r="E1146"/>
      <c r="H1146"/>
      <c r="J1146"/>
    </row>
    <row r="1147" spans="5:10" x14ac:dyDescent="0.4">
      <c r="E1147"/>
      <c r="H1147"/>
      <c r="J1147"/>
    </row>
    <row r="1148" spans="5:10" x14ac:dyDescent="0.4">
      <c r="E1148"/>
      <c r="H1148"/>
      <c r="J1148"/>
    </row>
    <row r="1149" spans="5:10" x14ac:dyDescent="0.4">
      <c r="E1149"/>
      <c r="H1149"/>
      <c r="J1149"/>
    </row>
    <row r="1150" spans="5:10" x14ac:dyDescent="0.4">
      <c r="E1150"/>
      <c r="H1150"/>
      <c r="J1150"/>
    </row>
    <row r="1151" spans="5:10" x14ac:dyDescent="0.4">
      <c r="E1151"/>
      <c r="H1151"/>
      <c r="J1151"/>
    </row>
    <row r="1152" spans="5:10" x14ac:dyDescent="0.4">
      <c r="E1152"/>
      <c r="H1152"/>
      <c r="J1152"/>
    </row>
    <row r="1153" spans="5:10" x14ac:dyDescent="0.4">
      <c r="E1153"/>
      <c r="H1153"/>
      <c r="J1153"/>
    </row>
    <row r="1154" spans="5:10" x14ac:dyDescent="0.4">
      <c r="E1154"/>
      <c r="H1154"/>
      <c r="J1154"/>
    </row>
    <row r="1155" spans="5:10" x14ac:dyDescent="0.4">
      <c r="E1155"/>
      <c r="H1155"/>
      <c r="J1155"/>
    </row>
    <row r="1156" spans="5:10" x14ac:dyDescent="0.4">
      <c r="E1156"/>
      <c r="H1156"/>
      <c r="J1156"/>
    </row>
    <row r="1157" spans="5:10" x14ac:dyDescent="0.4">
      <c r="E1157"/>
      <c r="H1157"/>
      <c r="J1157"/>
    </row>
    <row r="1158" spans="5:10" x14ac:dyDescent="0.4">
      <c r="E1158"/>
      <c r="H1158"/>
      <c r="J1158"/>
    </row>
    <row r="1159" spans="5:10" x14ac:dyDescent="0.4">
      <c r="E1159"/>
      <c r="H1159"/>
      <c r="J1159"/>
    </row>
    <row r="1160" spans="5:10" x14ac:dyDescent="0.4">
      <c r="E1160"/>
      <c r="H1160"/>
      <c r="J1160"/>
    </row>
    <row r="1161" spans="5:10" x14ac:dyDescent="0.4">
      <c r="E1161"/>
      <c r="H1161"/>
      <c r="J1161"/>
    </row>
    <row r="1162" spans="5:10" x14ac:dyDescent="0.4">
      <c r="E1162"/>
      <c r="H1162"/>
      <c r="J1162"/>
    </row>
    <row r="1163" spans="5:10" x14ac:dyDescent="0.4">
      <c r="E1163"/>
      <c r="H1163"/>
      <c r="J1163"/>
    </row>
    <row r="1164" spans="5:10" x14ac:dyDescent="0.4">
      <c r="E1164"/>
      <c r="H1164"/>
      <c r="J1164"/>
    </row>
    <row r="1165" spans="5:10" x14ac:dyDescent="0.4">
      <c r="E1165"/>
      <c r="H1165"/>
      <c r="J1165"/>
    </row>
    <row r="1166" spans="5:10" x14ac:dyDescent="0.4">
      <c r="E1166"/>
      <c r="H1166"/>
      <c r="J1166"/>
    </row>
    <row r="1167" spans="5:10" x14ac:dyDescent="0.4">
      <c r="E1167"/>
      <c r="H1167"/>
      <c r="J1167"/>
    </row>
    <row r="1168" spans="5:10" x14ac:dyDescent="0.4">
      <c r="E1168"/>
      <c r="H1168"/>
      <c r="J1168"/>
    </row>
    <row r="1169" spans="5:10" x14ac:dyDescent="0.4">
      <c r="E1169"/>
      <c r="H1169"/>
      <c r="J1169"/>
    </row>
    <row r="1170" spans="5:10" x14ac:dyDescent="0.4">
      <c r="E1170"/>
      <c r="H1170"/>
      <c r="J1170"/>
    </row>
    <row r="1171" spans="5:10" x14ac:dyDescent="0.4">
      <c r="E1171"/>
      <c r="H1171"/>
      <c r="J1171"/>
    </row>
    <row r="1172" spans="5:10" x14ac:dyDescent="0.4">
      <c r="E1172"/>
      <c r="H1172"/>
      <c r="J1172"/>
    </row>
    <row r="1173" spans="5:10" x14ac:dyDescent="0.4">
      <c r="E1173"/>
      <c r="H1173"/>
      <c r="J1173"/>
    </row>
    <row r="1174" spans="5:10" x14ac:dyDescent="0.4">
      <c r="E1174"/>
      <c r="H1174"/>
      <c r="J1174"/>
    </row>
    <row r="1175" spans="5:10" x14ac:dyDescent="0.4">
      <c r="E1175"/>
      <c r="H1175"/>
      <c r="J1175"/>
    </row>
    <row r="1176" spans="5:10" x14ac:dyDescent="0.4">
      <c r="E1176"/>
      <c r="H1176"/>
      <c r="J1176"/>
    </row>
    <row r="1177" spans="5:10" x14ac:dyDescent="0.4">
      <c r="E1177"/>
      <c r="H1177"/>
      <c r="J1177"/>
    </row>
    <row r="1178" spans="5:10" x14ac:dyDescent="0.4">
      <c r="E1178"/>
      <c r="H1178"/>
      <c r="J1178"/>
    </row>
    <row r="1179" spans="5:10" x14ac:dyDescent="0.4">
      <c r="E1179"/>
      <c r="H1179"/>
      <c r="J1179"/>
    </row>
    <row r="1180" spans="5:10" x14ac:dyDescent="0.4">
      <c r="E1180"/>
      <c r="H1180"/>
      <c r="J1180"/>
    </row>
    <row r="1181" spans="5:10" x14ac:dyDescent="0.4">
      <c r="E1181"/>
      <c r="H1181"/>
      <c r="J1181"/>
    </row>
    <row r="1182" spans="5:10" x14ac:dyDescent="0.4">
      <c r="E1182"/>
      <c r="H1182"/>
      <c r="J1182"/>
    </row>
    <row r="1183" spans="5:10" x14ac:dyDescent="0.4">
      <c r="E1183"/>
      <c r="H1183"/>
      <c r="J1183"/>
    </row>
    <row r="1184" spans="5:10" x14ac:dyDescent="0.4">
      <c r="E1184"/>
      <c r="H1184"/>
      <c r="J1184"/>
    </row>
    <row r="1185" spans="5:10" x14ac:dyDescent="0.4">
      <c r="E1185"/>
      <c r="H1185"/>
      <c r="J1185"/>
    </row>
    <row r="1186" spans="5:10" x14ac:dyDescent="0.4">
      <c r="E1186"/>
      <c r="H1186"/>
      <c r="J1186"/>
    </row>
    <row r="1187" spans="5:10" x14ac:dyDescent="0.4">
      <c r="E1187"/>
      <c r="H1187"/>
      <c r="J1187"/>
    </row>
    <row r="1188" spans="5:10" x14ac:dyDescent="0.4">
      <c r="E1188"/>
      <c r="H1188"/>
      <c r="J1188"/>
    </row>
    <row r="1189" spans="5:10" x14ac:dyDescent="0.4">
      <c r="E1189"/>
      <c r="H1189"/>
      <c r="J1189"/>
    </row>
    <row r="1190" spans="5:10" x14ac:dyDescent="0.4">
      <c r="E1190"/>
      <c r="H1190"/>
      <c r="J1190"/>
    </row>
    <row r="1191" spans="5:10" x14ac:dyDescent="0.4">
      <c r="E1191"/>
      <c r="H1191"/>
      <c r="J1191"/>
    </row>
    <row r="1192" spans="5:10" x14ac:dyDescent="0.4">
      <c r="E1192"/>
      <c r="H1192"/>
      <c r="J1192"/>
    </row>
    <row r="1193" spans="5:10" x14ac:dyDescent="0.4">
      <c r="E1193"/>
      <c r="H1193"/>
      <c r="J1193"/>
    </row>
    <row r="1194" spans="5:10" x14ac:dyDescent="0.4">
      <c r="E1194"/>
      <c r="H1194"/>
      <c r="J1194"/>
    </row>
    <row r="1195" spans="5:10" x14ac:dyDescent="0.4">
      <c r="E1195"/>
      <c r="H1195"/>
      <c r="J1195"/>
    </row>
    <row r="1196" spans="5:10" x14ac:dyDescent="0.4">
      <c r="E1196"/>
      <c r="H1196"/>
      <c r="J1196"/>
    </row>
    <row r="1197" spans="5:10" x14ac:dyDescent="0.4">
      <c r="E1197"/>
      <c r="H1197"/>
      <c r="J1197"/>
    </row>
    <row r="1198" spans="5:10" x14ac:dyDescent="0.4">
      <c r="E1198"/>
      <c r="H1198"/>
      <c r="J1198"/>
    </row>
    <row r="1199" spans="5:10" x14ac:dyDescent="0.4">
      <c r="E1199"/>
      <c r="H1199"/>
      <c r="J1199"/>
    </row>
    <row r="1200" spans="5:10" x14ac:dyDescent="0.4">
      <c r="E1200"/>
      <c r="H1200"/>
      <c r="J1200"/>
    </row>
    <row r="1201" spans="5:10" x14ac:dyDescent="0.4">
      <c r="E1201"/>
      <c r="H1201"/>
      <c r="J1201"/>
    </row>
    <row r="1202" spans="5:10" x14ac:dyDescent="0.4">
      <c r="E1202"/>
      <c r="H1202"/>
      <c r="J1202"/>
    </row>
    <row r="1203" spans="5:10" x14ac:dyDescent="0.4">
      <c r="E1203"/>
      <c r="H1203"/>
      <c r="J1203"/>
    </row>
    <row r="1204" spans="5:10" x14ac:dyDescent="0.4">
      <c r="E1204"/>
      <c r="H1204"/>
      <c r="J1204"/>
    </row>
    <row r="1205" spans="5:10" x14ac:dyDescent="0.4">
      <c r="E1205"/>
      <c r="H1205"/>
      <c r="J1205"/>
    </row>
    <row r="1206" spans="5:10" x14ac:dyDescent="0.4">
      <c r="E1206"/>
      <c r="H1206"/>
      <c r="J1206"/>
    </row>
    <row r="1207" spans="5:10" x14ac:dyDescent="0.4">
      <c r="E1207"/>
      <c r="H1207"/>
      <c r="J1207"/>
    </row>
    <row r="1208" spans="5:10" x14ac:dyDescent="0.4">
      <c r="E1208"/>
      <c r="H1208"/>
      <c r="J1208"/>
    </row>
    <row r="1209" spans="5:10" x14ac:dyDescent="0.4">
      <c r="E1209"/>
      <c r="H1209"/>
      <c r="J1209"/>
    </row>
    <row r="1210" spans="5:10" x14ac:dyDescent="0.4">
      <c r="E1210"/>
      <c r="H1210"/>
      <c r="J1210"/>
    </row>
    <row r="1211" spans="5:10" x14ac:dyDescent="0.4">
      <c r="E1211"/>
      <c r="H1211"/>
      <c r="J1211"/>
    </row>
    <row r="1212" spans="5:10" x14ac:dyDescent="0.4">
      <c r="E1212"/>
      <c r="H1212"/>
      <c r="J1212"/>
    </row>
    <row r="1213" spans="5:10" x14ac:dyDescent="0.4">
      <c r="E1213"/>
      <c r="H1213"/>
      <c r="J1213"/>
    </row>
    <row r="1214" spans="5:10" x14ac:dyDescent="0.4">
      <c r="E1214"/>
      <c r="H1214"/>
      <c r="J1214"/>
    </row>
    <row r="1215" spans="5:10" x14ac:dyDescent="0.4">
      <c r="E1215"/>
      <c r="H1215"/>
      <c r="J1215"/>
    </row>
    <row r="1216" spans="5:10" x14ac:dyDescent="0.4">
      <c r="E1216"/>
      <c r="H1216"/>
      <c r="J1216"/>
    </row>
    <row r="1217" spans="5:10" x14ac:dyDescent="0.4">
      <c r="E1217"/>
      <c r="H1217"/>
      <c r="J1217"/>
    </row>
    <row r="1218" spans="5:10" x14ac:dyDescent="0.4">
      <c r="E1218"/>
      <c r="H1218"/>
      <c r="J1218"/>
    </row>
    <row r="1219" spans="5:10" x14ac:dyDescent="0.4">
      <c r="E1219"/>
      <c r="H1219"/>
      <c r="J1219"/>
    </row>
    <row r="1220" spans="5:10" x14ac:dyDescent="0.4">
      <c r="E1220"/>
      <c r="H1220"/>
      <c r="J1220"/>
    </row>
    <row r="1221" spans="5:10" x14ac:dyDescent="0.4">
      <c r="E1221"/>
      <c r="H1221"/>
      <c r="J1221"/>
    </row>
    <row r="1222" spans="5:10" x14ac:dyDescent="0.4">
      <c r="E1222"/>
      <c r="H1222"/>
      <c r="J1222"/>
    </row>
    <row r="1223" spans="5:10" x14ac:dyDescent="0.4">
      <c r="E1223"/>
      <c r="H1223"/>
      <c r="J1223"/>
    </row>
    <row r="1224" spans="5:10" x14ac:dyDescent="0.4">
      <c r="E1224"/>
      <c r="H1224"/>
      <c r="J1224"/>
    </row>
    <row r="1225" spans="5:10" x14ac:dyDescent="0.4">
      <c r="E1225"/>
      <c r="H1225"/>
      <c r="J1225"/>
    </row>
    <row r="1226" spans="5:10" x14ac:dyDescent="0.4">
      <c r="E1226"/>
      <c r="H1226"/>
      <c r="J1226"/>
    </row>
    <row r="1227" spans="5:10" x14ac:dyDescent="0.4">
      <c r="E1227"/>
      <c r="H1227"/>
      <c r="J1227"/>
    </row>
    <row r="1228" spans="5:10" x14ac:dyDescent="0.4">
      <c r="E1228"/>
      <c r="H1228"/>
      <c r="J1228"/>
    </row>
    <row r="1229" spans="5:10" x14ac:dyDescent="0.4">
      <c r="E1229"/>
      <c r="H1229"/>
      <c r="J1229"/>
    </row>
    <row r="1230" spans="5:10" x14ac:dyDescent="0.4">
      <c r="E1230"/>
      <c r="H1230"/>
      <c r="J1230"/>
    </row>
    <row r="1231" spans="5:10" x14ac:dyDescent="0.4">
      <c r="E1231"/>
      <c r="H1231"/>
      <c r="J1231"/>
    </row>
    <row r="1232" spans="5:10" x14ac:dyDescent="0.4">
      <c r="E1232"/>
      <c r="H1232"/>
      <c r="J1232"/>
    </row>
    <row r="1233" spans="5:10" x14ac:dyDescent="0.4">
      <c r="E1233"/>
      <c r="H1233"/>
      <c r="J1233"/>
    </row>
    <row r="1234" spans="5:10" x14ac:dyDescent="0.4">
      <c r="E1234"/>
      <c r="H1234"/>
      <c r="J1234"/>
    </row>
    <row r="1235" spans="5:10" x14ac:dyDescent="0.4">
      <c r="E1235"/>
      <c r="H1235"/>
      <c r="J1235"/>
    </row>
    <row r="1236" spans="5:10" x14ac:dyDescent="0.4">
      <c r="E1236"/>
      <c r="H1236"/>
      <c r="J1236"/>
    </row>
    <row r="1237" spans="5:10" x14ac:dyDescent="0.4">
      <c r="E1237"/>
      <c r="H1237"/>
      <c r="J1237"/>
    </row>
    <row r="1238" spans="5:10" x14ac:dyDescent="0.4">
      <c r="E1238"/>
      <c r="H1238"/>
      <c r="J1238"/>
    </row>
    <row r="1239" spans="5:10" x14ac:dyDescent="0.4">
      <c r="E1239"/>
      <c r="H1239"/>
      <c r="J1239"/>
    </row>
    <row r="1240" spans="5:10" x14ac:dyDescent="0.4">
      <c r="E1240"/>
      <c r="H1240"/>
      <c r="J1240"/>
    </row>
    <row r="1241" spans="5:10" x14ac:dyDescent="0.4">
      <c r="E1241"/>
      <c r="H1241"/>
      <c r="J1241"/>
    </row>
  </sheetData>
  <phoneticPr fontId="2" type="noConversion"/>
  <conditionalFormatting sqref="A1242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4"/>
  <sheetViews>
    <sheetView topLeftCell="A4" zoomScale="70" zoomScaleNormal="70" workbookViewId="0">
      <selection activeCell="C11" sqref="C11"/>
    </sheetView>
  </sheetViews>
  <sheetFormatPr defaultRowHeight="17.399999999999999" x14ac:dyDescent="0.4"/>
  <cols>
    <col min="3" max="3" width="89" bestFit="1" customWidth="1"/>
  </cols>
  <sheetData>
    <row r="1" spans="1:19" x14ac:dyDescent="0.4">
      <c r="A1" s="4" t="s">
        <v>3521</v>
      </c>
      <c r="B1" s="4" t="s">
        <v>4939</v>
      </c>
      <c r="C1" s="4" t="s">
        <v>4940</v>
      </c>
      <c r="D1" s="4" t="s">
        <v>4941</v>
      </c>
      <c r="E1" s="11" t="s">
        <v>2694</v>
      </c>
      <c r="F1" s="12" t="s">
        <v>2695</v>
      </c>
      <c r="G1" s="13" t="s">
        <v>2696</v>
      </c>
      <c r="H1" s="11" t="s">
        <v>2697</v>
      </c>
      <c r="I1" s="12" t="s">
        <v>2698</v>
      </c>
      <c r="J1" s="11" t="s">
        <v>2699</v>
      </c>
      <c r="K1" s="12" t="s">
        <v>2696</v>
      </c>
      <c r="L1" s="12" t="s">
        <v>2700</v>
      </c>
      <c r="M1" s="53" t="s">
        <v>4942</v>
      </c>
      <c r="N1" s="53" t="s">
        <v>4943</v>
      </c>
      <c r="O1" s="53" t="s">
        <v>4944</v>
      </c>
      <c r="P1" s="54" t="s">
        <v>4945</v>
      </c>
      <c r="Q1" s="54" t="s">
        <v>4946</v>
      </c>
      <c r="R1" s="54" t="s">
        <v>4947</v>
      </c>
      <c r="S1" s="54" t="s">
        <v>4948</v>
      </c>
    </row>
    <row r="2" spans="1:19" x14ac:dyDescent="0.4">
      <c r="A2" s="14" t="s">
        <v>3687</v>
      </c>
      <c r="B2" s="15">
        <v>96</v>
      </c>
      <c r="C2" s="17" t="s">
        <v>3688</v>
      </c>
      <c r="D2" s="15">
        <v>96</v>
      </c>
      <c r="E2" s="10"/>
      <c r="H2" s="10"/>
      <c r="J2" s="10"/>
      <c r="M2" t="s">
        <v>24</v>
      </c>
      <c r="N2">
        <v>3728600796</v>
      </c>
      <c r="O2">
        <v>11520</v>
      </c>
      <c r="P2" s="55">
        <v>24000</v>
      </c>
      <c r="R2" t="e">
        <v>#N/A</v>
      </c>
      <c r="S2" t="e">
        <v>#N/A</v>
      </c>
    </row>
    <row r="3" spans="1:19" x14ac:dyDescent="0.4">
      <c r="A3" s="14" t="s">
        <v>2964</v>
      </c>
      <c r="B3" s="15">
        <v>1</v>
      </c>
      <c r="C3" s="56" t="s">
        <v>2965</v>
      </c>
      <c r="D3" s="15">
        <v>3</v>
      </c>
      <c r="E3" s="10"/>
      <c r="H3" s="10"/>
      <c r="J3" s="10"/>
      <c r="M3" t="s">
        <v>3796</v>
      </c>
      <c r="N3">
        <v>5968100290</v>
      </c>
      <c r="O3">
        <v>6600</v>
      </c>
      <c r="P3" s="55">
        <v>12000</v>
      </c>
      <c r="R3" t="e">
        <v>#N/A</v>
      </c>
      <c r="S3" t="e">
        <v>#N/A</v>
      </c>
    </row>
    <row r="4" spans="1:19" x14ac:dyDescent="0.4">
      <c r="A4" s="14" t="s">
        <v>2967</v>
      </c>
      <c r="B4" s="15">
        <v>1</v>
      </c>
      <c r="C4" s="56" t="s">
        <v>2968</v>
      </c>
      <c r="D4" s="15">
        <v>3</v>
      </c>
      <c r="E4" s="10"/>
      <c r="H4" s="10"/>
      <c r="J4" s="10"/>
      <c r="M4" t="s">
        <v>3796</v>
      </c>
      <c r="N4">
        <v>5968100290</v>
      </c>
      <c r="O4">
        <v>6600</v>
      </c>
      <c r="P4" s="55">
        <v>12000</v>
      </c>
      <c r="R4" t="e">
        <v>#N/A</v>
      </c>
      <c r="S4" t="e">
        <v>#N/A</v>
      </c>
    </row>
    <row r="5" spans="1:19" x14ac:dyDescent="0.4">
      <c r="A5" s="14" t="s">
        <v>4191</v>
      </c>
      <c r="B5" s="15">
        <v>2</v>
      </c>
      <c r="C5" s="56" t="s">
        <v>4192</v>
      </c>
      <c r="D5" s="15">
        <v>3</v>
      </c>
      <c r="E5" s="10"/>
      <c r="H5" s="10"/>
      <c r="J5" s="10"/>
      <c r="M5" t="s">
        <v>222</v>
      </c>
      <c r="N5">
        <v>5968100290</v>
      </c>
      <c r="O5">
        <v>8750</v>
      </c>
      <c r="P5" s="55">
        <v>25000</v>
      </c>
      <c r="R5" t="e">
        <v>#N/A</v>
      </c>
      <c r="S5" t="e">
        <v>#N/A</v>
      </c>
    </row>
    <row r="6" spans="1:19" x14ac:dyDescent="0.4">
      <c r="A6" s="14" t="s">
        <v>2981</v>
      </c>
      <c r="B6" s="15">
        <v>1</v>
      </c>
      <c r="C6" s="56" t="s">
        <v>2982</v>
      </c>
      <c r="D6" s="15">
        <v>3</v>
      </c>
      <c r="E6" s="10"/>
      <c r="H6" s="10"/>
      <c r="J6" s="10"/>
      <c r="M6" t="s">
        <v>222</v>
      </c>
      <c r="N6">
        <v>5968100290</v>
      </c>
      <c r="O6">
        <v>4900</v>
      </c>
      <c r="P6" s="55">
        <v>14000</v>
      </c>
      <c r="R6" t="e">
        <v>#N/A</v>
      </c>
      <c r="S6" t="e">
        <v>#N/A</v>
      </c>
    </row>
    <row r="7" spans="1:19" x14ac:dyDescent="0.4">
      <c r="A7" s="14" t="s">
        <v>4438</v>
      </c>
      <c r="B7" s="15">
        <v>1</v>
      </c>
      <c r="C7" s="56" t="s">
        <v>4439</v>
      </c>
      <c r="D7" s="15">
        <v>5</v>
      </c>
      <c r="E7" s="10"/>
      <c r="H7" s="10"/>
      <c r="J7" s="10"/>
      <c r="M7" t="s">
        <v>260</v>
      </c>
      <c r="N7">
        <v>5968100290</v>
      </c>
      <c r="O7">
        <v>1330</v>
      </c>
      <c r="P7" s="55">
        <v>3500</v>
      </c>
      <c r="R7" t="e">
        <v>#N/A</v>
      </c>
      <c r="S7" t="e">
        <v>#N/A</v>
      </c>
    </row>
    <row r="8" spans="1:19" x14ac:dyDescent="0.4">
      <c r="A8" s="14" t="s">
        <v>4744</v>
      </c>
      <c r="B8" s="15">
        <v>1</v>
      </c>
      <c r="C8" s="19" t="s">
        <v>4745</v>
      </c>
      <c r="D8" s="15">
        <v>60</v>
      </c>
      <c r="E8" s="10"/>
      <c r="H8" s="10"/>
      <c r="J8" s="10"/>
      <c r="M8" t="s">
        <v>158</v>
      </c>
      <c r="N8">
        <v>5968100290</v>
      </c>
      <c r="O8">
        <v>12650</v>
      </c>
      <c r="P8" s="55">
        <v>23000</v>
      </c>
      <c r="R8" t="e">
        <v>#N/A</v>
      </c>
      <c r="S8" t="e">
        <v>#N/A</v>
      </c>
    </row>
    <row r="9" spans="1:19" x14ac:dyDescent="0.4">
      <c r="A9" s="14" t="s">
        <v>2991</v>
      </c>
      <c r="B9" s="15">
        <v>1</v>
      </c>
      <c r="C9" s="19" t="s">
        <v>2992</v>
      </c>
      <c r="D9" s="15">
        <v>1</v>
      </c>
      <c r="E9" s="10">
        <v>43119</v>
      </c>
      <c r="F9" t="s">
        <v>4949</v>
      </c>
      <c r="H9" s="10"/>
      <c r="J9" s="10"/>
      <c r="M9" t="s">
        <v>158</v>
      </c>
      <c r="N9">
        <v>5968100290</v>
      </c>
      <c r="O9">
        <v>7150</v>
      </c>
      <c r="P9" s="55">
        <v>13000</v>
      </c>
      <c r="R9" t="e">
        <v>#N/A</v>
      </c>
      <c r="S9" t="e">
        <v>#N/A</v>
      </c>
    </row>
    <row r="10" spans="1:19" x14ac:dyDescent="0.4">
      <c r="A10" s="14" t="s">
        <v>4822</v>
      </c>
      <c r="B10" s="15">
        <v>1</v>
      </c>
      <c r="C10" s="56" t="s">
        <v>4824</v>
      </c>
      <c r="D10" s="15">
        <v>3</v>
      </c>
      <c r="E10" s="10"/>
      <c r="H10" s="10"/>
      <c r="J10" s="10"/>
      <c r="M10" t="s">
        <v>4818</v>
      </c>
      <c r="N10">
        <v>5968100290</v>
      </c>
      <c r="O10">
        <v>4554</v>
      </c>
      <c r="P10" s="55">
        <v>9900</v>
      </c>
      <c r="R10" t="e">
        <v>#N/A</v>
      </c>
      <c r="S10" t="e">
        <v>#N/A</v>
      </c>
    </row>
    <row r="11" spans="1:19" x14ac:dyDescent="0.4">
      <c r="A11" s="14" t="s">
        <v>4837</v>
      </c>
      <c r="B11" s="15">
        <v>1</v>
      </c>
      <c r="C11" s="56" t="s">
        <v>4839</v>
      </c>
      <c r="D11" s="15">
        <v>1</v>
      </c>
      <c r="E11" s="10"/>
      <c r="H11" s="10"/>
      <c r="J11" s="10"/>
      <c r="M11" t="s">
        <v>4838</v>
      </c>
      <c r="N11">
        <v>5968100290</v>
      </c>
      <c r="O11">
        <v>9000</v>
      </c>
      <c r="P11" s="55">
        <v>18000</v>
      </c>
      <c r="R11" t="e">
        <v>#N/A</v>
      </c>
      <c r="S11" t="e">
        <v>#N/A</v>
      </c>
    </row>
    <row r="12" spans="1:19" x14ac:dyDescent="0.4">
      <c r="A12" s="14" t="s">
        <v>4841</v>
      </c>
      <c r="B12" s="15">
        <v>1</v>
      </c>
      <c r="C12" s="56" t="s">
        <v>4843</v>
      </c>
      <c r="D12" s="15">
        <v>1</v>
      </c>
      <c r="E12" s="10"/>
      <c r="H12" s="10"/>
      <c r="J12" s="10"/>
      <c r="M12" t="s">
        <v>4838</v>
      </c>
      <c r="N12">
        <v>5968100290</v>
      </c>
      <c r="O12">
        <v>14000</v>
      </c>
      <c r="P12" s="55">
        <v>28000</v>
      </c>
      <c r="R12" t="e">
        <v>#N/A</v>
      </c>
      <c r="S12" t="e">
        <v>#N/A</v>
      </c>
    </row>
    <row r="13" spans="1:19" x14ac:dyDescent="0.4">
      <c r="A13" s="14" t="s">
        <v>4845</v>
      </c>
      <c r="B13" s="15">
        <v>1</v>
      </c>
      <c r="C13" s="56" t="s">
        <v>4847</v>
      </c>
      <c r="D13" s="15">
        <v>1</v>
      </c>
      <c r="E13" s="10"/>
      <c r="H13" s="10"/>
      <c r="J13" s="10"/>
      <c r="M13" t="s">
        <v>4838</v>
      </c>
      <c r="N13">
        <v>5968100290</v>
      </c>
      <c r="O13">
        <v>12500</v>
      </c>
      <c r="P13" s="55">
        <v>25000</v>
      </c>
      <c r="R13" t="e">
        <v>#N/A</v>
      </c>
      <c r="S13" t="e">
        <v>#N/A</v>
      </c>
    </row>
    <row r="14" spans="1:19" x14ac:dyDescent="0.4">
      <c r="A14" s="14" t="s">
        <v>4056</v>
      </c>
      <c r="B14" s="15">
        <v>1</v>
      </c>
      <c r="C14" s="17" t="s">
        <v>4058</v>
      </c>
      <c r="D14" s="15">
        <v>1</v>
      </c>
      <c r="E14" s="10"/>
      <c r="H14" s="10"/>
      <c r="J14" s="10"/>
      <c r="M14" t="s">
        <v>97</v>
      </c>
      <c r="N14">
        <v>1000000002</v>
      </c>
      <c r="O14">
        <v>26000</v>
      </c>
      <c r="P14" s="55">
        <v>40000</v>
      </c>
      <c r="R14" t="e">
        <v>#N/A</v>
      </c>
      <c r="S14" t="e">
        <v>#N/A</v>
      </c>
    </row>
    <row r="15" spans="1:19" x14ac:dyDescent="0.4">
      <c r="A15" s="14" t="s">
        <v>4062</v>
      </c>
      <c r="B15" s="15">
        <v>1</v>
      </c>
      <c r="C15" s="17" t="s">
        <v>4064</v>
      </c>
      <c r="D15" s="15">
        <v>1</v>
      </c>
      <c r="E15" s="10"/>
      <c r="H15" s="10"/>
      <c r="J15" s="10"/>
      <c r="M15" t="s">
        <v>97</v>
      </c>
      <c r="N15">
        <v>1000000002</v>
      </c>
      <c r="O15">
        <v>26000</v>
      </c>
      <c r="P15" s="55">
        <v>40000</v>
      </c>
      <c r="R15" t="e">
        <v>#N/A</v>
      </c>
      <c r="S15" t="e">
        <v>#N/A</v>
      </c>
    </row>
    <row r="16" spans="1:19" x14ac:dyDescent="0.4">
      <c r="A16" s="14" t="s">
        <v>4066</v>
      </c>
      <c r="B16" s="15">
        <v>1</v>
      </c>
      <c r="C16" s="17" t="s">
        <v>4068</v>
      </c>
      <c r="D16" s="15">
        <v>1</v>
      </c>
      <c r="E16" s="10"/>
      <c r="H16" s="10"/>
      <c r="J16" s="10"/>
      <c r="M16" t="s">
        <v>97</v>
      </c>
      <c r="N16">
        <v>1000000002</v>
      </c>
      <c r="O16">
        <v>19500</v>
      </c>
      <c r="P16" s="55">
        <v>30000</v>
      </c>
      <c r="R16" t="e">
        <v>#N/A</v>
      </c>
      <c r="S16" t="e">
        <v>#N/A</v>
      </c>
    </row>
    <row r="17" spans="1:19" x14ac:dyDescent="0.4">
      <c r="A17" s="14" t="s">
        <v>4854</v>
      </c>
      <c r="B17" s="15">
        <v>1</v>
      </c>
      <c r="C17" s="17" t="s">
        <v>4855</v>
      </c>
      <c r="D17" s="15">
        <v>1</v>
      </c>
      <c r="E17" s="10"/>
      <c r="H17" s="10"/>
      <c r="J17" s="10"/>
      <c r="M17" t="s">
        <v>107</v>
      </c>
      <c r="N17">
        <v>1000000002</v>
      </c>
      <c r="O17">
        <v>20800</v>
      </c>
      <c r="P17" s="55">
        <v>32000</v>
      </c>
      <c r="R17" t="e">
        <v>#N/A</v>
      </c>
      <c r="S17" t="e">
        <v>#N/A</v>
      </c>
    </row>
    <row r="18" spans="1:19" x14ac:dyDescent="0.4">
      <c r="A18" s="14" t="s">
        <v>2443</v>
      </c>
      <c r="B18" s="15">
        <v>2</v>
      </c>
      <c r="C18" s="17" t="s">
        <v>2444</v>
      </c>
      <c r="D18" s="15">
        <v>2</v>
      </c>
      <c r="E18" s="10"/>
      <c r="H18" s="10"/>
      <c r="J18" s="10"/>
      <c r="M18" t="s">
        <v>107</v>
      </c>
      <c r="N18">
        <v>1000000002</v>
      </c>
      <c r="O18">
        <v>16900</v>
      </c>
      <c r="P18" s="55">
        <v>26000</v>
      </c>
      <c r="R18" t="s">
        <v>2443</v>
      </c>
      <c r="S18">
        <v>2</v>
      </c>
    </row>
    <row r="19" spans="1:19" x14ac:dyDescent="0.4">
      <c r="A19" s="14" t="s">
        <v>2545</v>
      </c>
      <c r="B19" s="15">
        <v>1</v>
      </c>
      <c r="C19" s="17" t="s">
        <v>2546</v>
      </c>
      <c r="D19" s="15">
        <v>1</v>
      </c>
      <c r="E19" s="10"/>
      <c r="H19" s="10"/>
      <c r="J19" s="10"/>
      <c r="M19" t="s">
        <v>107</v>
      </c>
      <c r="N19">
        <v>1000000002</v>
      </c>
      <c r="O19">
        <v>32500</v>
      </c>
      <c r="P19" s="55">
        <v>50000</v>
      </c>
      <c r="R19" t="s">
        <v>2545</v>
      </c>
      <c r="S19">
        <v>1</v>
      </c>
    </row>
    <row r="20" spans="1:19" x14ac:dyDescent="0.4">
      <c r="A20" s="14" t="s">
        <v>3019</v>
      </c>
      <c r="B20" s="15">
        <v>1</v>
      </c>
      <c r="C20" s="17" t="s">
        <v>3020</v>
      </c>
      <c r="D20" s="15">
        <v>1</v>
      </c>
      <c r="E20" s="10"/>
      <c r="H20" s="10"/>
      <c r="J20" s="10"/>
      <c r="M20" t="s">
        <v>107</v>
      </c>
      <c r="N20">
        <v>1000000002</v>
      </c>
      <c r="O20">
        <v>13650</v>
      </c>
      <c r="P20" s="55">
        <v>21000</v>
      </c>
      <c r="R20" t="e">
        <v>#N/A</v>
      </c>
      <c r="S20" t="e">
        <v>#N/A</v>
      </c>
    </row>
    <row r="21" spans="1:19" x14ac:dyDescent="0.4">
      <c r="A21" s="14" t="s">
        <v>3572</v>
      </c>
      <c r="B21" s="15">
        <v>1</v>
      </c>
      <c r="C21" s="18" t="s">
        <v>3574</v>
      </c>
      <c r="D21" s="15">
        <v>1</v>
      </c>
      <c r="E21" s="10">
        <v>43119</v>
      </c>
      <c r="F21" t="s">
        <v>4950</v>
      </c>
      <c r="H21" s="10"/>
      <c r="J21" s="10"/>
      <c r="M21" t="s">
        <v>117</v>
      </c>
      <c r="N21">
        <v>7556700059</v>
      </c>
      <c r="O21">
        <v>15400</v>
      </c>
      <c r="P21" s="55">
        <v>28000</v>
      </c>
      <c r="R21" t="e">
        <v>#N/A</v>
      </c>
      <c r="S21" t="e">
        <v>#N/A</v>
      </c>
    </row>
    <row r="22" spans="1:19" x14ac:dyDescent="0.4">
      <c r="A22" s="14" t="s">
        <v>4449</v>
      </c>
      <c r="B22" s="15">
        <v>3</v>
      </c>
      <c r="C22" s="17" t="s">
        <v>4451</v>
      </c>
      <c r="D22" s="15">
        <v>3</v>
      </c>
      <c r="E22" s="10"/>
      <c r="H22" s="10"/>
      <c r="J22" s="10"/>
      <c r="M22" t="s">
        <v>117</v>
      </c>
      <c r="N22">
        <v>7556700059</v>
      </c>
      <c r="O22">
        <v>8250</v>
      </c>
      <c r="P22" s="55">
        <v>15000</v>
      </c>
      <c r="R22" t="e">
        <v>#N/A</v>
      </c>
      <c r="S22" t="e">
        <v>#N/A</v>
      </c>
    </row>
    <row r="23" spans="1:19" x14ac:dyDescent="0.4">
      <c r="A23" s="14" t="s">
        <v>4453</v>
      </c>
      <c r="B23" s="15">
        <v>1</v>
      </c>
      <c r="C23" s="17" t="s">
        <v>4455</v>
      </c>
      <c r="D23" s="15">
        <v>1</v>
      </c>
      <c r="E23" s="10"/>
      <c r="H23" s="10"/>
      <c r="J23" s="10"/>
      <c r="M23" t="s">
        <v>117</v>
      </c>
      <c r="N23">
        <v>7556700059</v>
      </c>
      <c r="O23">
        <v>3850</v>
      </c>
      <c r="P23" s="55">
        <v>7000</v>
      </c>
      <c r="R23" t="e">
        <v>#N/A</v>
      </c>
      <c r="S23" t="e">
        <v>#N/A</v>
      </c>
    </row>
    <row r="24" spans="1:19" x14ac:dyDescent="0.4">
      <c r="A24" s="14" t="s">
        <v>4457</v>
      </c>
      <c r="B24" s="15">
        <v>3</v>
      </c>
      <c r="C24" s="17" t="s">
        <v>4459</v>
      </c>
      <c r="D24" s="15">
        <v>3</v>
      </c>
      <c r="E24" s="10"/>
      <c r="H24" s="10"/>
      <c r="J24" s="10"/>
      <c r="M24" t="s">
        <v>117</v>
      </c>
      <c r="N24">
        <v>7556700059</v>
      </c>
      <c r="O24">
        <v>1925</v>
      </c>
      <c r="P24" s="55">
        <v>3500</v>
      </c>
      <c r="R24" t="e">
        <v>#N/A</v>
      </c>
      <c r="S24" t="e">
        <v>#N/A</v>
      </c>
    </row>
    <row r="25" spans="1:19" x14ac:dyDescent="0.4">
      <c r="A25" s="14" t="s">
        <v>4465</v>
      </c>
      <c r="B25" s="15">
        <v>9</v>
      </c>
      <c r="C25" s="17" t="s">
        <v>4466</v>
      </c>
      <c r="D25" s="15">
        <v>9</v>
      </c>
      <c r="E25" s="10"/>
      <c r="H25" s="10"/>
      <c r="J25" s="10"/>
      <c r="M25" t="s">
        <v>117</v>
      </c>
      <c r="N25">
        <v>7556700059</v>
      </c>
      <c r="O25">
        <v>3300</v>
      </c>
      <c r="P25" s="55">
        <v>6000</v>
      </c>
      <c r="R25" t="e">
        <v>#N/A</v>
      </c>
      <c r="S25" t="e">
        <v>#N/A</v>
      </c>
    </row>
    <row r="26" spans="1:19" x14ac:dyDescent="0.4">
      <c r="A26" s="14" t="s">
        <v>4468</v>
      </c>
      <c r="B26" s="15">
        <v>1</v>
      </c>
      <c r="C26" s="17" t="s">
        <v>4470</v>
      </c>
      <c r="D26" s="15">
        <v>1</v>
      </c>
      <c r="E26" s="10"/>
      <c r="H26" s="10"/>
      <c r="J26" s="10"/>
      <c r="M26" t="s">
        <v>117</v>
      </c>
      <c r="N26">
        <v>7556700059</v>
      </c>
      <c r="O26">
        <v>5500</v>
      </c>
      <c r="P26" s="55">
        <v>10000</v>
      </c>
      <c r="R26" t="e">
        <v>#N/A</v>
      </c>
      <c r="S26" t="e">
        <v>#N/A</v>
      </c>
    </row>
    <row r="27" spans="1:19" x14ac:dyDescent="0.4">
      <c r="A27" s="14" t="s">
        <v>3045</v>
      </c>
      <c r="B27" s="15">
        <v>2</v>
      </c>
      <c r="C27" s="17" t="s">
        <v>3046</v>
      </c>
      <c r="D27" s="15">
        <v>2</v>
      </c>
      <c r="E27" s="10"/>
      <c r="H27" s="10"/>
      <c r="J27" s="10"/>
      <c r="M27" t="s">
        <v>117</v>
      </c>
      <c r="N27">
        <v>7556700059</v>
      </c>
      <c r="O27">
        <v>4400</v>
      </c>
      <c r="P27" s="55">
        <v>8000</v>
      </c>
      <c r="R27" t="e">
        <v>#N/A</v>
      </c>
      <c r="S27" t="e">
        <v>#N/A</v>
      </c>
    </row>
    <row r="28" spans="1:19" x14ac:dyDescent="0.4">
      <c r="A28" s="14" t="s">
        <v>4477</v>
      </c>
      <c r="B28" s="15">
        <v>1</v>
      </c>
      <c r="C28" s="17" t="s">
        <v>4478</v>
      </c>
      <c r="D28" s="15">
        <v>1</v>
      </c>
      <c r="E28" s="10"/>
      <c r="H28" s="10"/>
      <c r="J28" s="10"/>
      <c r="M28" t="s">
        <v>117</v>
      </c>
      <c r="N28">
        <v>7556700059</v>
      </c>
      <c r="O28">
        <v>19250</v>
      </c>
      <c r="P28" s="55">
        <v>35000</v>
      </c>
      <c r="R28" t="e">
        <v>#N/A</v>
      </c>
      <c r="S28" t="e">
        <v>#N/A</v>
      </c>
    </row>
    <row r="29" spans="1:19" x14ac:dyDescent="0.4">
      <c r="A29" s="14" t="s">
        <v>654</v>
      </c>
      <c r="B29" s="15">
        <v>1</v>
      </c>
      <c r="C29" s="17" t="s">
        <v>655</v>
      </c>
      <c r="D29" s="15">
        <v>1</v>
      </c>
      <c r="E29" s="10"/>
      <c r="H29" s="10"/>
      <c r="J29" s="10"/>
      <c r="M29" t="s">
        <v>117</v>
      </c>
      <c r="N29">
        <v>7556700059</v>
      </c>
      <c r="O29">
        <v>6600</v>
      </c>
      <c r="P29" s="55">
        <v>12000</v>
      </c>
      <c r="R29" t="e">
        <v>#N/A</v>
      </c>
      <c r="S29" t="e">
        <v>#N/A</v>
      </c>
    </row>
    <row r="30" spans="1:19" x14ac:dyDescent="0.4">
      <c r="A30" s="14" t="s">
        <v>482</v>
      </c>
      <c r="B30" s="15">
        <v>2</v>
      </c>
      <c r="C30" s="17" t="s">
        <v>483</v>
      </c>
      <c r="D30" s="15">
        <v>2</v>
      </c>
      <c r="E30" s="10"/>
      <c r="H30" s="10"/>
      <c r="J30" s="10"/>
      <c r="M30" t="s">
        <v>117</v>
      </c>
      <c r="N30">
        <v>7556700059</v>
      </c>
      <c r="O30">
        <v>4400</v>
      </c>
      <c r="P30" s="55">
        <v>8000</v>
      </c>
      <c r="R30" t="e">
        <v>#N/A</v>
      </c>
      <c r="S30" t="e">
        <v>#N/A</v>
      </c>
    </row>
    <row r="31" spans="1:19" x14ac:dyDescent="0.4">
      <c r="A31" s="14" t="s">
        <v>4486</v>
      </c>
      <c r="B31" s="15">
        <v>1</v>
      </c>
      <c r="C31" s="17" t="s">
        <v>4488</v>
      </c>
      <c r="D31" s="15">
        <v>1</v>
      </c>
      <c r="E31" s="10"/>
      <c r="H31" s="10"/>
      <c r="J31" s="10"/>
      <c r="M31" t="s">
        <v>117</v>
      </c>
      <c r="N31">
        <v>7556700059</v>
      </c>
      <c r="O31">
        <v>1650</v>
      </c>
      <c r="P31" s="55">
        <v>3000</v>
      </c>
      <c r="R31" t="e">
        <v>#N/A</v>
      </c>
      <c r="S31" t="e">
        <v>#N/A</v>
      </c>
    </row>
    <row r="32" spans="1:19" x14ac:dyDescent="0.4">
      <c r="A32" s="14" t="s">
        <v>4490</v>
      </c>
      <c r="B32" s="15">
        <v>1</v>
      </c>
      <c r="C32" s="17" t="s">
        <v>4492</v>
      </c>
      <c r="D32" s="15">
        <v>1</v>
      </c>
      <c r="E32" s="10"/>
      <c r="H32" s="10"/>
      <c r="J32" s="10"/>
      <c r="M32" t="s">
        <v>117</v>
      </c>
      <c r="N32">
        <v>7556700059</v>
      </c>
      <c r="O32">
        <v>1650</v>
      </c>
      <c r="P32" s="55">
        <v>3000</v>
      </c>
      <c r="R32" t="e">
        <v>#N/A</v>
      </c>
      <c r="S32" t="e">
        <v>#N/A</v>
      </c>
    </row>
    <row r="33" spans="1:19" x14ac:dyDescent="0.4">
      <c r="A33" s="14" t="s">
        <v>4494</v>
      </c>
      <c r="B33" s="15">
        <v>1</v>
      </c>
      <c r="C33" s="17" t="s">
        <v>4496</v>
      </c>
      <c r="D33" s="15">
        <v>1</v>
      </c>
      <c r="E33" s="10"/>
      <c r="H33" s="10"/>
      <c r="J33" s="10"/>
      <c r="M33" t="s">
        <v>117</v>
      </c>
      <c r="N33">
        <v>7556700059</v>
      </c>
      <c r="O33">
        <v>6600</v>
      </c>
      <c r="P33" s="55">
        <v>12000</v>
      </c>
      <c r="R33" t="e">
        <v>#N/A</v>
      </c>
      <c r="S33" t="e">
        <v>#N/A</v>
      </c>
    </row>
    <row r="34" spans="1:19" x14ac:dyDescent="0.4">
      <c r="A34" s="14" t="s">
        <v>2635</v>
      </c>
      <c r="B34" s="15">
        <v>1</v>
      </c>
      <c r="C34" s="17" t="s">
        <v>2637</v>
      </c>
      <c r="D34" s="15">
        <v>1</v>
      </c>
      <c r="E34" s="10"/>
      <c r="H34" s="10"/>
      <c r="J34" s="10"/>
      <c r="M34" t="s">
        <v>117</v>
      </c>
      <c r="N34">
        <v>7556700059</v>
      </c>
      <c r="O34">
        <v>6600</v>
      </c>
      <c r="P34" s="55">
        <v>12000</v>
      </c>
      <c r="R34" t="s">
        <v>2635</v>
      </c>
      <c r="S34">
        <v>1</v>
      </c>
    </row>
    <row r="35" spans="1:19" x14ac:dyDescent="0.4">
      <c r="A35" s="14" t="s">
        <v>4499</v>
      </c>
      <c r="B35" s="15">
        <v>1</v>
      </c>
      <c r="C35" s="17" t="s">
        <v>4501</v>
      </c>
      <c r="D35" s="15">
        <v>1</v>
      </c>
      <c r="E35" s="10"/>
      <c r="H35" s="10"/>
      <c r="J35" s="10"/>
      <c r="M35" t="s">
        <v>117</v>
      </c>
      <c r="N35">
        <v>7556700059</v>
      </c>
      <c r="O35">
        <v>605</v>
      </c>
      <c r="P35" s="55">
        <v>1100</v>
      </c>
      <c r="R35" t="e">
        <v>#N/A</v>
      </c>
      <c r="S35" t="e">
        <v>#N/A</v>
      </c>
    </row>
    <row r="36" spans="1:19" x14ac:dyDescent="0.4">
      <c r="A36" s="14" t="s">
        <v>4503</v>
      </c>
      <c r="B36" s="15">
        <v>1</v>
      </c>
      <c r="C36" s="17" t="s">
        <v>4505</v>
      </c>
      <c r="D36" s="15">
        <v>1</v>
      </c>
      <c r="E36" s="10"/>
      <c r="H36" s="10"/>
      <c r="J36" s="10"/>
      <c r="M36" t="s">
        <v>117</v>
      </c>
      <c r="N36">
        <v>7556700059</v>
      </c>
      <c r="O36">
        <v>605</v>
      </c>
      <c r="P36" s="55">
        <v>1100</v>
      </c>
      <c r="R36" t="e">
        <v>#N/A</v>
      </c>
      <c r="S36" t="e">
        <v>#N/A</v>
      </c>
    </row>
    <row r="37" spans="1:19" x14ac:dyDescent="0.4">
      <c r="A37" s="14" t="s">
        <v>4507</v>
      </c>
      <c r="B37" s="15">
        <v>3</v>
      </c>
      <c r="C37" s="17" t="s">
        <v>4508</v>
      </c>
      <c r="D37" s="15">
        <v>3</v>
      </c>
      <c r="E37" s="10"/>
      <c r="H37" s="10"/>
      <c r="J37" s="10"/>
      <c r="M37" t="s">
        <v>117</v>
      </c>
      <c r="N37">
        <v>7556700059</v>
      </c>
      <c r="O37">
        <v>6600</v>
      </c>
      <c r="P37" s="55">
        <v>12000</v>
      </c>
      <c r="R37" t="e">
        <v>#N/A</v>
      </c>
      <c r="S37" t="e">
        <v>#N/A</v>
      </c>
    </row>
    <row r="38" spans="1:19" x14ac:dyDescent="0.4">
      <c r="A38" s="14" t="s">
        <v>4510</v>
      </c>
      <c r="B38" s="15">
        <v>1</v>
      </c>
      <c r="C38" s="17" t="s">
        <v>4511</v>
      </c>
      <c r="D38" s="15">
        <v>1</v>
      </c>
      <c r="E38" s="10"/>
      <c r="H38" s="10"/>
      <c r="J38" s="10"/>
      <c r="M38" t="s">
        <v>117</v>
      </c>
      <c r="N38">
        <v>7556700059</v>
      </c>
      <c r="O38">
        <v>6600</v>
      </c>
      <c r="P38" s="55">
        <v>12000</v>
      </c>
      <c r="R38" t="e">
        <v>#N/A</v>
      </c>
      <c r="S38" t="e">
        <v>#N/A</v>
      </c>
    </row>
    <row r="39" spans="1:19" x14ac:dyDescent="0.4">
      <c r="A39" s="14" t="s">
        <v>4513</v>
      </c>
      <c r="B39" s="15">
        <v>1</v>
      </c>
      <c r="C39" s="17" t="s">
        <v>4515</v>
      </c>
      <c r="D39" s="15">
        <v>1</v>
      </c>
      <c r="E39" s="10"/>
      <c r="H39" s="10"/>
      <c r="J39" s="10"/>
      <c r="M39" t="s">
        <v>117</v>
      </c>
      <c r="N39">
        <v>7556700059</v>
      </c>
      <c r="O39">
        <v>2200</v>
      </c>
      <c r="P39" s="55">
        <v>4000</v>
      </c>
      <c r="R39" t="e">
        <v>#N/A</v>
      </c>
      <c r="S39" t="e">
        <v>#N/A</v>
      </c>
    </row>
    <row r="40" spans="1:19" x14ac:dyDescent="0.4">
      <c r="A40" s="14" t="s">
        <v>4517</v>
      </c>
      <c r="B40" s="15">
        <v>3</v>
      </c>
      <c r="C40" s="17" t="s">
        <v>4518</v>
      </c>
      <c r="D40" s="15">
        <v>3</v>
      </c>
      <c r="E40" s="10"/>
      <c r="H40" s="10"/>
      <c r="J40" s="10"/>
      <c r="M40" t="s">
        <v>117</v>
      </c>
      <c r="N40">
        <v>7556700059</v>
      </c>
      <c r="O40">
        <v>1375</v>
      </c>
      <c r="P40" s="55">
        <v>2500</v>
      </c>
      <c r="R40" t="e">
        <v>#N/A</v>
      </c>
      <c r="S40" t="e">
        <v>#N/A</v>
      </c>
    </row>
    <row r="41" spans="1:19" x14ac:dyDescent="0.4">
      <c r="A41" s="14" t="s">
        <v>4520</v>
      </c>
      <c r="B41" s="15">
        <v>1</v>
      </c>
      <c r="C41" s="17" t="s">
        <v>4522</v>
      </c>
      <c r="D41" s="15">
        <v>1</v>
      </c>
      <c r="E41" s="10"/>
      <c r="H41" s="10"/>
      <c r="J41" s="10"/>
      <c r="M41" t="s">
        <v>117</v>
      </c>
      <c r="N41">
        <v>7556700059</v>
      </c>
      <c r="O41">
        <v>3300</v>
      </c>
      <c r="P41" s="55">
        <v>6000</v>
      </c>
      <c r="R41" t="e">
        <v>#N/A</v>
      </c>
      <c r="S41" t="e">
        <v>#N/A</v>
      </c>
    </row>
    <row r="42" spans="1:19" x14ac:dyDescent="0.4">
      <c r="A42" s="14" t="s">
        <v>4524</v>
      </c>
      <c r="B42" s="15">
        <v>1</v>
      </c>
      <c r="C42" s="17" t="s">
        <v>4526</v>
      </c>
      <c r="D42" s="15">
        <v>1</v>
      </c>
      <c r="E42" s="10"/>
      <c r="H42" s="10"/>
      <c r="J42" s="10"/>
      <c r="M42" t="s">
        <v>117</v>
      </c>
      <c r="N42">
        <v>7556700059</v>
      </c>
      <c r="O42">
        <v>1650</v>
      </c>
      <c r="P42" s="55">
        <v>3000</v>
      </c>
      <c r="R42" t="e">
        <v>#N/A</v>
      </c>
      <c r="S42" t="e">
        <v>#N/A</v>
      </c>
    </row>
    <row r="43" spans="1:19" x14ac:dyDescent="0.4">
      <c r="A43" s="14" t="s">
        <v>3063</v>
      </c>
      <c r="B43" s="15">
        <v>7</v>
      </c>
      <c r="C43" s="17" t="s">
        <v>3064</v>
      </c>
      <c r="D43" s="15">
        <v>7</v>
      </c>
      <c r="E43" s="10"/>
      <c r="H43" s="10"/>
      <c r="J43" s="10"/>
      <c r="M43" t="s">
        <v>117</v>
      </c>
      <c r="N43">
        <v>7556700059</v>
      </c>
      <c r="O43">
        <v>1375</v>
      </c>
      <c r="P43" s="55">
        <v>2500</v>
      </c>
      <c r="R43" t="e">
        <v>#N/A</v>
      </c>
      <c r="S43" t="e">
        <v>#N/A</v>
      </c>
    </row>
    <row r="44" spans="1:19" x14ac:dyDescent="0.4">
      <c r="A44" s="14" t="s">
        <v>4530</v>
      </c>
      <c r="B44" s="15">
        <v>1</v>
      </c>
      <c r="C44" s="17" t="s">
        <v>4531</v>
      </c>
      <c r="D44" s="15">
        <v>1</v>
      </c>
      <c r="E44" s="10"/>
      <c r="H44" s="10"/>
      <c r="J44" s="10"/>
      <c r="M44" t="s">
        <v>117</v>
      </c>
      <c r="N44">
        <v>7556700059</v>
      </c>
      <c r="O44">
        <v>825</v>
      </c>
      <c r="P44" s="55">
        <v>1500</v>
      </c>
      <c r="R44" t="e">
        <v>#N/A</v>
      </c>
      <c r="S44" t="e">
        <v>#N/A</v>
      </c>
    </row>
    <row r="45" spans="1:19" x14ac:dyDescent="0.4">
      <c r="A45" s="14" t="s">
        <v>4534</v>
      </c>
      <c r="B45" s="15">
        <v>1</v>
      </c>
      <c r="C45" s="17" t="s">
        <v>4536</v>
      </c>
      <c r="D45" s="15">
        <v>1</v>
      </c>
      <c r="E45" s="10"/>
      <c r="H45" s="10"/>
      <c r="J45" s="10"/>
      <c r="M45" t="s">
        <v>117</v>
      </c>
      <c r="N45">
        <v>7556700059</v>
      </c>
      <c r="O45">
        <v>550</v>
      </c>
      <c r="P45" s="55">
        <v>1000</v>
      </c>
      <c r="R45" t="e">
        <v>#N/A</v>
      </c>
      <c r="S45" t="e">
        <v>#N/A</v>
      </c>
    </row>
    <row r="46" spans="1:19" x14ac:dyDescent="0.4">
      <c r="A46" s="14" t="s">
        <v>4539</v>
      </c>
      <c r="B46" s="15">
        <v>1</v>
      </c>
      <c r="C46" s="17" t="s">
        <v>4541</v>
      </c>
      <c r="D46" s="15">
        <v>1</v>
      </c>
      <c r="E46" s="10"/>
      <c r="H46" s="10"/>
      <c r="J46" s="10"/>
      <c r="M46" t="s">
        <v>117</v>
      </c>
      <c r="N46">
        <v>7556700059</v>
      </c>
      <c r="O46">
        <v>1925</v>
      </c>
      <c r="P46" s="55">
        <v>3500</v>
      </c>
      <c r="R46" t="e">
        <v>#N/A</v>
      </c>
      <c r="S46" t="e">
        <v>#N/A</v>
      </c>
    </row>
    <row r="47" spans="1:19" x14ac:dyDescent="0.4">
      <c r="A47" s="14" t="s">
        <v>4543</v>
      </c>
      <c r="B47" s="15">
        <v>4</v>
      </c>
      <c r="C47" s="17" t="s">
        <v>4545</v>
      </c>
      <c r="D47" s="15">
        <v>4</v>
      </c>
      <c r="E47" s="10"/>
      <c r="H47" s="10"/>
      <c r="J47" s="10"/>
      <c r="M47" t="s">
        <v>117</v>
      </c>
      <c r="N47">
        <v>7556700059</v>
      </c>
      <c r="O47">
        <v>19250</v>
      </c>
      <c r="P47" s="55">
        <v>35000</v>
      </c>
      <c r="R47" t="e">
        <v>#N/A</v>
      </c>
      <c r="S47" t="e">
        <v>#N/A</v>
      </c>
    </row>
    <row r="48" spans="1:19" x14ac:dyDescent="0.4">
      <c r="A48" s="14" t="s">
        <v>4547</v>
      </c>
      <c r="B48" s="15">
        <v>1</v>
      </c>
      <c r="C48" s="17" t="s">
        <v>4548</v>
      </c>
      <c r="D48" s="15">
        <v>1</v>
      </c>
      <c r="E48" s="10"/>
      <c r="H48" s="10"/>
      <c r="J48" s="10"/>
      <c r="M48" t="s">
        <v>117</v>
      </c>
      <c r="N48">
        <v>7556700059</v>
      </c>
      <c r="O48">
        <v>2200</v>
      </c>
      <c r="P48" s="55" t="e">
        <v>#N/A</v>
      </c>
      <c r="R48" t="e">
        <v>#N/A</v>
      </c>
      <c r="S48" t="e">
        <v>#N/A</v>
      </c>
    </row>
    <row r="49" spans="1:19" x14ac:dyDescent="0.4">
      <c r="A49" s="14" t="s">
        <v>4550</v>
      </c>
      <c r="B49" s="15">
        <v>1</v>
      </c>
      <c r="C49" s="17" t="s">
        <v>4551</v>
      </c>
      <c r="D49" s="15">
        <v>1</v>
      </c>
      <c r="E49" s="10"/>
      <c r="H49" s="10"/>
      <c r="J49" s="10"/>
      <c r="M49" t="s">
        <v>117</v>
      </c>
      <c r="N49">
        <v>7556700059</v>
      </c>
      <c r="O49">
        <v>12100</v>
      </c>
      <c r="P49" s="55">
        <v>22000</v>
      </c>
      <c r="R49" t="e">
        <v>#N/A</v>
      </c>
      <c r="S49" t="e">
        <v>#N/A</v>
      </c>
    </row>
    <row r="50" spans="1:19" x14ac:dyDescent="0.4">
      <c r="A50" s="14" t="s">
        <v>4553</v>
      </c>
      <c r="B50" s="15">
        <v>1</v>
      </c>
      <c r="C50" s="17" t="s">
        <v>4555</v>
      </c>
      <c r="D50" s="15">
        <v>1</v>
      </c>
      <c r="E50" s="10"/>
      <c r="H50" s="10"/>
      <c r="J50" s="10"/>
      <c r="M50" t="s">
        <v>117</v>
      </c>
      <c r="N50">
        <v>7556700059</v>
      </c>
      <c r="O50">
        <v>3850</v>
      </c>
      <c r="P50" s="55">
        <v>7000</v>
      </c>
      <c r="R50" t="e">
        <v>#N/A</v>
      </c>
      <c r="S50" t="e">
        <v>#N/A</v>
      </c>
    </row>
    <row r="51" spans="1:19" x14ac:dyDescent="0.4">
      <c r="A51" s="14" t="s">
        <v>4557</v>
      </c>
      <c r="B51" s="15">
        <v>1</v>
      </c>
      <c r="C51" s="17" t="s">
        <v>4559</v>
      </c>
      <c r="D51" s="15">
        <v>1</v>
      </c>
      <c r="E51" s="10"/>
      <c r="H51" s="10"/>
      <c r="J51" s="10"/>
      <c r="M51" t="s">
        <v>117</v>
      </c>
      <c r="N51">
        <v>7556700059</v>
      </c>
      <c r="O51">
        <v>4400</v>
      </c>
      <c r="P51" s="55">
        <v>8000</v>
      </c>
      <c r="R51" t="e">
        <v>#N/A</v>
      </c>
      <c r="S51" t="e">
        <v>#N/A</v>
      </c>
    </row>
    <row r="52" spans="1:19" x14ac:dyDescent="0.4">
      <c r="A52" s="14" t="s">
        <v>4561</v>
      </c>
      <c r="B52" s="15">
        <v>1</v>
      </c>
      <c r="C52" s="17" t="s">
        <v>4563</v>
      </c>
      <c r="D52" s="15">
        <v>1</v>
      </c>
      <c r="E52" s="10"/>
      <c r="H52" s="10"/>
      <c r="J52" s="10"/>
      <c r="M52" t="s">
        <v>117</v>
      </c>
      <c r="N52">
        <v>7556700059</v>
      </c>
      <c r="O52">
        <v>5500</v>
      </c>
      <c r="P52" s="55">
        <v>10000</v>
      </c>
      <c r="R52" t="e">
        <v>#N/A</v>
      </c>
      <c r="S52" t="e">
        <v>#N/A</v>
      </c>
    </row>
    <row r="53" spans="1:19" x14ac:dyDescent="0.4">
      <c r="A53" s="14" t="s">
        <v>4566</v>
      </c>
      <c r="B53" s="15">
        <v>3</v>
      </c>
      <c r="C53" s="17" t="s">
        <v>4568</v>
      </c>
      <c r="D53" s="15">
        <v>3</v>
      </c>
      <c r="E53" s="10"/>
      <c r="H53" s="10"/>
      <c r="J53" s="10"/>
      <c r="M53" t="s">
        <v>117</v>
      </c>
      <c r="N53">
        <v>7556700059</v>
      </c>
      <c r="O53">
        <v>990</v>
      </c>
      <c r="P53" s="55">
        <v>1800</v>
      </c>
      <c r="R53" t="e">
        <v>#N/A</v>
      </c>
      <c r="S53" t="e">
        <v>#N/A</v>
      </c>
    </row>
    <row r="54" spans="1:19" x14ac:dyDescent="0.4">
      <c r="A54" s="14" t="s">
        <v>4570</v>
      </c>
      <c r="B54" s="15">
        <v>5</v>
      </c>
      <c r="C54" s="17" t="s">
        <v>4571</v>
      </c>
      <c r="D54" s="15">
        <v>5</v>
      </c>
      <c r="E54" s="10"/>
      <c r="H54" s="10"/>
      <c r="J54" s="10"/>
      <c r="M54" t="s">
        <v>117</v>
      </c>
      <c r="N54">
        <v>7556700059</v>
      </c>
      <c r="O54">
        <v>2475</v>
      </c>
      <c r="P54" s="55">
        <v>4500</v>
      </c>
      <c r="R54" t="e">
        <v>#N/A</v>
      </c>
      <c r="S54" t="e">
        <v>#N/A</v>
      </c>
    </row>
    <row r="55" spans="1:19" x14ac:dyDescent="0.4">
      <c r="A55" s="14" t="s">
        <v>4574</v>
      </c>
      <c r="B55" s="15">
        <v>2</v>
      </c>
      <c r="C55" s="17" t="s">
        <v>4575</v>
      </c>
      <c r="D55" s="15">
        <v>2</v>
      </c>
      <c r="E55" s="10"/>
      <c r="H55" s="10"/>
      <c r="J55" s="10"/>
      <c r="M55" t="s">
        <v>117</v>
      </c>
      <c r="N55">
        <v>7556700059</v>
      </c>
      <c r="O55">
        <v>9900</v>
      </c>
      <c r="P55" s="55">
        <v>18000</v>
      </c>
      <c r="R55" t="e">
        <v>#N/A</v>
      </c>
      <c r="S55" t="e">
        <v>#N/A</v>
      </c>
    </row>
    <row r="56" spans="1:19" x14ac:dyDescent="0.4">
      <c r="A56" s="14" t="s">
        <v>4577</v>
      </c>
      <c r="B56" s="15">
        <v>1</v>
      </c>
      <c r="C56" s="17" t="s">
        <v>4579</v>
      </c>
      <c r="D56" s="15">
        <v>1</v>
      </c>
      <c r="E56" s="10"/>
      <c r="H56" s="10"/>
      <c r="J56" s="10"/>
      <c r="M56" t="s">
        <v>117</v>
      </c>
      <c r="N56">
        <v>7556700059</v>
      </c>
      <c r="O56">
        <v>3850</v>
      </c>
      <c r="P56" s="55">
        <v>7000</v>
      </c>
      <c r="R56" t="e">
        <v>#N/A</v>
      </c>
      <c r="S56" t="e">
        <v>#N/A</v>
      </c>
    </row>
    <row r="57" spans="1:19" x14ac:dyDescent="0.4">
      <c r="A57" s="14" t="s">
        <v>4581</v>
      </c>
      <c r="B57" s="15">
        <v>1</v>
      </c>
      <c r="C57" s="17" t="s">
        <v>4583</v>
      </c>
      <c r="D57" s="15">
        <v>1</v>
      </c>
      <c r="E57" s="10"/>
      <c r="H57" s="10"/>
      <c r="J57" s="10"/>
      <c r="M57" t="s">
        <v>117</v>
      </c>
      <c r="N57">
        <v>7556700059</v>
      </c>
      <c r="O57">
        <v>3575</v>
      </c>
      <c r="P57" s="55">
        <v>6500</v>
      </c>
      <c r="R57" t="e">
        <v>#N/A</v>
      </c>
      <c r="S57" t="e">
        <v>#N/A</v>
      </c>
    </row>
    <row r="58" spans="1:19" x14ac:dyDescent="0.4">
      <c r="A58" s="14" t="s">
        <v>4585</v>
      </c>
      <c r="B58" s="15">
        <v>1</v>
      </c>
      <c r="C58" s="17" t="s">
        <v>4587</v>
      </c>
      <c r="D58" s="15">
        <v>1</v>
      </c>
      <c r="E58" s="10"/>
      <c r="H58" s="10"/>
      <c r="J58" s="10"/>
      <c r="M58" t="s">
        <v>117</v>
      </c>
      <c r="N58">
        <v>7556700059</v>
      </c>
      <c r="O58">
        <v>1100</v>
      </c>
      <c r="P58" s="55">
        <v>2000</v>
      </c>
      <c r="R58" t="e">
        <v>#N/A</v>
      </c>
      <c r="S58" t="e">
        <v>#N/A</v>
      </c>
    </row>
    <row r="59" spans="1:19" x14ac:dyDescent="0.4">
      <c r="A59" s="14" t="s">
        <v>4589</v>
      </c>
      <c r="B59" s="15">
        <v>2</v>
      </c>
      <c r="C59" s="17" t="s">
        <v>4591</v>
      </c>
      <c r="D59" s="15">
        <v>2</v>
      </c>
      <c r="E59" s="10"/>
      <c r="H59" s="10"/>
      <c r="J59" s="10"/>
      <c r="M59" t="s">
        <v>117</v>
      </c>
      <c r="N59">
        <v>7556700059</v>
      </c>
      <c r="O59">
        <v>1650</v>
      </c>
      <c r="P59" s="55">
        <v>3000</v>
      </c>
      <c r="R59" t="e">
        <v>#N/A</v>
      </c>
      <c r="S59" t="e">
        <v>#N/A</v>
      </c>
    </row>
    <row r="60" spans="1:19" x14ac:dyDescent="0.4">
      <c r="A60" s="14" t="s">
        <v>4597</v>
      </c>
      <c r="B60" s="15">
        <v>1</v>
      </c>
      <c r="C60" s="17" t="s">
        <v>4598</v>
      </c>
      <c r="D60" s="15">
        <v>1</v>
      </c>
      <c r="E60" s="10"/>
      <c r="H60" s="10"/>
      <c r="J60" s="10"/>
      <c r="M60" t="s">
        <v>117</v>
      </c>
      <c r="N60">
        <v>7556700059</v>
      </c>
      <c r="O60">
        <v>11000</v>
      </c>
      <c r="P60" s="55">
        <v>20000</v>
      </c>
      <c r="R60" t="e">
        <v>#N/A</v>
      </c>
      <c r="S60" t="e">
        <v>#N/A</v>
      </c>
    </row>
    <row r="61" spans="1:19" x14ac:dyDescent="0.4">
      <c r="A61" s="14" t="s">
        <v>4600</v>
      </c>
      <c r="B61" s="15">
        <v>1</v>
      </c>
      <c r="C61" s="17" t="s">
        <v>4601</v>
      </c>
      <c r="D61" s="15">
        <v>1</v>
      </c>
      <c r="E61" s="10"/>
      <c r="H61" s="10"/>
      <c r="J61" s="10"/>
      <c r="M61" t="s">
        <v>117</v>
      </c>
      <c r="N61">
        <v>7556700059</v>
      </c>
      <c r="O61">
        <v>8800</v>
      </c>
      <c r="P61" s="55">
        <v>16000</v>
      </c>
      <c r="R61" t="e">
        <v>#N/A</v>
      </c>
      <c r="S61" t="e">
        <v>#N/A</v>
      </c>
    </row>
    <row r="62" spans="1:19" x14ac:dyDescent="0.4">
      <c r="A62" s="14" t="s">
        <v>4603</v>
      </c>
      <c r="B62" s="15">
        <v>2</v>
      </c>
      <c r="C62" s="17" t="s">
        <v>4604</v>
      </c>
      <c r="D62" s="15">
        <v>2</v>
      </c>
      <c r="E62" s="10"/>
      <c r="H62" s="10"/>
      <c r="J62" s="10"/>
      <c r="M62" t="s">
        <v>117</v>
      </c>
      <c r="N62">
        <v>7556700059</v>
      </c>
      <c r="O62">
        <v>3300</v>
      </c>
      <c r="P62" s="55">
        <v>6000</v>
      </c>
      <c r="R62" t="e">
        <v>#N/A</v>
      </c>
      <c r="S62" t="e">
        <v>#N/A</v>
      </c>
    </row>
    <row r="63" spans="1:19" x14ac:dyDescent="0.4">
      <c r="A63" s="14" t="s">
        <v>4610</v>
      </c>
      <c r="B63" s="15">
        <v>1</v>
      </c>
      <c r="C63" s="17" t="s">
        <v>4611</v>
      </c>
      <c r="D63" s="15">
        <v>1</v>
      </c>
      <c r="E63" s="10"/>
      <c r="H63" s="10"/>
      <c r="J63" s="10"/>
      <c r="M63" t="s">
        <v>117</v>
      </c>
      <c r="N63">
        <v>7556700059</v>
      </c>
      <c r="O63">
        <v>11000</v>
      </c>
      <c r="P63" s="55">
        <v>20000</v>
      </c>
      <c r="R63" t="e">
        <v>#N/A</v>
      </c>
      <c r="S63" t="e">
        <v>#N/A</v>
      </c>
    </row>
    <row r="64" spans="1:19" x14ac:dyDescent="0.4">
      <c r="A64" s="14" t="s">
        <v>4613</v>
      </c>
      <c r="B64" s="15">
        <v>1</v>
      </c>
      <c r="C64" s="17" t="s">
        <v>4615</v>
      </c>
      <c r="D64" s="15">
        <v>1</v>
      </c>
      <c r="E64" s="10"/>
      <c r="H64" s="10"/>
      <c r="J64" s="10"/>
      <c r="M64" t="s">
        <v>117</v>
      </c>
      <c r="N64">
        <v>7556700059</v>
      </c>
      <c r="O64">
        <v>16500</v>
      </c>
      <c r="P64" s="55">
        <v>30000</v>
      </c>
      <c r="R64" t="e">
        <v>#N/A</v>
      </c>
      <c r="S64" t="e">
        <v>#N/A</v>
      </c>
    </row>
    <row r="65" spans="1:19" x14ac:dyDescent="0.4">
      <c r="A65" s="14" t="s">
        <v>4621</v>
      </c>
      <c r="B65" s="15">
        <v>1</v>
      </c>
      <c r="C65" s="17" t="s">
        <v>4623</v>
      </c>
      <c r="D65" s="15">
        <v>1</v>
      </c>
      <c r="E65" s="10"/>
      <c r="H65" s="10"/>
      <c r="J65" s="10"/>
      <c r="M65" t="s">
        <v>117</v>
      </c>
      <c r="N65">
        <v>7556700059</v>
      </c>
      <c r="O65">
        <v>2750</v>
      </c>
      <c r="P65" s="55">
        <v>5000</v>
      </c>
      <c r="R65" t="e">
        <v>#N/A</v>
      </c>
      <c r="S65" t="e">
        <v>#N/A</v>
      </c>
    </row>
    <row r="66" spans="1:19" x14ac:dyDescent="0.4">
      <c r="A66" s="14" t="s">
        <v>4625</v>
      </c>
      <c r="B66" s="15">
        <v>1</v>
      </c>
      <c r="C66" s="17" t="s">
        <v>4627</v>
      </c>
      <c r="D66" s="15">
        <v>1</v>
      </c>
      <c r="E66" s="10"/>
      <c r="H66" s="10"/>
      <c r="J66" s="10"/>
      <c r="M66" t="s">
        <v>117</v>
      </c>
      <c r="N66">
        <v>7556700059</v>
      </c>
      <c r="O66">
        <v>5500</v>
      </c>
      <c r="P66" s="55">
        <v>10000</v>
      </c>
      <c r="R66" t="e">
        <v>#N/A</v>
      </c>
      <c r="S66" t="e">
        <v>#N/A</v>
      </c>
    </row>
    <row r="67" spans="1:19" x14ac:dyDescent="0.4">
      <c r="A67" s="14" t="s">
        <v>4629</v>
      </c>
      <c r="B67" s="15">
        <v>1</v>
      </c>
      <c r="C67" s="17" t="s">
        <v>4630</v>
      </c>
      <c r="D67" s="15">
        <v>1</v>
      </c>
      <c r="E67" s="10"/>
      <c r="H67" s="10"/>
      <c r="J67" s="10"/>
      <c r="M67" t="s">
        <v>117</v>
      </c>
      <c r="N67">
        <v>7556700059</v>
      </c>
      <c r="O67">
        <v>1100</v>
      </c>
      <c r="P67" s="55">
        <v>2000</v>
      </c>
      <c r="R67" t="e">
        <v>#N/A</v>
      </c>
      <c r="S67" t="e">
        <v>#N/A</v>
      </c>
    </row>
    <row r="68" spans="1:19" x14ac:dyDescent="0.4">
      <c r="A68" s="14" t="s">
        <v>4643</v>
      </c>
      <c r="B68" s="15">
        <v>2</v>
      </c>
      <c r="C68" s="17" t="s">
        <v>4645</v>
      </c>
      <c r="D68" s="15">
        <v>2</v>
      </c>
      <c r="E68" s="10"/>
      <c r="H68" s="10"/>
      <c r="J68" s="10"/>
      <c r="M68" t="s">
        <v>117</v>
      </c>
      <c r="N68">
        <v>7556700059</v>
      </c>
      <c r="O68">
        <v>7700</v>
      </c>
      <c r="P68" s="55">
        <v>14000</v>
      </c>
      <c r="R68" t="e">
        <v>#N/A</v>
      </c>
      <c r="S68" t="e">
        <v>#N/A</v>
      </c>
    </row>
    <row r="69" spans="1:19" x14ac:dyDescent="0.4">
      <c r="A69" s="14" t="s">
        <v>3099</v>
      </c>
      <c r="B69" s="15">
        <v>4</v>
      </c>
      <c r="C69" s="17" t="s">
        <v>3100</v>
      </c>
      <c r="D69" s="15">
        <v>4</v>
      </c>
      <c r="E69" s="10"/>
      <c r="H69" s="10"/>
      <c r="J69" s="10"/>
      <c r="M69" t="s">
        <v>117</v>
      </c>
      <c r="N69">
        <v>7556700059</v>
      </c>
      <c r="O69">
        <v>13750</v>
      </c>
      <c r="P69" s="55">
        <v>25000</v>
      </c>
      <c r="R69" t="e">
        <v>#N/A</v>
      </c>
      <c r="S69" t="e">
        <v>#N/A</v>
      </c>
    </row>
    <row r="70" spans="1:19" x14ac:dyDescent="0.4">
      <c r="A70" s="14" t="s">
        <v>3101</v>
      </c>
      <c r="B70" s="15">
        <v>1</v>
      </c>
      <c r="C70" s="17" t="s">
        <v>3102</v>
      </c>
      <c r="D70" s="15">
        <v>1</v>
      </c>
      <c r="E70" s="10"/>
      <c r="H70" s="10"/>
      <c r="J70" s="10"/>
      <c r="M70" t="s">
        <v>117</v>
      </c>
      <c r="N70">
        <v>7556700059</v>
      </c>
      <c r="O70">
        <v>13750</v>
      </c>
      <c r="P70" s="55">
        <v>25000</v>
      </c>
      <c r="R70" t="e">
        <v>#N/A</v>
      </c>
      <c r="S70" t="e">
        <v>#N/A</v>
      </c>
    </row>
    <row r="71" spans="1:19" x14ac:dyDescent="0.4">
      <c r="A71" s="14" t="s">
        <v>460</v>
      </c>
      <c r="B71" s="15">
        <v>2</v>
      </c>
      <c r="C71" s="17" t="s">
        <v>461</v>
      </c>
      <c r="D71" s="15">
        <v>2</v>
      </c>
      <c r="E71" s="10"/>
      <c r="H71" s="10"/>
      <c r="J71" s="10"/>
      <c r="M71" t="s">
        <v>117</v>
      </c>
      <c r="N71">
        <v>7556700059</v>
      </c>
      <c r="O71">
        <v>9900</v>
      </c>
      <c r="P71" s="55">
        <v>18000</v>
      </c>
      <c r="R71" t="e">
        <v>#N/A</v>
      </c>
      <c r="S71" t="e">
        <v>#N/A</v>
      </c>
    </row>
    <row r="72" spans="1:19" x14ac:dyDescent="0.4">
      <c r="A72" s="14" t="s">
        <v>4653</v>
      </c>
      <c r="B72" s="15">
        <v>1</v>
      </c>
      <c r="C72" s="17" t="s">
        <v>4655</v>
      </c>
      <c r="D72" s="15">
        <v>1</v>
      </c>
      <c r="E72" s="10"/>
      <c r="H72" s="10"/>
      <c r="J72" s="10"/>
      <c r="M72" t="s">
        <v>117</v>
      </c>
      <c r="N72">
        <v>7556700059</v>
      </c>
      <c r="O72">
        <v>4400</v>
      </c>
      <c r="P72" s="55">
        <v>8000</v>
      </c>
      <c r="R72" t="e">
        <v>#N/A</v>
      </c>
      <c r="S72" t="e">
        <v>#N/A</v>
      </c>
    </row>
    <row r="73" spans="1:19" x14ac:dyDescent="0.4">
      <c r="A73" s="14" t="s">
        <v>4657</v>
      </c>
      <c r="B73" s="15">
        <v>1</v>
      </c>
      <c r="C73" s="17" t="s">
        <v>4659</v>
      </c>
      <c r="D73" s="15">
        <v>1</v>
      </c>
      <c r="E73" s="10"/>
      <c r="H73" s="10"/>
      <c r="J73" s="10"/>
      <c r="M73" t="s">
        <v>117</v>
      </c>
      <c r="N73">
        <v>7556700059</v>
      </c>
      <c r="O73">
        <v>2750</v>
      </c>
      <c r="P73" s="55">
        <v>5000</v>
      </c>
      <c r="R73" t="e">
        <v>#N/A</v>
      </c>
      <c r="S73" t="e">
        <v>#N/A</v>
      </c>
    </row>
    <row r="74" spans="1:19" x14ac:dyDescent="0.4">
      <c r="A74" s="14" t="s">
        <v>4665</v>
      </c>
      <c r="B74" s="15">
        <v>1</v>
      </c>
      <c r="C74" s="17" t="s">
        <v>4666</v>
      </c>
      <c r="D74" s="15">
        <v>1</v>
      </c>
      <c r="E74" s="10"/>
      <c r="H74" s="10"/>
      <c r="J74" s="10"/>
      <c r="M74" t="s">
        <v>123</v>
      </c>
      <c r="N74">
        <v>4712400135</v>
      </c>
      <c r="O74">
        <v>4410</v>
      </c>
      <c r="P74" s="55">
        <v>9800</v>
      </c>
      <c r="R74" t="e">
        <v>#N/A</v>
      </c>
      <c r="S74" t="e">
        <v>#N/A</v>
      </c>
    </row>
    <row r="75" spans="1:19" x14ac:dyDescent="0.4">
      <c r="A75" s="14" t="s">
        <v>1322</v>
      </c>
      <c r="B75" s="15">
        <v>1</v>
      </c>
      <c r="C75" s="17" t="s">
        <v>1323</v>
      </c>
      <c r="D75" s="15">
        <v>1</v>
      </c>
      <c r="E75" s="10"/>
      <c r="H75" s="10"/>
      <c r="J75" s="10"/>
      <c r="M75" t="s">
        <v>123</v>
      </c>
      <c r="N75">
        <v>4712400135</v>
      </c>
      <c r="O75">
        <v>3060</v>
      </c>
      <c r="P75" s="55">
        <v>6800</v>
      </c>
      <c r="R75" t="s">
        <v>1322</v>
      </c>
      <c r="S75">
        <v>1</v>
      </c>
    </row>
    <row r="76" spans="1:19" x14ac:dyDescent="0.4">
      <c r="A76" s="14" t="s">
        <v>4672</v>
      </c>
      <c r="B76" s="15">
        <v>5</v>
      </c>
      <c r="C76" s="17" t="s">
        <v>4674</v>
      </c>
      <c r="D76" s="15">
        <v>5</v>
      </c>
      <c r="E76" s="10"/>
      <c r="H76" s="10"/>
      <c r="J76" s="10"/>
      <c r="M76" t="s">
        <v>123</v>
      </c>
      <c r="N76">
        <v>4712400135</v>
      </c>
      <c r="O76">
        <v>1125</v>
      </c>
      <c r="P76" s="55">
        <v>2500</v>
      </c>
      <c r="R76" t="e">
        <v>#N/A</v>
      </c>
      <c r="S76" t="e">
        <v>#N/A</v>
      </c>
    </row>
    <row r="77" spans="1:19" x14ac:dyDescent="0.4">
      <c r="A77" s="14" t="s">
        <v>4681</v>
      </c>
      <c r="B77" s="15">
        <v>1</v>
      </c>
      <c r="C77" s="17" t="s">
        <v>4683</v>
      </c>
      <c r="D77" s="15">
        <v>1</v>
      </c>
      <c r="E77" s="10"/>
      <c r="H77" s="10"/>
      <c r="J77" s="10"/>
      <c r="M77" t="s">
        <v>123</v>
      </c>
      <c r="N77">
        <v>4712400135</v>
      </c>
      <c r="O77">
        <v>2700</v>
      </c>
      <c r="P77" s="55">
        <v>6000</v>
      </c>
      <c r="R77" t="e">
        <v>#N/A</v>
      </c>
      <c r="S77" t="e">
        <v>#N/A</v>
      </c>
    </row>
    <row r="78" spans="1:19" x14ac:dyDescent="0.4">
      <c r="A78" s="14" t="s">
        <v>4685</v>
      </c>
      <c r="B78" s="15">
        <v>1</v>
      </c>
      <c r="C78" s="17" t="s">
        <v>4687</v>
      </c>
      <c r="D78" s="15">
        <v>1</v>
      </c>
      <c r="E78" s="10"/>
      <c r="H78" s="10"/>
      <c r="J78" s="10"/>
      <c r="M78" t="s">
        <v>123</v>
      </c>
      <c r="N78">
        <v>4712400135</v>
      </c>
      <c r="O78">
        <v>1305</v>
      </c>
      <c r="P78" s="55">
        <v>2900</v>
      </c>
      <c r="R78" t="e">
        <v>#N/A</v>
      </c>
      <c r="S78" t="e">
        <v>#N/A</v>
      </c>
    </row>
    <row r="79" spans="1:19" x14ac:dyDescent="0.4">
      <c r="A79" s="14" t="s">
        <v>4689</v>
      </c>
      <c r="B79" s="15">
        <v>1</v>
      </c>
      <c r="C79" s="17" t="s">
        <v>4691</v>
      </c>
      <c r="D79" s="15">
        <v>1</v>
      </c>
      <c r="E79" s="10"/>
      <c r="H79" s="10"/>
      <c r="J79" s="10"/>
      <c r="M79" t="s">
        <v>123</v>
      </c>
      <c r="N79">
        <v>4712400135</v>
      </c>
      <c r="O79">
        <v>2925</v>
      </c>
      <c r="P79" s="55">
        <v>6500</v>
      </c>
      <c r="R79" t="e">
        <v>#N/A</v>
      </c>
      <c r="S79" t="e">
        <v>#N/A</v>
      </c>
    </row>
    <row r="80" spans="1:19" x14ac:dyDescent="0.4">
      <c r="A80" s="14" t="s">
        <v>2594</v>
      </c>
      <c r="B80" s="15">
        <v>1</v>
      </c>
      <c r="C80" s="17" t="s">
        <v>2595</v>
      </c>
      <c r="D80" s="15">
        <v>1</v>
      </c>
      <c r="E80" s="10"/>
      <c r="H80" s="10"/>
      <c r="J80" s="10"/>
      <c r="M80" t="s">
        <v>123</v>
      </c>
      <c r="N80">
        <v>4712400135</v>
      </c>
      <c r="O80">
        <v>2700</v>
      </c>
      <c r="P80" s="55">
        <v>6000</v>
      </c>
      <c r="R80" t="s">
        <v>2594</v>
      </c>
      <c r="S80">
        <v>1</v>
      </c>
    </row>
    <row r="81" spans="1:19" x14ac:dyDescent="0.4">
      <c r="A81" s="14" t="s">
        <v>2586</v>
      </c>
      <c r="B81" s="15">
        <v>1</v>
      </c>
      <c r="C81" s="17" t="s">
        <v>2587</v>
      </c>
      <c r="D81" s="15">
        <v>1</v>
      </c>
      <c r="E81" s="10"/>
      <c r="H81" s="10"/>
      <c r="J81" s="10"/>
      <c r="M81" t="s">
        <v>123</v>
      </c>
      <c r="N81">
        <v>4712400135</v>
      </c>
      <c r="O81">
        <v>2700</v>
      </c>
      <c r="P81" s="55">
        <v>6000</v>
      </c>
      <c r="R81" t="s">
        <v>2586</v>
      </c>
      <c r="S81">
        <v>1</v>
      </c>
    </row>
    <row r="82" spans="1:19" x14ac:dyDescent="0.4">
      <c r="A82" s="14" t="s">
        <v>4698</v>
      </c>
      <c r="B82" s="15">
        <v>12</v>
      </c>
      <c r="C82" s="17" t="s">
        <v>4700</v>
      </c>
      <c r="D82" s="15">
        <v>12</v>
      </c>
      <c r="E82" s="10"/>
      <c r="H82" s="10"/>
      <c r="J82" s="10"/>
      <c r="M82" t="s">
        <v>123</v>
      </c>
      <c r="N82">
        <v>4712400135</v>
      </c>
      <c r="O82">
        <v>1125</v>
      </c>
      <c r="P82" s="55">
        <v>2500</v>
      </c>
      <c r="R82" t="e">
        <v>#N/A</v>
      </c>
      <c r="S82" t="e">
        <v>#N/A</v>
      </c>
    </row>
    <row r="83" spans="1:19" x14ac:dyDescent="0.4">
      <c r="A83" s="14" t="s">
        <v>4712</v>
      </c>
      <c r="B83" s="15">
        <v>1</v>
      </c>
      <c r="C83" s="17" t="s">
        <v>4713</v>
      </c>
      <c r="D83" s="15">
        <v>1</v>
      </c>
      <c r="E83" s="10"/>
      <c r="H83" s="10"/>
      <c r="J83" s="10"/>
      <c r="M83" t="s">
        <v>123</v>
      </c>
      <c r="N83">
        <v>4712400135</v>
      </c>
      <c r="O83">
        <v>9900</v>
      </c>
      <c r="P83" s="55">
        <v>22000</v>
      </c>
      <c r="R83" t="e">
        <v>#N/A</v>
      </c>
      <c r="S83" t="e">
        <v>#N/A</v>
      </c>
    </row>
    <row r="84" spans="1:19" x14ac:dyDescent="0.4">
      <c r="A84" s="14" t="s">
        <v>4718</v>
      </c>
      <c r="B84" s="15">
        <v>2</v>
      </c>
      <c r="C84" s="17" t="s">
        <v>4720</v>
      </c>
      <c r="D84" s="15">
        <v>2</v>
      </c>
      <c r="E84" s="10"/>
      <c r="H84" s="10"/>
      <c r="J84" s="10"/>
      <c r="M84" t="s">
        <v>123</v>
      </c>
      <c r="N84">
        <v>4712400135</v>
      </c>
      <c r="O84">
        <v>6300</v>
      </c>
      <c r="P84" s="55">
        <v>14000</v>
      </c>
      <c r="R84" t="e">
        <v>#N/A</v>
      </c>
      <c r="S84" t="e">
        <v>#N/A</v>
      </c>
    </row>
    <row r="85" spans="1:19" x14ac:dyDescent="0.4">
      <c r="A85" s="14" t="s">
        <v>4722</v>
      </c>
      <c r="B85" s="15">
        <v>1</v>
      </c>
      <c r="C85" s="17" t="s">
        <v>4723</v>
      </c>
      <c r="D85" s="15">
        <v>1</v>
      </c>
      <c r="E85" s="10"/>
      <c r="H85" s="10"/>
      <c r="J85" s="10"/>
      <c r="M85" t="s">
        <v>123</v>
      </c>
      <c r="N85">
        <v>4712400135</v>
      </c>
      <c r="O85">
        <v>5400</v>
      </c>
      <c r="P85" s="55">
        <v>12000</v>
      </c>
      <c r="R85" t="e">
        <v>#N/A</v>
      </c>
      <c r="S85" t="e">
        <v>#N/A</v>
      </c>
    </row>
    <row r="86" spans="1:19" x14ac:dyDescent="0.4">
      <c r="A86" s="14" t="s">
        <v>4732</v>
      </c>
      <c r="B86" s="15">
        <v>2</v>
      </c>
      <c r="C86" s="17" t="s">
        <v>4734</v>
      </c>
      <c r="D86" s="15">
        <v>2</v>
      </c>
      <c r="E86" s="10"/>
      <c r="H86" s="10"/>
      <c r="J86" s="10"/>
      <c r="M86" t="s">
        <v>123</v>
      </c>
      <c r="N86">
        <v>4712400135</v>
      </c>
      <c r="O86">
        <v>29250</v>
      </c>
      <c r="P86" s="55">
        <v>65000</v>
      </c>
      <c r="R86" t="e">
        <v>#N/A</v>
      </c>
      <c r="S86" t="e">
        <v>#N/A</v>
      </c>
    </row>
    <row r="87" spans="1:19" x14ac:dyDescent="0.4">
      <c r="A87" s="14" t="s">
        <v>4740</v>
      </c>
      <c r="B87" s="15">
        <v>1</v>
      </c>
      <c r="C87" s="17" t="s">
        <v>4742</v>
      </c>
      <c r="D87" s="15">
        <v>1</v>
      </c>
      <c r="E87" s="10"/>
      <c r="H87" s="10"/>
      <c r="J87" s="10"/>
      <c r="M87" t="s">
        <v>123</v>
      </c>
      <c r="N87">
        <v>4712400135</v>
      </c>
      <c r="O87">
        <v>1485</v>
      </c>
      <c r="P87" s="55">
        <v>3300</v>
      </c>
      <c r="R87" t="e">
        <v>#N/A</v>
      </c>
      <c r="S87" t="e">
        <v>#N/A</v>
      </c>
    </row>
    <row r="88" spans="1:19" x14ac:dyDescent="0.4">
      <c r="A88" s="14" t="s">
        <v>4029</v>
      </c>
      <c r="B88" s="15">
        <v>1</v>
      </c>
      <c r="C88" s="17" t="s">
        <v>4030</v>
      </c>
      <c r="D88" s="15">
        <v>1</v>
      </c>
      <c r="E88" s="10"/>
      <c r="H88" s="10"/>
      <c r="J88" s="10"/>
      <c r="M88" t="s">
        <v>129</v>
      </c>
      <c r="N88">
        <v>2158740814</v>
      </c>
      <c r="O88">
        <v>10500</v>
      </c>
      <c r="P88" s="55">
        <v>15000</v>
      </c>
      <c r="R88" t="e">
        <v>#N/A</v>
      </c>
      <c r="S88" t="e">
        <v>#N/A</v>
      </c>
    </row>
    <row r="89" spans="1:19" x14ac:dyDescent="0.4">
      <c r="A89" s="14" t="s">
        <v>2308</v>
      </c>
      <c r="B89" s="15">
        <v>1</v>
      </c>
      <c r="C89" s="17" t="s">
        <v>2309</v>
      </c>
      <c r="D89" s="15">
        <v>1</v>
      </c>
      <c r="E89" s="10"/>
      <c r="H89" s="10"/>
      <c r="J89" s="10"/>
      <c r="M89" t="s">
        <v>129</v>
      </c>
      <c r="N89">
        <v>2158740814</v>
      </c>
      <c r="O89">
        <v>7000</v>
      </c>
      <c r="P89" s="55">
        <v>10000</v>
      </c>
      <c r="R89" t="s">
        <v>2308</v>
      </c>
      <c r="S89">
        <v>1</v>
      </c>
    </row>
    <row r="90" spans="1:19" x14ac:dyDescent="0.4">
      <c r="A90" s="14" t="s">
        <v>4034</v>
      </c>
      <c r="B90" s="15">
        <v>1</v>
      </c>
      <c r="C90" s="17" t="s">
        <v>4036</v>
      </c>
      <c r="D90" s="15">
        <v>1</v>
      </c>
      <c r="E90" s="10"/>
      <c r="H90" s="10"/>
      <c r="J90" s="10"/>
      <c r="M90" t="s">
        <v>129</v>
      </c>
      <c r="N90">
        <v>2158740814</v>
      </c>
      <c r="O90">
        <v>33600</v>
      </c>
      <c r="P90" s="55">
        <v>48000</v>
      </c>
      <c r="R90" t="e">
        <v>#N/A</v>
      </c>
      <c r="S90" t="e">
        <v>#N/A</v>
      </c>
    </row>
    <row r="91" spans="1:19" x14ac:dyDescent="0.4">
      <c r="A91" s="14" t="s">
        <v>2277</v>
      </c>
      <c r="B91" s="15">
        <v>1</v>
      </c>
      <c r="C91" s="17" t="s">
        <v>2278</v>
      </c>
      <c r="D91" s="15">
        <v>1</v>
      </c>
      <c r="E91" s="10"/>
      <c r="H91" s="10"/>
      <c r="J91" s="10"/>
      <c r="M91" t="s">
        <v>129</v>
      </c>
      <c r="N91">
        <v>2158740814</v>
      </c>
      <c r="O91">
        <v>26600</v>
      </c>
      <c r="P91" s="55">
        <v>38000</v>
      </c>
      <c r="R91" t="s">
        <v>2277</v>
      </c>
      <c r="S91">
        <v>1</v>
      </c>
    </row>
    <row r="92" spans="1:19" x14ac:dyDescent="0.4">
      <c r="A92" s="14" t="s">
        <v>879</v>
      </c>
      <c r="B92" s="15">
        <v>1</v>
      </c>
      <c r="C92" s="17" t="s">
        <v>880</v>
      </c>
      <c r="D92" s="15">
        <v>1</v>
      </c>
      <c r="E92" s="10"/>
      <c r="H92" s="10"/>
      <c r="J92" s="10"/>
      <c r="M92" t="s">
        <v>129</v>
      </c>
      <c r="N92">
        <v>2158740814</v>
      </c>
      <c r="O92">
        <v>26600</v>
      </c>
      <c r="P92" s="55">
        <v>38000</v>
      </c>
      <c r="R92" t="s">
        <v>879</v>
      </c>
      <c r="S92">
        <v>1</v>
      </c>
    </row>
    <row r="93" spans="1:19" x14ac:dyDescent="0.4">
      <c r="A93" s="14" t="s">
        <v>2299</v>
      </c>
      <c r="B93" s="15">
        <v>2</v>
      </c>
      <c r="C93" s="17" t="s">
        <v>2300</v>
      </c>
      <c r="D93" s="15">
        <v>2</v>
      </c>
      <c r="E93" s="10"/>
      <c r="H93" s="10"/>
      <c r="J93" s="10"/>
      <c r="M93" t="s">
        <v>129</v>
      </c>
      <c r="N93">
        <v>2158740814</v>
      </c>
      <c r="O93">
        <v>19600</v>
      </c>
      <c r="P93" s="55">
        <v>28000</v>
      </c>
      <c r="R93" t="s">
        <v>2299</v>
      </c>
      <c r="S93">
        <v>2</v>
      </c>
    </row>
    <row r="94" spans="1:19" x14ac:dyDescent="0.4">
      <c r="A94" s="14" t="s">
        <v>2373</v>
      </c>
      <c r="B94" s="15">
        <v>1</v>
      </c>
      <c r="C94" s="17" t="s">
        <v>2375</v>
      </c>
      <c r="D94" s="15">
        <v>1</v>
      </c>
      <c r="E94" s="10"/>
      <c r="H94" s="10"/>
      <c r="J94" s="10"/>
      <c r="M94" t="s">
        <v>129</v>
      </c>
      <c r="N94">
        <v>2158740814</v>
      </c>
      <c r="O94">
        <v>19600</v>
      </c>
      <c r="P94" s="55">
        <v>28000</v>
      </c>
      <c r="R94" t="s">
        <v>2373</v>
      </c>
      <c r="S94">
        <v>1</v>
      </c>
    </row>
    <row r="95" spans="1:19" x14ac:dyDescent="0.4">
      <c r="A95" s="14" t="s">
        <v>4760</v>
      </c>
      <c r="B95" s="15">
        <v>1</v>
      </c>
      <c r="C95" s="17" t="s">
        <v>4762</v>
      </c>
      <c r="D95" s="15">
        <v>1</v>
      </c>
      <c r="E95" s="10"/>
      <c r="H95" s="10"/>
      <c r="J95" s="10"/>
      <c r="M95" t="s">
        <v>135</v>
      </c>
      <c r="N95">
        <v>1000000003</v>
      </c>
      <c r="O95">
        <v>11000</v>
      </c>
      <c r="P95" s="55">
        <v>20000</v>
      </c>
      <c r="R95" t="e">
        <v>#N/A</v>
      </c>
      <c r="S95" t="e">
        <v>#N/A</v>
      </c>
    </row>
    <row r="96" spans="1:19" x14ac:dyDescent="0.4">
      <c r="A96" s="14" t="s">
        <v>3117</v>
      </c>
      <c r="B96" s="15">
        <v>1</v>
      </c>
      <c r="C96" s="17" t="s">
        <v>3118</v>
      </c>
      <c r="D96" s="15">
        <v>1</v>
      </c>
      <c r="E96" s="10"/>
      <c r="H96" s="10"/>
      <c r="J96" s="10"/>
      <c r="M96" t="s">
        <v>135</v>
      </c>
      <c r="N96">
        <v>1000000003</v>
      </c>
      <c r="O96">
        <v>1375</v>
      </c>
      <c r="P96" s="55">
        <v>2500</v>
      </c>
      <c r="R96" t="e">
        <v>#N/A</v>
      </c>
      <c r="S96" t="e">
        <v>#N/A</v>
      </c>
    </row>
    <row r="97" spans="1:19" x14ac:dyDescent="0.4">
      <c r="A97" s="14" t="s">
        <v>4772</v>
      </c>
      <c r="B97" s="15">
        <v>1</v>
      </c>
      <c r="C97" s="17" t="s">
        <v>4774</v>
      </c>
      <c r="D97" s="15">
        <v>1</v>
      </c>
      <c r="E97" s="10"/>
      <c r="H97" s="10"/>
      <c r="J97" s="10"/>
      <c r="M97" t="s">
        <v>135</v>
      </c>
      <c r="N97">
        <v>1000000003</v>
      </c>
      <c r="O97">
        <v>5940</v>
      </c>
      <c r="P97" s="55">
        <v>10800</v>
      </c>
      <c r="R97" t="e">
        <v>#N/A</v>
      </c>
      <c r="S97" t="e">
        <v>#N/A</v>
      </c>
    </row>
    <row r="98" spans="1:19" x14ac:dyDescent="0.4">
      <c r="A98" s="14" t="s">
        <v>4779</v>
      </c>
      <c r="B98" s="15">
        <v>1</v>
      </c>
      <c r="C98" s="17" t="s">
        <v>4781</v>
      </c>
      <c r="D98" s="15">
        <v>1</v>
      </c>
      <c r="E98" s="10"/>
      <c r="H98" s="10"/>
      <c r="J98" s="10"/>
      <c r="M98" t="s">
        <v>135</v>
      </c>
      <c r="N98">
        <v>1000000003</v>
      </c>
      <c r="O98">
        <v>1650</v>
      </c>
      <c r="P98" s="55">
        <v>3000</v>
      </c>
      <c r="R98" t="e">
        <v>#N/A</v>
      </c>
      <c r="S98" t="e">
        <v>#N/A</v>
      </c>
    </row>
    <row r="99" spans="1:19" x14ac:dyDescent="0.4">
      <c r="A99" s="14" t="s">
        <v>3127</v>
      </c>
      <c r="B99" s="15">
        <v>1</v>
      </c>
      <c r="C99" s="17" t="s">
        <v>3128</v>
      </c>
      <c r="D99" s="15">
        <v>1</v>
      </c>
      <c r="E99" s="10"/>
      <c r="H99" s="10"/>
      <c r="J99" s="10"/>
      <c r="M99" t="s">
        <v>135</v>
      </c>
      <c r="N99">
        <v>1000000003</v>
      </c>
      <c r="O99">
        <v>7040</v>
      </c>
      <c r="P99" s="55">
        <v>12800</v>
      </c>
      <c r="R99" t="e">
        <v>#N/A</v>
      </c>
      <c r="S99" t="e">
        <v>#N/A</v>
      </c>
    </row>
    <row r="100" spans="1:19" x14ac:dyDescent="0.4">
      <c r="A100" s="14" t="s">
        <v>4798</v>
      </c>
      <c r="B100" s="15">
        <v>1</v>
      </c>
      <c r="C100" s="17" t="s">
        <v>4799</v>
      </c>
      <c r="D100" s="15">
        <v>1</v>
      </c>
      <c r="E100" s="10"/>
      <c r="H100" s="10"/>
      <c r="J100" s="10"/>
      <c r="M100" t="s">
        <v>135</v>
      </c>
      <c r="N100">
        <v>1000000003</v>
      </c>
      <c r="O100">
        <v>3245</v>
      </c>
      <c r="P100" s="55">
        <v>5900</v>
      </c>
      <c r="R100" t="e">
        <v>#N/A</v>
      </c>
      <c r="S100" t="e">
        <v>#N/A</v>
      </c>
    </row>
    <row r="101" spans="1:19" x14ac:dyDescent="0.4">
      <c r="A101" s="14" t="s">
        <v>822</v>
      </c>
      <c r="B101" s="15">
        <v>1</v>
      </c>
      <c r="C101" s="17" t="s">
        <v>823</v>
      </c>
      <c r="D101" s="15">
        <v>1</v>
      </c>
      <c r="E101" s="10"/>
      <c r="H101" s="10"/>
      <c r="J101" s="10"/>
      <c r="M101" t="s">
        <v>135</v>
      </c>
      <c r="N101">
        <v>1000000003</v>
      </c>
      <c r="O101">
        <v>5390</v>
      </c>
      <c r="P101" s="55">
        <v>9800</v>
      </c>
      <c r="R101" t="s">
        <v>822</v>
      </c>
      <c r="S101">
        <v>1</v>
      </c>
    </row>
    <row r="102" spans="1:19" x14ac:dyDescent="0.4">
      <c r="A102" s="14" t="s">
        <v>2386</v>
      </c>
      <c r="B102" s="15">
        <v>1</v>
      </c>
      <c r="C102" s="17" t="s">
        <v>2388</v>
      </c>
      <c r="D102" s="15">
        <v>1</v>
      </c>
      <c r="E102" s="10"/>
      <c r="H102" s="10"/>
      <c r="J102" s="10"/>
      <c r="M102" t="s">
        <v>135</v>
      </c>
      <c r="N102">
        <v>1000000003</v>
      </c>
      <c r="O102">
        <v>5390</v>
      </c>
      <c r="P102" s="55">
        <v>9800</v>
      </c>
      <c r="R102" t="s">
        <v>2386</v>
      </c>
      <c r="S102">
        <v>1</v>
      </c>
    </row>
    <row r="103" spans="1:19" x14ac:dyDescent="0.4">
      <c r="A103" s="14" t="s">
        <v>811</v>
      </c>
      <c r="B103" s="15">
        <v>2</v>
      </c>
      <c r="C103" s="17" t="s">
        <v>812</v>
      </c>
      <c r="D103" s="15">
        <v>2</v>
      </c>
      <c r="E103" s="10"/>
      <c r="H103" s="10"/>
      <c r="J103" s="10"/>
      <c r="M103" t="s">
        <v>135</v>
      </c>
      <c r="N103">
        <v>1000000003</v>
      </c>
      <c r="O103">
        <v>3575</v>
      </c>
      <c r="P103" s="55">
        <v>6500</v>
      </c>
      <c r="R103" t="s">
        <v>811</v>
      </c>
      <c r="S103">
        <v>2</v>
      </c>
    </row>
    <row r="104" spans="1:19" x14ac:dyDescent="0.4">
      <c r="A104" s="14" t="s">
        <v>4808</v>
      </c>
      <c r="B104" s="15">
        <v>1</v>
      </c>
      <c r="C104" s="17" t="s">
        <v>4810</v>
      </c>
      <c r="D104" s="15">
        <v>1</v>
      </c>
      <c r="E104" s="10"/>
      <c r="H104" s="10"/>
      <c r="J104" s="10"/>
      <c r="M104" t="s">
        <v>135</v>
      </c>
      <c r="N104">
        <v>1000000003</v>
      </c>
      <c r="O104">
        <v>1815</v>
      </c>
      <c r="P104" s="55">
        <v>3300</v>
      </c>
      <c r="R104" t="e">
        <v>#N/A</v>
      </c>
      <c r="S104" t="e">
        <v>#N/A</v>
      </c>
    </row>
    <row r="105" spans="1:19" x14ac:dyDescent="0.4">
      <c r="A105" s="14" t="s">
        <v>4812</v>
      </c>
      <c r="B105" s="15">
        <v>1</v>
      </c>
      <c r="C105" s="17" t="s">
        <v>4814</v>
      </c>
      <c r="D105" s="15">
        <v>1</v>
      </c>
      <c r="E105" s="10"/>
      <c r="H105" s="10"/>
      <c r="J105" s="10"/>
      <c r="M105" t="s">
        <v>135</v>
      </c>
      <c r="N105">
        <v>1000000003</v>
      </c>
      <c r="O105">
        <v>5225</v>
      </c>
      <c r="P105" s="55">
        <v>9500</v>
      </c>
      <c r="R105" t="e">
        <v>#N/A</v>
      </c>
      <c r="S105" t="e">
        <v>#N/A</v>
      </c>
    </row>
    <row r="106" spans="1:19" x14ac:dyDescent="0.4">
      <c r="A106" s="14" t="s">
        <v>2578</v>
      </c>
      <c r="B106" s="15">
        <v>1</v>
      </c>
      <c r="C106" s="17" t="s">
        <v>2579</v>
      </c>
      <c r="D106" s="15">
        <v>1</v>
      </c>
      <c r="E106" s="10"/>
      <c r="H106" s="10"/>
      <c r="J106" s="10"/>
      <c r="M106" t="s">
        <v>135</v>
      </c>
      <c r="N106">
        <v>1000000003</v>
      </c>
      <c r="O106">
        <v>5390</v>
      </c>
      <c r="P106" s="55">
        <v>9800</v>
      </c>
      <c r="R106" t="s">
        <v>2578</v>
      </c>
      <c r="S106">
        <v>1</v>
      </c>
    </row>
    <row r="107" spans="1:19" x14ac:dyDescent="0.4">
      <c r="A107" s="14" t="s">
        <v>3694</v>
      </c>
      <c r="B107" s="15">
        <v>1</v>
      </c>
      <c r="C107" s="17" t="s">
        <v>3695</v>
      </c>
      <c r="D107" s="15">
        <v>1</v>
      </c>
      <c r="E107" s="10"/>
      <c r="H107" s="10"/>
      <c r="J107" s="10"/>
      <c r="M107" t="s">
        <v>146</v>
      </c>
      <c r="N107">
        <v>4912400314</v>
      </c>
      <c r="O107">
        <v>6000</v>
      </c>
      <c r="P107" s="55">
        <v>12000</v>
      </c>
      <c r="R107" t="e">
        <v>#N/A</v>
      </c>
      <c r="S107" t="e">
        <v>#N/A</v>
      </c>
    </row>
    <row r="108" spans="1:19" x14ac:dyDescent="0.4">
      <c r="A108" s="14" t="s">
        <v>3697</v>
      </c>
      <c r="B108" s="15">
        <v>1</v>
      </c>
      <c r="C108" s="17" t="s">
        <v>3698</v>
      </c>
      <c r="D108" s="15">
        <v>1</v>
      </c>
      <c r="E108" s="10"/>
      <c r="H108" s="10"/>
      <c r="J108" s="10"/>
      <c r="M108" t="s">
        <v>146</v>
      </c>
      <c r="N108">
        <v>4912400314</v>
      </c>
      <c r="O108">
        <v>5000</v>
      </c>
      <c r="P108" s="55">
        <v>10000</v>
      </c>
      <c r="R108" t="e">
        <v>#N/A</v>
      </c>
      <c r="S108" t="e">
        <v>#N/A</v>
      </c>
    </row>
    <row r="109" spans="1:19" x14ac:dyDescent="0.4">
      <c r="A109" s="14" t="s">
        <v>3700</v>
      </c>
      <c r="B109" s="15">
        <v>1</v>
      </c>
      <c r="C109" s="17" t="s">
        <v>3702</v>
      </c>
      <c r="D109" s="15">
        <v>1</v>
      </c>
      <c r="E109" s="10"/>
      <c r="H109" s="10"/>
      <c r="J109" s="10"/>
      <c r="M109" t="s">
        <v>146</v>
      </c>
      <c r="N109">
        <v>4912400314</v>
      </c>
      <c r="O109">
        <v>11000</v>
      </c>
      <c r="P109" s="55">
        <v>22000</v>
      </c>
      <c r="R109" t="e">
        <v>#N/A</v>
      </c>
      <c r="S109" t="e">
        <v>#N/A</v>
      </c>
    </row>
    <row r="110" spans="1:19" x14ac:dyDescent="0.4">
      <c r="A110" s="14" t="s">
        <v>3704</v>
      </c>
      <c r="B110" s="15">
        <v>1</v>
      </c>
      <c r="C110" s="17" t="s">
        <v>3705</v>
      </c>
      <c r="D110" s="15">
        <v>1</v>
      </c>
      <c r="E110" s="10"/>
      <c r="H110" s="10"/>
      <c r="J110" s="10"/>
      <c r="M110" t="s">
        <v>146</v>
      </c>
      <c r="N110">
        <v>4912400314</v>
      </c>
      <c r="O110">
        <v>9500</v>
      </c>
      <c r="P110" s="55">
        <v>19000</v>
      </c>
      <c r="R110" t="e">
        <v>#N/A</v>
      </c>
      <c r="S110" t="e">
        <v>#N/A</v>
      </c>
    </row>
    <row r="111" spans="1:19" x14ac:dyDescent="0.4">
      <c r="A111" s="14" t="s">
        <v>2626</v>
      </c>
      <c r="B111" s="15">
        <v>4</v>
      </c>
      <c r="C111" s="17" t="s">
        <v>2627</v>
      </c>
      <c r="D111" s="15">
        <v>4</v>
      </c>
      <c r="E111" s="10"/>
      <c r="H111" s="10"/>
      <c r="J111" s="10"/>
      <c r="M111" t="s">
        <v>146</v>
      </c>
      <c r="N111">
        <v>4912400314</v>
      </c>
      <c r="O111">
        <v>9500</v>
      </c>
      <c r="P111" s="55">
        <v>19000</v>
      </c>
      <c r="R111" t="s">
        <v>2626</v>
      </c>
      <c r="S111">
        <v>4</v>
      </c>
    </row>
    <row r="112" spans="1:19" x14ac:dyDescent="0.4">
      <c r="A112" s="14" t="s">
        <v>3714</v>
      </c>
      <c r="B112" s="15">
        <v>1</v>
      </c>
      <c r="C112" s="17" t="s">
        <v>3716</v>
      </c>
      <c r="D112" s="15">
        <v>1</v>
      </c>
      <c r="E112" s="10"/>
      <c r="H112" s="10"/>
      <c r="J112" s="10"/>
      <c r="M112" t="s">
        <v>146</v>
      </c>
      <c r="N112">
        <v>4912400314</v>
      </c>
      <c r="O112">
        <v>2750</v>
      </c>
      <c r="P112" s="55">
        <v>5500</v>
      </c>
      <c r="R112" t="e">
        <v>#N/A</v>
      </c>
      <c r="S112" t="e">
        <v>#N/A</v>
      </c>
    </row>
    <row r="113" spans="1:19" x14ac:dyDescent="0.4">
      <c r="A113" s="14" t="s">
        <v>3720</v>
      </c>
      <c r="B113" s="15">
        <v>1</v>
      </c>
      <c r="C113" s="17" t="s">
        <v>3721</v>
      </c>
      <c r="D113" s="15">
        <v>1</v>
      </c>
      <c r="E113" s="10"/>
      <c r="H113" s="10"/>
      <c r="J113" s="10"/>
      <c r="M113" t="s">
        <v>146</v>
      </c>
      <c r="N113">
        <v>4912400314</v>
      </c>
      <c r="O113">
        <v>8500</v>
      </c>
      <c r="P113" s="55">
        <v>17000</v>
      </c>
      <c r="R113" t="e">
        <v>#N/A</v>
      </c>
      <c r="S113" t="e">
        <v>#N/A</v>
      </c>
    </row>
    <row r="114" spans="1:19" x14ac:dyDescent="0.4">
      <c r="A114" s="14" t="s">
        <v>3723</v>
      </c>
      <c r="B114" s="15">
        <v>1</v>
      </c>
      <c r="C114" s="17" t="s">
        <v>3724</v>
      </c>
      <c r="D114" s="15">
        <v>1</v>
      </c>
      <c r="E114" s="10"/>
      <c r="H114" s="10"/>
      <c r="J114" s="10"/>
      <c r="M114" t="s">
        <v>146</v>
      </c>
      <c r="N114">
        <v>4912400314</v>
      </c>
      <c r="O114">
        <v>8000</v>
      </c>
      <c r="P114" s="55">
        <v>16000</v>
      </c>
      <c r="R114" t="e">
        <v>#N/A</v>
      </c>
      <c r="S114" t="e">
        <v>#N/A</v>
      </c>
    </row>
    <row r="115" spans="1:19" x14ac:dyDescent="0.4">
      <c r="A115" s="14" t="s">
        <v>3728</v>
      </c>
      <c r="B115" s="15">
        <v>1</v>
      </c>
      <c r="C115" s="17" t="s">
        <v>3730</v>
      </c>
      <c r="D115" s="15">
        <v>1</v>
      </c>
      <c r="E115" s="10"/>
      <c r="H115" s="10"/>
      <c r="J115" s="10"/>
      <c r="M115" t="s">
        <v>146</v>
      </c>
      <c r="N115">
        <v>4912400314</v>
      </c>
      <c r="O115">
        <v>7500</v>
      </c>
      <c r="P115" s="55">
        <v>15000</v>
      </c>
      <c r="R115" t="e">
        <v>#N/A</v>
      </c>
      <c r="S115" t="e">
        <v>#N/A</v>
      </c>
    </row>
    <row r="116" spans="1:19" x14ac:dyDescent="0.4">
      <c r="A116" s="14" t="s">
        <v>3732</v>
      </c>
      <c r="B116" s="15">
        <v>1</v>
      </c>
      <c r="C116" s="17" t="s">
        <v>3734</v>
      </c>
      <c r="D116" s="15">
        <v>1</v>
      </c>
      <c r="E116" s="10"/>
      <c r="H116" s="10"/>
      <c r="J116" s="10"/>
      <c r="M116" t="s">
        <v>146</v>
      </c>
      <c r="N116">
        <v>4912400314</v>
      </c>
      <c r="O116">
        <v>2500</v>
      </c>
      <c r="P116" s="55">
        <v>5000</v>
      </c>
      <c r="R116" t="e">
        <v>#N/A</v>
      </c>
      <c r="S116" t="e">
        <v>#N/A</v>
      </c>
    </row>
    <row r="117" spans="1:19" x14ac:dyDescent="0.4">
      <c r="A117" s="14" t="s">
        <v>3738</v>
      </c>
      <c r="B117" s="15">
        <v>1</v>
      </c>
      <c r="C117" s="17" t="s">
        <v>3739</v>
      </c>
      <c r="D117" s="15">
        <v>1</v>
      </c>
      <c r="E117" s="10"/>
      <c r="H117" s="10"/>
      <c r="J117" s="10"/>
      <c r="M117" t="s">
        <v>146</v>
      </c>
      <c r="N117">
        <v>4912400314</v>
      </c>
      <c r="O117">
        <v>4000</v>
      </c>
      <c r="P117" s="55">
        <v>8000</v>
      </c>
      <c r="R117" t="e">
        <v>#N/A</v>
      </c>
      <c r="S117" t="e">
        <v>#N/A</v>
      </c>
    </row>
    <row r="118" spans="1:19" x14ac:dyDescent="0.4">
      <c r="A118" s="14" t="s">
        <v>4197</v>
      </c>
      <c r="B118" s="15">
        <v>1</v>
      </c>
      <c r="C118" s="17" t="s">
        <v>4199</v>
      </c>
      <c r="D118" s="15">
        <v>15</v>
      </c>
      <c r="E118" s="10"/>
      <c r="H118" s="10"/>
      <c r="J118" s="10"/>
      <c r="M118" t="s">
        <v>152</v>
      </c>
      <c r="N118">
        <v>6998700494</v>
      </c>
      <c r="O118">
        <v>10450</v>
      </c>
      <c r="P118" s="55">
        <v>19000</v>
      </c>
      <c r="R118" t="e">
        <v>#N/A</v>
      </c>
      <c r="S118" t="e">
        <v>#N/A</v>
      </c>
    </row>
    <row r="119" spans="1:19" x14ac:dyDescent="0.4">
      <c r="A119" s="14" t="s">
        <v>3154</v>
      </c>
      <c r="B119" s="15">
        <v>1</v>
      </c>
      <c r="C119" s="17" t="s">
        <v>4203</v>
      </c>
      <c r="D119" s="15">
        <v>20</v>
      </c>
      <c r="E119" s="10"/>
      <c r="H119" s="10"/>
      <c r="J119" s="10"/>
      <c r="M119" t="s">
        <v>152</v>
      </c>
      <c r="N119">
        <v>6998700494</v>
      </c>
      <c r="O119">
        <v>23100</v>
      </c>
      <c r="P119" s="55">
        <v>42000</v>
      </c>
      <c r="R119" t="e">
        <v>#N/A</v>
      </c>
      <c r="S119" t="e">
        <v>#N/A</v>
      </c>
    </row>
    <row r="120" spans="1:19" x14ac:dyDescent="0.4">
      <c r="A120" s="14" t="s">
        <v>4205</v>
      </c>
      <c r="B120" s="15">
        <v>1</v>
      </c>
      <c r="C120" s="17" t="s">
        <v>4207</v>
      </c>
      <c r="D120" s="15">
        <v>1</v>
      </c>
      <c r="E120" s="10"/>
      <c r="H120" s="10"/>
      <c r="J120" s="10"/>
      <c r="M120" t="s">
        <v>152</v>
      </c>
      <c r="N120">
        <v>6998700494</v>
      </c>
      <c r="O120">
        <v>12650</v>
      </c>
      <c r="P120" s="55">
        <v>23000</v>
      </c>
      <c r="R120" t="e">
        <v>#N/A</v>
      </c>
      <c r="S120" t="e">
        <v>#N/A</v>
      </c>
    </row>
    <row r="121" spans="1:19" x14ac:dyDescent="0.4">
      <c r="A121" s="14" t="s">
        <v>3156</v>
      </c>
      <c r="B121" s="15">
        <v>1</v>
      </c>
      <c r="C121" s="17" t="s">
        <v>3157</v>
      </c>
      <c r="D121" s="15">
        <v>5</v>
      </c>
      <c r="E121" s="10"/>
      <c r="H121" s="10"/>
      <c r="J121" s="10"/>
      <c r="M121" t="s">
        <v>152</v>
      </c>
      <c r="N121">
        <v>6998700494</v>
      </c>
      <c r="O121">
        <v>9900</v>
      </c>
      <c r="P121" s="55">
        <v>18000</v>
      </c>
      <c r="R121" t="e">
        <v>#N/A</v>
      </c>
      <c r="S121" t="e">
        <v>#N/A</v>
      </c>
    </row>
    <row r="122" spans="1:19" x14ac:dyDescent="0.4">
      <c r="A122" s="14" t="s">
        <v>4751</v>
      </c>
      <c r="B122" s="15">
        <v>1</v>
      </c>
      <c r="C122" s="17" t="s">
        <v>4753</v>
      </c>
      <c r="D122" s="15">
        <v>1</v>
      </c>
      <c r="E122" s="10"/>
      <c r="H122" s="10"/>
      <c r="J122" s="10"/>
      <c r="M122" t="s">
        <v>171</v>
      </c>
      <c r="N122">
        <v>2898500371</v>
      </c>
      <c r="O122">
        <v>9600</v>
      </c>
      <c r="P122" s="55">
        <v>16000</v>
      </c>
      <c r="R122" t="e">
        <v>#N/A</v>
      </c>
      <c r="S122" t="e">
        <v>#N/A</v>
      </c>
    </row>
    <row r="123" spans="1:19" x14ac:dyDescent="0.4">
      <c r="A123" s="14" t="s">
        <v>3170</v>
      </c>
      <c r="B123" s="15">
        <v>1</v>
      </c>
      <c r="C123" s="17" t="s">
        <v>3171</v>
      </c>
      <c r="D123" s="15">
        <v>1</v>
      </c>
      <c r="E123" s="10"/>
      <c r="H123" s="10"/>
      <c r="J123" s="10"/>
      <c r="M123" t="s">
        <v>176</v>
      </c>
      <c r="N123">
        <v>2898500371</v>
      </c>
      <c r="O123">
        <v>4200</v>
      </c>
      <c r="P123" s="55">
        <v>7000</v>
      </c>
      <c r="R123" t="e">
        <v>#N/A</v>
      </c>
      <c r="S123" t="e">
        <v>#N/A</v>
      </c>
    </row>
    <row r="124" spans="1:19" x14ac:dyDescent="0.4">
      <c r="A124" s="14" t="s">
        <v>4829</v>
      </c>
      <c r="B124" s="15">
        <v>1</v>
      </c>
      <c r="C124" s="17" t="s">
        <v>4831</v>
      </c>
      <c r="D124" s="15">
        <v>1</v>
      </c>
      <c r="E124" s="10"/>
      <c r="H124" s="10"/>
      <c r="J124" s="10"/>
      <c r="M124" t="s">
        <v>176</v>
      </c>
      <c r="N124">
        <v>2898500371</v>
      </c>
      <c r="O124">
        <v>9600</v>
      </c>
      <c r="P124" s="55">
        <v>16000</v>
      </c>
      <c r="R124" t="e">
        <v>#N/A</v>
      </c>
      <c r="S124" t="e">
        <v>#N/A</v>
      </c>
    </row>
    <row r="125" spans="1:19" x14ac:dyDescent="0.4">
      <c r="A125" s="14" t="s">
        <v>4266</v>
      </c>
      <c r="B125" s="15">
        <v>1</v>
      </c>
      <c r="C125" s="17" t="s">
        <v>4268</v>
      </c>
      <c r="D125" s="15">
        <v>1</v>
      </c>
      <c r="E125" s="10"/>
      <c r="H125" s="10"/>
      <c r="J125" s="10"/>
      <c r="M125" t="s">
        <v>221</v>
      </c>
      <c r="N125">
        <v>1000000006</v>
      </c>
      <c r="O125">
        <v>5200</v>
      </c>
      <c r="P125" s="55">
        <v>5200</v>
      </c>
      <c r="R125" t="e">
        <v>#N/A</v>
      </c>
      <c r="S125" t="e">
        <v>#N/A</v>
      </c>
    </row>
    <row r="126" spans="1:19" x14ac:dyDescent="0.4">
      <c r="A126" s="14" t="s">
        <v>4079</v>
      </c>
      <c r="B126" s="15">
        <v>1</v>
      </c>
      <c r="C126" s="17" t="s">
        <v>4080</v>
      </c>
      <c r="D126" s="15">
        <v>1</v>
      </c>
      <c r="E126" s="10"/>
      <c r="H126" s="10"/>
      <c r="J126" s="10"/>
      <c r="M126" t="s">
        <v>226</v>
      </c>
      <c r="N126">
        <v>5442100558</v>
      </c>
      <c r="O126">
        <v>720</v>
      </c>
      <c r="P126" s="55">
        <v>1500</v>
      </c>
      <c r="R126" t="e">
        <v>#N/A</v>
      </c>
      <c r="S126" t="e">
        <v>#N/A</v>
      </c>
    </row>
    <row r="127" spans="1:19" x14ac:dyDescent="0.4">
      <c r="A127" s="14" t="s">
        <v>4082</v>
      </c>
      <c r="B127" s="15">
        <v>1</v>
      </c>
      <c r="C127" s="17" t="s">
        <v>4084</v>
      </c>
      <c r="D127" s="15">
        <v>1</v>
      </c>
      <c r="E127" s="10"/>
      <c r="H127" s="10"/>
      <c r="J127" s="10"/>
      <c r="M127" t="s">
        <v>226</v>
      </c>
      <c r="N127">
        <v>5442100558</v>
      </c>
      <c r="O127">
        <v>720</v>
      </c>
      <c r="P127" s="55">
        <v>1500</v>
      </c>
      <c r="R127" t="e">
        <v>#N/A</v>
      </c>
      <c r="S127" t="e">
        <v>#N/A</v>
      </c>
    </row>
    <row r="128" spans="1:19" x14ac:dyDescent="0.4">
      <c r="A128" s="14" t="s">
        <v>4086</v>
      </c>
      <c r="B128" s="15">
        <v>1</v>
      </c>
      <c r="C128" s="17" t="s">
        <v>4088</v>
      </c>
      <c r="D128" s="15">
        <v>1</v>
      </c>
      <c r="E128" s="10"/>
      <c r="H128" s="10"/>
      <c r="J128" s="10"/>
      <c r="M128" t="s">
        <v>226</v>
      </c>
      <c r="N128">
        <v>5442100558</v>
      </c>
      <c r="O128">
        <v>720</v>
      </c>
      <c r="P128" s="55">
        <v>1500</v>
      </c>
      <c r="R128" t="e">
        <v>#N/A</v>
      </c>
      <c r="S128" t="e">
        <v>#N/A</v>
      </c>
    </row>
    <row r="129" spans="1:19" x14ac:dyDescent="0.4">
      <c r="A129" s="14" t="s">
        <v>4090</v>
      </c>
      <c r="B129" s="15">
        <v>1</v>
      </c>
      <c r="C129" s="17" t="s">
        <v>4092</v>
      </c>
      <c r="D129" s="15">
        <v>1</v>
      </c>
      <c r="E129" s="10"/>
      <c r="H129" s="10"/>
      <c r="J129" s="10"/>
      <c r="M129" t="s">
        <v>226</v>
      </c>
      <c r="N129">
        <v>5442100558</v>
      </c>
      <c r="O129">
        <v>720</v>
      </c>
      <c r="P129" s="55">
        <v>1500</v>
      </c>
      <c r="R129" t="e">
        <v>#N/A</v>
      </c>
      <c r="S129" t="e">
        <v>#N/A</v>
      </c>
    </row>
    <row r="130" spans="1:19" x14ac:dyDescent="0.4">
      <c r="A130" s="14" t="s">
        <v>3186</v>
      </c>
      <c r="B130" s="15">
        <v>3</v>
      </c>
      <c r="C130" s="17" t="s">
        <v>3187</v>
      </c>
      <c r="D130" s="15">
        <v>3</v>
      </c>
      <c r="E130" s="10"/>
      <c r="H130" s="10"/>
      <c r="J130" s="10"/>
      <c r="M130" t="s">
        <v>226</v>
      </c>
      <c r="N130">
        <v>5442100558</v>
      </c>
      <c r="O130">
        <v>3696</v>
      </c>
      <c r="P130" s="55">
        <v>7700</v>
      </c>
      <c r="R130" t="e">
        <v>#N/A</v>
      </c>
      <c r="S130" t="e">
        <v>#N/A</v>
      </c>
    </row>
    <row r="131" spans="1:19" x14ac:dyDescent="0.4">
      <c r="A131" s="14" t="s">
        <v>2489</v>
      </c>
      <c r="B131" s="15">
        <v>2</v>
      </c>
      <c r="C131" s="17" t="s">
        <v>2490</v>
      </c>
      <c r="D131" s="15">
        <v>2</v>
      </c>
      <c r="E131" s="10"/>
      <c r="H131" s="10"/>
      <c r="J131" s="10"/>
      <c r="M131" t="s">
        <v>226</v>
      </c>
      <c r="N131">
        <v>5442100558</v>
      </c>
      <c r="O131">
        <v>4800</v>
      </c>
      <c r="P131" s="55">
        <v>10000</v>
      </c>
      <c r="R131" t="s">
        <v>2489</v>
      </c>
      <c r="S131">
        <v>2</v>
      </c>
    </row>
    <row r="132" spans="1:19" x14ac:dyDescent="0.4">
      <c r="A132" s="14" t="s">
        <v>4101</v>
      </c>
      <c r="B132" s="15">
        <v>3</v>
      </c>
      <c r="C132" s="17" t="s">
        <v>4103</v>
      </c>
      <c r="D132" s="15">
        <v>3</v>
      </c>
      <c r="E132" s="10"/>
      <c r="H132" s="10"/>
      <c r="J132" s="10"/>
      <c r="M132" t="s">
        <v>226</v>
      </c>
      <c r="N132">
        <v>5442100558</v>
      </c>
      <c r="O132">
        <v>3312</v>
      </c>
      <c r="P132" s="55">
        <v>6900</v>
      </c>
      <c r="R132" t="e">
        <v>#N/A</v>
      </c>
      <c r="S132" t="e">
        <v>#N/A</v>
      </c>
    </row>
    <row r="133" spans="1:19" x14ac:dyDescent="0.4">
      <c r="A133" s="14" t="s">
        <v>4105</v>
      </c>
      <c r="B133" s="15">
        <v>1</v>
      </c>
      <c r="C133" s="17" t="s">
        <v>4107</v>
      </c>
      <c r="D133" s="15">
        <v>1</v>
      </c>
      <c r="E133" s="10"/>
      <c r="H133" s="10"/>
      <c r="J133" s="10"/>
      <c r="M133" t="s">
        <v>226</v>
      </c>
      <c r="N133">
        <v>5442100558</v>
      </c>
      <c r="O133">
        <v>1680</v>
      </c>
      <c r="P133" s="55">
        <v>3500</v>
      </c>
      <c r="R133" t="e">
        <v>#N/A</v>
      </c>
      <c r="S133" t="e">
        <v>#N/A</v>
      </c>
    </row>
    <row r="134" spans="1:19" x14ac:dyDescent="0.4">
      <c r="A134" s="14" t="s">
        <v>4109</v>
      </c>
      <c r="B134" s="15">
        <v>1</v>
      </c>
      <c r="C134" s="17" t="s">
        <v>4111</v>
      </c>
      <c r="D134" s="15">
        <v>1</v>
      </c>
      <c r="E134" s="10"/>
      <c r="H134" s="10"/>
      <c r="J134" s="10"/>
      <c r="M134" t="s">
        <v>226</v>
      </c>
      <c r="N134">
        <v>5442100558</v>
      </c>
      <c r="O134">
        <v>3360</v>
      </c>
      <c r="P134" s="55">
        <v>7000</v>
      </c>
      <c r="R134" t="e">
        <v>#N/A</v>
      </c>
      <c r="S134" t="e">
        <v>#N/A</v>
      </c>
    </row>
    <row r="135" spans="1:19" x14ac:dyDescent="0.4">
      <c r="A135" s="14" t="s">
        <v>3194</v>
      </c>
      <c r="B135" s="15">
        <v>1</v>
      </c>
      <c r="C135" s="17" t="s">
        <v>3195</v>
      </c>
      <c r="D135" s="15">
        <v>1</v>
      </c>
      <c r="E135" s="10"/>
      <c r="H135" s="10"/>
      <c r="J135" s="10"/>
      <c r="M135" t="s">
        <v>226</v>
      </c>
      <c r="N135">
        <v>5442100558</v>
      </c>
      <c r="O135">
        <v>480</v>
      </c>
      <c r="P135" s="55">
        <v>1000</v>
      </c>
      <c r="R135" t="e">
        <v>#N/A</v>
      </c>
      <c r="S135" t="e">
        <v>#N/A</v>
      </c>
    </row>
    <row r="136" spans="1:19" x14ac:dyDescent="0.4">
      <c r="A136" s="14" t="s">
        <v>3198</v>
      </c>
      <c r="B136" s="15">
        <v>4</v>
      </c>
      <c r="C136" s="17" t="s">
        <v>3199</v>
      </c>
      <c r="D136" s="15">
        <v>4</v>
      </c>
      <c r="E136" s="10"/>
      <c r="H136" s="10"/>
      <c r="J136" s="10"/>
      <c r="M136" t="s">
        <v>226</v>
      </c>
      <c r="N136">
        <v>5442100558</v>
      </c>
      <c r="O136">
        <v>480</v>
      </c>
      <c r="P136" s="55">
        <v>1000</v>
      </c>
      <c r="R136" t="e">
        <v>#N/A</v>
      </c>
      <c r="S136" t="e">
        <v>#N/A</v>
      </c>
    </row>
    <row r="137" spans="1:19" x14ac:dyDescent="0.4">
      <c r="A137" s="14" t="s">
        <v>3200</v>
      </c>
      <c r="B137" s="15">
        <v>1</v>
      </c>
      <c r="C137" s="17" t="s">
        <v>3201</v>
      </c>
      <c r="D137" s="15">
        <v>1</v>
      </c>
      <c r="E137" s="10"/>
      <c r="H137" s="10"/>
      <c r="J137" s="10"/>
      <c r="M137" t="s">
        <v>226</v>
      </c>
      <c r="N137">
        <v>5442100558</v>
      </c>
      <c r="O137">
        <v>480</v>
      </c>
      <c r="P137" s="55">
        <v>1000</v>
      </c>
      <c r="R137" t="e">
        <v>#N/A</v>
      </c>
      <c r="S137" t="e">
        <v>#N/A</v>
      </c>
    </row>
    <row r="138" spans="1:19" x14ac:dyDescent="0.4">
      <c r="A138" s="14" t="s">
        <v>3204</v>
      </c>
      <c r="B138" s="15">
        <v>3</v>
      </c>
      <c r="C138" s="17" t="s">
        <v>3205</v>
      </c>
      <c r="D138" s="15">
        <v>3</v>
      </c>
      <c r="E138" s="10"/>
      <c r="H138" s="10"/>
      <c r="J138" s="10"/>
      <c r="M138" t="s">
        <v>226</v>
      </c>
      <c r="N138">
        <v>5442100558</v>
      </c>
      <c r="O138">
        <v>480</v>
      </c>
      <c r="P138" s="55">
        <v>1000</v>
      </c>
      <c r="R138" t="e">
        <v>#N/A</v>
      </c>
      <c r="S138" t="e">
        <v>#N/A</v>
      </c>
    </row>
    <row r="139" spans="1:19" x14ac:dyDescent="0.4">
      <c r="A139" s="14" t="s">
        <v>3206</v>
      </c>
      <c r="B139" s="15">
        <v>1</v>
      </c>
      <c r="C139" s="17" t="s">
        <v>3207</v>
      </c>
      <c r="D139" s="15">
        <v>1</v>
      </c>
      <c r="E139" s="10"/>
      <c r="H139" s="10"/>
      <c r="J139" s="10"/>
      <c r="M139" t="s">
        <v>226</v>
      </c>
      <c r="N139">
        <v>5442100558</v>
      </c>
      <c r="O139">
        <v>480</v>
      </c>
      <c r="P139" s="55">
        <v>1000</v>
      </c>
      <c r="R139" t="e">
        <v>#N/A</v>
      </c>
      <c r="S139" t="e">
        <v>#N/A</v>
      </c>
    </row>
    <row r="140" spans="1:19" x14ac:dyDescent="0.4">
      <c r="A140" s="14" t="s">
        <v>4129</v>
      </c>
      <c r="B140" s="15">
        <v>1</v>
      </c>
      <c r="C140" s="17" t="s">
        <v>4131</v>
      </c>
      <c r="D140" s="15">
        <v>1</v>
      </c>
      <c r="E140" s="10"/>
      <c r="H140" s="10"/>
      <c r="J140" s="10"/>
      <c r="M140" t="s">
        <v>226</v>
      </c>
      <c r="N140">
        <v>5442100558</v>
      </c>
      <c r="O140">
        <v>3216</v>
      </c>
      <c r="P140" s="55">
        <v>6700</v>
      </c>
      <c r="R140" t="e">
        <v>#N/A</v>
      </c>
      <c r="S140" t="e">
        <v>#N/A</v>
      </c>
    </row>
    <row r="141" spans="1:19" x14ac:dyDescent="0.4">
      <c r="A141" s="14" t="s">
        <v>2656</v>
      </c>
      <c r="B141" s="15">
        <v>1</v>
      </c>
      <c r="C141" s="17" t="s">
        <v>2657</v>
      </c>
      <c r="D141" s="15">
        <v>1</v>
      </c>
      <c r="E141" s="10"/>
      <c r="H141" s="10"/>
      <c r="J141" s="10"/>
      <c r="M141" t="s">
        <v>226</v>
      </c>
      <c r="N141">
        <v>5442100558</v>
      </c>
      <c r="O141">
        <v>5760</v>
      </c>
      <c r="P141" s="55">
        <v>12000</v>
      </c>
      <c r="R141" t="s">
        <v>2656</v>
      </c>
      <c r="S141">
        <v>1</v>
      </c>
    </row>
    <row r="142" spans="1:19" x14ac:dyDescent="0.4">
      <c r="A142" s="14" t="s">
        <v>4138</v>
      </c>
      <c r="B142" s="15">
        <v>1</v>
      </c>
      <c r="C142" s="17" t="s">
        <v>4139</v>
      </c>
      <c r="D142" s="15">
        <v>1</v>
      </c>
      <c r="E142" s="10"/>
      <c r="H142" s="10"/>
      <c r="J142" s="10"/>
      <c r="M142" t="s">
        <v>226</v>
      </c>
      <c r="N142">
        <v>5442100558</v>
      </c>
      <c r="O142">
        <v>5760</v>
      </c>
      <c r="P142" s="55">
        <v>12000</v>
      </c>
      <c r="R142" t="e">
        <v>#N/A</v>
      </c>
      <c r="S142" t="e">
        <v>#N/A</v>
      </c>
    </row>
    <row r="143" spans="1:19" x14ac:dyDescent="0.4">
      <c r="A143" s="14" t="s">
        <v>4144</v>
      </c>
      <c r="B143" s="15">
        <v>1</v>
      </c>
      <c r="C143" s="17" t="s">
        <v>4145</v>
      </c>
      <c r="D143" s="15">
        <v>1</v>
      </c>
      <c r="E143" s="10"/>
      <c r="H143" s="10"/>
      <c r="J143" s="10"/>
      <c r="M143" t="s">
        <v>226</v>
      </c>
      <c r="N143">
        <v>5442100558</v>
      </c>
      <c r="O143">
        <v>8160</v>
      </c>
      <c r="P143" s="55">
        <v>17000</v>
      </c>
      <c r="R143" t="e">
        <v>#N/A</v>
      </c>
      <c r="S143" t="e">
        <v>#N/A</v>
      </c>
    </row>
    <row r="144" spans="1:19" x14ac:dyDescent="0.4">
      <c r="A144" s="14" t="s">
        <v>4152</v>
      </c>
      <c r="B144" s="15">
        <v>1</v>
      </c>
      <c r="C144" s="17" t="s">
        <v>4154</v>
      </c>
      <c r="D144" s="15">
        <v>1</v>
      </c>
      <c r="E144" s="10"/>
      <c r="H144" s="10"/>
      <c r="J144" s="10"/>
      <c r="M144" t="s">
        <v>226</v>
      </c>
      <c r="N144">
        <v>5442100558</v>
      </c>
      <c r="O144">
        <v>2352</v>
      </c>
      <c r="P144" s="55">
        <v>4900</v>
      </c>
      <c r="R144" t="e">
        <v>#N/A</v>
      </c>
      <c r="S144" t="e">
        <v>#N/A</v>
      </c>
    </row>
    <row r="145" spans="1:19" x14ac:dyDescent="0.4">
      <c r="A145" s="14" t="s">
        <v>4157</v>
      </c>
      <c r="B145" s="15">
        <v>1</v>
      </c>
      <c r="C145" s="17" t="s">
        <v>4159</v>
      </c>
      <c r="D145" s="15">
        <v>1</v>
      </c>
      <c r="E145" s="10"/>
      <c r="H145" s="10"/>
      <c r="J145" s="10"/>
      <c r="M145" t="s">
        <v>226</v>
      </c>
      <c r="N145">
        <v>5442100558</v>
      </c>
      <c r="O145">
        <v>1680</v>
      </c>
      <c r="P145" s="55">
        <v>3500</v>
      </c>
      <c r="R145" t="e">
        <v>#N/A</v>
      </c>
      <c r="S145" t="e">
        <v>#N/A</v>
      </c>
    </row>
    <row r="146" spans="1:19" x14ac:dyDescent="0.4">
      <c r="A146" s="14" t="s">
        <v>4164</v>
      </c>
      <c r="B146" s="15">
        <v>1</v>
      </c>
      <c r="C146" s="57" t="s">
        <v>4165</v>
      </c>
      <c r="D146" s="15">
        <v>1</v>
      </c>
      <c r="E146" s="10"/>
      <c r="H146" s="10"/>
      <c r="J146" s="10"/>
      <c r="M146" t="s">
        <v>226</v>
      </c>
      <c r="N146">
        <v>5442100558</v>
      </c>
      <c r="O146">
        <v>8640</v>
      </c>
      <c r="P146" s="55">
        <v>18000</v>
      </c>
      <c r="R146" t="e">
        <v>#N/A</v>
      </c>
      <c r="S146" t="e">
        <v>#N/A</v>
      </c>
    </row>
    <row r="147" spans="1:19" x14ac:dyDescent="0.4">
      <c r="A147" s="14" t="s">
        <v>4169</v>
      </c>
      <c r="B147" s="15">
        <v>1</v>
      </c>
      <c r="C147" s="57" t="s">
        <v>4171</v>
      </c>
      <c r="D147" s="15">
        <v>1</v>
      </c>
      <c r="E147" s="10"/>
      <c r="H147" s="10"/>
      <c r="J147" s="10"/>
      <c r="M147" t="s">
        <v>226</v>
      </c>
      <c r="N147">
        <v>5442100558</v>
      </c>
      <c r="O147">
        <v>1680</v>
      </c>
      <c r="P147" s="55">
        <v>3500</v>
      </c>
      <c r="R147" t="e">
        <v>#N/A</v>
      </c>
      <c r="S147" t="e">
        <v>#N/A</v>
      </c>
    </row>
    <row r="148" spans="1:19" x14ac:dyDescent="0.4">
      <c r="A148" s="58" t="s">
        <v>2647</v>
      </c>
      <c r="B148" s="59">
        <v>1</v>
      </c>
      <c r="C148" s="60" t="s">
        <v>2648</v>
      </c>
      <c r="D148" s="15">
        <v>1</v>
      </c>
      <c r="E148" s="61"/>
      <c r="H148" s="10"/>
      <c r="J148" s="10"/>
      <c r="M148" t="s">
        <v>226</v>
      </c>
      <c r="N148">
        <v>5442100558</v>
      </c>
      <c r="O148">
        <v>4272</v>
      </c>
      <c r="P148" s="55">
        <v>8900</v>
      </c>
      <c r="R148" t="s">
        <v>2647</v>
      </c>
      <c r="S148">
        <v>1</v>
      </c>
    </row>
    <row r="149" spans="1:19" x14ac:dyDescent="0.4">
      <c r="A149" s="14" t="s">
        <v>4174</v>
      </c>
      <c r="B149" s="15">
        <v>2</v>
      </c>
      <c r="C149" s="57" t="s">
        <v>4176</v>
      </c>
      <c r="D149" s="15">
        <v>2</v>
      </c>
      <c r="E149" s="61"/>
      <c r="H149" s="10"/>
      <c r="J149" s="10"/>
      <c r="M149" t="s">
        <v>226</v>
      </c>
      <c r="N149">
        <v>5442100558</v>
      </c>
      <c r="O149">
        <v>4320</v>
      </c>
      <c r="P149" s="55">
        <v>9000</v>
      </c>
      <c r="R149" t="e">
        <v>#N/A</v>
      </c>
      <c r="S149" t="e">
        <v>#N/A</v>
      </c>
    </row>
    <row r="150" spans="1:19" x14ac:dyDescent="0.4">
      <c r="A150" s="14" t="s">
        <v>4183</v>
      </c>
      <c r="B150" s="15">
        <v>1</v>
      </c>
      <c r="C150" s="57" t="s">
        <v>4185</v>
      </c>
      <c r="D150" s="15">
        <v>1</v>
      </c>
      <c r="E150" s="61"/>
      <c r="H150" s="10"/>
      <c r="J150" s="10"/>
      <c r="M150" t="s">
        <v>226</v>
      </c>
      <c r="N150">
        <v>5442100558</v>
      </c>
      <c r="O150">
        <v>10080</v>
      </c>
      <c r="P150" s="55">
        <v>21000</v>
      </c>
      <c r="R150" t="e">
        <v>#N/A</v>
      </c>
      <c r="S150" t="e">
        <v>#N/A</v>
      </c>
    </row>
    <row r="151" spans="1:19" x14ac:dyDescent="0.4">
      <c r="A151" s="14" t="s">
        <v>3238</v>
      </c>
      <c r="B151" s="15">
        <v>5</v>
      </c>
      <c r="C151" s="57" t="s">
        <v>3239</v>
      </c>
      <c r="D151" s="15">
        <v>35</v>
      </c>
      <c r="E151" s="61"/>
      <c r="H151" s="10"/>
      <c r="J151" s="10"/>
      <c r="M151" t="s">
        <v>4749</v>
      </c>
      <c r="N151">
        <v>1000000001</v>
      </c>
      <c r="O151">
        <v>12900</v>
      </c>
      <c r="P151" s="55">
        <v>12900</v>
      </c>
      <c r="R151" t="e">
        <v>#N/A</v>
      </c>
      <c r="S151" t="e">
        <v>#N/A</v>
      </c>
    </row>
    <row r="152" spans="1:19" x14ac:dyDescent="0.4">
      <c r="A152" s="14" t="s">
        <v>4951</v>
      </c>
      <c r="B152" s="15"/>
      <c r="C152" s="62" t="s">
        <v>4952</v>
      </c>
      <c r="D152" s="63">
        <v>5</v>
      </c>
      <c r="E152" s="61"/>
      <c r="H152" s="10"/>
      <c r="J152" s="10"/>
      <c r="M152" t="s">
        <v>4749</v>
      </c>
      <c r="N152">
        <v>1000000001</v>
      </c>
      <c r="O152">
        <v>14900</v>
      </c>
      <c r="P152" s="55">
        <v>14900</v>
      </c>
      <c r="R152" t="e">
        <v>#N/A</v>
      </c>
      <c r="S152" t="e">
        <v>#N/A</v>
      </c>
    </row>
    <row r="153" spans="1:19" x14ac:dyDescent="0.4">
      <c r="A153" s="14" t="s">
        <v>4953</v>
      </c>
      <c r="B153" s="15"/>
      <c r="C153" s="57" t="s">
        <v>4954</v>
      </c>
      <c r="D153" s="63">
        <v>10</v>
      </c>
      <c r="E153" s="61"/>
      <c r="H153" s="10"/>
      <c r="J153" s="10"/>
      <c r="M153" t="s">
        <v>4749</v>
      </c>
      <c r="N153">
        <v>1000000001</v>
      </c>
      <c r="O153">
        <v>21900</v>
      </c>
      <c r="P153" s="55">
        <v>21900</v>
      </c>
      <c r="R153" t="e">
        <v>#N/A</v>
      </c>
      <c r="S153" t="e">
        <v>#N/A</v>
      </c>
    </row>
    <row r="154" spans="1:19" x14ac:dyDescent="0.4">
      <c r="A154" t="s">
        <v>2701</v>
      </c>
      <c r="B154">
        <v>1</v>
      </c>
      <c r="C154" t="s">
        <v>2702</v>
      </c>
      <c r="E154" s="10">
        <v>43118</v>
      </c>
      <c r="F154" t="s">
        <v>820</v>
      </c>
      <c r="H154" s="10"/>
      <c r="J154" s="10"/>
      <c r="P154" s="55"/>
    </row>
    <row r="155" spans="1:19" x14ac:dyDescent="0.4">
      <c r="A155" t="s">
        <v>2704</v>
      </c>
      <c r="B155">
        <v>1</v>
      </c>
      <c r="C155" t="s">
        <v>2705</v>
      </c>
      <c r="E155" s="10">
        <v>43118</v>
      </c>
      <c r="F155" t="s">
        <v>820</v>
      </c>
      <c r="H155" s="10"/>
      <c r="J155" s="10"/>
      <c r="P155" s="55"/>
    </row>
    <row r="156" spans="1:19" x14ac:dyDescent="0.4">
      <c r="A156" t="s">
        <v>2706</v>
      </c>
      <c r="B156">
        <v>6</v>
      </c>
      <c r="C156" t="s">
        <v>2707</v>
      </c>
      <c r="E156" s="10">
        <v>43118</v>
      </c>
      <c r="F156" t="s">
        <v>820</v>
      </c>
      <c r="H156" s="10"/>
      <c r="J156" s="10"/>
      <c r="P156" s="55"/>
    </row>
    <row r="157" spans="1:19" x14ac:dyDescent="0.4">
      <c r="A157" t="s">
        <v>2720</v>
      </c>
      <c r="B157">
        <v>1</v>
      </c>
      <c r="C157" t="s">
        <v>2721</v>
      </c>
      <c r="E157" s="10">
        <v>43118</v>
      </c>
      <c r="F157" t="s">
        <v>623</v>
      </c>
      <c r="H157" s="10"/>
      <c r="J157" s="10"/>
      <c r="P157" s="55"/>
    </row>
    <row r="158" spans="1:19" x14ac:dyDescent="0.4">
      <c r="A158" t="s">
        <v>2737</v>
      </c>
      <c r="B158">
        <v>2</v>
      </c>
      <c r="C158" t="s">
        <v>2738</v>
      </c>
      <c r="E158" s="10">
        <v>43118</v>
      </c>
      <c r="F158" t="s">
        <v>820</v>
      </c>
      <c r="H158" s="10"/>
      <c r="J158" s="10"/>
      <c r="P158" s="55"/>
    </row>
    <row r="159" spans="1:19" x14ac:dyDescent="0.4">
      <c r="A159" t="s">
        <v>2753</v>
      </c>
      <c r="B159">
        <v>1</v>
      </c>
      <c r="C159" t="s">
        <v>2754</v>
      </c>
      <c r="E159" s="10">
        <v>43118</v>
      </c>
      <c r="F159" t="s">
        <v>623</v>
      </c>
      <c r="H159" s="10"/>
      <c r="J159" s="10"/>
      <c r="P159" s="55"/>
    </row>
    <row r="160" spans="1:19" x14ac:dyDescent="0.4">
      <c r="A160" t="s">
        <v>154</v>
      </c>
      <c r="B160">
        <v>2</v>
      </c>
      <c r="C160" t="s">
        <v>155</v>
      </c>
      <c r="E160" s="10">
        <v>43118</v>
      </c>
      <c r="H160" s="10"/>
      <c r="J160" s="10"/>
      <c r="P160" s="55"/>
    </row>
    <row r="161" spans="1:16" x14ac:dyDescent="0.4">
      <c r="A161" t="s">
        <v>2766</v>
      </c>
      <c r="B161">
        <v>18</v>
      </c>
      <c r="C161" t="s">
        <v>2767</v>
      </c>
      <c r="E161" s="10">
        <v>43118</v>
      </c>
      <c r="F161" t="s">
        <v>3861</v>
      </c>
      <c r="H161" s="10"/>
      <c r="J161" s="10"/>
      <c r="P161" s="55"/>
    </row>
    <row r="162" spans="1:16" x14ac:dyDescent="0.4">
      <c r="A162" t="s">
        <v>2777</v>
      </c>
      <c r="B162">
        <v>2</v>
      </c>
      <c r="C162" t="s">
        <v>2778</v>
      </c>
      <c r="E162" s="10">
        <v>43118</v>
      </c>
      <c r="F162" t="s">
        <v>3861</v>
      </c>
      <c r="H162" s="10"/>
      <c r="J162" s="10"/>
      <c r="P162" s="55"/>
    </row>
    <row r="163" spans="1:16" x14ac:dyDescent="0.4">
      <c r="A163" t="s">
        <v>2783</v>
      </c>
      <c r="B163">
        <v>10</v>
      </c>
      <c r="C163" t="s">
        <v>2784</v>
      </c>
      <c r="E163" s="10">
        <v>43118</v>
      </c>
      <c r="F163" t="s">
        <v>3861</v>
      </c>
      <c r="H163" s="10"/>
      <c r="J163" s="10"/>
      <c r="P163" s="55"/>
    </row>
    <row r="164" spans="1:16" x14ac:dyDescent="0.4">
      <c r="A164" t="s">
        <v>2787</v>
      </c>
      <c r="B164">
        <v>1</v>
      </c>
      <c r="C164" t="s">
        <v>2788</v>
      </c>
      <c r="E164" s="10">
        <v>43118</v>
      </c>
      <c r="F164" t="s">
        <v>3861</v>
      </c>
      <c r="H164" s="10"/>
      <c r="J164" s="10"/>
      <c r="P164" s="55"/>
    </row>
    <row r="165" spans="1:16" x14ac:dyDescent="0.4">
      <c r="A165" t="s">
        <v>2791</v>
      </c>
      <c r="B165">
        <v>3</v>
      </c>
      <c r="C165" t="s">
        <v>2792</v>
      </c>
      <c r="E165" s="10">
        <v>43118</v>
      </c>
      <c r="F165" t="s">
        <v>3861</v>
      </c>
      <c r="H165" s="10"/>
      <c r="J165" s="10"/>
      <c r="P165" s="55"/>
    </row>
    <row r="166" spans="1:16" x14ac:dyDescent="0.4">
      <c r="A166" t="s">
        <v>2815</v>
      </c>
      <c r="B166">
        <v>1</v>
      </c>
      <c r="C166" t="s">
        <v>2816</v>
      </c>
      <c r="E166" s="10">
        <v>43118</v>
      </c>
      <c r="F166" t="s">
        <v>820</v>
      </c>
      <c r="H166" s="10"/>
      <c r="J166" s="10"/>
      <c r="P166" s="55"/>
    </row>
    <row r="167" spans="1:16" x14ac:dyDescent="0.4">
      <c r="A167" t="s">
        <v>2829</v>
      </c>
      <c r="B167">
        <v>1</v>
      </c>
      <c r="C167" t="s">
        <v>2830</v>
      </c>
      <c r="E167" s="10">
        <v>43118</v>
      </c>
      <c r="F167" t="s">
        <v>3289</v>
      </c>
      <c r="G167">
        <v>1</v>
      </c>
      <c r="H167" s="10">
        <v>43120</v>
      </c>
      <c r="J167" s="10"/>
      <c r="P167" s="55"/>
    </row>
    <row r="168" spans="1:16" x14ac:dyDescent="0.4">
      <c r="A168" t="s">
        <v>2836</v>
      </c>
      <c r="B168">
        <v>1</v>
      </c>
      <c r="C168" t="s">
        <v>2837</v>
      </c>
      <c r="E168" s="10">
        <v>43118</v>
      </c>
      <c r="F168" t="s">
        <v>820</v>
      </c>
      <c r="H168" s="10"/>
      <c r="J168" s="10"/>
      <c r="P168" s="55"/>
    </row>
    <row r="169" spans="1:16" x14ac:dyDescent="0.4">
      <c r="A169" t="s">
        <v>2838</v>
      </c>
      <c r="B169">
        <v>1</v>
      </c>
      <c r="C169" t="s">
        <v>2839</v>
      </c>
      <c r="E169" s="10">
        <v>43118</v>
      </c>
      <c r="F169" t="s">
        <v>820</v>
      </c>
      <c r="H169" s="10"/>
      <c r="J169" s="10"/>
      <c r="P169" s="55"/>
    </row>
    <row r="170" spans="1:16" x14ac:dyDescent="0.4">
      <c r="A170" t="s">
        <v>2840</v>
      </c>
      <c r="B170">
        <v>1</v>
      </c>
      <c r="C170" t="s">
        <v>2841</v>
      </c>
      <c r="E170" s="10">
        <v>43118</v>
      </c>
      <c r="F170" t="s">
        <v>820</v>
      </c>
      <c r="H170" s="10"/>
      <c r="J170" s="10"/>
      <c r="P170" s="55"/>
    </row>
    <row r="171" spans="1:16" x14ac:dyDescent="0.4">
      <c r="A171" t="s">
        <v>2846</v>
      </c>
      <c r="B171">
        <v>1</v>
      </c>
      <c r="C171" t="s">
        <v>2847</v>
      </c>
      <c r="E171" s="10">
        <v>43118</v>
      </c>
      <c r="F171" t="s">
        <v>820</v>
      </c>
      <c r="H171" s="10"/>
      <c r="J171" s="10"/>
      <c r="P171" s="55"/>
    </row>
    <row r="172" spans="1:16" x14ac:dyDescent="0.4">
      <c r="A172" t="s">
        <v>2854</v>
      </c>
      <c r="B172">
        <v>1</v>
      </c>
      <c r="C172" t="s">
        <v>4955</v>
      </c>
      <c r="E172" s="10">
        <v>43118</v>
      </c>
      <c r="F172" t="s">
        <v>820</v>
      </c>
      <c r="H172" s="10"/>
      <c r="J172" s="10"/>
      <c r="P172" s="55"/>
    </row>
    <row r="173" spans="1:16" x14ac:dyDescent="0.4">
      <c r="A173" t="s">
        <v>2872</v>
      </c>
      <c r="B173">
        <v>3</v>
      </c>
      <c r="C173" t="s">
        <v>2873</v>
      </c>
      <c r="E173" s="10">
        <v>43118</v>
      </c>
      <c r="F173" t="s">
        <v>820</v>
      </c>
      <c r="G173">
        <v>1</v>
      </c>
      <c r="H173" s="10"/>
      <c r="J173" s="10"/>
      <c r="P173" s="55"/>
    </row>
    <row r="174" spans="1:16" x14ac:dyDescent="0.4">
      <c r="A174" t="s">
        <v>2888</v>
      </c>
      <c r="B174">
        <v>6</v>
      </c>
      <c r="C174" t="s">
        <v>2889</v>
      </c>
      <c r="E174" s="10">
        <v>43118</v>
      </c>
      <c r="F174" t="s">
        <v>3289</v>
      </c>
      <c r="G174">
        <v>1</v>
      </c>
      <c r="H174" s="10">
        <v>43120</v>
      </c>
      <c r="J174" s="10"/>
      <c r="P174" s="55"/>
    </row>
    <row r="175" spans="1:16" x14ac:dyDescent="0.4">
      <c r="A175" t="s">
        <v>2892</v>
      </c>
      <c r="B175">
        <v>1</v>
      </c>
      <c r="C175" t="s">
        <v>2893</v>
      </c>
      <c r="E175" s="10">
        <v>43118</v>
      </c>
      <c r="F175" t="s">
        <v>623</v>
      </c>
      <c r="H175" s="10"/>
      <c r="J175" s="10"/>
      <c r="P175" s="55"/>
    </row>
    <row r="176" spans="1:16" x14ac:dyDescent="0.4">
      <c r="A176" t="s">
        <v>2914</v>
      </c>
      <c r="B176">
        <v>5</v>
      </c>
      <c r="C176" t="s">
        <v>2915</v>
      </c>
      <c r="E176" s="10">
        <v>43118</v>
      </c>
      <c r="F176" t="s">
        <v>3274</v>
      </c>
      <c r="H176" s="10"/>
      <c r="J176" s="10"/>
      <c r="P176" s="55"/>
    </row>
    <row r="177" spans="1:16" x14ac:dyDescent="0.4">
      <c r="A177" t="s">
        <v>2937</v>
      </c>
      <c r="B177">
        <v>1</v>
      </c>
      <c r="C177" t="s">
        <v>2938</v>
      </c>
      <c r="E177" s="10">
        <v>43118</v>
      </c>
      <c r="F177" t="s">
        <v>623</v>
      </c>
      <c r="H177" s="10"/>
      <c r="J177" s="10"/>
      <c r="P177" s="55"/>
    </row>
    <row r="178" spans="1:16" x14ac:dyDescent="0.4">
      <c r="A178" t="s">
        <v>2941</v>
      </c>
      <c r="B178">
        <v>1</v>
      </c>
      <c r="C178" t="s">
        <v>2942</v>
      </c>
      <c r="E178" s="10">
        <v>43118</v>
      </c>
      <c r="F178" t="s">
        <v>820</v>
      </c>
      <c r="H178" s="10"/>
      <c r="J178" s="10"/>
      <c r="P178" s="55"/>
    </row>
    <row r="179" spans="1:16" x14ac:dyDescent="0.4">
      <c r="A179" t="s">
        <v>2958</v>
      </c>
      <c r="B179">
        <v>1</v>
      </c>
      <c r="C179" t="s">
        <v>2959</v>
      </c>
      <c r="E179" s="10">
        <v>43118</v>
      </c>
      <c r="F179" t="s">
        <v>623</v>
      </c>
      <c r="H179" s="10"/>
      <c r="J179" s="10"/>
      <c r="P179" s="55"/>
    </row>
    <row r="180" spans="1:16" x14ac:dyDescent="0.4">
      <c r="A180" t="s">
        <v>2960</v>
      </c>
      <c r="B180">
        <v>1</v>
      </c>
      <c r="C180" t="s">
        <v>2961</v>
      </c>
      <c r="E180" s="10">
        <v>43118</v>
      </c>
      <c r="F180" t="s">
        <v>820</v>
      </c>
      <c r="H180" s="10"/>
      <c r="J180" s="10"/>
      <c r="P180" s="55"/>
    </row>
    <row r="181" spans="1:16" x14ac:dyDescent="0.4">
      <c r="A181" t="s">
        <v>2962</v>
      </c>
      <c r="B181">
        <v>1</v>
      </c>
      <c r="C181" t="s">
        <v>2963</v>
      </c>
      <c r="E181" s="10">
        <v>43118</v>
      </c>
      <c r="F181" t="s">
        <v>820</v>
      </c>
      <c r="H181" s="10"/>
      <c r="J181" s="10"/>
      <c r="P181" s="55"/>
    </row>
    <row r="182" spans="1:16" x14ac:dyDescent="0.4">
      <c r="A182" t="s">
        <v>2977</v>
      </c>
      <c r="B182">
        <v>3</v>
      </c>
      <c r="C182" t="s">
        <v>2978</v>
      </c>
      <c r="E182" s="10">
        <v>43118</v>
      </c>
      <c r="F182" t="s">
        <v>820</v>
      </c>
      <c r="H182" s="10"/>
      <c r="J182" s="10"/>
      <c r="P182" s="55"/>
    </row>
    <row r="183" spans="1:16" x14ac:dyDescent="0.4">
      <c r="A183" t="s">
        <v>2979</v>
      </c>
      <c r="B183">
        <v>11</v>
      </c>
      <c r="C183" t="s">
        <v>2980</v>
      </c>
      <c r="E183" s="10">
        <v>43118</v>
      </c>
      <c r="F183" t="s">
        <v>820</v>
      </c>
      <c r="H183" s="10"/>
      <c r="J183" s="10"/>
      <c r="P183" s="55"/>
    </row>
    <row r="184" spans="1:16" x14ac:dyDescent="0.4">
      <c r="A184" t="s">
        <v>2985</v>
      </c>
      <c r="B184">
        <v>2</v>
      </c>
      <c r="C184" t="s">
        <v>2986</v>
      </c>
      <c r="E184" s="10">
        <v>43118</v>
      </c>
      <c r="F184" t="s">
        <v>623</v>
      </c>
      <c r="H184" s="10"/>
      <c r="J184" s="10"/>
      <c r="P184" s="55"/>
    </row>
    <row r="185" spans="1:16" x14ac:dyDescent="0.4">
      <c r="A185" t="s">
        <v>2987</v>
      </c>
      <c r="B185">
        <v>3</v>
      </c>
      <c r="C185" t="s">
        <v>2988</v>
      </c>
      <c r="E185" s="10">
        <v>43118</v>
      </c>
      <c r="F185" t="s">
        <v>820</v>
      </c>
      <c r="H185" s="10"/>
      <c r="J185" s="10"/>
      <c r="P185" s="55"/>
    </row>
    <row r="186" spans="1:16" x14ac:dyDescent="0.4">
      <c r="A186" t="s">
        <v>2989</v>
      </c>
      <c r="B186">
        <v>68</v>
      </c>
      <c r="C186" t="s">
        <v>2990</v>
      </c>
      <c r="E186" s="10">
        <v>43118</v>
      </c>
      <c r="F186" t="s">
        <v>820</v>
      </c>
      <c r="H186" s="10"/>
      <c r="J186" s="10"/>
      <c r="P186" s="55"/>
    </row>
    <row r="187" spans="1:16" x14ac:dyDescent="0.4">
      <c r="A187" t="s">
        <v>3025</v>
      </c>
      <c r="B187">
        <v>1</v>
      </c>
      <c r="C187" t="s">
        <v>3026</v>
      </c>
      <c r="E187" s="10">
        <v>43118</v>
      </c>
      <c r="F187" t="s">
        <v>3289</v>
      </c>
      <c r="G187">
        <v>1</v>
      </c>
      <c r="H187" s="10">
        <v>43119</v>
      </c>
      <c r="J187" s="10"/>
      <c r="P187" s="55"/>
    </row>
    <row r="188" spans="1:16" x14ac:dyDescent="0.4">
      <c r="A188" t="s">
        <v>3035</v>
      </c>
      <c r="B188">
        <v>9</v>
      </c>
      <c r="C188" t="s">
        <v>3036</v>
      </c>
      <c r="E188" s="10">
        <v>43118</v>
      </c>
      <c r="F188" t="s">
        <v>820</v>
      </c>
      <c r="H188" s="10"/>
      <c r="J188" s="10"/>
      <c r="P188" s="55"/>
    </row>
    <row r="189" spans="1:16" x14ac:dyDescent="0.4">
      <c r="A189" t="s">
        <v>3113</v>
      </c>
      <c r="B189">
        <v>1</v>
      </c>
      <c r="C189" t="s">
        <v>3114</v>
      </c>
      <c r="E189" s="10">
        <v>43118</v>
      </c>
      <c r="F189" t="s">
        <v>820</v>
      </c>
      <c r="H189" s="10"/>
      <c r="J189" s="10"/>
      <c r="P189" s="55"/>
    </row>
    <row r="190" spans="1:16" x14ac:dyDescent="0.4">
      <c r="A190" t="s">
        <v>3147</v>
      </c>
      <c r="B190">
        <v>1</v>
      </c>
      <c r="C190" t="s">
        <v>3148</v>
      </c>
      <c r="E190" s="10">
        <v>43118</v>
      </c>
      <c r="F190" t="s">
        <v>623</v>
      </c>
      <c r="H190" s="10"/>
      <c r="J190" s="10"/>
      <c r="L190" t="s">
        <v>3260</v>
      </c>
      <c r="P190" s="55"/>
    </row>
    <row r="191" spans="1:16" x14ac:dyDescent="0.4">
      <c r="A191" t="s">
        <v>3190</v>
      </c>
      <c r="B191">
        <v>1</v>
      </c>
      <c r="C191" t="s">
        <v>3191</v>
      </c>
      <c r="E191" s="10">
        <v>43118</v>
      </c>
      <c r="F191" t="s">
        <v>820</v>
      </c>
      <c r="G191">
        <v>1</v>
      </c>
      <c r="H191" s="10">
        <v>43120</v>
      </c>
      <c r="J191" s="10"/>
      <c r="P191" s="55"/>
    </row>
    <row r="192" spans="1:16" x14ac:dyDescent="0.4">
      <c r="A192" t="s">
        <v>3228</v>
      </c>
      <c r="B192">
        <v>4</v>
      </c>
      <c r="C192" t="s">
        <v>3229</v>
      </c>
      <c r="E192" s="10">
        <v>43118</v>
      </c>
      <c r="F192" t="s">
        <v>623</v>
      </c>
      <c r="H192" s="10"/>
      <c r="J192" s="10"/>
      <c r="P192" s="55"/>
    </row>
    <row r="193" spans="1:16" x14ac:dyDescent="0.4">
      <c r="A193" t="s">
        <v>3230</v>
      </c>
      <c r="B193">
        <v>1</v>
      </c>
      <c r="C193" t="s">
        <v>3231</v>
      </c>
      <c r="E193" s="10">
        <v>43118</v>
      </c>
      <c r="F193" t="s">
        <v>820</v>
      </c>
      <c r="G193">
        <v>1</v>
      </c>
      <c r="H193" s="10">
        <v>43120</v>
      </c>
      <c r="J193" s="10"/>
      <c r="P193" s="55"/>
    </row>
    <row r="194" spans="1:16" x14ac:dyDescent="0.4">
      <c r="A194" t="s">
        <v>3234</v>
      </c>
      <c r="B194">
        <v>2</v>
      </c>
      <c r="C194" t="s">
        <v>3235</v>
      </c>
      <c r="E194" s="10">
        <v>43118</v>
      </c>
      <c r="F194" t="s">
        <v>820</v>
      </c>
      <c r="H194" s="10"/>
      <c r="J194" s="10"/>
      <c r="P194" s="55"/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3"/>
  <sheetViews>
    <sheetView topLeftCell="F1" workbookViewId="0">
      <selection activeCell="M9" sqref="M9"/>
    </sheetView>
  </sheetViews>
  <sheetFormatPr defaultColWidth="9.09765625" defaultRowHeight="17.399999999999999" x14ac:dyDescent="0.4"/>
  <cols>
    <col min="1" max="3" width="7.5" style="69" bestFit="1" customWidth="1"/>
    <col min="4" max="4" width="14.59765625" style="69" bestFit="1" customWidth="1"/>
    <col min="5" max="5" width="13.59765625" style="69" bestFit="1" customWidth="1"/>
    <col min="6" max="6" width="11.69921875" style="69" bestFit="1" customWidth="1"/>
    <col min="7" max="7" width="14.59765625" style="69" bestFit="1" customWidth="1"/>
    <col min="8" max="8" width="11.3984375" style="69" bestFit="1" customWidth="1"/>
    <col min="9" max="9" width="9.5" style="69" bestFit="1" customWidth="1"/>
    <col min="10" max="10" width="13.59765625" style="69" bestFit="1" customWidth="1"/>
    <col min="11" max="11" width="13" style="69" bestFit="1" customWidth="1"/>
    <col min="12" max="12" width="11.5" style="69" bestFit="1" customWidth="1"/>
    <col min="13" max="13" width="9.09765625" style="70"/>
    <col min="14" max="14" width="8.5" style="70" bestFit="1" customWidth="1"/>
    <col min="15" max="15" width="12.5" style="70" bestFit="1" customWidth="1"/>
    <col min="16" max="16" width="10.3984375" style="70" bestFit="1" customWidth="1"/>
    <col min="17" max="17" width="14.59765625" style="70" bestFit="1" customWidth="1"/>
  </cols>
  <sheetData>
    <row r="1" spans="1:18" x14ac:dyDescent="0.4">
      <c r="A1" s="64" t="s">
        <v>4956</v>
      </c>
      <c r="B1" s="64" t="s">
        <v>4957</v>
      </c>
      <c r="C1" s="64" t="s">
        <v>4958</v>
      </c>
      <c r="D1" s="64" t="s">
        <v>4959</v>
      </c>
      <c r="E1" s="64" t="s">
        <v>4960</v>
      </c>
      <c r="F1" s="65" t="s">
        <v>4961</v>
      </c>
      <c r="G1" s="64" t="s">
        <v>4962</v>
      </c>
      <c r="H1" s="64" t="s">
        <v>4963</v>
      </c>
      <c r="I1" s="64" t="s">
        <v>4964</v>
      </c>
      <c r="J1" s="64" t="s">
        <v>4965</v>
      </c>
      <c r="K1" s="65" t="s">
        <v>4966</v>
      </c>
      <c r="L1" s="64" t="s">
        <v>4967</v>
      </c>
      <c r="M1" s="66" t="s">
        <v>4968</v>
      </c>
      <c r="N1" s="67" t="s">
        <v>4969</v>
      </c>
      <c r="O1" s="67" t="s">
        <v>4970</v>
      </c>
      <c r="P1" s="67" t="s">
        <v>4971</v>
      </c>
      <c r="Q1" s="67" t="s">
        <v>4972</v>
      </c>
      <c r="R1" s="68" t="s">
        <v>4973</v>
      </c>
    </row>
    <row r="2" spans="1:18" x14ac:dyDescent="0.4">
      <c r="A2" s="69" t="s">
        <v>4974</v>
      </c>
      <c r="B2" s="69" t="s">
        <v>4975</v>
      </c>
      <c r="D2" s="69">
        <v>1000000001</v>
      </c>
      <c r="F2" s="69" t="s">
        <v>4976</v>
      </c>
      <c r="K2" s="69" t="s">
        <v>3238</v>
      </c>
      <c r="L2" s="69" t="s">
        <v>3239</v>
      </c>
      <c r="M2" s="70">
        <v>5</v>
      </c>
      <c r="N2" s="70">
        <v>12900</v>
      </c>
      <c r="O2" s="70">
        <f>ROUND((M2*N2)-P2,0)</f>
        <v>58636</v>
      </c>
      <c r="P2" s="70">
        <f>ROUND(M2*N2/1.1*0.1,0)</f>
        <v>5864</v>
      </c>
      <c r="Q2" s="70">
        <v>12900</v>
      </c>
      <c r="R2" t="s">
        <v>4977</v>
      </c>
    </row>
    <row r="3" spans="1:18" x14ac:dyDescent="0.4">
      <c r="A3" s="69" t="s">
        <v>4974</v>
      </c>
      <c r="B3" s="69" t="s">
        <v>4978</v>
      </c>
      <c r="D3" s="69">
        <v>1000000002</v>
      </c>
      <c r="F3" s="69" t="s">
        <v>4976</v>
      </c>
      <c r="K3" s="69" t="s">
        <v>3001</v>
      </c>
      <c r="L3" s="69" t="s">
        <v>3002</v>
      </c>
      <c r="M3" s="70">
        <v>30</v>
      </c>
      <c r="N3" s="70">
        <v>127</v>
      </c>
      <c r="O3" s="70">
        <f t="shared" ref="O3:O66" si="0">ROUND((M3*N3)-P3,0)</f>
        <v>3464</v>
      </c>
      <c r="P3" s="70">
        <f t="shared" ref="P3:P66" si="1">ROUND(M3*N3/1.1*0.1,0)</f>
        <v>346</v>
      </c>
      <c r="Q3" s="70">
        <v>0</v>
      </c>
      <c r="R3" t="s">
        <v>4977</v>
      </c>
    </row>
    <row r="4" spans="1:18" x14ac:dyDescent="0.4">
      <c r="A4" s="69" t="s">
        <v>4974</v>
      </c>
      <c r="B4" s="69" t="s">
        <v>4978</v>
      </c>
      <c r="D4" s="69">
        <v>1000000002</v>
      </c>
      <c r="F4" s="69" t="s">
        <v>4976</v>
      </c>
      <c r="K4" s="69" t="s">
        <v>3003</v>
      </c>
      <c r="L4" s="69" t="s">
        <v>3004</v>
      </c>
      <c r="M4" s="70">
        <v>30</v>
      </c>
      <c r="N4" s="70">
        <v>200</v>
      </c>
      <c r="O4" s="70">
        <f t="shared" si="0"/>
        <v>5455</v>
      </c>
      <c r="P4" s="70">
        <f t="shared" si="1"/>
        <v>545</v>
      </c>
      <c r="Q4" s="70">
        <v>0</v>
      </c>
      <c r="R4" t="s">
        <v>4977</v>
      </c>
    </row>
    <row r="5" spans="1:18" x14ac:dyDescent="0.4">
      <c r="A5" s="69" t="s">
        <v>4974</v>
      </c>
      <c r="B5" s="69" t="s">
        <v>4978</v>
      </c>
      <c r="D5" s="69">
        <v>1000000002</v>
      </c>
      <c r="F5" s="69" t="s">
        <v>4976</v>
      </c>
      <c r="K5" s="69" t="s">
        <v>3005</v>
      </c>
      <c r="L5" s="69" t="s">
        <v>3006</v>
      </c>
      <c r="M5" s="70">
        <v>1</v>
      </c>
      <c r="N5" s="70">
        <v>40000</v>
      </c>
      <c r="O5" s="70">
        <f t="shared" si="0"/>
        <v>36364</v>
      </c>
      <c r="P5" s="70">
        <f t="shared" si="1"/>
        <v>3636</v>
      </c>
      <c r="Q5" s="70">
        <v>40000</v>
      </c>
      <c r="R5" t="s">
        <v>4977</v>
      </c>
    </row>
    <row r="6" spans="1:18" x14ac:dyDescent="0.4">
      <c r="A6" s="69" t="s">
        <v>4974</v>
      </c>
      <c r="B6" s="69" t="s">
        <v>4978</v>
      </c>
      <c r="D6" s="69">
        <v>1000000002</v>
      </c>
      <c r="F6" s="69" t="s">
        <v>4976</v>
      </c>
      <c r="K6" s="69" t="s">
        <v>3007</v>
      </c>
      <c r="L6" s="69" t="s">
        <v>3008</v>
      </c>
      <c r="M6" s="70">
        <v>1</v>
      </c>
      <c r="N6" s="70">
        <v>65000</v>
      </c>
      <c r="O6" s="70">
        <f t="shared" si="0"/>
        <v>59091</v>
      </c>
      <c r="P6" s="70">
        <f t="shared" si="1"/>
        <v>5909</v>
      </c>
      <c r="Q6" s="70">
        <v>65000</v>
      </c>
      <c r="R6" t="s">
        <v>4977</v>
      </c>
    </row>
    <row r="7" spans="1:18" x14ac:dyDescent="0.4">
      <c r="A7" s="69" t="s">
        <v>4974</v>
      </c>
      <c r="B7" s="69" t="s">
        <v>4978</v>
      </c>
      <c r="D7" s="69">
        <v>1000000002</v>
      </c>
      <c r="F7" s="69" t="s">
        <v>4976</v>
      </c>
      <c r="K7" s="69" t="s">
        <v>3013</v>
      </c>
      <c r="L7" s="69" t="s">
        <v>3014</v>
      </c>
      <c r="M7" s="70">
        <v>1</v>
      </c>
      <c r="N7" s="70">
        <v>45000</v>
      </c>
      <c r="O7" s="70">
        <f t="shared" si="0"/>
        <v>40909</v>
      </c>
      <c r="P7" s="70">
        <f t="shared" si="1"/>
        <v>4091</v>
      </c>
      <c r="Q7" s="70">
        <v>45000</v>
      </c>
      <c r="R7" t="s">
        <v>4977</v>
      </c>
    </row>
    <row r="8" spans="1:18" x14ac:dyDescent="0.4">
      <c r="A8" s="69" t="s">
        <v>4974</v>
      </c>
      <c r="B8" s="69" t="s">
        <v>4978</v>
      </c>
      <c r="D8" s="69">
        <v>1000000002</v>
      </c>
      <c r="F8" s="69" t="s">
        <v>4976</v>
      </c>
      <c r="K8" s="69" t="s">
        <v>3015</v>
      </c>
      <c r="L8" s="69" t="s">
        <v>3016</v>
      </c>
      <c r="M8" s="70">
        <v>1</v>
      </c>
      <c r="N8" s="70">
        <v>45000</v>
      </c>
      <c r="O8" s="70">
        <f t="shared" si="0"/>
        <v>40909</v>
      </c>
      <c r="P8" s="70">
        <f t="shared" si="1"/>
        <v>4091</v>
      </c>
      <c r="Q8" s="70">
        <v>45000</v>
      </c>
      <c r="R8" t="s">
        <v>4977</v>
      </c>
    </row>
    <row r="9" spans="1:18" x14ac:dyDescent="0.4">
      <c r="A9" s="69" t="s">
        <v>4974</v>
      </c>
      <c r="B9" s="69" t="s">
        <v>4978</v>
      </c>
      <c r="D9" s="69">
        <v>1000000002</v>
      </c>
      <c r="F9" s="69" t="s">
        <v>4976</v>
      </c>
      <c r="K9" s="69" t="s">
        <v>3017</v>
      </c>
      <c r="L9" s="69" t="s">
        <v>3018</v>
      </c>
      <c r="M9" s="70">
        <v>1</v>
      </c>
      <c r="N9" s="70">
        <v>43000</v>
      </c>
      <c r="O9" s="70">
        <f t="shared" si="0"/>
        <v>39091</v>
      </c>
      <c r="P9" s="70">
        <f t="shared" si="1"/>
        <v>3909</v>
      </c>
      <c r="Q9" s="70">
        <v>43000</v>
      </c>
      <c r="R9" t="s">
        <v>4977</v>
      </c>
    </row>
    <row r="10" spans="1:18" x14ac:dyDescent="0.4">
      <c r="A10" s="69" t="s">
        <v>4974</v>
      </c>
      <c r="B10" s="69" t="s">
        <v>4975</v>
      </c>
      <c r="D10" s="69">
        <v>1000000003</v>
      </c>
      <c r="F10" s="69" t="s">
        <v>4976</v>
      </c>
      <c r="K10" s="69" t="s">
        <v>3117</v>
      </c>
      <c r="L10" s="69" t="s">
        <v>3118</v>
      </c>
      <c r="M10" s="70">
        <v>2</v>
      </c>
      <c r="N10" s="70">
        <v>2500</v>
      </c>
      <c r="O10" s="70">
        <f t="shared" si="0"/>
        <v>4545</v>
      </c>
      <c r="P10" s="70">
        <f t="shared" si="1"/>
        <v>455</v>
      </c>
      <c r="Q10" s="70">
        <v>2500</v>
      </c>
      <c r="R10" t="s">
        <v>4977</v>
      </c>
    </row>
    <row r="11" spans="1:18" x14ac:dyDescent="0.4">
      <c r="A11" s="69" t="s">
        <v>4974</v>
      </c>
      <c r="B11" s="69" t="s">
        <v>4975</v>
      </c>
      <c r="D11" s="69">
        <v>1000000003</v>
      </c>
      <c r="F11" s="69" t="s">
        <v>4976</v>
      </c>
      <c r="K11" s="69" t="s">
        <v>3119</v>
      </c>
      <c r="L11" s="69" t="s">
        <v>3120</v>
      </c>
      <c r="M11" s="70">
        <v>2</v>
      </c>
      <c r="N11" s="70">
        <v>2000</v>
      </c>
      <c r="O11" s="70">
        <f t="shared" si="0"/>
        <v>3636</v>
      </c>
      <c r="P11" s="70">
        <f t="shared" si="1"/>
        <v>364</v>
      </c>
      <c r="Q11" s="70">
        <v>2000</v>
      </c>
      <c r="R11" t="s">
        <v>4977</v>
      </c>
    </row>
    <row r="12" spans="1:18" x14ac:dyDescent="0.4">
      <c r="A12" s="69" t="s">
        <v>4974</v>
      </c>
      <c r="B12" s="69" t="s">
        <v>4975</v>
      </c>
      <c r="D12" s="69">
        <v>1000000003</v>
      </c>
      <c r="F12" s="69" t="s">
        <v>4976</v>
      </c>
      <c r="K12" s="69" t="s">
        <v>3121</v>
      </c>
      <c r="L12" s="69" t="s">
        <v>3122</v>
      </c>
      <c r="M12" s="70">
        <v>2</v>
      </c>
      <c r="N12" s="70">
        <v>2000</v>
      </c>
      <c r="O12" s="70">
        <f t="shared" si="0"/>
        <v>3636</v>
      </c>
      <c r="P12" s="70">
        <f t="shared" si="1"/>
        <v>364</v>
      </c>
      <c r="Q12" s="70">
        <v>2000</v>
      </c>
      <c r="R12" t="s">
        <v>4977</v>
      </c>
    </row>
    <row r="13" spans="1:18" x14ac:dyDescent="0.4">
      <c r="A13" s="69" t="s">
        <v>4974</v>
      </c>
      <c r="B13" s="69" t="s">
        <v>4975</v>
      </c>
      <c r="D13" s="69">
        <v>1000000003</v>
      </c>
      <c r="F13" s="69" t="s">
        <v>4976</v>
      </c>
      <c r="K13" s="69" t="s">
        <v>3123</v>
      </c>
      <c r="L13" s="69" t="s">
        <v>3124</v>
      </c>
      <c r="M13" s="70">
        <v>1</v>
      </c>
      <c r="N13" s="70">
        <v>6800</v>
      </c>
      <c r="O13" s="70">
        <f t="shared" si="0"/>
        <v>6182</v>
      </c>
      <c r="P13" s="70">
        <f t="shared" si="1"/>
        <v>618</v>
      </c>
      <c r="Q13" s="70">
        <v>6800</v>
      </c>
      <c r="R13" t="s">
        <v>4977</v>
      </c>
    </row>
    <row r="14" spans="1:18" x14ac:dyDescent="0.4">
      <c r="A14" s="69" t="s">
        <v>4974</v>
      </c>
      <c r="B14" s="69" t="s">
        <v>4975</v>
      </c>
      <c r="D14" s="69">
        <v>1000000003</v>
      </c>
      <c r="F14" s="69" t="s">
        <v>4976</v>
      </c>
      <c r="K14" s="69" t="s">
        <v>3125</v>
      </c>
      <c r="L14" s="69" t="s">
        <v>3126</v>
      </c>
      <c r="M14" s="70">
        <v>1</v>
      </c>
      <c r="N14" s="70">
        <v>8000</v>
      </c>
      <c r="O14" s="70">
        <f t="shared" si="0"/>
        <v>7273</v>
      </c>
      <c r="P14" s="70">
        <f t="shared" si="1"/>
        <v>727</v>
      </c>
      <c r="Q14" s="70">
        <v>8000</v>
      </c>
      <c r="R14" t="s">
        <v>4977</v>
      </c>
    </row>
    <row r="15" spans="1:18" x14ac:dyDescent="0.4">
      <c r="A15" s="69" t="s">
        <v>4974</v>
      </c>
      <c r="B15" s="69" t="s">
        <v>4975</v>
      </c>
      <c r="D15" s="69">
        <v>1000000003</v>
      </c>
      <c r="F15" s="69" t="s">
        <v>4976</v>
      </c>
      <c r="K15" s="69" t="s">
        <v>3127</v>
      </c>
      <c r="L15" s="69" t="s">
        <v>3128</v>
      </c>
      <c r="M15" s="70">
        <v>2</v>
      </c>
      <c r="N15" s="70">
        <v>12800</v>
      </c>
      <c r="O15" s="70">
        <f t="shared" si="0"/>
        <v>23273</v>
      </c>
      <c r="P15" s="70">
        <f t="shared" si="1"/>
        <v>2327</v>
      </c>
      <c r="Q15" s="70">
        <v>12800</v>
      </c>
      <c r="R15" t="s">
        <v>4977</v>
      </c>
    </row>
    <row r="16" spans="1:18" x14ac:dyDescent="0.4">
      <c r="A16" s="69" t="s">
        <v>4974</v>
      </c>
      <c r="B16" s="69" t="s">
        <v>4975</v>
      </c>
      <c r="D16" s="69">
        <v>1000000003</v>
      </c>
      <c r="F16" s="69" t="s">
        <v>4976</v>
      </c>
      <c r="K16" s="69" t="s">
        <v>3129</v>
      </c>
      <c r="L16" s="69" t="s">
        <v>3130</v>
      </c>
      <c r="M16" s="70">
        <v>1</v>
      </c>
      <c r="N16" s="70">
        <v>12800</v>
      </c>
      <c r="O16" s="70">
        <f t="shared" si="0"/>
        <v>11636</v>
      </c>
      <c r="P16" s="70">
        <f t="shared" si="1"/>
        <v>1164</v>
      </c>
      <c r="Q16" s="70">
        <v>12800</v>
      </c>
      <c r="R16" t="s">
        <v>4977</v>
      </c>
    </row>
    <row r="17" spans="1:18" x14ac:dyDescent="0.4">
      <c r="A17" s="69" t="s">
        <v>4974</v>
      </c>
      <c r="B17" s="69" t="s">
        <v>4975</v>
      </c>
      <c r="D17" s="69">
        <v>1000000003</v>
      </c>
      <c r="F17" s="69" t="s">
        <v>4976</v>
      </c>
      <c r="K17" s="69" t="s">
        <v>3131</v>
      </c>
      <c r="L17" s="69" t="s">
        <v>3132</v>
      </c>
      <c r="M17" s="70">
        <v>1</v>
      </c>
      <c r="N17" s="70">
        <v>9000</v>
      </c>
      <c r="O17" s="70">
        <f t="shared" si="0"/>
        <v>8182</v>
      </c>
      <c r="P17" s="70">
        <f t="shared" si="1"/>
        <v>818</v>
      </c>
      <c r="Q17" s="70">
        <v>9000</v>
      </c>
      <c r="R17" t="s">
        <v>4977</v>
      </c>
    </row>
    <row r="18" spans="1:18" x14ac:dyDescent="0.4">
      <c r="A18" s="69" t="s">
        <v>4974</v>
      </c>
      <c r="B18" s="69" t="s">
        <v>4975</v>
      </c>
      <c r="D18" s="69">
        <v>1000000003</v>
      </c>
      <c r="F18" s="69" t="s">
        <v>4976</v>
      </c>
      <c r="K18" s="69" t="s">
        <v>3133</v>
      </c>
      <c r="L18" s="69" t="s">
        <v>3134</v>
      </c>
      <c r="M18" s="70">
        <v>1</v>
      </c>
      <c r="N18" s="70">
        <v>7800</v>
      </c>
      <c r="O18" s="70">
        <f t="shared" si="0"/>
        <v>7091</v>
      </c>
      <c r="P18" s="70">
        <f t="shared" si="1"/>
        <v>709</v>
      </c>
      <c r="Q18" s="70">
        <v>7800</v>
      </c>
      <c r="R18" t="s">
        <v>4977</v>
      </c>
    </row>
    <row r="19" spans="1:18" x14ac:dyDescent="0.4">
      <c r="A19" s="69" t="s">
        <v>4974</v>
      </c>
      <c r="B19" s="69" t="s">
        <v>4975</v>
      </c>
      <c r="D19" s="69">
        <v>1000000003</v>
      </c>
      <c r="F19" s="69" t="s">
        <v>4976</v>
      </c>
      <c r="K19" s="69" t="s">
        <v>3135</v>
      </c>
      <c r="L19" s="69" t="s">
        <v>3136</v>
      </c>
      <c r="M19" s="70">
        <v>1</v>
      </c>
      <c r="N19" s="70">
        <v>7800</v>
      </c>
      <c r="O19" s="70">
        <f t="shared" si="0"/>
        <v>7091</v>
      </c>
      <c r="P19" s="70">
        <f t="shared" si="1"/>
        <v>709</v>
      </c>
      <c r="Q19" s="70">
        <v>7800</v>
      </c>
      <c r="R19" t="s">
        <v>4977</v>
      </c>
    </row>
    <row r="20" spans="1:18" x14ac:dyDescent="0.4">
      <c r="A20" s="69" t="s">
        <v>4974</v>
      </c>
      <c r="B20" s="69" t="s">
        <v>4975</v>
      </c>
      <c r="D20" s="69">
        <v>1000000003</v>
      </c>
      <c r="F20" s="69" t="s">
        <v>4976</v>
      </c>
      <c r="K20" s="69" t="s">
        <v>3137</v>
      </c>
      <c r="L20" s="69" t="s">
        <v>3138</v>
      </c>
      <c r="M20" s="70">
        <v>4</v>
      </c>
      <c r="N20" s="70">
        <v>10800</v>
      </c>
      <c r="O20" s="70">
        <f t="shared" si="0"/>
        <v>39273</v>
      </c>
      <c r="P20" s="70">
        <f t="shared" si="1"/>
        <v>3927</v>
      </c>
      <c r="Q20" s="70">
        <v>10800</v>
      </c>
      <c r="R20" t="s">
        <v>4977</v>
      </c>
    </row>
    <row r="21" spans="1:18" x14ac:dyDescent="0.4">
      <c r="A21" s="69" t="s">
        <v>4974</v>
      </c>
      <c r="B21" s="69" t="s">
        <v>4975</v>
      </c>
      <c r="D21" s="69">
        <v>1048160935</v>
      </c>
      <c r="F21" s="69" t="s">
        <v>4976</v>
      </c>
      <c r="K21" s="69" t="s">
        <v>2813</v>
      </c>
      <c r="L21" s="69" t="s">
        <v>2814</v>
      </c>
      <c r="M21" s="70">
        <v>1</v>
      </c>
      <c r="N21" s="70">
        <v>8800</v>
      </c>
      <c r="O21" s="70">
        <f t="shared" si="0"/>
        <v>8000</v>
      </c>
      <c r="P21" s="70">
        <f t="shared" si="1"/>
        <v>800</v>
      </c>
      <c r="Q21" s="70">
        <v>8800</v>
      </c>
      <c r="R21" t="s">
        <v>4977</v>
      </c>
    </row>
    <row r="22" spans="1:18" x14ac:dyDescent="0.4">
      <c r="A22" s="69" t="s">
        <v>4974</v>
      </c>
      <c r="B22" s="69" t="s">
        <v>4975</v>
      </c>
      <c r="D22" s="69">
        <v>1048160935</v>
      </c>
      <c r="F22" s="69" t="s">
        <v>4976</v>
      </c>
      <c r="K22" s="69" t="s">
        <v>2817</v>
      </c>
      <c r="L22" s="69" t="s">
        <v>2818</v>
      </c>
      <c r="M22" s="70">
        <v>2</v>
      </c>
      <c r="N22" s="70">
        <v>3900</v>
      </c>
      <c r="O22" s="70">
        <f t="shared" si="0"/>
        <v>7091</v>
      </c>
      <c r="P22" s="70">
        <f t="shared" si="1"/>
        <v>709</v>
      </c>
      <c r="Q22" s="70">
        <v>3900</v>
      </c>
      <c r="R22" t="s">
        <v>4977</v>
      </c>
    </row>
    <row r="23" spans="1:18" x14ac:dyDescent="0.4">
      <c r="A23" s="69" t="s">
        <v>4974</v>
      </c>
      <c r="B23" s="69" t="s">
        <v>4975</v>
      </c>
      <c r="D23" s="69">
        <v>1048160935</v>
      </c>
      <c r="F23" s="69" t="s">
        <v>4976</v>
      </c>
      <c r="K23" s="69" t="s">
        <v>2819</v>
      </c>
      <c r="L23" s="69" t="s">
        <v>2820</v>
      </c>
      <c r="M23" s="70">
        <v>1</v>
      </c>
      <c r="N23" s="70">
        <v>4900</v>
      </c>
      <c r="O23" s="70">
        <f t="shared" si="0"/>
        <v>4455</v>
      </c>
      <c r="P23" s="70">
        <f t="shared" si="1"/>
        <v>445</v>
      </c>
      <c r="Q23" s="70">
        <v>4900</v>
      </c>
      <c r="R23" t="s">
        <v>4977</v>
      </c>
    </row>
    <row r="24" spans="1:18" x14ac:dyDescent="0.4">
      <c r="A24" s="69" t="s">
        <v>4974</v>
      </c>
      <c r="B24" s="69" t="s">
        <v>4975</v>
      </c>
      <c r="D24" s="69">
        <v>1048160935</v>
      </c>
      <c r="F24" s="69" t="s">
        <v>4976</v>
      </c>
      <c r="K24" s="69" t="s">
        <v>2821</v>
      </c>
      <c r="L24" s="69" t="s">
        <v>2822</v>
      </c>
      <c r="M24" s="70">
        <v>1</v>
      </c>
      <c r="N24" s="70">
        <v>9900</v>
      </c>
      <c r="O24" s="70">
        <f t="shared" si="0"/>
        <v>9000</v>
      </c>
      <c r="P24" s="70">
        <f t="shared" si="1"/>
        <v>900</v>
      </c>
      <c r="Q24" s="70">
        <v>9900</v>
      </c>
      <c r="R24" t="s">
        <v>4977</v>
      </c>
    </row>
    <row r="25" spans="1:18" x14ac:dyDescent="0.4">
      <c r="A25" s="69" t="s">
        <v>4974</v>
      </c>
      <c r="B25" s="69" t="s">
        <v>4975</v>
      </c>
      <c r="D25" s="69">
        <v>1048160935</v>
      </c>
      <c r="F25" s="69" t="s">
        <v>4976</v>
      </c>
      <c r="K25" s="69" t="s">
        <v>2823</v>
      </c>
      <c r="L25" s="69" t="s">
        <v>2824</v>
      </c>
      <c r="M25" s="70">
        <v>1</v>
      </c>
      <c r="N25" s="70">
        <v>10900</v>
      </c>
      <c r="O25" s="70">
        <f t="shared" si="0"/>
        <v>9909</v>
      </c>
      <c r="P25" s="70">
        <f t="shared" si="1"/>
        <v>991</v>
      </c>
      <c r="Q25" s="70">
        <v>10900</v>
      </c>
      <c r="R25" t="s">
        <v>4977</v>
      </c>
    </row>
    <row r="26" spans="1:18" x14ac:dyDescent="0.4">
      <c r="A26" s="69" t="s">
        <v>4974</v>
      </c>
      <c r="B26" s="69" t="s">
        <v>4975</v>
      </c>
      <c r="D26" s="69">
        <v>1048160935</v>
      </c>
      <c r="F26" s="69" t="s">
        <v>4976</v>
      </c>
      <c r="K26" s="69" t="s">
        <v>2825</v>
      </c>
      <c r="L26" s="69" t="s">
        <v>2826</v>
      </c>
      <c r="M26" s="70">
        <v>10</v>
      </c>
      <c r="N26" s="70">
        <v>4000</v>
      </c>
      <c r="O26" s="70">
        <f t="shared" si="0"/>
        <v>36364</v>
      </c>
      <c r="P26" s="70">
        <f t="shared" si="1"/>
        <v>3636</v>
      </c>
      <c r="Q26" s="70">
        <v>4000</v>
      </c>
      <c r="R26" t="s">
        <v>4977</v>
      </c>
    </row>
    <row r="27" spans="1:18" x14ac:dyDescent="0.4">
      <c r="A27" s="69" t="s">
        <v>4974</v>
      </c>
      <c r="B27" s="69" t="s">
        <v>4975</v>
      </c>
      <c r="D27" s="69">
        <v>1048160935</v>
      </c>
      <c r="F27" s="69" t="s">
        <v>4976</v>
      </c>
      <c r="K27" s="69" t="s">
        <v>2827</v>
      </c>
      <c r="L27" s="69" t="s">
        <v>2828</v>
      </c>
      <c r="M27" s="70">
        <v>1</v>
      </c>
      <c r="N27" s="70">
        <v>9500</v>
      </c>
      <c r="O27" s="70">
        <f t="shared" si="0"/>
        <v>8636</v>
      </c>
      <c r="P27" s="70">
        <f t="shared" si="1"/>
        <v>864</v>
      </c>
      <c r="Q27" s="70">
        <v>9500</v>
      </c>
      <c r="R27" t="s">
        <v>4977</v>
      </c>
    </row>
    <row r="28" spans="1:18" x14ac:dyDescent="0.4">
      <c r="A28" s="69" t="s">
        <v>4974</v>
      </c>
      <c r="B28" s="69" t="s">
        <v>4975</v>
      </c>
      <c r="D28" s="69">
        <v>1048160935</v>
      </c>
      <c r="F28" s="69" t="s">
        <v>4976</v>
      </c>
      <c r="K28" s="69" t="s">
        <v>2832</v>
      </c>
      <c r="L28" s="69" t="s">
        <v>2833</v>
      </c>
      <c r="M28" s="70">
        <v>1</v>
      </c>
      <c r="N28" s="70">
        <v>13500</v>
      </c>
      <c r="O28" s="70">
        <f t="shared" si="0"/>
        <v>12273</v>
      </c>
      <c r="P28" s="70">
        <f t="shared" si="1"/>
        <v>1227</v>
      </c>
      <c r="Q28" s="70">
        <v>13500</v>
      </c>
      <c r="R28" t="s">
        <v>4977</v>
      </c>
    </row>
    <row r="29" spans="1:18" x14ac:dyDescent="0.4">
      <c r="A29" s="69" t="s">
        <v>4974</v>
      </c>
      <c r="B29" s="69" t="s">
        <v>4975</v>
      </c>
      <c r="D29" s="69">
        <v>1048160935</v>
      </c>
      <c r="F29" s="69" t="s">
        <v>4976</v>
      </c>
      <c r="K29" s="69" t="s">
        <v>2834</v>
      </c>
      <c r="L29" s="69" t="s">
        <v>2835</v>
      </c>
      <c r="M29" s="70">
        <v>1</v>
      </c>
      <c r="N29" s="70">
        <v>6900</v>
      </c>
      <c r="O29" s="70">
        <f t="shared" si="0"/>
        <v>6273</v>
      </c>
      <c r="P29" s="70">
        <f t="shared" si="1"/>
        <v>627</v>
      </c>
      <c r="Q29" s="70">
        <v>6900</v>
      </c>
      <c r="R29" t="s">
        <v>4977</v>
      </c>
    </row>
    <row r="30" spans="1:18" x14ac:dyDescent="0.4">
      <c r="A30" s="69" t="s">
        <v>4974</v>
      </c>
      <c r="B30" s="69" t="s">
        <v>4975</v>
      </c>
      <c r="D30" s="69">
        <v>1048160935</v>
      </c>
      <c r="F30" s="69" t="s">
        <v>4976</v>
      </c>
      <c r="K30" s="69" t="s">
        <v>2842</v>
      </c>
      <c r="L30" s="69" t="s">
        <v>2843</v>
      </c>
      <c r="M30" s="70">
        <v>1</v>
      </c>
      <c r="N30" s="70">
        <v>7900</v>
      </c>
      <c r="O30" s="70">
        <f t="shared" si="0"/>
        <v>7182</v>
      </c>
      <c r="P30" s="70">
        <f t="shared" si="1"/>
        <v>718</v>
      </c>
      <c r="Q30" s="70">
        <v>7900</v>
      </c>
      <c r="R30" t="s">
        <v>4977</v>
      </c>
    </row>
    <row r="31" spans="1:18" x14ac:dyDescent="0.4">
      <c r="A31" s="69" t="s">
        <v>4974</v>
      </c>
      <c r="B31" s="69" t="s">
        <v>4975</v>
      </c>
      <c r="D31" s="69">
        <v>1048160935</v>
      </c>
      <c r="F31" s="69" t="s">
        <v>4976</v>
      </c>
      <c r="K31" s="69" t="s">
        <v>2844</v>
      </c>
      <c r="L31" s="69" t="s">
        <v>2845</v>
      </c>
      <c r="M31" s="70">
        <v>1</v>
      </c>
      <c r="N31" s="70">
        <v>5900</v>
      </c>
      <c r="O31" s="70">
        <f t="shared" si="0"/>
        <v>5364</v>
      </c>
      <c r="P31" s="70">
        <f t="shared" si="1"/>
        <v>536</v>
      </c>
      <c r="Q31" s="70">
        <v>5900</v>
      </c>
      <c r="R31" t="s">
        <v>4977</v>
      </c>
    </row>
    <row r="32" spans="1:18" x14ac:dyDescent="0.4">
      <c r="A32" s="69" t="s">
        <v>4974</v>
      </c>
      <c r="B32" s="69" t="s">
        <v>4975</v>
      </c>
      <c r="D32" s="69">
        <v>1138117561</v>
      </c>
      <c r="F32" s="69" t="s">
        <v>4976</v>
      </c>
      <c r="K32" s="69" t="s">
        <v>2710</v>
      </c>
      <c r="L32" s="69" t="s">
        <v>2711</v>
      </c>
      <c r="M32" s="70">
        <v>1</v>
      </c>
      <c r="N32" s="70">
        <v>22000</v>
      </c>
      <c r="O32" s="70">
        <f t="shared" si="0"/>
        <v>20000</v>
      </c>
      <c r="P32" s="70">
        <f t="shared" si="1"/>
        <v>2000</v>
      </c>
      <c r="Q32" s="70">
        <v>22000</v>
      </c>
      <c r="R32" t="s">
        <v>4977</v>
      </c>
    </row>
    <row r="33" spans="1:18" x14ac:dyDescent="0.4">
      <c r="A33" s="69" t="s">
        <v>4974</v>
      </c>
      <c r="B33" s="69" t="s">
        <v>4975</v>
      </c>
      <c r="D33" s="69">
        <v>1198134685</v>
      </c>
      <c r="F33" s="69" t="s">
        <v>4976</v>
      </c>
      <c r="K33" s="69" t="s">
        <v>2725</v>
      </c>
      <c r="L33" s="69" t="s">
        <v>2726</v>
      </c>
      <c r="M33" s="70">
        <v>1</v>
      </c>
      <c r="N33" s="70">
        <v>3000</v>
      </c>
      <c r="O33" s="70">
        <f t="shared" si="0"/>
        <v>2727</v>
      </c>
      <c r="P33" s="70">
        <f t="shared" si="1"/>
        <v>273</v>
      </c>
      <c r="Q33" s="70">
        <v>3000</v>
      </c>
      <c r="R33" t="s">
        <v>4977</v>
      </c>
    </row>
    <row r="34" spans="1:18" x14ac:dyDescent="0.4">
      <c r="A34" s="69" t="s">
        <v>4974</v>
      </c>
      <c r="B34" s="69" t="s">
        <v>4975</v>
      </c>
      <c r="D34" s="69">
        <v>1198134685</v>
      </c>
      <c r="F34" s="69" t="s">
        <v>4976</v>
      </c>
      <c r="K34" s="69" t="s">
        <v>2727</v>
      </c>
      <c r="L34" s="69" t="s">
        <v>2728</v>
      </c>
      <c r="M34" s="70">
        <v>3</v>
      </c>
      <c r="N34" s="70">
        <v>1000</v>
      </c>
      <c r="O34" s="70">
        <f t="shared" si="0"/>
        <v>2727</v>
      </c>
      <c r="P34" s="70">
        <f t="shared" si="1"/>
        <v>273</v>
      </c>
      <c r="Q34" s="70">
        <v>1000</v>
      </c>
      <c r="R34" t="s">
        <v>4977</v>
      </c>
    </row>
    <row r="35" spans="1:18" x14ac:dyDescent="0.4">
      <c r="A35" s="69" t="s">
        <v>4974</v>
      </c>
      <c r="B35" s="69" t="s">
        <v>4975</v>
      </c>
      <c r="D35" s="69">
        <v>1198134685</v>
      </c>
      <c r="F35" s="69" t="s">
        <v>4976</v>
      </c>
      <c r="K35" s="69" t="s">
        <v>2729</v>
      </c>
      <c r="L35" s="69" t="s">
        <v>2730</v>
      </c>
      <c r="M35" s="70">
        <v>1</v>
      </c>
      <c r="N35" s="70">
        <v>6500</v>
      </c>
      <c r="O35" s="70">
        <f t="shared" si="0"/>
        <v>5909</v>
      </c>
      <c r="P35" s="70">
        <f t="shared" si="1"/>
        <v>591</v>
      </c>
      <c r="Q35" s="70">
        <v>6500</v>
      </c>
      <c r="R35" t="s">
        <v>4977</v>
      </c>
    </row>
    <row r="36" spans="1:18" x14ac:dyDescent="0.4">
      <c r="A36" s="69" t="s">
        <v>4974</v>
      </c>
      <c r="B36" s="69" t="s">
        <v>4975</v>
      </c>
      <c r="D36" s="69">
        <v>1198134685</v>
      </c>
      <c r="F36" s="69" t="s">
        <v>4976</v>
      </c>
      <c r="K36" s="69" t="s">
        <v>2731</v>
      </c>
      <c r="L36" s="69" t="s">
        <v>2732</v>
      </c>
      <c r="M36" s="70">
        <v>3</v>
      </c>
      <c r="N36" s="70">
        <v>1000</v>
      </c>
      <c r="O36" s="70">
        <f t="shared" si="0"/>
        <v>2727</v>
      </c>
      <c r="P36" s="70">
        <f t="shared" si="1"/>
        <v>273</v>
      </c>
      <c r="Q36" s="70">
        <v>1000</v>
      </c>
      <c r="R36" t="s">
        <v>4977</v>
      </c>
    </row>
    <row r="37" spans="1:18" x14ac:dyDescent="0.4">
      <c r="A37" s="69" t="s">
        <v>4974</v>
      </c>
      <c r="B37" s="69" t="s">
        <v>4975</v>
      </c>
      <c r="D37" s="69">
        <v>1198134685</v>
      </c>
      <c r="F37" s="69" t="s">
        <v>4976</v>
      </c>
      <c r="K37" s="69" t="s">
        <v>2733</v>
      </c>
      <c r="L37" s="69" t="s">
        <v>2734</v>
      </c>
      <c r="M37" s="70">
        <v>1</v>
      </c>
      <c r="N37" s="70">
        <v>5500</v>
      </c>
      <c r="O37" s="70">
        <f t="shared" si="0"/>
        <v>5000</v>
      </c>
      <c r="P37" s="70">
        <f t="shared" si="1"/>
        <v>500</v>
      </c>
      <c r="Q37" s="70">
        <v>5500</v>
      </c>
      <c r="R37" t="s">
        <v>4977</v>
      </c>
    </row>
    <row r="38" spans="1:18" x14ac:dyDescent="0.4">
      <c r="A38" s="69" t="s">
        <v>4974</v>
      </c>
      <c r="B38" s="69" t="s">
        <v>4975</v>
      </c>
      <c r="D38" s="69">
        <v>1198134685</v>
      </c>
      <c r="F38" s="69" t="s">
        <v>4976</v>
      </c>
      <c r="K38" s="69" t="s">
        <v>2735</v>
      </c>
      <c r="L38" s="69" t="s">
        <v>2736</v>
      </c>
      <c r="M38" s="70">
        <v>1</v>
      </c>
      <c r="N38" s="70">
        <v>6000</v>
      </c>
      <c r="O38" s="70">
        <f t="shared" si="0"/>
        <v>5455</v>
      </c>
      <c r="P38" s="70">
        <f t="shared" si="1"/>
        <v>545</v>
      </c>
      <c r="Q38" s="70">
        <v>6000</v>
      </c>
      <c r="R38" t="s">
        <v>4977</v>
      </c>
    </row>
    <row r="39" spans="1:18" x14ac:dyDescent="0.4">
      <c r="A39" s="69" t="s">
        <v>4974</v>
      </c>
      <c r="B39" s="69" t="s">
        <v>4975</v>
      </c>
      <c r="D39" s="69">
        <v>1198134685</v>
      </c>
      <c r="F39" s="69" t="s">
        <v>4976</v>
      </c>
      <c r="K39" s="69" t="s">
        <v>2737</v>
      </c>
      <c r="L39" s="69" t="s">
        <v>2738</v>
      </c>
      <c r="M39" s="70">
        <v>1</v>
      </c>
      <c r="N39" s="70">
        <v>800</v>
      </c>
      <c r="O39" s="70">
        <f t="shared" si="0"/>
        <v>727</v>
      </c>
      <c r="P39" s="70">
        <f t="shared" si="1"/>
        <v>73</v>
      </c>
      <c r="Q39" s="70">
        <v>800</v>
      </c>
      <c r="R39" t="s">
        <v>4977</v>
      </c>
    </row>
    <row r="40" spans="1:18" x14ac:dyDescent="0.4">
      <c r="A40" s="69" t="s">
        <v>4974</v>
      </c>
      <c r="B40" s="69" t="s">
        <v>4975</v>
      </c>
      <c r="D40" s="69">
        <v>1198134685</v>
      </c>
      <c r="F40" s="69" t="s">
        <v>4976</v>
      </c>
      <c r="K40" s="69" t="s">
        <v>2739</v>
      </c>
      <c r="L40" s="69" t="s">
        <v>2740</v>
      </c>
      <c r="M40" s="70">
        <v>3</v>
      </c>
      <c r="N40" s="70">
        <v>800</v>
      </c>
      <c r="O40" s="70">
        <f t="shared" si="0"/>
        <v>2182</v>
      </c>
      <c r="P40" s="70">
        <f t="shared" si="1"/>
        <v>218</v>
      </c>
      <c r="Q40" s="70">
        <v>800</v>
      </c>
      <c r="R40" t="s">
        <v>4977</v>
      </c>
    </row>
    <row r="41" spans="1:18" x14ac:dyDescent="0.4">
      <c r="A41" s="69" t="s">
        <v>4974</v>
      </c>
      <c r="B41" s="69" t="s">
        <v>4975</v>
      </c>
      <c r="D41" s="69">
        <v>1198134685</v>
      </c>
      <c r="F41" s="69" t="s">
        <v>4976</v>
      </c>
      <c r="K41" s="69" t="s">
        <v>2741</v>
      </c>
      <c r="L41" s="69" t="s">
        <v>2742</v>
      </c>
      <c r="M41" s="70">
        <v>4</v>
      </c>
      <c r="N41" s="70">
        <v>800</v>
      </c>
      <c r="O41" s="70">
        <f t="shared" si="0"/>
        <v>2909</v>
      </c>
      <c r="P41" s="70">
        <f t="shared" si="1"/>
        <v>291</v>
      </c>
      <c r="Q41" s="70">
        <v>800</v>
      </c>
      <c r="R41" t="s">
        <v>4977</v>
      </c>
    </row>
    <row r="42" spans="1:18" x14ac:dyDescent="0.4">
      <c r="A42" s="69" t="s">
        <v>4974</v>
      </c>
      <c r="B42" s="69" t="s">
        <v>4975</v>
      </c>
      <c r="D42" s="69">
        <v>1198134685</v>
      </c>
      <c r="F42" s="69" t="s">
        <v>4976</v>
      </c>
      <c r="K42" s="69" t="s">
        <v>2743</v>
      </c>
      <c r="L42" s="69" t="s">
        <v>2744</v>
      </c>
      <c r="M42" s="70">
        <v>2</v>
      </c>
      <c r="N42" s="70">
        <v>1000</v>
      </c>
      <c r="O42" s="70">
        <f t="shared" si="0"/>
        <v>1818</v>
      </c>
      <c r="P42" s="70">
        <f t="shared" si="1"/>
        <v>182</v>
      </c>
      <c r="Q42" s="70">
        <v>1000</v>
      </c>
      <c r="R42" t="s">
        <v>4977</v>
      </c>
    </row>
    <row r="43" spans="1:18" x14ac:dyDescent="0.4">
      <c r="A43" s="69" t="s">
        <v>4974</v>
      </c>
      <c r="B43" s="69" t="s">
        <v>4975</v>
      </c>
      <c r="D43" s="69">
        <v>1198134685</v>
      </c>
      <c r="F43" s="69" t="s">
        <v>4976</v>
      </c>
      <c r="K43" s="69" t="s">
        <v>2745</v>
      </c>
      <c r="L43" s="69" t="s">
        <v>2746</v>
      </c>
      <c r="M43" s="70">
        <v>2</v>
      </c>
      <c r="N43" s="70">
        <v>800</v>
      </c>
      <c r="O43" s="70">
        <f t="shared" si="0"/>
        <v>1455</v>
      </c>
      <c r="P43" s="70">
        <f t="shared" si="1"/>
        <v>145</v>
      </c>
      <c r="Q43" s="70">
        <v>800</v>
      </c>
      <c r="R43" t="s">
        <v>4977</v>
      </c>
    </row>
    <row r="44" spans="1:18" x14ac:dyDescent="0.4">
      <c r="A44" s="69" t="s">
        <v>4974</v>
      </c>
      <c r="B44" s="69" t="s">
        <v>4975</v>
      </c>
      <c r="D44" s="69">
        <v>1198134685</v>
      </c>
      <c r="F44" s="69" t="s">
        <v>4976</v>
      </c>
      <c r="K44" s="69" t="s">
        <v>2747</v>
      </c>
      <c r="L44" s="69" t="s">
        <v>2748</v>
      </c>
      <c r="M44" s="70">
        <v>1</v>
      </c>
      <c r="N44" s="70">
        <v>14800</v>
      </c>
      <c r="O44" s="70">
        <f t="shared" si="0"/>
        <v>13455</v>
      </c>
      <c r="P44" s="70">
        <f t="shared" si="1"/>
        <v>1345</v>
      </c>
      <c r="Q44" s="70">
        <v>14800</v>
      </c>
      <c r="R44" t="s">
        <v>4977</v>
      </c>
    </row>
    <row r="45" spans="1:18" x14ac:dyDescent="0.4">
      <c r="A45" s="69" t="s">
        <v>4974</v>
      </c>
      <c r="B45" s="69" t="s">
        <v>4975</v>
      </c>
      <c r="D45" s="69">
        <v>1198134685</v>
      </c>
      <c r="F45" s="69" t="s">
        <v>4976</v>
      </c>
      <c r="K45" s="69" t="s">
        <v>2749</v>
      </c>
      <c r="L45" s="69" t="s">
        <v>2750</v>
      </c>
      <c r="M45" s="70">
        <v>2</v>
      </c>
      <c r="N45" s="70">
        <v>9800</v>
      </c>
      <c r="O45" s="70">
        <f t="shared" si="0"/>
        <v>17818</v>
      </c>
      <c r="P45" s="70">
        <f t="shared" si="1"/>
        <v>1782</v>
      </c>
      <c r="Q45" s="70">
        <v>9800</v>
      </c>
      <c r="R45" t="s">
        <v>4977</v>
      </c>
    </row>
    <row r="46" spans="1:18" x14ac:dyDescent="0.4">
      <c r="A46" s="69" t="s">
        <v>4974</v>
      </c>
      <c r="B46" s="69" t="s">
        <v>4975</v>
      </c>
      <c r="D46" s="69">
        <v>1198134685</v>
      </c>
      <c r="F46" s="69" t="s">
        <v>4976</v>
      </c>
      <c r="K46" s="69" t="s">
        <v>2751</v>
      </c>
      <c r="L46" s="69" t="s">
        <v>2752</v>
      </c>
      <c r="M46" s="70">
        <v>1</v>
      </c>
      <c r="N46" s="70">
        <v>1500</v>
      </c>
      <c r="O46" s="70">
        <f t="shared" si="0"/>
        <v>1364</v>
      </c>
      <c r="P46" s="70">
        <f t="shared" si="1"/>
        <v>136</v>
      </c>
      <c r="Q46" s="70">
        <v>1500</v>
      </c>
      <c r="R46" t="s">
        <v>4977</v>
      </c>
    </row>
    <row r="47" spans="1:18" x14ac:dyDescent="0.4">
      <c r="A47" s="69" t="s">
        <v>4974</v>
      </c>
      <c r="B47" s="69" t="s">
        <v>4975</v>
      </c>
      <c r="D47" s="69">
        <v>1292073665</v>
      </c>
      <c r="F47" s="69" t="s">
        <v>4976</v>
      </c>
      <c r="K47" s="69" t="s">
        <v>2755</v>
      </c>
      <c r="L47" s="69" t="s">
        <v>2756</v>
      </c>
      <c r="M47" s="70">
        <v>1</v>
      </c>
      <c r="N47" s="70">
        <v>10000</v>
      </c>
      <c r="O47" s="70">
        <f t="shared" si="0"/>
        <v>9091</v>
      </c>
      <c r="P47" s="70">
        <f t="shared" si="1"/>
        <v>909</v>
      </c>
      <c r="Q47" s="70">
        <v>10000</v>
      </c>
      <c r="R47" t="s">
        <v>4977</v>
      </c>
    </row>
    <row r="48" spans="1:18" x14ac:dyDescent="0.4">
      <c r="A48" s="69" t="s">
        <v>4974</v>
      </c>
      <c r="B48" s="69" t="s">
        <v>4975</v>
      </c>
      <c r="D48" s="69">
        <v>1292073665</v>
      </c>
      <c r="F48" s="69" t="s">
        <v>4976</v>
      </c>
      <c r="K48" s="69" t="s">
        <v>2757</v>
      </c>
      <c r="L48" s="69" t="s">
        <v>2758</v>
      </c>
      <c r="M48" s="70">
        <v>1</v>
      </c>
      <c r="N48" s="70">
        <v>50000</v>
      </c>
      <c r="O48" s="70">
        <f t="shared" si="0"/>
        <v>45455</v>
      </c>
      <c r="P48" s="70">
        <f t="shared" si="1"/>
        <v>4545</v>
      </c>
      <c r="Q48" s="70">
        <v>50000</v>
      </c>
      <c r="R48" t="s">
        <v>4977</v>
      </c>
    </row>
    <row r="49" spans="1:18" x14ac:dyDescent="0.4">
      <c r="A49" s="69" t="s">
        <v>4974</v>
      </c>
      <c r="B49" s="69" t="s">
        <v>4975</v>
      </c>
      <c r="D49" s="69">
        <v>1292073665</v>
      </c>
      <c r="F49" s="69" t="s">
        <v>4976</v>
      </c>
      <c r="K49" s="69" t="s">
        <v>2759</v>
      </c>
      <c r="L49" s="69" t="s">
        <v>2760</v>
      </c>
      <c r="M49" s="70">
        <v>1</v>
      </c>
      <c r="N49" s="70">
        <v>9900</v>
      </c>
      <c r="O49" s="70">
        <f t="shared" si="0"/>
        <v>9000</v>
      </c>
      <c r="P49" s="70">
        <f t="shared" si="1"/>
        <v>900</v>
      </c>
      <c r="Q49" s="70">
        <v>9900</v>
      </c>
      <c r="R49" t="s">
        <v>4977</v>
      </c>
    </row>
    <row r="50" spans="1:18" x14ac:dyDescent="0.4">
      <c r="A50" s="69" t="s">
        <v>4974</v>
      </c>
      <c r="B50" s="69" t="s">
        <v>4975</v>
      </c>
      <c r="D50" s="69">
        <v>1292073665</v>
      </c>
      <c r="F50" s="69" t="s">
        <v>4976</v>
      </c>
      <c r="K50" s="69" t="s">
        <v>2761</v>
      </c>
      <c r="L50" s="69" t="s">
        <v>2762</v>
      </c>
      <c r="M50" s="70">
        <v>1</v>
      </c>
      <c r="N50" s="70">
        <v>22900</v>
      </c>
      <c r="O50" s="70">
        <f t="shared" si="0"/>
        <v>20818</v>
      </c>
      <c r="P50" s="70">
        <f t="shared" si="1"/>
        <v>2082</v>
      </c>
      <c r="Q50" s="70">
        <v>22900</v>
      </c>
      <c r="R50" t="s">
        <v>4977</v>
      </c>
    </row>
    <row r="51" spans="1:18" x14ac:dyDescent="0.4">
      <c r="A51" s="69" t="s">
        <v>4974</v>
      </c>
      <c r="B51" s="69" t="s">
        <v>4975</v>
      </c>
      <c r="D51" s="69">
        <v>1292073665</v>
      </c>
      <c r="F51" s="69" t="s">
        <v>4976</v>
      </c>
      <c r="K51" s="69" t="s">
        <v>2763</v>
      </c>
      <c r="L51" s="69" t="s">
        <v>2764</v>
      </c>
      <c r="M51" s="70">
        <v>3</v>
      </c>
      <c r="N51" s="70">
        <v>26900</v>
      </c>
      <c r="O51" s="70">
        <f t="shared" si="0"/>
        <v>73364</v>
      </c>
      <c r="P51" s="70">
        <f t="shared" si="1"/>
        <v>7336</v>
      </c>
      <c r="Q51" s="70">
        <v>26900</v>
      </c>
      <c r="R51" t="s">
        <v>4977</v>
      </c>
    </row>
    <row r="52" spans="1:18" x14ac:dyDescent="0.4">
      <c r="A52" s="69" t="s">
        <v>4974</v>
      </c>
      <c r="B52" s="69" t="s">
        <v>4975</v>
      </c>
      <c r="D52" s="69">
        <v>1293591255</v>
      </c>
      <c r="F52" s="69" t="s">
        <v>4976</v>
      </c>
      <c r="K52" s="69" t="s">
        <v>3176</v>
      </c>
      <c r="L52" s="69" t="s">
        <v>3177</v>
      </c>
      <c r="M52" s="70">
        <v>1</v>
      </c>
      <c r="N52" s="70">
        <v>25000</v>
      </c>
      <c r="O52" s="70">
        <f t="shared" si="0"/>
        <v>22727</v>
      </c>
      <c r="P52" s="70">
        <f t="shared" si="1"/>
        <v>2273</v>
      </c>
      <c r="Q52" s="70">
        <v>25000</v>
      </c>
      <c r="R52" t="s">
        <v>4977</v>
      </c>
    </row>
    <row r="53" spans="1:18" x14ac:dyDescent="0.4">
      <c r="A53" s="69" t="s">
        <v>4974</v>
      </c>
      <c r="B53" s="69" t="s">
        <v>4975</v>
      </c>
      <c r="D53" s="69">
        <v>1293591255</v>
      </c>
      <c r="F53" s="69" t="s">
        <v>4976</v>
      </c>
      <c r="K53" s="69" t="s">
        <v>3178</v>
      </c>
      <c r="L53" s="69" t="s">
        <v>3179</v>
      </c>
      <c r="M53" s="70">
        <v>1</v>
      </c>
      <c r="N53" s="70">
        <v>37000</v>
      </c>
      <c r="O53" s="70">
        <f t="shared" si="0"/>
        <v>33636</v>
      </c>
      <c r="P53" s="70">
        <f t="shared" si="1"/>
        <v>3364</v>
      </c>
      <c r="Q53" s="70">
        <v>37000</v>
      </c>
      <c r="R53" t="s">
        <v>4977</v>
      </c>
    </row>
    <row r="54" spans="1:18" x14ac:dyDescent="0.4">
      <c r="A54" s="69" t="s">
        <v>4974</v>
      </c>
      <c r="B54" s="69" t="s">
        <v>4975</v>
      </c>
      <c r="D54" s="69">
        <v>1420617618</v>
      </c>
      <c r="F54" s="69" t="s">
        <v>4976</v>
      </c>
      <c r="K54" s="69" t="s">
        <v>2848</v>
      </c>
      <c r="L54" s="69" t="s">
        <v>2849</v>
      </c>
      <c r="M54" s="70">
        <v>10</v>
      </c>
      <c r="N54" s="70">
        <v>129</v>
      </c>
      <c r="O54" s="70">
        <f t="shared" si="0"/>
        <v>1173</v>
      </c>
      <c r="P54" s="70">
        <f t="shared" si="1"/>
        <v>117</v>
      </c>
      <c r="Q54" s="70">
        <v>0</v>
      </c>
      <c r="R54" t="s">
        <v>4977</v>
      </c>
    </row>
    <row r="55" spans="1:18" x14ac:dyDescent="0.4">
      <c r="A55" s="69" t="s">
        <v>4974</v>
      </c>
      <c r="B55" s="69" t="s">
        <v>4975</v>
      </c>
      <c r="D55" s="69">
        <v>1420617618</v>
      </c>
      <c r="F55" s="69" t="s">
        <v>4976</v>
      </c>
      <c r="K55" s="69" t="s">
        <v>2850</v>
      </c>
      <c r="L55" s="69" t="s">
        <v>2851</v>
      </c>
      <c r="M55" s="70">
        <v>2</v>
      </c>
      <c r="N55" s="70">
        <v>17000</v>
      </c>
      <c r="O55" s="70">
        <f t="shared" si="0"/>
        <v>30909</v>
      </c>
      <c r="P55" s="70">
        <f t="shared" si="1"/>
        <v>3091</v>
      </c>
      <c r="Q55" s="70">
        <v>17000</v>
      </c>
      <c r="R55" t="s">
        <v>4977</v>
      </c>
    </row>
    <row r="56" spans="1:18" x14ac:dyDescent="0.4">
      <c r="A56" s="69" t="s">
        <v>4974</v>
      </c>
      <c r="B56" s="69" t="s">
        <v>4975</v>
      </c>
      <c r="D56" s="69">
        <v>1420617618</v>
      </c>
      <c r="F56" s="69" t="s">
        <v>4976</v>
      </c>
      <c r="K56" s="69" t="s">
        <v>2852</v>
      </c>
      <c r="L56" s="69" t="s">
        <v>2853</v>
      </c>
      <c r="M56" s="70">
        <v>4</v>
      </c>
      <c r="N56" s="70">
        <v>32000</v>
      </c>
      <c r="O56" s="70">
        <f t="shared" si="0"/>
        <v>116364</v>
      </c>
      <c r="P56" s="70">
        <f t="shared" si="1"/>
        <v>11636</v>
      </c>
      <c r="Q56" s="70">
        <v>32000</v>
      </c>
      <c r="R56" t="s">
        <v>4977</v>
      </c>
    </row>
    <row r="57" spans="1:18" x14ac:dyDescent="0.4">
      <c r="A57" s="69" t="s">
        <v>4974</v>
      </c>
      <c r="B57" s="69" t="s">
        <v>4975</v>
      </c>
      <c r="D57" s="69">
        <v>1420617618</v>
      </c>
      <c r="F57" s="69" t="s">
        <v>4976</v>
      </c>
      <c r="K57" s="69" t="s">
        <v>2856</v>
      </c>
      <c r="L57" s="69" t="s">
        <v>2857</v>
      </c>
      <c r="M57" s="70">
        <v>2</v>
      </c>
      <c r="N57" s="70">
        <v>9000</v>
      </c>
      <c r="O57" s="70">
        <f t="shared" si="0"/>
        <v>16364</v>
      </c>
      <c r="P57" s="70">
        <f t="shared" si="1"/>
        <v>1636</v>
      </c>
      <c r="Q57" s="70">
        <v>9000</v>
      </c>
      <c r="R57" t="s">
        <v>4977</v>
      </c>
    </row>
    <row r="58" spans="1:18" x14ac:dyDescent="0.4">
      <c r="A58" s="69" t="s">
        <v>4974</v>
      </c>
      <c r="B58" s="69" t="s">
        <v>4975</v>
      </c>
      <c r="D58" s="69">
        <v>1420617618</v>
      </c>
      <c r="F58" s="69" t="s">
        <v>4976</v>
      </c>
      <c r="K58" s="69" t="s">
        <v>2858</v>
      </c>
      <c r="L58" s="69" t="s">
        <v>2859</v>
      </c>
      <c r="M58" s="70">
        <v>1</v>
      </c>
      <c r="N58" s="70">
        <v>9000</v>
      </c>
      <c r="O58" s="70">
        <f t="shared" si="0"/>
        <v>8182</v>
      </c>
      <c r="P58" s="70">
        <f t="shared" si="1"/>
        <v>818</v>
      </c>
      <c r="Q58" s="70">
        <v>9000</v>
      </c>
      <c r="R58" t="s">
        <v>4977</v>
      </c>
    </row>
    <row r="59" spans="1:18" x14ac:dyDescent="0.4">
      <c r="A59" s="69" t="s">
        <v>4974</v>
      </c>
      <c r="B59" s="69" t="s">
        <v>4975</v>
      </c>
      <c r="D59" s="69">
        <v>1420617618</v>
      </c>
      <c r="F59" s="69" t="s">
        <v>4976</v>
      </c>
      <c r="K59" s="69" t="s">
        <v>2860</v>
      </c>
      <c r="L59" s="69" t="s">
        <v>2861</v>
      </c>
      <c r="M59" s="70">
        <v>1</v>
      </c>
      <c r="N59" s="70">
        <v>9000</v>
      </c>
      <c r="O59" s="70">
        <f t="shared" si="0"/>
        <v>8182</v>
      </c>
      <c r="P59" s="70">
        <f t="shared" si="1"/>
        <v>818</v>
      </c>
      <c r="Q59" s="70">
        <v>9000</v>
      </c>
      <c r="R59" t="s">
        <v>4977</v>
      </c>
    </row>
    <row r="60" spans="1:18" x14ac:dyDescent="0.4">
      <c r="A60" s="69" t="s">
        <v>4974</v>
      </c>
      <c r="B60" s="69" t="s">
        <v>4975</v>
      </c>
      <c r="D60" s="69">
        <v>1420617618</v>
      </c>
      <c r="F60" s="69" t="s">
        <v>4976</v>
      </c>
      <c r="K60" s="69" t="s">
        <v>2862</v>
      </c>
      <c r="L60" s="69" t="s">
        <v>2863</v>
      </c>
      <c r="M60" s="70">
        <v>1</v>
      </c>
      <c r="N60" s="70">
        <v>9000</v>
      </c>
      <c r="O60" s="70">
        <f t="shared" si="0"/>
        <v>8182</v>
      </c>
      <c r="P60" s="70">
        <f t="shared" si="1"/>
        <v>818</v>
      </c>
      <c r="Q60" s="70">
        <v>9000</v>
      </c>
      <c r="R60" t="s">
        <v>4977</v>
      </c>
    </row>
    <row r="61" spans="1:18" x14ac:dyDescent="0.4">
      <c r="A61" s="69" t="s">
        <v>4974</v>
      </c>
      <c r="B61" s="69" t="s">
        <v>4975</v>
      </c>
      <c r="D61" s="69">
        <v>1420617618</v>
      </c>
      <c r="F61" s="69" t="s">
        <v>4976</v>
      </c>
      <c r="K61" s="69" t="s">
        <v>1156</v>
      </c>
      <c r="L61" s="69" t="s">
        <v>1157</v>
      </c>
      <c r="M61" s="70">
        <v>1</v>
      </c>
      <c r="N61" s="70">
        <v>10000</v>
      </c>
      <c r="O61" s="70">
        <f t="shared" si="0"/>
        <v>9091</v>
      </c>
      <c r="P61" s="70">
        <f t="shared" si="1"/>
        <v>909</v>
      </c>
      <c r="Q61" s="70">
        <v>10000</v>
      </c>
      <c r="R61" t="s">
        <v>4977</v>
      </c>
    </row>
    <row r="62" spans="1:18" x14ac:dyDescent="0.4">
      <c r="A62" s="69" t="s">
        <v>4974</v>
      </c>
      <c r="B62" s="69" t="s">
        <v>4975</v>
      </c>
      <c r="D62" s="69">
        <v>1420617618</v>
      </c>
      <c r="F62" s="69" t="s">
        <v>4976</v>
      </c>
      <c r="K62" s="69" t="s">
        <v>2864</v>
      </c>
      <c r="L62" s="69" t="s">
        <v>2865</v>
      </c>
      <c r="M62" s="70">
        <v>1</v>
      </c>
      <c r="N62" s="70">
        <v>22000</v>
      </c>
      <c r="O62" s="70">
        <f t="shared" si="0"/>
        <v>20000</v>
      </c>
      <c r="P62" s="70">
        <f t="shared" si="1"/>
        <v>2000</v>
      </c>
      <c r="Q62" s="70">
        <v>22000</v>
      </c>
      <c r="R62" t="s">
        <v>4977</v>
      </c>
    </row>
    <row r="63" spans="1:18" x14ac:dyDescent="0.4">
      <c r="A63" s="69" t="s">
        <v>4974</v>
      </c>
      <c r="B63" s="69" t="s">
        <v>4975</v>
      </c>
      <c r="D63" s="69">
        <v>1420617618</v>
      </c>
      <c r="F63" s="69" t="s">
        <v>4976</v>
      </c>
      <c r="K63" s="69" t="s">
        <v>2866</v>
      </c>
      <c r="L63" s="69" t="s">
        <v>2867</v>
      </c>
      <c r="M63" s="70">
        <v>1</v>
      </c>
      <c r="N63" s="70">
        <v>4000</v>
      </c>
      <c r="O63" s="70">
        <f t="shared" si="0"/>
        <v>3636</v>
      </c>
      <c r="P63" s="70">
        <f t="shared" si="1"/>
        <v>364</v>
      </c>
      <c r="Q63" s="70">
        <v>4000</v>
      </c>
      <c r="R63" t="s">
        <v>4977</v>
      </c>
    </row>
    <row r="64" spans="1:18" x14ac:dyDescent="0.4">
      <c r="A64" s="69" t="s">
        <v>4974</v>
      </c>
      <c r="B64" s="69" t="s">
        <v>4975</v>
      </c>
      <c r="D64" s="69">
        <v>1420617618</v>
      </c>
      <c r="F64" s="69" t="s">
        <v>4976</v>
      </c>
      <c r="K64" s="69" t="s">
        <v>2868</v>
      </c>
      <c r="L64" s="69" t="s">
        <v>2869</v>
      </c>
      <c r="M64" s="70">
        <v>1</v>
      </c>
      <c r="N64" s="70">
        <v>3500</v>
      </c>
      <c r="O64" s="70">
        <f t="shared" si="0"/>
        <v>3182</v>
      </c>
      <c r="P64" s="70">
        <f t="shared" si="1"/>
        <v>318</v>
      </c>
      <c r="Q64" s="70">
        <v>3500</v>
      </c>
      <c r="R64" t="s">
        <v>4977</v>
      </c>
    </row>
    <row r="65" spans="1:18" x14ac:dyDescent="0.4">
      <c r="A65" s="69" t="s">
        <v>4974</v>
      </c>
      <c r="B65" s="69" t="s">
        <v>4975</v>
      </c>
      <c r="D65" s="69">
        <v>1420617618</v>
      </c>
      <c r="F65" s="69" t="s">
        <v>4976</v>
      </c>
      <c r="K65" s="69" t="s">
        <v>1655</v>
      </c>
      <c r="L65" s="69" t="s">
        <v>1656</v>
      </c>
      <c r="M65" s="70">
        <v>1</v>
      </c>
      <c r="N65" s="70">
        <v>8000</v>
      </c>
      <c r="O65" s="70">
        <f t="shared" si="0"/>
        <v>7273</v>
      </c>
      <c r="P65" s="70">
        <f t="shared" si="1"/>
        <v>727</v>
      </c>
      <c r="Q65" s="70">
        <v>8000</v>
      </c>
      <c r="R65" t="s">
        <v>4977</v>
      </c>
    </row>
    <row r="66" spans="1:18" x14ac:dyDescent="0.4">
      <c r="A66" s="69" t="s">
        <v>4974</v>
      </c>
      <c r="B66" s="69" t="s">
        <v>4975</v>
      </c>
      <c r="D66" s="69">
        <v>1420617618</v>
      </c>
      <c r="F66" s="69" t="s">
        <v>4976</v>
      </c>
      <c r="K66" s="69" t="s">
        <v>2870</v>
      </c>
      <c r="L66" s="69" t="s">
        <v>2871</v>
      </c>
      <c r="M66" s="70">
        <v>1</v>
      </c>
      <c r="N66" s="70">
        <v>3500</v>
      </c>
      <c r="O66" s="70">
        <f t="shared" si="0"/>
        <v>3182</v>
      </c>
      <c r="P66" s="70">
        <f t="shared" si="1"/>
        <v>318</v>
      </c>
      <c r="Q66" s="70">
        <v>3500</v>
      </c>
      <c r="R66" t="s">
        <v>4977</v>
      </c>
    </row>
    <row r="67" spans="1:18" x14ac:dyDescent="0.4">
      <c r="A67" s="69" t="s">
        <v>4974</v>
      </c>
      <c r="B67" s="69" t="s">
        <v>4975</v>
      </c>
      <c r="D67" s="69">
        <v>1420617618</v>
      </c>
      <c r="F67" s="69" t="s">
        <v>4976</v>
      </c>
      <c r="K67" s="69" t="s">
        <v>2872</v>
      </c>
      <c r="L67" s="69" t="s">
        <v>2873</v>
      </c>
      <c r="M67" s="70">
        <v>2</v>
      </c>
      <c r="N67" s="70">
        <v>7500</v>
      </c>
      <c r="O67" s="70">
        <f t="shared" ref="O67:O130" si="2">ROUND((M67*N67)-P67,0)</f>
        <v>13636</v>
      </c>
      <c r="P67" s="70">
        <f t="shared" ref="P67:P130" si="3">ROUND(M67*N67/1.1*0.1,0)</f>
        <v>1364</v>
      </c>
      <c r="Q67" s="70">
        <v>7500</v>
      </c>
      <c r="R67" t="s">
        <v>4977</v>
      </c>
    </row>
    <row r="68" spans="1:18" x14ac:dyDescent="0.4">
      <c r="A68" s="69" t="s">
        <v>4974</v>
      </c>
      <c r="B68" s="69" t="s">
        <v>4975</v>
      </c>
      <c r="D68" s="69">
        <v>1420617618</v>
      </c>
      <c r="F68" s="69" t="s">
        <v>4976</v>
      </c>
      <c r="K68" s="69" t="s">
        <v>2874</v>
      </c>
      <c r="L68" s="69" t="s">
        <v>2875</v>
      </c>
      <c r="M68" s="70">
        <v>1</v>
      </c>
      <c r="N68" s="70">
        <v>9000</v>
      </c>
      <c r="O68" s="70">
        <f t="shared" si="2"/>
        <v>8182</v>
      </c>
      <c r="P68" s="70">
        <f t="shared" si="3"/>
        <v>818</v>
      </c>
      <c r="Q68" s="70">
        <v>9000</v>
      </c>
      <c r="R68" t="s">
        <v>4977</v>
      </c>
    </row>
    <row r="69" spans="1:18" x14ac:dyDescent="0.4">
      <c r="A69" s="69" t="s">
        <v>4974</v>
      </c>
      <c r="B69" s="69" t="s">
        <v>4975</v>
      </c>
      <c r="D69" s="69">
        <v>1420617618</v>
      </c>
      <c r="F69" s="69" t="s">
        <v>4976</v>
      </c>
      <c r="K69" s="69" t="s">
        <v>1338</v>
      </c>
      <c r="L69" s="69" t="s">
        <v>1339</v>
      </c>
      <c r="M69" s="70">
        <v>2</v>
      </c>
      <c r="N69" s="70">
        <v>18000</v>
      </c>
      <c r="O69" s="70">
        <f t="shared" si="2"/>
        <v>32727</v>
      </c>
      <c r="P69" s="70">
        <f t="shared" si="3"/>
        <v>3273</v>
      </c>
      <c r="Q69" s="70">
        <v>18000</v>
      </c>
      <c r="R69" t="s">
        <v>4977</v>
      </c>
    </row>
    <row r="70" spans="1:18" x14ac:dyDescent="0.4">
      <c r="A70" s="69" t="s">
        <v>4974</v>
      </c>
      <c r="B70" s="69" t="s">
        <v>4975</v>
      </c>
      <c r="D70" s="69">
        <v>1420617618</v>
      </c>
      <c r="F70" s="69" t="s">
        <v>4976</v>
      </c>
      <c r="K70" s="69" t="s">
        <v>2876</v>
      </c>
      <c r="L70" s="69" t="s">
        <v>2877</v>
      </c>
      <c r="M70" s="70">
        <v>1</v>
      </c>
      <c r="N70" s="70">
        <v>1000</v>
      </c>
      <c r="O70" s="70">
        <f t="shared" si="2"/>
        <v>909</v>
      </c>
      <c r="P70" s="70">
        <f t="shared" si="3"/>
        <v>91</v>
      </c>
      <c r="Q70" s="70">
        <v>1000</v>
      </c>
      <c r="R70" t="s">
        <v>4977</v>
      </c>
    </row>
    <row r="71" spans="1:18" x14ac:dyDescent="0.4">
      <c r="A71" s="69" t="s">
        <v>4974</v>
      </c>
      <c r="B71" s="69" t="s">
        <v>4975</v>
      </c>
      <c r="D71" s="69">
        <v>1420617618</v>
      </c>
      <c r="F71" s="69" t="s">
        <v>4976</v>
      </c>
      <c r="K71" s="69" t="s">
        <v>2878</v>
      </c>
      <c r="L71" s="69" t="s">
        <v>2879</v>
      </c>
      <c r="M71" s="70">
        <v>1</v>
      </c>
      <c r="N71" s="70">
        <v>1000</v>
      </c>
      <c r="O71" s="70">
        <f t="shared" si="2"/>
        <v>909</v>
      </c>
      <c r="P71" s="70">
        <f t="shared" si="3"/>
        <v>91</v>
      </c>
      <c r="Q71" s="70">
        <v>1000</v>
      </c>
      <c r="R71" t="s">
        <v>4977</v>
      </c>
    </row>
    <row r="72" spans="1:18" x14ac:dyDescent="0.4">
      <c r="A72" s="69" t="s">
        <v>4974</v>
      </c>
      <c r="B72" s="69" t="s">
        <v>4975</v>
      </c>
      <c r="D72" s="69">
        <v>1420617618</v>
      </c>
      <c r="F72" s="69" t="s">
        <v>4976</v>
      </c>
      <c r="K72" s="69" t="s">
        <v>2880</v>
      </c>
      <c r="L72" s="69" t="s">
        <v>2881</v>
      </c>
      <c r="M72" s="70">
        <v>1</v>
      </c>
      <c r="N72" s="70">
        <v>1000</v>
      </c>
      <c r="O72" s="70">
        <f t="shared" si="2"/>
        <v>909</v>
      </c>
      <c r="P72" s="70">
        <f t="shared" si="3"/>
        <v>91</v>
      </c>
      <c r="Q72" s="70">
        <v>1000</v>
      </c>
      <c r="R72" t="s">
        <v>4977</v>
      </c>
    </row>
    <row r="73" spans="1:18" x14ac:dyDescent="0.4">
      <c r="A73" s="69" t="s">
        <v>4974</v>
      </c>
      <c r="B73" s="69" t="s">
        <v>4975</v>
      </c>
      <c r="D73" s="69">
        <v>1420617618</v>
      </c>
      <c r="F73" s="69" t="s">
        <v>4976</v>
      </c>
      <c r="K73" s="69" t="s">
        <v>2882</v>
      </c>
      <c r="L73" s="69" t="s">
        <v>2883</v>
      </c>
      <c r="M73" s="70">
        <v>2</v>
      </c>
      <c r="N73" s="70">
        <v>42000</v>
      </c>
      <c r="O73" s="70">
        <f t="shared" si="2"/>
        <v>76364</v>
      </c>
      <c r="P73" s="70">
        <f t="shared" si="3"/>
        <v>7636</v>
      </c>
      <c r="Q73" s="70">
        <v>42000</v>
      </c>
      <c r="R73" t="s">
        <v>4977</v>
      </c>
    </row>
    <row r="74" spans="1:18" x14ac:dyDescent="0.4">
      <c r="A74" s="69" t="s">
        <v>4974</v>
      </c>
      <c r="B74" s="69" t="s">
        <v>4975</v>
      </c>
      <c r="D74" s="69">
        <v>1420617618</v>
      </c>
      <c r="F74" s="69" t="s">
        <v>4976</v>
      </c>
      <c r="K74" s="69" t="s">
        <v>2884</v>
      </c>
      <c r="L74" s="69" t="s">
        <v>2885</v>
      </c>
      <c r="M74" s="70">
        <v>1</v>
      </c>
      <c r="N74" s="70">
        <v>29000</v>
      </c>
      <c r="O74" s="70">
        <f t="shared" si="2"/>
        <v>26364</v>
      </c>
      <c r="P74" s="70">
        <f t="shared" si="3"/>
        <v>2636</v>
      </c>
      <c r="Q74" s="70">
        <v>29000</v>
      </c>
      <c r="R74" t="s">
        <v>4977</v>
      </c>
    </row>
    <row r="75" spans="1:18" x14ac:dyDescent="0.4">
      <c r="A75" s="69" t="s">
        <v>4974</v>
      </c>
      <c r="B75" s="69" t="s">
        <v>4975</v>
      </c>
      <c r="D75" s="69">
        <v>1420617618</v>
      </c>
      <c r="F75" s="69" t="s">
        <v>4976</v>
      </c>
      <c r="K75" s="69" t="s">
        <v>2886</v>
      </c>
      <c r="L75" s="69" t="s">
        <v>2887</v>
      </c>
      <c r="M75" s="70">
        <v>1</v>
      </c>
      <c r="N75" s="70">
        <v>20000</v>
      </c>
      <c r="O75" s="70">
        <f t="shared" si="2"/>
        <v>18182</v>
      </c>
      <c r="P75" s="70">
        <f t="shared" si="3"/>
        <v>1818</v>
      </c>
      <c r="Q75" s="70">
        <v>20000</v>
      </c>
      <c r="R75" t="s">
        <v>4977</v>
      </c>
    </row>
    <row r="76" spans="1:18" x14ac:dyDescent="0.4">
      <c r="A76" s="69" t="s">
        <v>4974</v>
      </c>
      <c r="B76" s="69" t="s">
        <v>4975</v>
      </c>
      <c r="D76" s="69">
        <v>1420617618</v>
      </c>
      <c r="F76" s="69" t="s">
        <v>4976</v>
      </c>
      <c r="K76" s="69" t="s">
        <v>2888</v>
      </c>
      <c r="L76" s="69" t="s">
        <v>2889</v>
      </c>
      <c r="M76" s="70">
        <v>5</v>
      </c>
      <c r="N76" s="70">
        <v>42000</v>
      </c>
      <c r="O76" s="70">
        <f t="shared" si="2"/>
        <v>190909</v>
      </c>
      <c r="P76" s="70">
        <f t="shared" si="3"/>
        <v>19091</v>
      </c>
      <c r="Q76" s="70">
        <v>42000</v>
      </c>
      <c r="R76" t="s">
        <v>4977</v>
      </c>
    </row>
    <row r="77" spans="1:18" x14ac:dyDescent="0.4">
      <c r="A77" s="69" t="s">
        <v>4974</v>
      </c>
      <c r="B77" s="69" t="s">
        <v>4975</v>
      </c>
      <c r="D77" s="69">
        <v>1420617618</v>
      </c>
      <c r="F77" s="69" t="s">
        <v>4976</v>
      </c>
      <c r="K77" s="69" t="s">
        <v>2890</v>
      </c>
      <c r="L77" s="69" t="s">
        <v>2891</v>
      </c>
      <c r="M77" s="70">
        <v>1</v>
      </c>
      <c r="N77" s="70">
        <v>22000</v>
      </c>
      <c r="O77" s="70">
        <f t="shared" si="2"/>
        <v>20000</v>
      </c>
      <c r="P77" s="70">
        <f t="shared" si="3"/>
        <v>2000</v>
      </c>
      <c r="Q77" s="70">
        <v>22000</v>
      </c>
      <c r="R77" t="s">
        <v>4977</v>
      </c>
    </row>
    <row r="78" spans="1:18" x14ac:dyDescent="0.4">
      <c r="A78" s="69" t="s">
        <v>4974</v>
      </c>
      <c r="B78" s="69" t="s">
        <v>4975</v>
      </c>
      <c r="D78" s="69">
        <v>1420961338</v>
      </c>
      <c r="F78" s="69" t="s">
        <v>4976</v>
      </c>
      <c r="K78" s="69" t="s">
        <v>2894</v>
      </c>
      <c r="L78" s="69" t="s">
        <v>2895</v>
      </c>
      <c r="M78" s="70">
        <v>1</v>
      </c>
      <c r="N78" s="70">
        <v>1000</v>
      </c>
      <c r="O78" s="70">
        <f t="shared" si="2"/>
        <v>909</v>
      </c>
      <c r="P78" s="70">
        <f t="shared" si="3"/>
        <v>91</v>
      </c>
      <c r="Q78" s="70">
        <v>1000</v>
      </c>
      <c r="R78" t="s">
        <v>4977</v>
      </c>
    </row>
    <row r="79" spans="1:18" x14ac:dyDescent="0.4">
      <c r="A79" s="69" t="s">
        <v>4974</v>
      </c>
      <c r="B79" s="69" t="s">
        <v>4975</v>
      </c>
      <c r="D79" s="69">
        <v>1420961338</v>
      </c>
      <c r="F79" s="69" t="s">
        <v>4976</v>
      </c>
      <c r="K79" s="69" t="s">
        <v>2896</v>
      </c>
      <c r="L79" s="69" t="s">
        <v>2897</v>
      </c>
      <c r="M79" s="70">
        <v>1</v>
      </c>
      <c r="N79" s="70">
        <v>1000</v>
      </c>
      <c r="O79" s="70">
        <f t="shared" si="2"/>
        <v>909</v>
      </c>
      <c r="P79" s="70">
        <f t="shared" si="3"/>
        <v>91</v>
      </c>
      <c r="Q79" s="70">
        <v>1000</v>
      </c>
      <c r="R79" t="s">
        <v>4977</v>
      </c>
    </row>
    <row r="80" spans="1:18" x14ac:dyDescent="0.4">
      <c r="A80" s="69" t="s">
        <v>4974</v>
      </c>
      <c r="B80" s="69" t="s">
        <v>4975</v>
      </c>
      <c r="D80" s="69">
        <v>1420961338</v>
      </c>
      <c r="F80" s="69" t="s">
        <v>4976</v>
      </c>
      <c r="K80" s="69" t="s">
        <v>2898</v>
      </c>
      <c r="L80" s="69" t="s">
        <v>2899</v>
      </c>
      <c r="M80" s="70">
        <v>1</v>
      </c>
      <c r="N80" s="70">
        <v>1000</v>
      </c>
      <c r="O80" s="70">
        <f t="shared" si="2"/>
        <v>909</v>
      </c>
      <c r="P80" s="70">
        <f t="shared" si="3"/>
        <v>91</v>
      </c>
      <c r="Q80" s="70">
        <v>1000</v>
      </c>
      <c r="R80" t="s">
        <v>4977</v>
      </c>
    </row>
    <row r="81" spans="1:18" x14ac:dyDescent="0.4">
      <c r="A81" s="69" t="s">
        <v>4974</v>
      </c>
      <c r="B81" s="69" t="s">
        <v>4975</v>
      </c>
      <c r="D81" s="69">
        <v>1420961338</v>
      </c>
      <c r="F81" s="69" t="s">
        <v>4976</v>
      </c>
      <c r="K81" s="69" t="s">
        <v>2900</v>
      </c>
      <c r="L81" s="69" t="s">
        <v>2901</v>
      </c>
      <c r="M81" s="70">
        <v>1</v>
      </c>
      <c r="N81" s="70">
        <v>1000</v>
      </c>
      <c r="O81" s="70">
        <f t="shared" si="2"/>
        <v>909</v>
      </c>
      <c r="P81" s="70">
        <f t="shared" si="3"/>
        <v>91</v>
      </c>
      <c r="Q81" s="70">
        <v>1000</v>
      </c>
      <c r="R81" t="s">
        <v>4977</v>
      </c>
    </row>
    <row r="82" spans="1:18" x14ac:dyDescent="0.4">
      <c r="A82" s="69" t="s">
        <v>4974</v>
      </c>
      <c r="B82" s="69" t="s">
        <v>4975</v>
      </c>
      <c r="D82" s="69">
        <v>1420961338</v>
      </c>
      <c r="F82" s="69" t="s">
        <v>4976</v>
      </c>
      <c r="K82" s="69" t="s">
        <v>2902</v>
      </c>
      <c r="L82" s="69" t="s">
        <v>2903</v>
      </c>
      <c r="M82" s="70">
        <v>1</v>
      </c>
      <c r="N82" s="70">
        <v>18000</v>
      </c>
      <c r="O82" s="70">
        <f t="shared" si="2"/>
        <v>16364</v>
      </c>
      <c r="P82" s="70">
        <f t="shared" si="3"/>
        <v>1636</v>
      </c>
      <c r="Q82" s="70">
        <v>18000</v>
      </c>
      <c r="R82" t="s">
        <v>4977</v>
      </c>
    </row>
    <row r="83" spans="1:18" x14ac:dyDescent="0.4">
      <c r="A83" s="69" t="s">
        <v>4974</v>
      </c>
      <c r="B83" s="69" t="s">
        <v>4975</v>
      </c>
      <c r="D83" s="69">
        <v>1420961338</v>
      </c>
      <c r="F83" s="69" t="s">
        <v>4976</v>
      </c>
      <c r="K83" s="69" t="s">
        <v>2904</v>
      </c>
      <c r="L83" s="69" t="s">
        <v>2905</v>
      </c>
      <c r="M83" s="70">
        <v>3</v>
      </c>
      <c r="N83" s="70">
        <v>4000</v>
      </c>
      <c r="O83" s="70">
        <f t="shared" si="2"/>
        <v>10909</v>
      </c>
      <c r="P83" s="70">
        <f t="shared" si="3"/>
        <v>1091</v>
      </c>
      <c r="Q83" s="70">
        <v>4000</v>
      </c>
      <c r="R83" t="s">
        <v>4977</v>
      </c>
    </row>
    <row r="84" spans="1:18" x14ac:dyDescent="0.4">
      <c r="A84" s="69" t="s">
        <v>4974</v>
      </c>
      <c r="B84" s="69" t="s">
        <v>4975</v>
      </c>
      <c r="D84" s="69">
        <v>1420961338</v>
      </c>
      <c r="F84" s="69" t="s">
        <v>4976</v>
      </c>
      <c r="K84" s="69" t="s">
        <v>2906</v>
      </c>
      <c r="L84" s="69" t="s">
        <v>2907</v>
      </c>
      <c r="M84" s="70">
        <v>1</v>
      </c>
      <c r="N84" s="70">
        <v>4000</v>
      </c>
      <c r="O84" s="70">
        <f t="shared" si="2"/>
        <v>3636</v>
      </c>
      <c r="P84" s="70">
        <f t="shared" si="3"/>
        <v>364</v>
      </c>
      <c r="Q84" s="70">
        <v>4000</v>
      </c>
      <c r="R84" t="s">
        <v>4977</v>
      </c>
    </row>
    <row r="85" spans="1:18" x14ac:dyDescent="0.4">
      <c r="A85" s="69" t="s">
        <v>4974</v>
      </c>
      <c r="B85" s="69" t="s">
        <v>4975</v>
      </c>
      <c r="D85" s="69">
        <v>1420961338</v>
      </c>
      <c r="F85" s="69" t="s">
        <v>4976</v>
      </c>
      <c r="K85" s="69" t="s">
        <v>2908</v>
      </c>
      <c r="L85" s="69" t="s">
        <v>2909</v>
      </c>
      <c r="M85" s="70">
        <v>1</v>
      </c>
      <c r="N85" s="70">
        <v>4000</v>
      </c>
      <c r="O85" s="70">
        <f t="shared" si="2"/>
        <v>3636</v>
      </c>
      <c r="P85" s="70">
        <f t="shared" si="3"/>
        <v>364</v>
      </c>
      <c r="Q85" s="70">
        <v>4000</v>
      </c>
      <c r="R85" t="s">
        <v>4977</v>
      </c>
    </row>
    <row r="86" spans="1:18" x14ac:dyDescent="0.4">
      <c r="A86" s="69" t="s">
        <v>4974</v>
      </c>
      <c r="B86" s="69" t="s">
        <v>4975</v>
      </c>
      <c r="D86" s="69">
        <v>1420961338</v>
      </c>
      <c r="F86" s="69" t="s">
        <v>4976</v>
      </c>
      <c r="K86" s="69" t="s">
        <v>2910</v>
      </c>
      <c r="L86" s="69" t="s">
        <v>2911</v>
      </c>
      <c r="M86" s="70">
        <v>1</v>
      </c>
      <c r="N86" s="70">
        <v>4000</v>
      </c>
      <c r="O86" s="70">
        <f t="shared" si="2"/>
        <v>3636</v>
      </c>
      <c r="P86" s="70">
        <f t="shared" si="3"/>
        <v>364</v>
      </c>
      <c r="Q86" s="70">
        <v>4000</v>
      </c>
      <c r="R86" t="s">
        <v>4977</v>
      </c>
    </row>
    <row r="87" spans="1:18" x14ac:dyDescent="0.4">
      <c r="A87" s="69" t="s">
        <v>4974</v>
      </c>
      <c r="B87" s="69" t="s">
        <v>4975</v>
      </c>
      <c r="D87" s="69">
        <v>1420961338</v>
      </c>
      <c r="F87" s="69" t="s">
        <v>4976</v>
      </c>
      <c r="K87" s="69" t="s">
        <v>2912</v>
      </c>
      <c r="L87" s="69" t="s">
        <v>2913</v>
      </c>
      <c r="M87" s="70">
        <v>1</v>
      </c>
      <c r="N87" s="70">
        <v>4000</v>
      </c>
      <c r="O87" s="70">
        <f t="shared" si="2"/>
        <v>3636</v>
      </c>
      <c r="P87" s="70">
        <f t="shared" si="3"/>
        <v>364</v>
      </c>
      <c r="Q87" s="70">
        <v>4000</v>
      </c>
      <c r="R87" t="s">
        <v>4977</v>
      </c>
    </row>
    <row r="88" spans="1:18" x14ac:dyDescent="0.4">
      <c r="A88" s="69" t="s">
        <v>4974</v>
      </c>
      <c r="B88" s="69" t="s">
        <v>4975</v>
      </c>
      <c r="D88" s="69">
        <v>1420961338</v>
      </c>
      <c r="F88" s="69" t="s">
        <v>4976</v>
      </c>
      <c r="K88" s="69" t="s">
        <v>2914</v>
      </c>
      <c r="L88" s="69" t="s">
        <v>2915</v>
      </c>
      <c r="M88" s="70">
        <v>5</v>
      </c>
      <c r="N88" s="70">
        <v>9800</v>
      </c>
      <c r="O88" s="70">
        <f t="shared" si="2"/>
        <v>44545</v>
      </c>
      <c r="P88" s="70">
        <f t="shared" si="3"/>
        <v>4455</v>
      </c>
      <c r="Q88" s="70">
        <v>9800</v>
      </c>
      <c r="R88" t="s">
        <v>4977</v>
      </c>
    </row>
    <row r="89" spans="1:18" x14ac:dyDescent="0.4">
      <c r="A89" s="69" t="s">
        <v>4974</v>
      </c>
      <c r="B89" s="69" t="s">
        <v>4975</v>
      </c>
      <c r="D89" s="69">
        <v>1420961338</v>
      </c>
      <c r="F89" s="69" t="s">
        <v>4976</v>
      </c>
      <c r="K89" s="69" t="s">
        <v>2917</v>
      </c>
      <c r="L89" s="69" t="s">
        <v>2918</v>
      </c>
      <c r="M89" s="70">
        <v>1</v>
      </c>
      <c r="N89" s="70">
        <v>3500</v>
      </c>
      <c r="O89" s="70">
        <f t="shared" si="2"/>
        <v>3182</v>
      </c>
      <c r="P89" s="70">
        <f t="shared" si="3"/>
        <v>318</v>
      </c>
      <c r="Q89" s="70">
        <v>3500</v>
      </c>
      <c r="R89" t="s">
        <v>4977</v>
      </c>
    </row>
    <row r="90" spans="1:18" x14ac:dyDescent="0.4">
      <c r="A90" s="69" t="s">
        <v>4974</v>
      </c>
      <c r="B90" s="69" t="s">
        <v>4975</v>
      </c>
      <c r="D90" s="69">
        <v>1420961338</v>
      </c>
      <c r="F90" s="69" t="s">
        <v>4976</v>
      </c>
      <c r="K90" s="69" t="s">
        <v>2919</v>
      </c>
      <c r="L90" s="69" t="s">
        <v>2920</v>
      </c>
      <c r="M90" s="70">
        <v>1</v>
      </c>
      <c r="N90" s="70">
        <v>1500</v>
      </c>
      <c r="O90" s="70">
        <f t="shared" si="2"/>
        <v>1364</v>
      </c>
      <c r="P90" s="70">
        <f t="shared" si="3"/>
        <v>136</v>
      </c>
      <c r="Q90" s="70">
        <v>1500</v>
      </c>
      <c r="R90" t="s">
        <v>4977</v>
      </c>
    </row>
    <row r="91" spans="1:18" x14ac:dyDescent="0.4">
      <c r="A91" s="69" t="s">
        <v>4974</v>
      </c>
      <c r="B91" s="69" t="s">
        <v>4975</v>
      </c>
      <c r="D91" s="69">
        <v>1420961338</v>
      </c>
      <c r="F91" s="69" t="s">
        <v>4976</v>
      </c>
      <c r="K91" s="69" t="s">
        <v>2921</v>
      </c>
      <c r="L91" s="69" t="s">
        <v>2922</v>
      </c>
      <c r="M91" s="70">
        <v>1</v>
      </c>
      <c r="N91" s="70">
        <v>3000</v>
      </c>
      <c r="O91" s="70">
        <f t="shared" si="2"/>
        <v>2727</v>
      </c>
      <c r="P91" s="70">
        <f t="shared" si="3"/>
        <v>273</v>
      </c>
      <c r="Q91" s="70">
        <v>3000</v>
      </c>
      <c r="R91" t="s">
        <v>4977</v>
      </c>
    </row>
    <row r="92" spans="1:18" x14ac:dyDescent="0.4">
      <c r="A92" s="69" t="s">
        <v>4974</v>
      </c>
      <c r="B92" s="69" t="s">
        <v>4975</v>
      </c>
      <c r="D92" s="69">
        <v>1420961338</v>
      </c>
      <c r="F92" s="69" t="s">
        <v>4976</v>
      </c>
      <c r="K92" s="69" t="s">
        <v>2923</v>
      </c>
      <c r="L92" s="69" t="s">
        <v>2924</v>
      </c>
      <c r="M92" s="70">
        <v>1</v>
      </c>
      <c r="N92" s="70">
        <v>2500</v>
      </c>
      <c r="O92" s="70">
        <f t="shared" si="2"/>
        <v>2273</v>
      </c>
      <c r="P92" s="70">
        <f t="shared" si="3"/>
        <v>227</v>
      </c>
      <c r="Q92" s="70">
        <v>2500</v>
      </c>
      <c r="R92" t="s">
        <v>4977</v>
      </c>
    </row>
    <row r="93" spans="1:18" x14ac:dyDescent="0.4">
      <c r="A93" s="69" t="s">
        <v>4974</v>
      </c>
      <c r="B93" s="69" t="s">
        <v>4975</v>
      </c>
      <c r="D93" s="69">
        <v>1420961338</v>
      </c>
      <c r="F93" s="69" t="s">
        <v>4976</v>
      </c>
      <c r="K93" s="69" t="s">
        <v>2925</v>
      </c>
      <c r="L93" s="69" t="s">
        <v>2926</v>
      </c>
      <c r="M93" s="70">
        <v>1</v>
      </c>
      <c r="N93" s="70">
        <v>2500</v>
      </c>
      <c r="O93" s="70">
        <f t="shared" si="2"/>
        <v>2273</v>
      </c>
      <c r="P93" s="70">
        <f t="shared" si="3"/>
        <v>227</v>
      </c>
      <c r="Q93" s="70">
        <v>2500</v>
      </c>
      <c r="R93" t="s">
        <v>4977</v>
      </c>
    </row>
    <row r="94" spans="1:18" x14ac:dyDescent="0.4">
      <c r="A94" s="69" t="s">
        <v>4974</v>
      </c>
      <c r="B94" s="69" t="s">
        <v>4975</v>
      </c>
      <c r="D94" s="69">
        <v>1420961338</v>
      </c>
      <c r="F94" s="69" t="s">
        <v>4976</v>
      </c>
      <c r="K94" s="69" t="s">
        <v>1599</v>
      </c>
      <c r="L94" s="69" t="s">
        <v>1600</v>
      </c>
      <c r="M94" s="70">
        <v>1</v>
      </c>
      <c r="N94" s="70">
        <v>9500</v>
      </c>
      <c r="O94" s="70">
        <f t="shared" si="2"/>
        <v>8636</v>
      </c>
      <c r="P94" s="70">
        <f t="shared" si="3"/>
        <v>864</v>
      </c>
      <c r="Q94" s="70">
        <v>9500</v>
      </c>
      <c r="R94" t="s">
        <v>4977</v>
      </c>
    </row>
    <row r="95" spans="1:18" x14ac:dyDescent="0.4">
      <c r="A95" s="69" t="s">
        <v>4974</v>
      </c>
      <c r="B95" s="69" t="s">
        <v>4975</v>
      </c>
      <c r="D95" s="69">
        <v>1420961338</v>
      </c>
      <c r="F95" s="69" t="s">
        <v>4976</v>
      </c>
      <c r="K95" s="69" t="s">
        <v>2927</v>
      </c>
      <c r="L95" s="69" t="s">
        <v>2928</v>
      </c>
      <c r="M95" s="70">
        <v>1</v>
      </c>
      <c r="N95" s="70">
        <v>9500</v>
      </c>
      <c r="O95" s="70">
        <f t="shared" si="2"/>
        <v>8636</v>
      </c>
      <c r="P95" s="70">
        <f t="shared" si="3"/>
        <v>864</v>
      </c>
      <c r="Q95" s="70">
        <v>9500</v>
      </c>
      <c r="R95" t="s">
        <v>4977</v>
      </c>
    </row>
    <row r="96" spans="1:18" x14ac:dyDescent="0.4">
      <c r="A96" s="69" t="s">
        <v>4974</v>
      </c>
      <c r="B96" s="69" t="s">
        <v>4975</v>
      </c>
      <c r="D96" s="69">
        <v>1420961338</v>
      </c>
      <c r="F96" s="69" t="s">
        <v>4976</v>
      </c>
      <c r="K96" s="69" t="s">
        <v>2929</v>
      </c>
      <c r="L96" s="69" t="s">
        <v>2930</v>
      </c>
      <c r="M96" s="70">
        <v>5</v>
      </c>
      <c r="N96" s="70">
        <v>2000</v>
      </c>
      <c r="O96" s="70">
        <f t="shared" si="2"/>
        <v>9091</v>
      </c>
      <c r="P96" s="70">
        <f t="shared" si="3"/>
        <v>909</v>
      </c>
      <c r="Q96" s="70">
        <v>2000</v>
      </c>
      <c r="R96" t="s">
        <v>4977</v>
      </c>
    </row>
    <row r="97" spans="1:18" x14ac:dyDescent="0.4">
      <c r="A97" s="69" t="s">
        <v>4974</v>
      </c>
      <c r="B97" s="69" t="s">
        <v>4975</v>
      </c>
      <c r="D97" s="69">
        <v>1420961338</v>
      </c>
      <c r="F97" s="69" t="s">
        <v>4976</v>
      </c>
      <c r="K97" s="69" t="s">
        <v>2931</v>
      </c>
      <c r="L97" s="69" t="s">
        <v>2932</v>
      </c>
      <c r="M97" s="70">
        <v>2</v>
      </c>
      <c r="N97" s="70">
        <v>2000</v>
      </c>
      <c r="O97" s="70">
        <f t="shared" si="2"/>
        <v>3636</v>
      </c>
      <c r="P97" s="70">
        <f t="shared" si="3"/>
        <v>364</v>
      </c>
      <c r="Q97" s="70">
        <v>2000</v>
      </c>
      <c r="R97" t="s">
        <v>4977</v>
      </c>
    </row>
    <row r="98" spans="1:18" x14ac:dyDescent="0.4">
      <c r="A98" s="69" t="s">
        <v>4974</v>
      </c>
      <c r="B98" s="69" t="s">
        <v>4975</v>
      </c>
      <c r="D98" s="69">
        <v>1420961338</v>
      </c>
      <c r="F98" s="69" t="s">
        <v>4976</v>
      </c>
      <c r="K98" s="69" t="s">
        <v>2933</v>
      </c>
      <c r="L98" s="69" t="s">
        <v>2934</v>
      </c>
      <c r="M98" s="70">
        <v>2</v>
      </c>
      <c r="N98" s="70">
        <v>7000</v>
      </c>
      <c r="O98" s="70">
        <f t="shared" si="2"/>
        <v>12727</v>
      </c>
      <c r="P98" s="70">
        <f t="shared" si="3"/>
        <v>1273</v>
      </c>
      <c r="Q98" s="70">
        <v>7000</v>
      </c>
      <c r="R98" t="s">
        <v>4977</v>
      </c>
    </row>
    <row r="99" spans="1:18" x14ac:dyDescent="0.4">
      <c r="A99" s="69" t="s">
        <v>4974</v>
      </c>
      <c r="B99" s="69" t="s">
        <v>4975</v>
      </c>
      <c r="D99" s="69">
        <v>1420961338</v>
      </c>
      <c r="F99" s="69" t="s">
        <v>4976</v>
      </c>
      <c r="K99" s="69" t="s">
        <v>2935</v>
      </c>
      <c r="L99" s="69" t="s">
        <v>2936</v>
      </c>
      <c r="M99" s="70">
        <v>1</v>
      </c>
      <c r="N99" s="70">
        <v>7500</v>
      </c>
      <c r="O99" s="70">
        <f t="shared" si="2"/>
        <v>6818</v>
      </c>
      <c r="P99" s="70">
        <f t="shared" si="3"/>
        <v>682</v>
      </c>
      <c r="Q99" s="70">
        <v>7500</v>
      </c>
      <c r="R99" t="s">
        <v>4977</v>
      </c>
    </row>
    <row r="100" spans="1:18" x14ac:dyDescent="0.4">
      <c r="A100" s="69" t="s">
        <v>4974</v>
      </c>
      <c r="B100" s="69" t="s">
        <v>4975</v>
      </c>
      <c r="D100" s="69">
        <v>1420961338</v>
      </c>
      <c r="F100" s="69" t="s">
        <v>4976</v>
      </c>
      <c r="K100" s="69" t="s">
        <v>2939</v>
      </c>
      <c r="L100" s="69" t="s">
        <v>2940</v>
      </c>
      <c r="M100" s="70">
        <v>1</v>
      </c>
      <c r="N100" s="70">
        <v>4000</v>
      </c>
      <c r="O100" s="70">
        <f t="shared" si="2"/>
        <v>3636</v>
      </c>
      <c r="P100" s="70">
        <f t="shared" si="3"/>
        <v>364</v>
      </c>
      <c r="Q100" s="70">
        <v>4000</v>
      </c>
      <c r="R100" t="s">
        <v>4977</v>
      </c>
    </row>
    <row r="101" spans="1:18" x14ac:dyDescent="0.4">
      <c r="A101" s="69" t="s">
        <v>4974</v>
      </c>
      <c r="B101" s="69" t="s">
        <v>4975</v>
      </c>
      <c r="D101" s="69">
        <v>1420961338</v>
      </c>
      <c r="F101" s="69" t="s">
        <v>4976</v>
      </c>
      <c r="K101" s="69" t="s">
        <v>1946</v>
      </c>
      <c r="L101" s="69" t="s">
        <v>1947</v>
      </c>
      <c r="M101" s="70">
        <v>2</v>
      </c>
      <c r="N101" s="70">
        <v>18000</v>
      </c>
      <c r="O101" s="70">
        <f t="shared" si="2"/>
        <v>32727</v>
      </c>
      <c r="P101" s="70">
        <f t="shared" si="3"/>
        <v>3273</v>
      </c>
      <c r="Q101" s="70">
        <v>18000</v>
      </c>
      <c r="R101" t="s">
        <v>4977</v>
      </c>
    </row>
    <row r="102" spans="1:18" x14ac:dyDescent="0.4">
      <c r="A102" s="69" t="s">
        <v>4974</v>
      </c>
      <c r="B102" s="69" t="s">
        <v>4975</v>
      </c>
      <c r="D102" s="69">
        <v>1420961338</v>
      </c>
      <c r="F102" s="69" t="s">
        <v>4976</v>
      </c>
      <c r="K102" s="69" t="s">
        <v>2943</v>
      </c>
      <c r="L102" s="69" t="s">
        <v>2944</v>
      </c>
      <c r="M102" s="70">
        <v>1</v>
      </c>
      <c r="N102" s="70">
        <v>5500</v>
      </c>
      <c r="O102" s="70">
        <f t="shared" si="2"/>
        <v>5000</v>
      </c>
      <c r="P102" s="70">
        <f t="shared" si="3"/>
        <v>500</v>
      </c>
      <c r="Q102" s="70">
        <v>5500</v>
      </c>
      <c r="R102" t="s">
        <v>4977</v>
      </c>
    </row>
    <row r="103" spans="1:18" x14ac:dyDescent="0.4">
      <c r="A103" s="69" t="s">
        <v>4974</v>
      </c>
      <c r="B103" s="69" t="s">
        <v>4975</v>
      </c>
      <c r="D103" s="69">
        <v>1420961338</v>
      </c>
      <c r="F103" s="69" t="s">
        <v>4976</v>
      </c>
      <c r="K103" s="69" t="s">
        <v>2398</v>
      </c>
      <c r="L103" s="69" t="s">
        <v>2399</v>
      </c>
      <c r="M103" s="70">
        <v>1</v>
      </c>
      <c r="N103" s="70">
        <v>4500</v>
      </c>
      <c r="O103" s="70">
        <f t="shared" si="2"/>
        <v>4091</v>
      </c>
      <c r="P103" s="70">
        <f t="shared" si="3"/>
        <v>409</v>
      </c>
      <c r="Q103" s="70">
        <v>4500</v>
      </c>
      <c r="R103" t="s">
        <v>4977</v>
      </c>
    </row>
    <row r="104" spans="1:18" x14ac:dyDescent="0.4">
      <c r="A104" s="69" t="s">
        <v>4974</v>
      </c>
      <c r="B104" s="69" t="s">
        <v>4975</v>
      </c>
      <c r="D104" s="69">
        <v>1420961338</v>
      </c>
      <c r="F104" s="69" t="s">
        <v>4976</v>
      </c>
      <c r="K104" s="69" t="s">
        <v>2945</v>
      </c>
      <c r="L104" s="69" t="s">
        <v>2946</v>
      </c>
      <c r="M104" s="70">
        <v>1</v>
      </c>
      <c r="N104" s="70">
        <v>7500</v>
      </c>
      <c r="O104" s="70">
        <f t="shared" si="2"/>
        <v>6818</v>
      </c>
      <c r="P104" s="70">
        <f t="shared" si="3"/>
        <v>682</v>
      </c>
      <c r="Q104" s="70">
        <v>7500</v>
      </c>
      <c r="R104" t="s">
        <v>4977</v>
      </c>
    </row>
    <row r="105" spans="1:18" x14ac:dyDescent="0.4">
      <c r="A105" s="69" t="s">
        <v>4974</v>
      </c>
      <c r="B105" s="69" t="s">
        <v>4975</v>
      </c>
      <c r="D105" s="69">
        <v>1420961338</v>
      </c>
      <c r="F105" s="69" t="s">
        <v>4976</v>
      </c>
      <c r="K105" s="69" t="s">
        <v>2947</v>
      </c>
      <c r="L105" s="69" t="s">
        <v>2948</v>
      </c>
      <c r="M105" s="70">
        <v>1</v>
      </c>
      <c r="N105" s="70">
        <v>3000</v>
      </c>
      <c r="O105" s="70">
        <f t="shared" si="2"/>
        <v>2727</v>
      </c>
      <c r="P105" s="70">
        <f t="shared" si="3"/>
        <v>273</v>
      </c>
      <c r="Q105" s="70">
        <v>3000</v>
      </c>
      <c r="R105" t="s">
        <v>4977</v>
      </c>
    </row>
    <row r="106" spans="1:18" x14ac:dyDescent="0.4">
      <c r="A106" s="69" t="s">
        <v>4974</v>
      </c>
      <c r="B106" s="69" t="s">
        <v>4975</v>
      </c>
      <c r="D106" s="69">
        <v>1420961338</v>
      </c>
      <c r="F106" s="69" t="s">
        <v>4976</v>
      </c>
      <c r="K106" s="69" t="s">
        <v>2949</v>
      </c>
      <c r="L106" s="69" t="s">
        <v>2950</v>
      </c>
      <c r="M106" s="70">
        <v>1</v>
      </c>
      <c r="N106" s="70">
        <v>11000</v>
      </c>
      <c r="O106" s="70">
        <f t="shared" si="2"/>
        <v>10000</v>
      </c>
      <c r="P106" s="70">
        <f t="shared" si="3"/>
        <v>1000</v>
      </c>
      <c r="Q106" s="70">
        <v>11000</v>
      </c>
      <c r="R106" t="s">
        <v>4977</v>
      </c>
    </row>
    <row r="107" spans="1:18" x14ac:dyDescent="0.4">
      <c r="A107" s="69" t="s">
        <v>4974</v>
      </c>
      <c r="B107" s="69" t="s">
        <v>4975</v>
      </c>
      <c r="D107" s="69">
        <v>1420961338</v>
      </c>
      <c r="F107" s="69" t="s">
        <v>4976</v>
      </c>
      <c r="K107" s="69" t="s">
        <v>2951</v>
      </c>
      <c r="L107" s="69" t="s">
        <v>2952</v>
      </c>
      <c r="M107" s="70">
        <v>1</v>
      </c>
      <c r="N107" s="70">
        <v>2500</v>
      </c>
      <c r="O107" s="70">
        <f t="shared" si="2"/>
        <v>2273</v>
      </c>
      <c r="P107" s="70">
        <f t="shared" si="3"/>
        <v>227</v>
      </c>
      <c r="Q107" s="70">
        <v>2500</v>
      </c>
      <c r="R107" t="s">
        <v>4977</v>
      </c>
    </row>
    <row r="108" spans="1:18" x14ac:dyDescent="0.4">
      <c r="A108" s="69" t="s">
        <v>4974</v>
      </c>
      <c r="B108" s="69" t="s">
        <v>4975</v>
      </c>
      <c r="D108" s="69">
        <v>1440190473</v>
      </c>
      <c r="F108" s="69" t="s">
        <v>4976</v>
      </c>
      <c r="K108" s="69" t="s">
        <v>154</v>
      </c>
      <c r="L108" s="69" t="s">
        <v>155</v>
      </c>
      <c r="M108" s="70">
        <v>1</v>
      </c>
      <c r="N108" s="70">
        <v>17000</v>
      </c>
      <c r="O108" s="70">
        <f t="shared" si="2"/>
        <v>15455</v>
      </c>
      <c r="P108" s="70">
        <f t="shared" si="3"/>
        <v>1545</v>
      </c>
      <c r="Q108" s="70">
        <v>17000</v>
      </c>
      <c r="R108" t="s">
        <v>4977</v>
      </c>
    </row>
    <row r="109" spans="1:18" x14ac:dyDescent="0.4">
      <c r="A109" s="69" t="s">
        <v>4974</v>
      </c>
      <c r="B109" s="69" t="s">
        <v>4975</v>
      </c>
      <c r="D109" s="69">
        <v>1440190473</v>
      </c>
      <c r="F109" s="69" t="s">
        <v>4976</v>
      </c>
      <c r="K109" s="69" t="s">
        <v>2769</v>
      </c>
      <c r="L109" s="69" t="s">
        <v>2770</v>
      </c>
      <c r="M109" s="70">
        <v>1</v>
      </c>
      <c r="N109" s="70">
        <v>3500</v>
      </c>
      <c r="O109" s="70">
        <f t="shared" si="2"/>
        <v>3182</v>
      </c>
      <c r="P109" s="70">
        <f t="shared" si="3"/>
        <v>318</v>
      </c>
      <c r="Q109" s="70">
        <v>3500</v>
      </c>
      <c r="R109" t="s">
        <v>4977</v>
      </c>
    </row>
    <row r="110" spans="1:18" x14ac:dyDescent="0.4">
      <c r="A110" s="69" t="s">
        <v>4974</v>
      </c>
      <c r="B110" s="69" t="s">
        <v>4975</v>
      </c>
      <c r="D110" s="69">
        <v>1440190473</v>
      </c>
      <c r="F110" s="69" t="s">
        <v>4976</v>
      </c>
      <c r="K110" s="69" t="s">
        <v>2771</v>
      </c>
      <c r="L110" s="69" t="s">
        <v>2772</v>
      </c>
      <c r="M110" s="70">
        <v>1</v>
      </c>
      <c r="N110" s="70">
        <v>3300</v>
      </c>
      <c r="O110" s="70">
        <f t="shared" si="2"/>
        <v>3000</v>
      </c>
      <c r="P110" s="70">
        <f t="shared" si="3"/>
        <v>300</v>
      </c>
      <c r="Q110" s="70">
        <v>3300</v>
      </c>
      <c r="R110" t="s">
        <v>4977</v>
      </c>
    </row>
    <row r="111" spans="1:18" x14ac:dyDescent="0.4">
      <c r="A111" s="69" t="s">
        <v>4974</v>
      </c>
      <c r="B111" s="69" t="s">
        <v>4975</v>
      </c>
      <c r="D111" s="69">
        <v>1440190473</v>
      </c>
      <c r="F111" s="69" t="s">
        <v>4976</v>
      </c>
      <c r="K111" s="69" t="s">
        <v>2773</v>
      </c>
      <c r="L111" s="69" t="s">
        <v>2774</v>
      </c>
      <c r="M111" s="70">
        <v>1</v>
      </c>
      <c r="N111" s="70">
        <v>8800</v>
      </c>
      <c r="O111" s="70">
        <f t="shared" si="2"/>
        <v>8000</v>
      </c>
      <c r="P111" s="70">
        <f t="shared" si="3"/>
        <v>800</v>
      </c>
      <c r="Q111" s="70">
        <v>8800</v>
      </c>
      <c r="R111" t="s">
        <v>4977</v>
      </c>
    </row>
    <row r="112" spans="1:18" x14ac:dyDescent="0.4">
      <c r="A112" s="69" t="s">
        <v>4974</v>
      </c>
      <c r="B112" s="69" t="s">
        <v>4975</v>
      </c>
      <c r="D112" s="69">
        <v>1440190473</v>
      </c>
      <c r="F112" s="69" t="s">
        <v>4976</v>
      </c>
      <c r="K112" s="69" t="s">
        <v>2775</v>
      </c>
      <c r="L112" s="69" t="s">
        <v>2776</v>
      </c>
      <c r="M112" s="70">
        <v>2</v>
      </c>
      <c r="N112" s="70">
        <v>2000</v>
      </c>
      <c r="O112" s="70">
        <f t="shared" si="2"/>
        <v>3636</v>
      </c>
      <c r="P112" s="70">
        <f t="shared" si="3"/>
        <v>364</v>
      </c>
      <c r="Q112" s="70">
        <v>2000</v>
      </c>
      <c r="R112" t="s">
        <v>4977</v>
      </c>
    </row>
    <row r="113" spans="1:18" x14ac:dyDescent="0.4">
      <c r="A113" s="69" t="s">
        <v>4974</v>
      </c>
      <c r="B113" s="69" t="s">
        <v>4975</v>
      </c>
      <c r="D113" s="69">
        <v>1440190473</v>
      </c>
      <c r="F113" s="69" t="s">
        <v>4976</v>
      </c>
      <c r="K113" s="69" t="s">
        <v>62</v>
      </c>
      <c r="L113" s="69" t="s">
        <v>63</v>
      </c>
      <c r="M113" s="70">
        <v>4</v>
      </c>
      <c r="N113" s="70">
        <v>6000</v>
      </c>
      <c r="O113" s="70">
        <f t="shared" si="2"/>
        <v>21818</v>
      </c>
      <c r="P113" s="70">
        <f t="shared" si="3"/>
        <v>2182</v>
      </c>
      <c r="Q113" s="70">
        <v>6000</v>
      </c>
      <c r="R113" t="s">
        <v>4977</v>
      </c>
    </row>
    <row r="114" spans="1:18" x14ac:dyDescent="0.4">
      <c r="A114" s="69" t="s">
        <v>4974</v>
      </c>
      <c r="B114" s="69" t="s">
        <v>4975</v>
      </c>
      <c r="D114" s="69">
        <v>1440190473</v>
      </c>
      <c r="F114" s="69" t="s">
        <v>4976</v>
      </c>
      <c r="K114" s="69" t="s">
        <v>2779</v>
      </c>
      <c r="L114" s="69" t="s">
        <v>2780</v>
      </c>
      <c r="M114" s="70">
        <v>2</v>
      </c>
      <c r="N114" s="70">
        <v>5000</v>
      </c>
      <c r="O114" s="70">
        <f t="shared" si="2"/>
        <v>9091</v>
      </c>
      <c r="P114" s="70">
        <f t="shared" si="3"/>
        <v>909</v>
      </c>
      <c r="Q114" s="70">
        <v>5000</v>
      </c>
      <c r="R114" t="s">
        <v>4977</v>
      </c>
    </row>
    <row r="115" spans="1:18" x14ac:dyDescent="0.4">
      <c r="A115" s="69" t="s">
        <v>4974</v>
      </c>
      <c r="B115" s="69" t="s">
        <v>4975</v>
      </c>
      <c r="D115" s="69">
        <v>1440190473</v>
      </c>
      <c r="F115" s="69" t="s">
        <v>4976</v>
      </c>
      <c r="K115" s="69" t="s">
        <v>2781</v>
      </c>
      <c r="L115" s="69" t="s">
        <v>2782</v>
      </c>
      <c r="M115" s="70">
        <v>1</v>
      </c>
      <c r="N115" s="70">
        <v>9800</v>
      </c>
      <c r="O115" s="70">
        <f t="shared" si="2"/>
        <v>8909</v>
      </c>
      <c r="P115" s="70">
        <f t="shared" si="3"/>
        <v>891</v>
      </c>
      <c r="Q115" s="70">
        <v>9800</v>
      </c>
      <c r="R115" t="s">
        <v>4977</v>
      </c>
    </row>
    <row r="116" spans="1:18" x14ac:dyDescent="0.4">
      <c r="A116" s="69" t="s">
        <v>4974</v>
      </c>
      <c r="B116" s="69" t="s">
        <v>4975</v>
      </c>
      <c r="D116" s="69">
        <v>1440190473</v>
      </c>
      <c r="F116" s="69" t="s">
        <v>4976</v>
      </c>
      <c r="K116" s="69" t="s">
        <v>2785</v>
      </c>
      <c r="L116" s="69" t="s">
        <v>2786</v>
      </c>
      <c r="M116" s="70">
        <v>2</v>
      </c>
      <c r="N116" s="70">
        <v>2500</v>
      </c>
      <c r="O116" s="70">
        <f t="shared" si="2"/>
        <v>4545</v>
      </c>
      <c r="P116" s="70">
        <f t="shared" si="3"/>
        <v>455</v>
      </c>
      <c r="Q116" s="70">
        <v>2500</v>
      </c>
      <c r="R116" t="s">
        <v>4977</v>
      </c>
    </row>
    <row r="117" spans="1:18" x14ac:dyDescent="0.4">
      <c r="A117" s="69" t="s">
        <v>4974</v>
      </c>
      <c r="B117" s="69" t="s">
        <v>4975</v>
      </c>
      <c r="D117" s="69">
        <v>1440190473</v>
      </c>
      <c r="F117" s="69" t="s">
        <v>4976</v>
      </c>
      <c r="K117" s="69" t="s">
        <v>2789</v>
      </c>
      <c r="L117" s="69" t="s">
        <v>2790</v>
      </c>
      <c r="M117" s="70">
        <v>1</v>
      </c>
      <c r="N117" s="70">
        <v>9800</v>
      </c>
      <c r="O117" s="70">
        <f t="shared" si="2"/>
        <v>8909</v>
      </c>
      <c r="P117" s="70">
        <f t="shared" si="3"/>
        <v>891</v>
      </c>
      <c r="Q117" s="70">
        <v>9800</v>
      </c>
      <c r="R117" t="s">
        <v>4977</v>
      </c>
    </row>
    <row r="118" spans="1:18" x14ac:dyDescent="0.4">
      <c r="A118" s="69" t="s">
        <v>4974</v>
      </c>
      <c r="B118" s="69" t="s">
        <v>4975</v>
      </c>
      <c r="D118" s="69">
        <v>1440190473</v>
      </c>
      <c r="F118" s="69" t="s">
        <v>4976</v>
      </c>
      <c r="K118" s="69" t="s">
        <v>2793</v>
      </c>
      <c r="L118" s="69" t="s">
        <v>2794</v>
      </c>
      <c r="M118" s="70">
        <v>5</v>
      </c>
      <c r="N118" s="70">
        <v>2500</v>
      </c>
      <c r="O118" s="70">
        <f t="shared" si="2"/>
        <v>11364</v>
      </c>
      <c r="P118" s="70">
        <f t="shared" si="3"/>
        <v>1136</v>
      </c>
      <c r="Q118" s="70">
        <v>2500</v>
      </c>
      <c r="R118" t="s">
        <v>4977</v>
      </c>
    </row>
    <row r="119" spans="1:18" x14ac:dyDescent="0.4">
      <c r="A119" s="69" t="s">
        <v>4974</v>
      </c>
      <c r="B119" s="69" t="s">
        <v>4975</v>
      </c>
      <c r="D119" s="69">
        <v>1440190473</v>
      </c>
      <c r="F119" s="69" t="s">
        <v>4976</v>
      </c>
      <c r="K119" s="69" t="s">
        <v>2795</v>
      </c>
      <c r="L119" s="69" t="s">
        <v>2796</v>
      </c>
      <c r="M119" s="70">
        <v>1</v>
      </c>
      <c r="N119" s="70">
        <v>16800</v>
      </c>
      <c r="O119" s="70">
        <f t="shared" si="2"/>
        <v>15273</v>
      </c>
      <c r="P119" s="70">
        <f t="shared" si="3"/>
        <v>1527</v>
      </c>
      <c r="Q119" s="70">
        <v>16800</v>
      </c>
      <c r="R119" t="s">
        <v>4977</v>
      </c>
    </row>
    <row r="120" spans="1:18" x14ac:dyDescent="0.4">
      <c r="A120" s="69" t="s">
        <v>4974</v>
      </c>
      <c r="B120" s="69" t="s">
        <v>4975</v>
      </c>
      <c r="D120" s="69">
        <v>1440190473</v>
      </c>
      <c r="F120" s="69" t="s">
        <v>4976</v>
      </c>
      <c r="K120" s="69" t="s">
        <v>2797</v>
      </c>
      <c r="L120" s="69" t="s">
        <v>2798</v>
      </c>
      <c r="M120" s="70">
        <v>1</v>
      </c>
      <c r="N120" s="70">
        <v>4000</v>
      </c>
      <c r="O120" s="70">
        <f t="shared" si="2"/>
        <v>3636</v>
      </c>
      <c r="P120" s="70">
        <f t="shared" si="3"/>
        <v>364</v>
      </c>
      <c r="Q120" s="70">
        <v>4000</v>
      </c>
      <c r="R120" t="s">
        <v>4977</v>
      </c>
    </row>
    <row r="121" spans="1:18" x14ac:dyDescent="0.4">
      <c r="A121" s="69" t="s">
        <v>4974</v>
      </c>
      <c r="B121" s="69" t="s">
        <v>4975</v>
      </c>
      <c r="D121" s="69">
        <v>1440190473</v>
      </c>
      <c r="F121" s="69" t="s">
        <v>4976</v>
      </c>
      <c r="K121" s="69" t="s">
        <v>1112</v>
      </c>
      <c r="L121" s="69" t="s">
        <v>1113</v>
      </c>
      <c r="M121" s="70">
        <v>1</v>
      </c>
      <c r="N121" s="70">
        <v>12800</v>
      </c>
      <c r="O121" s="70">
        <f t="shared" si="2"/>
        <v>11636</v>
      </c>
      <c r="P121" s="70">
        <f t="shared" si="3"/>
        <v>1164</v>
      </c>
      <c r="Q121" s="70">
        <v>12800</v>
      </c>
      <c r="R121" t="s">
        <v>4977</v>
      </c>
    </row>
    <row r="122" spans="1:18" x14ac:dyDescent="0.4">
      <c r="A122" s="69" t="s">
        <v>4974</v>
      </c>
      <c r="B122" s="69" t="s">
        <v>4975</v>
      </c>
      <c r="D122" s="69">
        <v>1440190473</v>
      </c>
      <c r="F122" s="69" t="s">
        <v>4976</v>
      </c>
      <c r="K122" s="69" t="s">
        <v>2799</v>
      </c>
      <c r="L122" s="69" t="s">
        <v>2800</v>
      </c>
      <c r="M122" s="70">
        <v>1</v>
      </c>
      <c r="N122" s="70">
        <v>12800</v>
      </c>
      <c r="O122" s="70">
        <f t="shared" si="2"/>
        <v>11636</v>
      </c>
      <c r="P122" s="70">
        <f t="shared" si="3"/>
        <v>1164</v>
      </c>
      <c r="Q122" s="70">
        <v>12800</v>
      </c>
      <c r="R122" t="s">
        <v>4977</v>
      </c>
    </row>
    <row r="123" spans="1:18" x14ac:dyDescent="0.4">
      <c r="A123" s="69" t="s">
        <v>4974</v>
      </c>
      <c r="B123" s="69" t="s">
        <v>4975</v>
      </c>
      <c r="D123" s="69">
        <v>1440190473</v>
      </c>
      <c r="F123" s="69" t="s">
        <v>4976</v>
      </c>
      <c r="K123" s="69" t="s">
        <v>2801</v>
      </c>
      <c r="L123" s="69" t="s">
        <v>2802</v>
      </c>
      <c r="M123" s="70">
        <v>1</v>
      </c>
      <c r="N123" s="70">
        <v>21800</v>
      </c>
      <c r="O123" s="70">
        <f t="shared" si="2"/>
        <v>19818</v>
      </c>
      <c r="P123" s="70">
        <f t="shared" si="3"/>
        <v>1982</v>
      </c>
      <c r="Q123" s="70">
        <v>21800</v>
      </c>
      <c r="R123" t="s">
        <v>4977</v>
      </c>
    </row>
    <row r="124" spans="1:18" x14ac:dyDescent="0.4">
      <c r="A124" s="69" t="s">
        <v>4974</v>
      </c>
      <c r="B124" s="69" t="s">
        <v>4975</v>
      </c>
      <c r="D124" s="69">
        <v>1440190473</v>
      </c>
      <c r="F124" s="69" t="s">
        <v>4976</v>
      </c>
      <c r="K124" s="69" t="s">
        <v>2803</v>
      </c>
      <c r="L124" s="69" t="s">
        <v>2804</v>
      </c>
      <c r="M124" s="70">
        <v>2</v>
      </c>
      <c r="N124" s="70">
        <v>14800</v>
      </c>
      <c r="O124" s="70">
        <f t="shared" si="2"/>
        <v>26909</v>
      </c>
      <c r="P124" s="70">
        <f t="shared" si="3"/>
        <v>2691</v>
      </c>
      <c r="Q124" s="70">
        <v>14800</v>
      </c>
      <c r="R124" t="s">
        <v>4977</v>
      </c>
    </row>
    <row r="125" spans="1:18" x14ac:dyDescent="0.4">
      <c r="A125" s="69" t="s">
        <v>4974</v>
      </c>
      <c r="B125" s="69" t="s">
        <v>4975</v>
      </c>
      <c r="D125" s="69">
        <v>1440190473</v>
      </c>
      <c r="F125" s="69" t="s">
        <v>4976</v>
      </c>
      <c r="K125" s="69" t="s">
        <v>2805</v>
      </c>
      <c r="L125" s="69" t="s">
        <v>2806</v>
      </c>
      <c r="M125" s="70">
        <v>1</v>
      </c>
      <c r="N125" s="70">
        <v>9800</v>
      </c>
      <c r="O125" s="70">
        <f t="shared" si="2"/>
        <v>8909</v>
      </c>
      <c r="P125" s="70">
        <f t="shared" si="3"/>
        <v>891</v>
      </c>
      <c r="Q125" s="70">
        <v>9800</v>
      </c>
      <c r="R125" t="s">
        <v>4977</v>
      </c>
    </row>
    <row r="126" spans="1:18" x14ac:dyDescent="0.4">
      <c r="A126" s="69" t="s">
        <v>4974</v>
      </c>
      <c r="B126" s="69" t="s">
        <v>4975</v>
      </c>
      <c r="D126" s="69">
        <v>1440190473</v>
      </c>
      <c r="F126" s="69" t="s">
        <v>4976</v>
      </c>
      <c r="K126" s="69" t="s">
        <v>2807</v>
      </c>
      <c r="L126" s="69" t="s">
        <v>2808</v>
      </c>
      <c r="M126" s="70">
        <v>1</v>
      </c>
      <c r="N126" s="70">
        <v>16800</v>
      </c>
      <c r="O126" s="70">
        <f t="shared" si="2"/>
        <v>15273</v>
      </c>
      <c r="P126" s="70">
        <f t="shared" si="3"/>
        <v>1527</v>
      </c>
      <c r="Q126" s="70">
        <v>16800</v>
      </c>
      <c r="R126" t="s">
        <v>4977</v>
      </c>
    </row>
    <row r="127" spans="1:18" x14ac:dyDescent="0.4">
      <c r="A127" s="69" t="s">
        <v>4974</v>
      </c>
      <c r="B127" s="69" t="s">
        <v>4975</v>
      </c>
      <c r="D127" s="69">
        <v>1440190473</v>
      </c>
      <c r="F127" s="69" t="s">
        <v>4976</v>
      </c>
      <c r="K127" s="69" t="s">
        <v>2809</v>
      </c>
      <c r="L127" s="69" t="s">
        <v>2810</v>
      </c>
      <c r="M127" s="70">
        <v>1</v>
      </c>
      <c r="N127" s="70">
        <v>14000</v>
      </c>
      <c r="O127" s="70">
        <f t="shared" si="2"/>
        <v>12727</v>
      </c>
      <c r="P127" s="70">
        <f t="shared" si="3"/>
        <v>1273</v>
      </c>
      <c r="Q127" s="70">
        <v>14000</v>
      </c>
      <c r="R127" t="s">
        <v>4977</v>
      </c>
    </row>
    <row r="128" spans="1:18" x14ac:dyDescent="0.4">
      <c r="A128" s="69" t="s">
        <v>4974</v>
      </c>
      <c r="B128" s="69" t="s">
        <v>4975</v>
      </c>
      <c r="D128" s="69">
        <v>1440190473</v>
      </c>
      <c r="F128" s="69" t="s">
        <v>4976</v>
      </c>
      <c r="K128" s="69" t="s">
        <v>2811</v>
      </c>
      <c r="L128" s="69" t="s">
        <v>2812</v>
      </c>
      <c r="M128" s="70">
        <v>1</v>
      </c>
      <c r="N128" s="70">
        <v>9800</v>
      </c>
      <c r="O128" s="70">
        <f t="shared" si="2"/>
        <v>8909</v>
      </c>
      <c r="P128" s="70">
        <f t="shared" si="3"/>
        <v>891</v>
      </c>
      <c r="Q128" s="70">
        <v>9800</v>
      </c>
      <c r="R128" t="s">
        <v>4977</v>
      </c>
    </row>
    <row r="129" spans="1:18" x14ac:dyDescent="0.4">
      <c r="A129" s="69" t="s">
        <v>4974</v>
      </c>
      <c r="B129" s="69" t="s">
        <v>4975</v>
      </c>
      <c r="D129" s="69">
        <v>1440249122</v>
      </c>
      <c r="F129" s="69" t="s">
        <v>4976</v>
      </c>
      <c r="K129" s="69" t="s">
        <v>2712</v>
      </c>
      <c r="L129" s="69" t="s">
        <v>2713</v>
      </c>
      <c r="M129" s="70">
        <v>1</v>
      </c>
      <c r="N129" s="70">
        <v>18000</v>
      </c>
      <c r="O129" s="70">
        <f t="shared" si="2"/>
        <v>16364</v>
      </c>
      <c r="P129" s="70">
        <f t="shared" si="3"/>
        <v>1636</v>
      </c>
      <c r="Q129" s="70">
        <v>18000</v>
      </c>
      <c r="R129" t="s">
        <v>4977</v>
      </c>
    </row>
    <row r="130" spans="1:18" x14ac:dyDescent="0.4">
      <c r="A130" s="69" t="s">
        <v>4974</v>
      </c>
      <c r="B130" s="69" t="s">
        <v>4975</v>
      </c>
      <c r="D130" s="69">
        <v>1440249122</v>
      </c>
      <c r="F130" s="69" t="s">
        <v>4976</v>
      </c>
      <c r="K130" s="69" t="s">
        <v>2714</v>
      </c>
      <c r="L130" s="69" t="s">
        <v>2715</v>
      </c>
      <c r="M130" s="70">
        <v>2</v>
      </c>
      <c r="N130" s="70">
        <v>9000</v>
      </c>
      <c r="O130" s="70">
        <f t="shared" si="2"/>
        <v>16364</v>
      </c>
      <c r="P130" s="70">
        <f t="shared" si="3"/>
        <v>1636</v>
      </c>
      <c r="Q130" s="70">
        <v>9000</v>
      </c>
      <c r="R130" t="s">
        <v>4977</v>
      </c>
    </row>
    <row r="131" spans="1:18" x14ac:dyDescent="0.4">
      <c r="A131" s="69" t="s">
        <v>4974</v>
      </c>
      <c r="B131" s="69" t="s">
        <v>4975</v>
      </c>
      <c r="D131" s="69">
        <v>1440249122</v>
      </c>
      <c r="F131" s="69" t="s">
        <v>4976</v>
      </c>
      <c r="K131" s="69" t="s">
        <v>2716</v>
      </c>
      <c r="L131" s="69" t="s">
        <v>2717</v>
      </c>
      <c r="M131" s="70">
        <v>1</v>
      </c>
      <c r="N131" s="70">
        <v>18000</v>
      </c>
      <c r="O131" s="70">
        <f t="shared" ref="O131:O194" si="4">ROUND((M131*N131)-P131,0)</f>
        <v>16364</v>
      </c>
      <c r="P131" s="70">
        <f t="shared" ref="P131:P194" si="5">ROUND(M131*N131/1.1*0.1,0)</f>
        <v>1636</v>
      </c>
      <c r="Q131" s="70">
        <v>18000</v>
      </c>
      <c r="R131" t="s">
        <v>4977</v>
      </c>
    </row>
    <row r="132" spans="1:18" x14ac:dyDescent="0.4">
      <c r="A132" s="69" t="s">
        <v>4974</v>
      </c>
      <c r="B132" s="69" t="s">
        <v>4975</v>
      </c>
      <c r="D132" s="69">
        <v>1440249122</v>
      </c>
      <c r="F132" s="69" t="s">
        <v>4976</v>
      </c>
      <c r="K132" s="69" t="s">
        <v>2128</v>
      </c>
      <c r="L132" s="69" t="s">
        <v>2129</v>
      </c>
      <c r="M132" s="70">
        <v>1</v>
      </c>
      <c r="N132" s="70">
        <v>3000</v>
      </c>
      <c r="O132" s="70">
        <f t="shared" si="4"/>
        <v>2727</v>
      </c>
      <c r="P132" s="70">
        <f t="shared" si="5"/>
        <v>273</v>
      </c>
      <c r="Q132" s="70">
        <v>3000</v>
      </c>
      <c r="R132" t="s">
        <v>4977</v>
      </c>
    </row>
    <row r="133" spans="1:18" x14ac:dyDescent="0.4">
      <c r="A133" s="69" t="s">
        <v>4974</v>
      </c>
      <c r="B133" s="69" t="s">
        <v>4975</v>
      </c>
      <c r="D133" s="69">
        <v>1440249122</v>
      </c>
      <c r="F133" s="69" t="s">
        <v>4976</v>
      </c>
      <c r="K133" s="69" t="s">
        <v>2118</v>
      </c>
      <c r="L133" s="69" t="s">
        <v>2119</v>
      </c>
      <c r="M133" s="70">
        <v>1</v>
      </c>
      <c r="N133" s="70">
        <v>3000</v>
      </c>
      <c r="O133" s="70">
        <f t="shared" si="4"/>
        <v>2727</v>
      </c>
      <c r="P133" s="70">
        <f t="shared" si="5"/>
        <v>273</v>
      </c>
      <c r="Q133" s="70">
        <v>3000</v>
      </c>
      <c r="R133" t="s">
        <v>4977</v>
      </c>
    </row>
    <row r="134" spans="1:18" x14ac:dyDescent="0.4">
      <c r="A134" s="69" t="s">
        <v>4974</v>
      </c>
      <c r="B134" s="69" t="s">
        <v>4975</v>
      </c>
      <c r="D134" s="69">
        <v>1440249122</v>
      </c>
      <c r="F134" s="69" t="s">
        <v>4976</v>
      </c>
      <c r="K134" s="69" t="s">
        <v>2718</v>
      </c>
      <c r="L134" s="69" t="s">
        <v>2719</v>
      </c>
      <c r="M134" s="70">
        <v>1</v>
      </c>
      <c r="N134" s="70">
        <v>19000</v>
      </c>
      <c r="O134" s="70">
        <f t="shared" si="4"/>
        <v>17273</v>
      </c>
      <c r="P134" s="70">
        <f t="shared" si="5"/>
        <v>1727</v>
      </c>
      <c r="Q134" s="70">
        <v>19000</v>
      </c>
      <c r="R134" t="s">
        <v>4977</v>
      </c>
    </row>
    <row r="135" spans="1:18" x14ac:dyDescent="0.4">
      <c r="A135" s="69" t="s">
        <v>4974</v>
      </c>
      <c r="B135" s="69" t="s">
        <v>4975</v>
      </c>
      <c r="D135" s="69">
        <v>1440249122</v>
      </c>
      <c r="F135" s="69" t="s">
        <v>4976</v>
      </c>
      <c r="K135" s="69" t="s">
        <v>2723</v>
      </c>
      <c r="L135" s="69" t="s">
        <v>2724</v>
      </c>
      <c r="M135" s="70">
        <v>2</v>
      </c>
      <c r="N135" s="70">
        <v>12000</v>
      </c>
      <c r="O135" s="70">
        <f t="shared" si="4"/>
        <v>21818</v>
      </c>
      <c r="P135" s="70">
        <f t="shared" si="5"/>
        <v>2182</v>
      </c>
      <c r="Q135" s="70">
        <v>12000</v>
      </c>
      <c r="R135" t="s">
        <v>4977</v>
      </c>
    </row>
    <row r="136" spans="1:18" x14ac:dyDescent="0.4">
      <c r="A136" s="69" t="s">
        <v>4974</v>
      </c>
      <c r="B136" s="69" t="s">
        <v>4975</v>
      </c>
      <c r="D136" s="69">
        <v>1440249122</v>
      </c>
      <c r="F136" s="69" t="s">
        <v>4976</v>
      </c>
      <c r="K136" s="69" t="s">
        <v>1872</v>
      </c>
      <c r="L136" s="69" t="s">
        <v>1873</v>
      </c>
      <c r="M136" s="70">
        <v>1</v>
      </c>
      <c r="N136" s="70">
        <v>12000</v>
      </c>
      <c r="O136" s="70">
        <f t="shared" si="4"/>
        <v>10909</v>
      </c>
      <c r="P136" s="70">
        <f t="shared" si="5"/>
        <v>1091</v>
      </c>
      <c r="Q136" s="70">
        <v>12000</v>
      </c>
      <c r="R136" t="s">
        <v>4977</v>
      </c>
    </row>
    <row r="137" spans="1:18" x14ac:dyDescent="0.4">
      <c r="A137" s="69" t="s">
        <v>4974</v>
      </c>
      <c r="B137" s="69" t="s">
        <v>4975</v>
      </c>
      <c r="D137" s="69">
        <v>2042451539</v>
      </c>
      <c r="F137" s="69" t="s">
        <v>4976</v>
      </c>
      <c r="K137" s="69" t="s">
        <v>3180</v>
      </c>
      <c r="L137" s="69" t="s">
        <v>3181</v>
      </c>
      <c r="M137" s="70">
        <v>1</v>
      </c>
      <c r="N137" s="70">
        <v>16000</v>
      </c>
      <c r="O137" s="70">
        <f t="shared" si="4"/>
        <v>14545</v>
      </c>
      <c r="P137" s="70">
        <f t="shared" si="5"/>
        <v>1455</v>
      </c>
      <c r="Q137" s="70">
        <v>16000</v>
      </c>
      <c r="R137" t="s">
        <v>4977</v>
      </c>
    </row>
    <row r="138" spans="1:18" x14ac:dyDescent="0.4">
      <c r="A138" s="69" t="s">
        <v>4974</v>
      </c>
      <c r="B138" s="69" t="s">
        <v>4975</v>
      </c>
      <c r="D138" s="69">
        <v>2158740814</v>
      </c>
      <c r="F138" s="69" t="s">
        <v>4976</v>
      </c>
      <c r="K138" s="69" t="s">
        <v>3107</v>
      </c>
      <c r="L138" s="69" t="s">
        <v>3108</v>
      </c>
      <c r="M138" s="70">
        <v>1</v>
      </c>
      <c r="N138" s="70">
        <v>17000</v>
      </c>
      <c r="O138" s="70">
        <f t="shared" si="4"/>
        <v>15455</v>
      </c>
      <c r="P138" s="70">
        <f t="shared" si="5"/>
        <v>1545</v>
      </c>
      <c r="Q138" s="70">
        <v>17000</v>
      </c>
      <c r="R138" t="s">
        <v>4977</v>
      </c>
    </row>
    <row r="139" spans="1:18" x14ac:dyDescent="0.4">
      <c r="A139" s="69" t="s">
        <v>4974</v>
      </c>
      <c r="B139" s="69" t="s">
        <v>4975</v>
      </c>
      <c r="D139" s="69">
        <v>2158740814</v>
      </c>
      <c r="F139" s="69" t="s">
        <v>4976</v>
      </c>
      <c r="K139" s="69" t="s">
        <v>3109</v>
      </c>
      <c r="L139" s="69" t="s">
        <v>3110</v>
      </c>
      <c r="M139" s="70">
        <v>1</v>
      </c>
      <c r="N139" s="70">
        <v>18000</v>
      </c>
      <c r="O139" s="70">
        <f t="shared" si="4"/>
        <v>16364</v>
      </c>
      <c r="P139" s="70">
        <f t="shared" si="5"/>
        <v>1636</v>
      </c>
      <c r="Q139" s="70">
        <v>18000</v>
      </c>
      <c r="R139" t="s">
        <v>4977</v>
      </c>
    </row>
    <row r="140" spans="1:18" x14ac:dyDescent="0.4">
      <c r="A140" s="69" t="s">
        <v>4974</v>
      </c>
      <c r="B140" s="69" t="s">
        <v>4975</v>
      </c>
      <c r="D140" s="69">
        <v>2158740814</v>
      </c>
      <c r="F140" s="69" t="s">
        <v>4976</v>
      </c>
      <c r="K140" s="69" t="s">
        <v>3111</v>
      </c>
      <c r="L140" s="69" t="s">
        <v>3112</v>
      </c>
      <c r="M140" s="70">
        <v>1</v>
      </c>
      <c r="N140" s="70">
        <v>15000</v>
      </c>
      <c r="O140" s="70">
        <f t="shared" si="4"/>
        <v>13636</v>
      </c>
      <c r="P140" s="70">
        <f t="shared" si="5"/>
        <v>1364</v>
      </c>
      <c r="Q140" s="70">
        <v>15000</v>
      </c>
      <c r="R140" t="s">
        <v>4977</v>
      </c>
    </row>
    <row r="141" spans="1:18" x14ac:dyDescent="0.4">
      <c r="A141" s="69" t="s">
        <v>4974</v>
      </c>
      <c r="B141" s="69" t="s">
        <v>4975</v>
      </c>
      <c r="D141" s="69">
        <v>2158740814</v>
      </c>
      <c r="F141" s="69" t="s">
        <v>4976</v>
      </c>
      <c r="K141" s="69" t="s">
        <v>3115</v>
      </c>
      <c r="L141" s="69" t="s">
        <v>3116</v>
      </c>
      <c r="M141" s="70">
        <v>2</v>
      </c>
      <c r="N141" s="70">
        <v>22000</v>
      </c>
      <c r="O141" s="70">
        <f t="shared" si="4"/>
        <v>40000</v>
      </c>
      <c r="P141" s="70">
        <f t="shared" si="5"/>
        <v>4000</v>
      </c>
      <c r="Q141" s="70">
        <v>22000</v>
      </c>
      <c r="R141" t="s">
        <v>4977</v>
      </c>
    </row>
    <row r="142" spans="1:18" x14ac:dyDescent="0.4">
      <c r="A142" s="69" t="s">
        <v>4974</v>
      </c>
      <c r="B142" s="69" t="s">
        <v>4975</v>
      </c>
      <c r="D142" s="69">
        <v>2898500371</v>
      </c>
      <c r="F142" s="69" t="s">
        <v>4976</v>
      </c>
      <c r="K142" s="69" t="s">
        <v>3158</v>
      </c>
      <c r="L142" s="69" t="s">
        <v>3159</v>
      </c>
      <c r="M142" s="70">
        <v>1</v>
      </c>
      <c r="N142" s="70">
        <v>1000</v>
      </c>
      <c r="O142" s="70">
        <f t="shared" si="4"/>
        <v>909</v>
      </c>
      <c r="P142" s="70">
        <f t="shared" si="5"/>
        <v>91</v>
      </c>
      <c r="Q142" s="70">
        <v>1000</v>
      </c>
      <c r="R142" t="s">
        <v>4977</v>
      </c>
    </row>
    <row r="143" spans="1:18" x14ac:dyDescent="0.4">
      <c r="A143" s="69" t="s">
        <v>4974</v>
      </c>
      <c r="B143" s="69" t="s">
        <v>4975</v>
      </c>
      <c r="D143" s="69">
        <v>2898500371</v>
      </c>
      <c r="F143" s="69" t="s">
        <v>4976</v>
      </c>
      <c r="K143" s="69" t="s">
        <v>3160</v>
      </c>
      <c r="L143" s="69" t="s">
        <v>3161</v>
      </c>
      <c r="M143" s="70">
        <v>2</v>
      </c>
      <c r="N143" s="70">
        <v>1000</v>
      </c>
      <c r="O143" s="70">
        <f t="shared" si="4"/>
        <v>1818</v>
      </c>
      <c r="P143" s="70">
        <f t="shared" si="5"/>
        <v>182</v>
      </c>
      <c r="Q143" s="70">
        <v>1000</v>
      </c>
      <c r="R143" t="s">
        <v>4977</v>
      </c>
    </row>
    <row r="144" spans="1:18" x14ac:dyDescent="0.4">
      <c r="A144" s="69" t="s">
        <v>4974</v>
      </c>
      <c r="B144" s="69" t="s">
        <v>4975</v>
      </c>
      <c r="D144" s="69">
        <v>2898500371</v>
      </c>
      <c r="F144" s="69" t="s">
        <v>4976</v>
      </c>
      <c r="K144" s="69" t="s">
        <v>3162</v>
      </c>
      <c r="L144" s="69" t="s">
        <v>3163</v>
      </c>
      <c r="M144" s="70">
        <v>2</v>
      </c>
      <c r="N144" s="70">
        <v>1000</v>
      </c>
      <c r="O144" s="70">
        <f t="shared" si="4"/>
        <v>1818</v>
      </c>
      <c r="P144" s="70">
        <f t="shared" si="5"/>
        <v>182</v>
      </c>
      <c r="Q144" s="70">
        <v>1000</v>
      </c>
      <c r="R144" t="s">
        <v>4977</v>
      </c>
    </row>
    <row r="145" spans="1:18" x14ac:dyDescent="0.4">
      <c r="A145" s="69" t="s">
        <v>4974</v>
      </c>
      <c r="B145" s="69" t="s">
        <v>4975</v>
      </c>
      <c r="D145" s="69">
        <v>2898500371</v>
      </c>
      <c r="F145" s="69" t="s">
        <v>4976</v>
      </c>
      <c r="K145" s="69" t="s">
        <v>3164</v>
      </c>
      <c r="L145" s="69" t="s">
        <v>3165</v>
      </c>
      <c r="M145" s="70">
        <v>1</v>
      </c>
      <c r="N145" s="70">
        <v>16000</v>
      </c>
      <c r="O145" s="70">
        <f t="shared" si="4"/>
        <v>14545</v>
      </c>
      <c r="P145" s="70">
        <f t="shared" si="5"/>
        <v>1455</v>
      </c>
      <c r="Q145" s="70">
        <v>16000</v>
      </c>
      <c r="R145" t="s">
        <v>4977</v>
      </c>
    </row>
    <row r="146" spans="1:18" x14ac:dyDescent="0.4">
      <c r="A146" s="69" t="s">
        <v>4974</v>
      </c>
      <c r="B146" s="69" t="s">
        <v>4975</v>
      </c>
      <c r="D146" s="69">
        <v>2898500371</v>
      </c>
      <c r="F146" s="69" t="s">
        <v>4976</v>
      </c>
      <c r="K146" s="69" t="s">
        <v>3166</v>
      </c>
      <c r="L146" s="69" t="s">
        <v>3167</v>
      </c>
      <c r="M146" s="70">
        <v>1</v>
      </c>
      <c r="N146" s="70">
        <v>13000</v>
      </c>
      <c r="O146" s="70">
        <f t="shared" si="4"/>
        <v>11818</v>
      </c>
      <c r="P146" s="70">
        <f t="shared" si="5"/>
        <v>1182</v>
      </c>
      <c r="Q146" s="70">
        <v>13000</v>
      </c>
      <c r="R146" t="s">
        <v>4977</v>
      </c>
    </row>
    <row r="147" spans="1:18" x14ac:dyDescent="0.4">
      <c r="A147" s="69" t="s">
        <v>4974</v>
      </c>
      <c r="B147" s="69" t="s">
        <v>4975</v>
      </c>
      <c r="D147" s="69">
        <v>2898500371</v>
      </c>
      <c r="F147" s="69" t="s">
        <v>4976</v>
      </c>
      <c r="K147" s="69" t="s">
        <v>3168</v>
      </c>
      <c r="L147" s="69" t="s">
        <v>3169</v>
      </c>
      <c r="M147" s="70">
        <v>1</v>
      </c>
      <c r="N147" s="70">
        <v>32000</v>
      </c>
      <c r="O147" s="70">
        <f t="shared" si="4"/>
        <v>29091</v>
      </c>
      <c r="P147" s="70">
        <f t="shared" si="5"/>
        <v>2909</v>
      </c>
      <c r="Q147" s="70">
        <v>32000</v>
      </c>
      <c r="R147" t="s">
        <v>4977</v>
      </c>
    </row>
    <row r="148" spans="1:18" x14ac:dyDescent="0.4">
      <c r="A148" s="69" t="s">
        <v>4974</v>
      </c>
      <c r="B148" s="69" t="s">
        <v>4975</v>
      </c>
      <c r="D148" s="69">
        <v>2898500371</v>
      </c>
      <c r="F148" s="69" t="s">
        <v>4976</v>
      </c>
      <c r="K148" s="69" t="s">
        <v>3170</v>
      </c>
      <c r="L148" s="69" t="s">
        <v>3171</v>
      </c>
      <c r="M148" s="70">
        <v>1</v>
      </c>
      <c r="N148" s="70">
        <v>7000</v>
      </c>
      <c r="O148" s="70">
        <f t="shared" si="4"/>
        <v>6364</v>
      </c>
      <c r="P148" s="70">
        <f t="shared" si="5"/>
        <v>636</v>
      </c>
      <c r="Q148" s="70">
        <v>7000</v>
      </c>
      <c r="R148" t="s">
        <v>4977</v>
      </c>
    </row>
    <row r="149" spans="1:18" x14ac:dyDescent="0.4">
      <c r="A149" s="69" t="s">
        <v>4974</v>
      </c>
      <c r="B149" s="69" t="s">
        <v>4975</v>
      </c>
      <c r="D149" s="69">
        <v>2898500371</v>
      </c>
      <c r="F149" s="69" t="s">
        <v>4976</v>
      </c>
      <c r="K149" s="69" t="s">
        <v>3172</v>
      </c>
      <c r="L149" s="69" t="s">
        <v>3173</v>
      </c>
      <c r="M149" s="70">
        <v>3</v>
      </c>
      <c r="N149" s="70">
        <v>9000</v>
      </c>
      <c r="O149" s="70">
        <f t="shared" si="4"/>
        <v>24545</v>
      </c>
      <c r="P149" s="70">
        <f t="shared" si="5"/>
        <v>2455</v>
      </c>
      <c r="Q149" s="70">
        <v>9000</v>
      </c>
      <c r="R149" t="s">
        <v>4977</v>
      </c>
    </row>
    <row r="150" spans="1:18" x14ac:dyDescent="0.4">
      <c r="A150" s="69" t="s">
        <v>4974</v>
      </c>
      <c r="B150" s="69" t="s">
        <v>4975</v>
      </c>
      <c r="D150" s="69">
        <v>2898500371</v>
      </c>
      <c r="F150" s="69" t="s">
        <v>4976</v>
      </c>
      <c r="K150" s="69" t="s">
        <v>3174</v>
      </c>
      <c r="L150" s="69" t="s">
        <v>3175</v>
      </c>
      <c r="M150" s="70">
        <v>2</v>
      </c>
      <c r="N150" s="70">
        <v>12000</v>
      </c>
      <c r="O150" s="70">
        <f t="shared" si="4"/>
        <v>21818</v>
      </c>
      <c r="P150" s="70">
        <f t="shared" si="5"/>
        <v>2182</v>
      </c>
      <c r="Q150" s="70">
        <v>12000</v>
      </c>
      <c r="R150" t="s">
        <v>4977</v>
      </c>
    </row>
    <row r="151" spans="1:18" x14ac:dyDescent="0.4">
      <c r="A151" s="69" t="s">
        <v>4974</v>
      </c>
      <c r="B151" s="69" t="s">
        <v>4975</v>
      </c>
      <c r="D151" s="69">
        <v>4912400314</v>
      </c>
      <c r="F151" s="69" t="s">
        <v>4976</v>
      </c>
      <c r="K151" s="69" t="s">
        <v>3141</v>
      </c>
      <c r="L151" s="69" t="s">
        <v>3142</v>
      </c>
      <c r="M151" s="70">
        <v>1</v>
      </c>
      <c r="N151" s="70">
        <v>7000</v>
      </c>
      <c r="O151" s="70">
        <f t="shared" si="4"/>
        <v>6364</v>
      </c>
      <c r="P151" s="70">
        <f t="shared" si="5"/>
        <v>636</v>
      </c>
      <c r="Q151" s="70">
        <v>7000</v>
      </c>
      <c r="R151" t="s">
        <v>4977</v>
      </c>
    </row>
    <row r="152" spans="1:18" x14ac:dyDescent="0.4">
      <c r="A152" s="69" t="s">
        <v>4974</v>
      </c>
      <c r="B152" s="69" t="s">
        <v>4975</v>
      </c>
      <c r="D152" s="69">
        <v>4912400314</v>
      </c>
      <c r="F152" s="69" t="s">
        <v>4976</v>
      </c>
      <c r="K152" s="69" t="s">
        <v>3143</v>
      </c>
      <c r="L152" s="69" t="s">
        <v>3144</v>
      </c>
      <c r="M152" s="70">
        <v>1</v>
      </c>
      <c r="N152" s="70">
        <v>5500</v>
      </c>
      <c r="O152" s="70">
        <f t="shared" si="4"/>
        <v>5000</v>
      </c>
      <c r="P152" s="70">
        <f t="shared" si="5"/>
        <v>500</v>
      </c>
      <c r="Q152" s="70">
        <v>5500</v>
      </c>
      <c r="R152" t="s">
        <v>4977</v>
      </c>
    </row>
    <row r="153" spans="1:18" x14ac:dyDescent="0.4">
      <c r="A153" s="69" t="s">
        <v>4974</v>
      </c>
      <c r="B153" s="69" t="s">
        <v>4975</v>
      </c>
      <c r="D153" s="69">
        <v>4912400314</v>
      </c>
      <c r="F153" s="69" t="s">
        <v>4976</v>
      </c>
      <c r="K153" s="69" t="s">
        <v>3145</v>
      </c>
      <c r="L153" s="69" t="s">
        <v>3146</v>
      </c>
      <c r="M153" s="70">
        <v>1</v>
      </c>
      <c r="N153" s="70">
        <v>2000</v>
      </c>
      <c r="O153" s="70">
        <f t="shared" si="4"/>
        <v>1818</v>
      </c>
      <c r="P153" s="70">
        <f t="shared" si="5"/>
        <v>182</v>
      </c>
      <c r="Q153" s="70">
        <v>2000</v>
      </c>
      <c r="R153" t="s">
        <v>4977</v>
      </c>
    </row>
    <row r="154" spans="1:18" x14ac:dyDescent="0.4">
      <c r="A154" s="69" t="s">
        <v>4974</v>
      </c>
      <c r="B154" s="69" t="s">
        <v>4975</v>
      </c>
      <c r="D154" s="69">
        <v>4912400314</v>
      </c>
      <c r="F154" s="69" t="s">
        <v>4976</v>
      </c>
      <c r="K154" s="69" t="s">
        <v>3152</v>
      </c>
      <c r="L154" s="69" t="s">
        <v>3153</v>
      </c>
      <c r="M154" s="70">
        <v>1</v>
      </c>
      <c r="N154" s="70">
        <v>5000</v>
      </c>
      <c r="O154" s="70">
        <f t="shared" si="4"/>
        <v>4545</v>
      </c>
      <c r="P154" s="70">
        <f t="shared" si="5"/>
        <v>455</v>
      </c>
      <c r="Q154" s="70">
        <v>5000</v>
      </c>
      <c r="R154" t="s">
        <v>4977</v>
      </c>
    </row>
    <row r="155" spans="1:18" x14ac:dyDescent="0.4">
      <c r="A155" s="69" t="s">
        <v>4974</v>
      </c>
      <c r="B155" s="69" t="s">
        <v>4975</v>
      </c>
      <c r="D155" s="69">
        <v>5442100558</v>
      </c>
      <c r="F155" s="69" t="s">
        <v>4976</v>
      </c>
      <c r="K155" s="69" t="s">
        <v>3182</v>
      </c>
      <c r="L155" s="69" t="s">
        <v>3183</v>
      </c>
      <c r="M155" s="70">
        <v>3</v>
      </c>
      <c r="N155" s="70">
        <v>1500</v>
      </c>
      <c r="O155" s="70">
        <f t="shared" si="4"/>
        <v>4091</v>
      </c>
      <c r="P155" s="70">
        <f t="shared" si="5"/>
        <v>409</v>
      </c>
      <c r="Q155" s="70">
        <v>1500</v>
      </c>
      <c r="R155" t="s">
        <v>4977</v>
      </c>
    </row>
    <row r="156" spans="1:18" x14ac:dyDescent="0.4">
      <c r="A156" s="69" t="s">
        <v>4974</v>
      </c>
      <c r="B156" s="69" t="s">
        <v>4975</v>
      </c>
      <c r="D156" s="69">
        <v>5442100558</v>
      </c>
      <c r="F156" s="69" t="s">
        <v>4976</v>
      </c>
      <c r="K156" s="69" t="s">
        <v>3184</v>
      </c>
      <c r="L156" s="69" t="s">
        <v>3185</v>
      </c>
      <c r="M156" s="70">
        <v>1</v>
      </c>
      <c r="N156" s="70">
        <v>3000</v>
      </c>
      <c r="O156" s="70">
        <f t="shared" si="4"/>
        <v>2727</v>
      </c>
      <c r="P156" s="70">
        <f t="shared" si="5"/>
        <v>273</v>
      </c>
      <c r="Q156" s="70">
        <v>3000</v>
      </c>
      <c r="R156" t="s">
        <v>4977</v>
      </c>
    </row>
    <row r="157" spans="1:18" x14ac:dyDescent="0.4">
      <c r="A157" s="69" t="s">
        <v>4974</v>
      </c>
      <c r="B157" s="69" t="s">
        <v>4975</v>
      </c>
      <c r="D157" s="69">
        <v>5442100558</v>
      </c>
      <c r="F157" s="69" t="s">
        <v>4976</v>
      </c>
      <c r="K157" s="69" t="s">
        <v>3186</v>
      </c>
      <c r="L157" s="69" t="s">
        <v>3187</v>
      </c>
      <c r="M157" s="70">
        <v>4</v>
      </c>
      <c r="N157" s="70">
        <v>7700</v>
      </c>
      <c r="O157" s="70">
        <f t="shared" si="4"/>
        <v>28000</v>
      </c>
      <c r="P157" s="70">
        <f t="shared" si="5"/>
        <v>2800</v>
      </c>
      <c r="Q157" s="70">
        <v>7700</v>
      </c>
      <c r="R157" t="s">
        <v>4977</v>
      </c>
    </row>
    <row r="158" spans="1:18" x14ac:dyDescent="0.4">
      <c r="A158" s="69" t="s">
        <v>4974</v>
      </c>
      <c r="B158" s="69" t="s">
        <v>4975</v>
      </c>
      <c r="D158" s="69">
        <v>5442100558</v>
      </c>
      <c r="F158" s="69" t="s">
        <v>4976</v>
      </c>
      <c r="K158" s="69" t="s">
        <v>3188</v>
      </c>
      <c r="L158" s="69" t="s">
        <v>3189</v>
      </c>
      <c r="M158" s="70">
        <v>2</v>
      </c>
      <c r="N158" s="70">
        <v>10000</v>
      </c>
      <c r="O158" s="70">
        <f t="shared" si="4"/>
        <v>18182</v>
      </c>
      <c r="P158" s="70">
        <f t="shared" si="5"/>
        <v>1818</v>
      </c>
      <c r="Q158" s="70">
        <v>10000</v>
      </c>
      <c r="R158" t="s">
        <v>4977</v>
      </c>
    </row>
    <row r="159" spans="1:18" x14ac:dyDescent="0.4">
      <c r="A159" s="69" t="s">
        <v>4974</v>
      </c>
      <c r="B159" s="69" t="s">
        <v>4975</v>
      </c>
      <c r="D159" s="69">
        <v>5442100558</v>
      </c>
      <c r="F159" s="69" t="s">
        <v>4976</v>
      </c>
      <c r="K159" s="69" t="s">
        <v>3192</v>
      </c>
      <c r="L159" s="69" t="s">
        <v>3193</v>
      </c>
      <c r="M159" s="70">
        <v>1</v>
      </c>
      <c r="N159" s="70">
        <v>35000</v>
      </c>
      <c r="O159" s="70">
        <f t="shared" si="4"/>
        <v>31818</v>
      </c>
      <c r="P159" s="70">
        <f t="shared" si="5"/>
        <v>3182</v>
      </c>
      <c r="Q159" s="70">
        <v>35000</v>
      </c>
      <c r="R159" t="s">
        <v>4977</v>
      </c>
    </row>
    <row r="160" spans="1:18" x14ac:dyDescent="0.4">
      <c r="A160" s="69" t="s">
        <v>4974</v>
      </c>
      <c r="B160" s="69" t="s">
        <v>4975</v>
      </c>
      <c r="D160" s="69">
        <v>5442100558</v>
      </c>
      <c r="F160" s="69" t="s">
        <v>4976</v>
      </c>
      <c r="K160" s="69" t="s">
        <v>3194</v>
      </c>
      <c r="L160" s="69" t="s">
        <v>3195</v>
      </c>
      <c r="M160" s="70">
        <v>1</v>
      </c>
      <c r="N160" s="70">
        <v>1000</v>
      </c>
      <c r="O160" s="70">
        <f t="shared" si="4"/>
        <v>909</v>
      </c>
      <c r="P160" s="70">
        <f t="shared" si="5"/>
        <v>91</v>
      </c>
      <c r="Q160" s="70">
        <v>1000</v>
      </c>
      <c r="R160" t="s">
        <v>4977</v>
      </c>
    </row>
    <row r="161" spans="1:18" x14ac:dyDescent="0.4">
      <c r="A161" s="69" t="s">
        <v>4974</v>
      </c>
      <c r="B161" s="69" t="s">
        <v>4975</v>
      </c>
      <c r="D161" s="69">
        <v>5442100558</v>
      </c>
      <c r="F161" s="69" t="s">
        <v>4976</v>
      </c>
      <c r="K161" s="69" t="s">
        <v>3196</v>
      </c>
      <c r="L161" s="69" t="s">
        <v>3197</v>
      </c>
      <c r="M161" s="70">
        <v>1</v>
      </c>
      <c r="N161" s="70">
        <v>1000</v>
      </c>
      <c r="O161" s="70">
        <f t="shared" si="4"/>
        <v>909</v>
      </c>
      <c r="P161" s="70">
        <f t="shared" si="5"/>
        <v>91</v>
      </c>
      <c r="Q161" s="70">
        <v>1000</v>
      </c>
      <c r="R161" t="s">
        <v>4977</v>
      </c>
    </row>
    <row r="162" spans="1:18" x14ac:dyDescent="0.4">
      <c r="A162" s="69" t="s">
        <v>4974</v>
      </c>
      <c r="B162" s="69" t="s">
        <v>4975</v>
      </c>
      <c r="D162" s="69">
        <v>5442100558</v>
      </c>
      <c r="F162" s="69" t="s">
        <v>4976</v>
      </c>
      <c r="K162" s="69" t="s">
        <v>3198</v>
      </c>
      <c r="L162" s="69" t="s">
        <v>3199</v>
      </c>
      <c r="M162" s="70">
        <v>1</v>
      </c>
      <c r="N162" s="70">
        <v>1000</v>
      </c>
      <c r="O162" s="70">
        <f t="shared" si="4"/>
        <v>909</v>
      </c>
      <c r="P162" s="70">
        <f t="shared" si="5"/>
        <v>91</v>
      </c>
      <c r="Q162" s="70">
        <v>1000</v>
      </c>
      <c r="R162" t="s">
        <v>4977</v>
      </c>
    </row>
    <row r="163" spans="1:18" x14ac:dyDescent="0.4">
      <c r="A163" s="69" t="s">
        <v>4974</v>
      </c>
      <c r="B163" s="69" t="s">
        <v>4975</v>
      </c>
      <c r="D163" s="69">
        <v>5442100558</v>
      </c>
      <c r="F163" s="69" t="s">
        <v>4976</v>
      </c>
      <c r="K163" s="69" t="s">
        <v>3200</v>
      </c>
      <c r="L163" s="69" t="s">
        <v>3201</v>
      </c>
      <c r="M163" s="70">
        <v>1</v>
      </c>
      <c r="N163" s="70">
        <v>1000</v>
      </c>
      <c r="O163" s="70">
        <f t="shared" si="4"/>
        <v>909</v>
      </c>
      <c r="P163" s="70">
        <f t="shared" si="5"/>
        <v>91</v>
      </c>
      <c r="Q163" s="70">
        <v>1000</v>
      </c>
      <c r="R163" t="s">
        <v>4977</v>
      </c>
    </row>
    <row r="164" spans="1:18" x14ac:dyDescent="0.4">
      <c r="A164" s="69" t="s">
        <v>4974</v>
      </c>
      <c r="B164" s="69" t="s">
        <v>4975</v>
      </c>
      <c r="D164" s="69">
        <v>5442100558</v>
      </c>
      <c r="F164" s="69" t="s">
        <v>4976</v>
      </c>
      <c r="K164" s="69" t="s">
        <v>3202</v>
      </c>
      <c r="L164" s="69" t="s">
        <v>3203</v>
      </c>
      <c r="M164" s="70">
        <v>3</v>
      </c>
      <c r="N164" s="70">
        <v>1000</v>
      </c>
      <c r="O164" s="70">
        <f t="shared" si="4"/>
        <v>2727</v>
      </c>
      <c r="P164" s="70">
        <f t="shared" si="5"/>
        <v>273</v>
      </c>
      <c r="Q164" s="70">
        <v>1000</v>
      </c>
      <c r="R164" t="s">
        <v>4977</v>
      </c>
    </row>
    <row r="165" spans="1:18" x14ac:dyDescent="0.4">
      <c r="A165" s="69" t="s">
        <v>4974</v>
      </c>
      <c r="B165" s="69" t="s">
        <v>4975</v>
      </c>
      <c r="D165" s="69">
        <v>5442100558</v>
      </c>
      <c r="F165" s="69" t="s">
        <v>4976</v>
      </c>
      <c r="K165" s="69" t="s">
        <v>3204</v>
      </c>
      <c r="L165" s="69" t="s">
        <v>3205</v>
      </c>
      <c r="M165" s="70">
        <v>4</v>
      </c>
      <c r="N165" s="70">
        <v>1000</v>
      </c>
      <c r="O165" s="70">
        <f t="shared" si="4"/>
        <v>3636</v>
      </c>
      <c r="P165" s="70">
        <f t="shared" si="5"/>
        <v>364</v>
      </c>
      <c r="Q165" s="70">
        <v>1000</v>
      </c>
      <c r="R165" t="s">
        <v>4977</v>
      </c>
    </row>
    <row r="166" spans="1:18" x14ac:dyDescent="0.4">
      <c r="A166" s="69" t="s">
        <v>4974</v>
      </c>
      <c r="B166" s="69" t="s">
        <v>4975</v>
      </c>
      <c r="D166" s="69">
        <v>5442100558</v>
      </c>
      <c r="F166" s="69" t="s">
        <v>4976</v>
      </c>
      <c r="K166" s="69" t="s">
        <v>3206</v>
      </c>
      <c r="L166" s="69" t="s">
        <v>3207</v>
      </c>
      <c r="M166" s="70">
        <v>1</v>
      </c>
      <c r="N166" s="70">
        <v>1000</v>
      </c>
      <c r="O166" s="70">
        <f t="shared" si="4"/>
        <v>909</v>
      </c>
      <c r="P166" s="70">
        <f t="shared" si="5"/>
        <v>91</v>
      </c>
      <c r="Q166" s="70">
        <v>1000</v>
      </c>
      <c r="R166" t="s">
        <v>4977</v>
      </c>
    </row>
    <row r="167" spans="1:18" x14ac:dyDescent="0.4">
      <c r="A167" s="69" t="s">
        <v>4974</v>
      </c>
      <c r="B167" s="69" t="s">
        <v>4975</v>
      </c>
      <c r="D167" s="69">
        <v>5442100558</v>
      </c>
      <c r="F167" s="69" t="s">
        <v>4976</v>
      </c>
      <c r="K167" s="69" t="s">
        <v>3208</v>
      </c>
      <c r="L167" s="69" t="s">
        <v>3209</v>
      </c>
      <c r="M167" s="70">
        <v>1</v>
      </c>
      <c r="N167" s="70">
        <v>8000</v>
      </c>
      <c r="O167" s="70">
        <f t="shared" si="4"/>
        <v>7273</v>
      </c>
      <c r="P167" s="70">
        <f t="shared" si="5"/>
        <v>727</v>
      </c>
      <c r="Q167" s="70">
        <v>8000</v>
      </c>
      <c r="R167" t="s">
        <v>4977</v>
      </c>
    </row>
    <row r="168" spans="1:18" x14ac:dyDescent="0.4">
      <c r="A168" s="69" t="s">
        <v>4974</v>
      </c>
      <c r="B168" s="69" t="s">
        <v>4975</v>
      </c>
      <c r="D168" s="69">
        <v>5442100558</v>
      </c>
      <c r="F168" s="69" t="s">
        <v>4976</v>
      </c>
      <c r="K168" s="69" t="s">
        <v>3210</v>
      </c>
      <c r="L168" s="69" t="s">
        <v>3211</v>
      </c>
      <c r="M168" s="70">
        <v>1</v>
      </c>
      <c r="N168" s="70">
        <v>5500</v>
      </c>
      <c r="O168" s="70">
        <f t="shared" si="4"/>
        <v>5000</v>
      </c>
      <c r="P168" s="70">
        <f t="shared" si="5"/>
        <v>500</v>
      </c>
      <c r="Q168" s="70">
        <v>5500</v>
      </c>
      <c r="R168" t="s">
        <v>4977</v>
      </c>
    </row>
    <row r="169" spans="1:18" x14ac:dyDescent="0.4">
      <c r="A169" s="69" t="s">
        <v>4974</v>
      </c>
      <c r="B169" s="69" t="s">
        <v>4975</v>
      </c>
      <c r="D169" s="69">
        <v>5442100558</v>
      </c>
      <c r="F169" s="69" t="s">
        <v>4976</v>
      </c>
      <c r="K169" s="69" t="s">
        <v>3212</v>
      </c>
      <c r="L169" s="69" t="s">
        <v>3213</v>
      </c>
      <c r="M169" s="70">
        <v>1</v>
      </c>
      <c r="N169" s="70">
        <v>2500</v>
      </c>
      <c r="O169" s="70">
        <f t="shared" si="4"/>
        <v>2273</v>
      </c>
      <c r="P169" s="70">
        <f t="shared" si="5"/>
        <v>227</v>
      </c>
      <c r="Q169" s="70">
        <v>2500</v>
      </c>
      <c r="R169" t="s">
        <v>4977</v>
      </c>
    </row>
    <row r="170" spans="1:18" x14ac:dyDescent="0.4">
      <c r="A170" s="69" t="s">
        <v>4974</v>
      </c>
      <c r="B170" s="69" t="s">
        <v>4975</v>
      </c>
      <c r="D170" s="69">
        <v>5442100558</v>
      </c>
      <c r="F170" s="69" t="s">
        <v>4976</v>
      </c>
      <c r="K170" s="69" t="s">
        <v>3214</v>
      </c>
      <c r="L170" s="69" t="s">
        <v>3215</v>
      </c>
      <c r="M170" s="70">
        <v>1</v>
      </c>
      <c r="N170" s="70">
        <v>1000</v>
      </c>
      <c r="O170" s="70">
        <f t="shared" si="4"/>
        <v>909</v>
      </c>
      <c r="P170" s="70">
        <f t="shared" si="5"/>
        <v>91</v>
      </c>
      <c r="Q170" s="70">
        <v>1000</v>
      </c>
      <c r="R170" t="s">
        <v>4977</v>
      </c>
    </row>
    <row r="171" spans="1:18" x14ac:dyDescent="0.4">
      <c r="A171" s="69" t="s">
        <v>4974</v>
      </c>
      <c r="B171" s="69" t="s">
        <v>4975</v>
      </c>
      <c r="D171" s="69">
        <v>5442100558</v>
      </c>
      <c r="F171" s="69" t="s">
        <v>4976</v>
      </c>
      <c r="K171" s="69" t="s">
        <v>3216</v>
      </c>
      <c r="L171" s="69" t="s">
        <v>3217</v>
      </c>
      <c r="M171" s="70">
        <v>2</v>
      </c>
      <c r="N171" s="70">
        <v>2500</v>
      </c>
      <c r="O171" s="70">
        <f t="shared" si="4"/>
        <v>4545</v>
      </c>
      <c r="P171" s="70">
        <f t="shared" si="5"/>
        <v>455</v>
      </c>
      <c r="Q171" s="70">
        <v>2500</v>
      </c>
      <c r="R171" t="s">
        <v>4977</v>
      </c>
    </row>
    <row r="172" spans="1:18" x14ac:dyDescent="0.4">
      <c r="A172" s="69" t="s">
        <v>4974</v>
      </c>
      <c r="B172" s="69" t="s">
        <v>4975</v>
      </c>
      <c r="D172" s="69">
        <v>5442100558</v>
      </c>
      <c r="F172" s="69" t="s">
        <v>4976</v>
      </c>
      <c r="K172" s="69" t="s">
        <v>3218</v>
      </c>
      <c r="L172" s="69" t="s">
        <v>3219</v>
      </c>
      <c r="M172" s="70">
        <v>1</v>
      </c>
      <c r="N172" s="70">
        <v>32000</v>
      </c>
      <c r="O172" s="70">
        <f t="shared" si="4"/>
        <v>29091</v>
      </c>
      <c r="P172" s="70">
        <f t="shared" si="5"/>
        <v>2909</v>
      </c>
      <c r="Q172" s="70">
        <v>32000</v>
      </c>
      <c r="R172" t="s">
        <v>4977</v>
      </c>
    </row>
    <row r="173" spans="1:18" x14ac:dyDescent="0.4">
      <c r="A173" s="69" t="s">
        <v>4974</v>
      </c>
      <c r="B173" s="69" t="s">
        <v>4975</v>
      </c>
      <c r="D173" s="69">
        <v>5442100558</v>
      </c>
      <c r="F173" s="69" t="s">
        <v>4976</v>
      </c>
      <c r="K173" s="69" t="s">
        <v>3220</v>
      </c>
      <c r="L173" s="69" t="s">
        <v>3221</v>
      </c>
      <c r="M173" s="70">
        <v>1</v>
      </c>
      <c r="N173" s="70">
        <v>24000</v>
      </c>
      <c r="O173" s="70">
        <f t="shared" si="4"/>
        <v>21818</v>
      </c>
      <c r="P173" s="70">
        <f t="shared" si="5"/>
        <v>2182</v>
      </c>
      <c r="Q173" s="70">
        <v>24000</v>
      </c>
      <c r="R173" t="s">
        <v>4977</v>
      </c>
    </row>
    <row r="174" spans="1:18" x14ac:dyDescent="0.4">
      <c r="A174" s="69" t="s">
        <v>4974</v>
      </c>
      <c r="B174" s="69" t="s">
        <v>4975</v>
      </c>
      <c r="D174" s="69">
        <v>5442100558</v>
      </c>
      <c r="F174" s="69" t="s">
        <v>4976</v>
      </c>
      <c r="K174" s="69" t="s">
        <v>3222</v>
      </c>
      <c r="L174" s="69" t="s">
        <v>3223</v>
      </c>
      <c r="M174" s="70">
        <v>1</v>
      </c>
      <c r="N174" s="70">
        <v>9000</v>
      </c>
      <c r="O174" s="70">
        <f t="shared" si="4"/>
        <v>8182</v>
      </c>
      <c r="P174" s="70">
        <f t="shared" si="5"/>
        <v>818</v>
      </c>
      <c r="Q174" s="70">
        <v>9000</v>
      </c>
      <c r="R174" t="s">
        <v>4977</v>
      </c>
    </row>
    <row r="175" spans="1:18" x14ac:dyDescent="0.4">
      <c r="A175" s="69" t="s">
        <v>4974</v>
      </c>
      <c r="B175" s="69" t="s">
        <v>4975</v>
      </c>
      <c r="D175" s="69">
        <v>5442100558</v>
      </c>
      <c r="F175" s="69" t="s">
        <v>4976</v>
      </c>
      <c r="K175" s="69" t="s">
        <v>1355</v>
      </c>
      <c r="L175" s="69" t="s">
        <v>1356</v>
      </c>
      <c r="M175" s="70">
        <v>1</v>
      </c>
      <c r="N175" s="70">
        <v>8000</v>
      </c>
      <c r="O175" s="70">
        <f t="shared" si="4"/>
        <v>7273</v>
      </c>
      <c r="P175" s="70">
        <f t="shared" si="5"/>
        <v>727</v>
      </c>
      <c r="Q175" s="70">
        <v>8000</v>
      </c>
      <c r="R175" t="s">
        <v>4977</v>
      </c>
    </row>
    <row r="176" spans="1:18" x14ac:dyDescent="0.4">
      <c r="A176" s="69" t="s">
        <v>4974</v>
      </c>
      <c r="B176" s="69" t="s">
        <v>4975</v>
      </c>
      <c r="D176" s="69">
        <v>5442100558</v>
      </c>
      <c r="F176" s="69" t="s">
        <v>4976</v>
      </c>
      <c r="K176" s="69" t="s">
        <v>3224</v>
      </c>
      <c r="L176" s="69" t="s">
        <v>3225</v>
      </c>
      <c r="M176" s="70">
        <v>1</v>
      </c>
      <c r="N176" s="70">
        <v>14000</v>
      </c>
      <c r="O176" s="70">
        <f t="shared" si="4"/>
        <v>12727</v>
      </c>
      <c r="P176" s="70">
        <f t="shared" si="5"/>
        <v>1273</v>
      </c>
      <c r="Q176" s="70">
        <v>14000</v>
      </c>
      <c r="R176" t="s">
        <v>4977</v>
      </c>
    </row>
    <row r="177" spans="1:18" x14ac:dyDescent="0.4">
      <c r="A177" s="69" t="s">
        <v>4974</v>
      </c>
      <c r="B177" s="69" t="s">
        <v>4975</v>
      </c>
      <c r="D177" s="69">
        <v>5442100558</v>
      </c>
      <c r="F177" s="69" t="s">
        <v>4976</v>
      </c>
      <c r="K177" s="69" t="s">
        <v>3226</v>
      </c>
      <c r="L177" s="69" t="s">
        <v>3227</v>
      </c>
      <c r="M177" s="70">
        <v>1</v>
      </c>
      <c r="N177" s="70">
        <v>22000</v>
      </c>
      <c r="O177" s="70">
        <f t="shared" si="4"/>
        <v>20000</v>
      </c>
      <c r="P177" s="70">
        <f t="shared" si="5"/>
        <v>2000</v>
      </c>
      <c r="Q177" s="70">
        <v>22000</v>
      </c>
      <c r="R177" t="s">
        <v>4977</v>
      </c>
    </row>
    <row r="178" spans="1:18" x14ac:dyDescent="0.4">
      <c r="A178" s="69" t="s">
        <v>4974</v>
      </c>
      <c r="B178" s="69" t="s">
        <v>4975</v>
      </c>
      <c r="D178" s="69">
        <v>5442100558</v>
      </c>
      <c r="F178" s="69" t="s">
        <v>4976</v>
      </c>
      <c r="K178" s="69" t="s">
        <v>3232</v>
      </c>
      <c r="L178" s="69" t="s">
        <v>3233</v>
      </c>
      <c r="M178" s="70">
        <v>1</v>
      </c>
      <c r="N178" s="70">
        <v>12900</v>
      </c>
      <c r="O178" s="70">
        <f t="shared" si="4"/>
        <v>11727</v>
      </c>
      <c r="P178" s="70">
        <f t="shared" si="5"/>
        <v>1173</v>
      </c>
      <c r="Q178" s="70">
        <v>12900</v>
      </c>
      <c r="R178" t="s">
        <v>4977</v>
      </c>
    </row>
    <row r="179" spans="1:18" x14ac:dyDescent="0.4">
      <c r="A179" s="69" t="s">
        <v>4974</v>
      </c>
      <c r="B179" s="69" t="s">
        <v>4975</v>
      </c>
      <c r="D179" s="69">
        <v>5442100558</v>
      </c>
      <c r="F179" s="69" t="s">
        <v>4976</v>
      </c>
      <c r="K179" s="69" t="s">
        <v>3236</v>
      </c>
      <c r="L179" s="69" t="s">
        <v>3237</v>
      </c>
      <c r="M179" s="70">
        <v>1</v>
      </c>
      <c r="N179" s="70">
        <v>4000</v>
      </c>
      <c r="O179" s="70">
        <f t="shared" si="4"/>
        <v>3636</v>
      </c>
      <c r="P179" s="70">
        <f t="shared" si="5"/>
        <v>364</v>
      </c>
      <c r="Q179" s="70">
        <v>4000</v>
      </c>
      <c r="R179" t="s">
        <v>4977</v>
      </c>
    </row>
    <row r="180" spans="1:18" x14ac:dyDescent="0.4">
      <c r="A180" s="69" t="s">
        <v>4974</v>
      </c>
      <c r="B180" s="69" t="s">
        <v>4975</v>
      </c>
      <c r="D180" s="69">
        <v>5442100558</v>
      </c>
      <c r="F180" s="69" t="s">
        <v>4976</v>
      </c>
      <c r="K180" s="69" t="s">
        <v>510</v>
      </c>
      <c r="L180" s="69" t="s">
        <v>511</v>
      </c>
      <c r="M180" s="70">
        <v>1</v>
      </c>
      <c r="N180" s="70">
        <v>6000</v>
      </c>
      <c r="O180" s="70">
        <f t="shared" si="4"/>
        <v>5455</v>
      </c>
      <c r="P180" s="70">
        <f t="shared" si="5"/>
        <v>545</v>
      </c>
      <c r="Q180" s="70">
        <v>6000</v>
      </c>
      <c r="R180" t="s">
        <v>4977</v>
      </c>
    </row>
    <row r="181" spans="1:18" x14ac:dyDescent="0.4">
      <c r="A181" s="69" t="s">
        <v>4974</v>
      </c>
      <c r="B181" s="69" t="s">
        <v>4975</v>
      </c>
      <c r="D181" s="69">
        <v>5968100290</v>
      </c>
      <c r="F181" s="69" t="s">
        <v>4976</v>
      </c>
      <c r="K181" s="69" t="s">
        <v>2975</v>
      </c>
      <c r="L181" s="69" t="s">
        <v>2976</v>
      </c>
      <c r="M181" s="70">
        <v>15</v>
      </c>
      <c r="N181" s="70">
        <v>3000</v>
      </c>
      <c r="O181" s="70">
        <f t="shared" si="4"/>
        <v>40909</v>
      </c>
      <c r="P181" s="70">
        <f t="shared" si="5"/>
        <v>4091</v>
      </c>
      <c r="Q181" s="70">
        <v>3000</v>
      </c>
      <c r="R181" t="s">
        <v>4977</v>
      </c>
    </row>
    <row r="182" spans="1:18" x14ac:dyDescent="0.4">
      <c r="A182" s="69" t="s">
        <v>4974</v>
      </c>
      <c r="B182" s="69" t="s">
        <v>4975</v>
      </c>
      <c r="D182" s="69">
        <v>5968100290</v>
      </c>
      <c r="F182" s="69" t="s">
        <v>4976</v>
      </c>
      <c r="K182" s="69" t="s">
        <v>2993</v>
      </c>
      <c r="L182" s="69" t="s">
        <v>2994</v>
      </c>
      <c r="M182" s="70">
        <v>3</v>
      </c>
      <c r="N182" s="70">
        <v>16000</v>
      </c>
      <c r="O182" s="70">
        <f t="shared" si="4"/>
        <v>43636</v>
      </c>
      <c r="P182" s="70">
        <f t="shared" si="5"/>
        <v>4364</v>
      </c>
      <c r="Q182" s="70">
        <v>16000</v>
      </c>
      <c r="R182" t="s">
        <v>4977</v>
      </c>
    </row>
    <row r="183" spans="1:18" x14ac:dyDescent="0.4">
      <c r="A183" s="69" t="s">
        <v>4974</v>
      </c>
      <c r="B183" s="69" t="s">
        <v>4975</v>
      </c>
      <c r="D183" s="69">
        <v>5968100290</v>
      </c>
      <c r="F183" s="69" t="s">
        <v>4976</v>
      </c>
      <c r="K183" s="69" t="s">
        <v>2995</v>
      </c>
      <c r="L183" s="69" t="s">
        <v>2996</v>
      </c>
      <c r="M183" s="70">
        <v>3</v>
      </c>
      <c r="N183" s="70">
        <v>19800</v>
      </c>
      <c r="O183" s="70">
        <f t="shared" si="4"/>
        <v>54000</v>
      </c>
      <c r="P183" s="70">
        <f t="shared" si="5"/>
        <v>5400</v>
      </c>
      <c r="Q183" s="70">
        <v>19800</v>
      </c>
      <c r="R183" t="s">
        <v>4977</v>
      </c>
    </row>
    <row r="184" spans="1:18" x14ac:dyDescent="0.4">
      <c r="A184" s="69" t="s">
        <v>4974</v>
      </c>
      <c r="B184" s="69" t="s">
        <v>4975</v>
      </c>
      <c r="D184" s="69">
        <v>5968100290</v>
      </c>
      <c r="F184" s="69" t="s">
        <v>4976</v>
      </c>
      <c r="K184" s="69" t="s">
        <v>2997</v>
      </c>
      <c r="L184" s="69" t="s">
        <v>2998</v>
      </c>
      <c r="M184" s="70">
        <v>3</v>
      </c>
      <c r="N184" s="70">
        <v>14000</v>
      </c>
      <c r="O184" s="70">
        <f t="shared" si="4"/>
        <v>38182</v>
      </c>
      <c r="P184" s="70">
        <f t="shared" si="5"/>
        <v>3818</v>
      </c>
      <c r="Q184" s="70">
        <v>14000</v>
      </c>
      <c r="R184" t="s">
        <v>4977</v>
      </c>
    </row>
    <row r="185" spans="1:18" x14ac:dyDescent="0.4">
      <c r="A185" s="69" t="s">
        <v>4974</v>
      </c>
      <c r="B185" s="69" t="s">
        <v>4975</v>
      </c>
      <c r="D185" s="69">
        <v>5968100290</v>
      </c>
      <c r="F185" s="69" t="s">
        <v>4976</v>
      </c>
      <c r="K185" s="69" t="s">
        <v>2999</v>
      </c>
      <c r="L185" s="69" t="s">
        <v>3000</v>
      </c>
      <c r="M185" s="70">
        <v>3</v>
      </c>
      <c r="N185" s="70">
        <v>32000</v>
      </c>
      <c r="O185" s="70">
        <f t="shared" si="4"/>
        <v>87273</v>
      </c>
      <c r="P185" s="70">
        <f t="shared" si="5"/>
        <v>8727</v>
      </c>
      <c r="Q185" s="70">
        <v>32000</v>
      </c>
      <c r="R185" t="s">
        <v>4977</v>
      </c>
    </row>
    <row r="186" spans="1:18" x14ac:dyDescent="0.4">
      <c r="A186" s="69" t="s">
        <v>4974</v>
      </c>
      <c r="B186" s="69" t="s">
        <v>4975</v>
      </c>
      <c r="D186" s="69">
        <v>7556700059</v>
      </c>
      <c r="F186" s="69" t="s">
        <v>4976</v>
      </c>
      <c r="K186" s="69" t="s">
        <v>3023</v>
      </c>
      <c r="L186" s="69" t="s">
        <v>3024</v>
      </c>
      <c r="M186" s="70">
        <v>1</v>
      </c>
      <c r="N186" s="70">
        <v>18000</v>
      </c>
      <c r="O186" s="70">
        <f t="shared" si="4"/>
        <v>16364</v>
      </c>
      <c r="P186" s="70">
        <f t="shared" si="5"/>
        <v>1636</v>
      </c>
      <c r="Q186" s="70">
        <v>18000</v>
      </c>
      <c r="R186" t="s">
        <v>4977</v>
      </c>
    </row>
    <row r="187" spans="1:18" x14ac:dyDescent="0.4">
      <c r="A187" s="69" t="s">
        <v>4974</v>
      </c>
      <c r="B187" s="69" t="s">
        <v>4975</v>
      </c>
      <c r="D187" s="69">
        <v>7556700059</v>
      </c>
      <c r="F187" s="69" t="s">
        <v>4976</v>
      </c>
      <c r="K187" s="69" t="s">
        <v>3027</v>
      </c>
      <c r="L187" s="69" t="s">
        <v>3028</v>
      </c>
      <c r="M187" s="70">
        <v>1</v>
      </c>
      <c r="N187" s="70">
        <v>7000</v>
      </c>
      <c r="O187" s="70">
        <f t="shared" si="4"/>
        <v>6364</v>
      </c>
      <c r="P187" s="70">
        <f t="shared" si="5"/>
        <v>636</v>
      </c>
      <c r="Q187" s="70">
        <v>7000</v>
      </c>
      <c r="R187" t="s">
        <v>4977</v>
      </c>
    </row>
    <row r="188" spans="1:18" x14ac:dyDescent="0.4">
      <c r="A188" s="69" t="s">
        <v>4974</v>
      </c>
      <c r="B188" s="69" t="s">
        <v>4975</v>
      </c>
      <c r="D188" s="69">
        <v>7556700059</v>
      </c>
      <c r="F188" s="69" t="s">
        <v>4976</v>
      </c>
      <c r="K188" s="69" t="s">
        <v>3029</v>
      </c>
      <c r="L188" s="69" t="s">
        <v>3030</v>
      </c>
      <c r="M188" s="70">
        <v>1</v>
      </c>
      <c r="N188" s="70">
        <v>8000</v>
      </c>
      <c r="O188" s="70">
        <f t="shared" si="4"/>
        <v>7273</v>
      </c>
      <c r="P188" s="70">
        <f t="shared" si="5"/>
        <v>727</v>
      </c>
      <c r="Q188" s="70">
        <v>8000</v>
      </c>
      <c r="R188" t="s">
        <v>4977</v>
      </c>
    </row>
    <row r="189" spans="1:18" x14ac:dyDescent="0.4">
      <c r="A189" s="69" t="s">
        <v>4974</v>
      </c>
      <c r="B189" s="69" t="s">
        <v>4975</v>
      </c>
      <c r="D189" s="69">
        <v>7556700059</v>
      </c>
      <c r="F189" s="69" t="s">
        <v>4976</v>
      </c>
      <c r="K189" s="69" t="s">
        <v>3031</v>
      </c>
      <c r="L189" s="69" t="s">
        <v>3032</v>
      </c>
      <c r="M189" s="70">
        <v>1</v>
      </c>
      <c r="N189" s="70">
        <v>14000</v>
      </c>
      <c r="O189" s="70">
        <f t="shared" si="4"/>
        <v>12727</v>
      </c>
      <c r="P189" s="70">
        <f t="shared" si="5"/>
        <v>1273</v>
      </c>
      <c r="Q189" s="70">
        <v>14000</v>
      </c>
      <c r="R189" t="s">
        <v>4977</v>
      </c>
    </row>
    <row r="190" spans="1:18" x14ac:dyDescent="0.4">
      <c r="A190" s="69" t="s">
        <v>4974</v>
      </c>
      <c r="B190" s="69" t="s">
        <v>4975</v>
      </c>
      <c r="D190" s="69">
        <v>7556700059</v>
      </c>
      <c r="F190" s="69" t="s">
        <v>4976</v>
      </c>
      <c r="K190" s="69" t="s">
        <v>3033</v>
      </c>
      <c r="L190" s="69" t="s">
        <v>3034</v>
      </c>
      <c r="M190" s="70">
        <v>1</v>
      </c>
      <c r="N190" s="70">
        <v>8000</v>
      </c>
      <c r="O190" s="70">
        <f t="shared" si="4"/>
        <v>7273</v>
      </c>
      <c r="P190" s="70">
        <f t="shared" si="5"/>
        <v>727</v>
      </c>
      <c r="Q190" s="70">
        <v>8000</v>
      </c>
      <c r="R190" t="s">
        <v>4977</v>
      </c>
    </row>
    <row r="191" spans="1:18" x14ac:dyDescent="0.4">
      <c r="A191" s="69" t="s">
        <v>4974</v>
      </c>
      <c r="B191" s="69" t="s">
        <v>4975</v>
      </c>
      <c r="D191" s="69">
        <v>7556700059</v>
      </c>
      <c r="F191" s="69" t="s">
        <v>4976</v>
      </c>
      <c r="K191" s="69" t="s">
        <v>3037</v>
      </c>
      <c r="L191" s="69" t="s">
        <v>3038</v>
      </c>
      <c r="M191" s="70">
        <v>1</v>
      </c>
      <c r="N191" s="70">
        <v>3500</v>
      </c>
      <c r="O191" s="70">
        <f t="shared" si="4"/>
        <v>3182</v>
      </c>
      <c r="P191" s="70">
        <f t="shared" si="5"/>
        <v>318</v>
      </c>
      <c r="Q191" s="70">
        <v>3500</v>
      </c>
      <c r="R191" t="s">
        <v>4977</v>
      </c>
    </row>
    <row r="192" spans="1:18" x14ac:dyDescent="0.4">
      <c r="A192" s="69" t="s">
        <v>4974</v>
      </c>
      <c r="B192" s="69" t="s">
        <v>4975</v>
      </c>
      <c r="D192" s="69">
        <v>7556700059</v>
      </c>
      <c r="F192" s="69" t="s">
        <v>4976</v>
      </c>
      <c r="K192" s="69" t="s">
        <v>3039</v>
      </c>
      <c r="L192" s="69" t="s">
        <v>3040</v>
      </c>
      <c r="M192" s="70">
        <v>3</v>
      </c>
      <c r="N192" s="70">
        <v>3500</v>
      </c>
      <c r="O192" s="70">
        <f t="shared" si="4"/>
        <v>9545</v>
      </c>
      <c r="P192" s="70">
        <f t="shared" si="5"/>
        <v>955</v>
      </c>
      <c r="Q192" s="70">
        <v>3500</v>
      </c>
      <c r="R192" t="s">
        <v>4977</v>
      </c>
    </row>
    <row r="193" spans="1:18" x14ac:dyDescent="0.4">
      <c r="A193" s="69" t="s">
        <v>4974</v>
      </c>
      <c r="B193" s="69" t="s">
        <v>4975</v>
      </c>
      <c r="D193" s="69">
        <v>7556700059</v>
      </c>
      <c r="F193" s="69" t="s">
        <v>4976</v>
      </c>
      <c r="K193" s="69" t="s">
        <v>3041</v>
      </c>
      <c r="L193" s="69" t="s">
        <v>3042</v>
      </c>
      <c r="M193" s="70">
        <v>1</v>
      </c>
      <c r="N193" s="70">
        <v>3500</v>
      </c>
      <c r="O193" s="70">
        <f t="shared" si="4"/>
        <v>3182</v>
      </c>
      <c r="P193" s="70">
        <f t="shared" si="5"/>
        <v>318</v>
      </c>
      <c r="Q193" s="70">
        <v>3500</v>
      </c>
      <c r="R193" t="s">
        <v>4977</v>
      </c>
    </row>
    <row r="194" spans="1:18" x14ac:dyDescent="0.4">
      <c r="A194" s="69" t="s">
        <v>4974</v>
      </c>
      <c r="B194" s="69" t="s">
        <v>4975</v>
      </c>
      <c r="D194" s="69">
        <v>7556700059</v>
      </c>
      <c r="F194" s="69" t="s">
        <v>4976</v>
      </c>
      <c r="K194" s="69" t="s">
        <v>3043</v>
      </c>
      <c r="L194" s="69" t="s">
        <v>3044</v>
      </c>
      <c r="M194" s="70">
        <v>10</v>
      </c>
      <c r="N194" s="70">
        <v>6000</v>
      </c>
      <c r="O194" s="70">
        <f t="shared" si="4"/>
        <v>54545</v>
      </c>
      <c r="P194" s="70">
        <f t="shared" si="5"/>
        <v>5455</v>
      </c>
      <c r="Q194" s="70">
        <v>6000</v>
      </c>
      <c r="R194" t="s">
        <v>4977</v>
      </c>
    </row>
    <row r="195" spans="1:18" x14ac:dyDescent="0.4">
      <c r="A195" s="69" t="s">
        <v>4974</v>
      </c>
      <c r="B195" s="69" t="s">
        <v>4975</v>
      </c>
      <c r="D195" s="69">
        <v>7556700059</v>
      </c>
      <c r="F195" s="69" t="s">
        <v>4976</v>
      </c>
      <c r="K195" s="69" t="s">
        <v>3045</v>
      </c>
      <c r="L195" s="69" t="s">
        <v>3046</v>
      </c>
      <c r="M195" s="70">
        <v>1</v>
      </c>
      <c r="N195" s="70">
        <v>8000</v>
      </c>
      <c r="O195" s="70">
        <f t="shared" ref="O195:O223" si="6">ROUND((M195*N195)-P195,0)</f>
        <v>7273</v>
      </c>
      <c r="P195" s="70">
        <f t="shared" ref="P195:P223" si="7">ROUND(M195*N195/1.1*0.1,0)</f>
        <v>727</v>
      </c>
      <c r="Q195" s="70">
        <v>8000</v>
      </c>
      <c r="R195" t="s">
        <v>4977</v>
      </c>
    </row>
    <row r="196" spans="1:18" x14ac:dyDescent="0.4">
      <c r="A196" s="69" t="s">
        <v>4974</v>
      </c>
      <c r="B196" s="69" t="s">
        <v>4975</v>
      </c>
      <c r="D196" s="69">
        <v>7556700059</v>
      </c>
      <c r="F196" s="69" t="s">
        <v>4976</v>
      </c>
      <c r="K196" s="69" t="s">
        <v>3047</v>
      </c>
      <c r="L196" s="69" t="s">
        <v>3048</v>
      </c>
      <c r="M196" s="70">
        <v>1</v>
      </c>
      <c r="N196" s="70">
        <v>12000</v>
      </c>
      <c r="O196" s="70">
        <f t="shared" si="6"/>
        <v>10909</v>
      </c>
      <c r="P196" s="70">
        <f t="shared" si="7"/>
        <v>1091</v>
      </c>
      <c r="Q196" s="70">
        <v>12000</v>
      </c>
      <c r="R196" t="s">
        <v>4977</v>
      </c>
    </row>
    <row r="197" spans="1:18" x14ac:dyDescent="0.4">
      <c r="A197" s="69" t="s">
        <v>4974</v>
      </c>
      <c r="B197" s="69" t="s">
        <v>4975</v>
      </c>
      <c r="D197" s="69">
        <v>7556700059</v>
      </c>
      <c r="F197" s="69" t="s">
        <v>4976</v>
      </c>
      <c r="K197" s="69" t="s">
        <v>3049</v>
      </c>
      <c r="L197" s="69" t="s">
        <v>3050</v>
      </c>
      <c r="M197" s="70">
        <v>3</v>
      </c>
      <c r="N197" s="70">
        <v>22000</v>
      </c>
      <c r="O197" s="70">
        <f t="shared" si="6"/>
        <v>60000</v>
      </c>
      <c r="P197" s="70">
        <f t="shared" si="7"/>
        <v>6000</v>
      </c>
      <c r="Q197" s="70">
        <v>22000</v>
      </c>
      <c r="R197" t="s">
        <v>4977</v>
      </c>
    </row>
    <row r="198" spans="1:18" x14ac:dyDescent="0.4">
      <c r="A198" s="69" t="s">
        <v>4974</v>
      </c>
      <c r="B198" s="69" t="s">
        <v>4975</v>
      </c>
      <c r="D198" s="69">
        <v>7556700059</v>
      </c>
      <c r="F198" s="69" t="s">
        <v>4976</v>
      </c>
      <c r="K198" s="69" t="s">
        <v>3051</v>
      </c>
      <c r="L198" s="69" t="s">
        <v>3052</v>
      </c>
      <c r="M198" s="70">
        <v>1</v>
      </c>
      <c r="N198" s="70">
        <v>3000</v>
      </c>
      <c r="O198" s="70">
        <f t="shared" si="6"/>
        <v>2727</v>
      </c>
      <c r="P198" s="70">
        <f t="shared" si="7"/>
        <v>273</v>
      </c>
      <c r="Q198" s="70">
        <v>3000</v>
      </c>
      <c r="R198" t="s">
        <v>4977</v>
      </c>
    </row>
    <row r="199" spans="1:18" x14ac:dyDescent="0.4">
      <c r="A199" s="69" t="s">
        <v>4974</v>
      </c>
      <c r="B199" s="69" t="s">
        <v>4975</v>
      </c>
      <c r="D199" s="69">
        <v>7556700059</v>
      </c>
      <c r="F199" s="69" t="s">
        <v>4976</v>
      </c>
      <c r="K199" s="69" t="s">
        <v>3053</v>
      </c>
      <c r="L199" s="69" t="s">
        <v>3054</v>
      </c>
      <c r="M199" s="70">
        <v>1</v>
      </c>
      <c r="N199" s="70">
        <v>5000</v>
      </c>
      <c r="O199" s="70">
        <f t="shared" si="6"/>
        <v>4545</v>
      </c>
      <c r="P199" s="70">
        <f t="shared" si="7"/>
        <v>455</v>
      </c>
      <c r="Q199" s="70">
        <v>5000</v>
      </c>
      <c r="R199" t="s">
        <v>4977</v>
      </c>
    </row>
    <row r="200" spans="1:18" x14ac:dyDescent="0.4">
      <c r="A200" s="69" t="s">
        <v>4974</v>
      </c>
      <c r="B200" s="69" t="s">
        <v>4975</v>
      </c>
      <c r="D200" s="69">
        <v>7556700059</v>
      </c>
      <c r="F200" s="69" t="s">
        <v>4976</v>
      </c>
      <c r="K200" s="69" t="s">
        <v>3055</v>
      </c>
      <c r="L200" s="69" t="s">
        <v>3056</v>
      </c>
      <c r="M200" s="70">
        <v>1</v>
      </c>
      <c r="N200" s="70">
        <v>3000</v>
      </c>
      <c r="O200" s="70">
        <f t="shared" si="6"/>
        <v>2727</v>
      </c>
      <c r="P200" s="70">
        <f t="shared" si="7"/>
        <v>273</v>
      </c>
      <c r="Q200" s="70">
        <v>3000</v>
      </c>
      <c r="R200" t="s">
        <v>4977</v>
      </c>
    </row>
    <row r="201" spans="1:18" x14ac:dyDescent="0.4">
      <c r="A201" s="69" t="s">
        <v>4974</v>
      </c>
      <c r="B201" s="69" t="s">
        <v>4975</v>
      </c>
      <c r="D201" s="69">
        <v>7556700059</v>
      </c>
      <c r="F201" s="69" t="s">
        <v>4976</v>
      </c>
      <c r="K201" s="69" t="s">
        <v>3057</v>
      </c>
      <c r="L201" s="69" t="s">
        <v>3058</v>
      </c>
      <c r="M201" s="70">
        <v>3</v>
      </c>
      <c r="N201" s="70">
        <v>1700</v>
      </c>
      <c r="O201" s="70">
        <f t="shared" si="6"/>
        <v>4636</v>
      </c>
      <c r="P201" s="70">
        <f t="shared" si="7"/>
        <v>464</v>
      </c>
      <c r="Q201" s="70">
        <v>1700</v>
      </c>
      <c r="R201" t="s">
        <v>4977</v>
      </c>
    </row>
    <row r="202" spans="1:18" x14ac:dyDescent="0.4">
      <c r="A202" s="69" t="s">
        <v>4974</v>
      </c>
      <c r="B202" s="69" t="s">
        <v>4975</v>
      </c>
      <c r="D202" s="69">
        <v>7556700059</v>
      </c>
      <c r="F202" s="69" t="s">
        <v>4976</v>
      </c>
      <c r="K202" s="69" t="s">
        <v>3059</v>
      </c>
      <c r="L202" s="69" t="s">
        <v>3060</v>
      </c>
      <c r="M202" s="70">
        <v>2</v>
      </c>
      <c r="N202" s="70">
        <v>2000</v>
      </c>
      <c r="O202" s="70">
        <f t="shared" si="6"/>
        <v>3636</v>
      </c>
      <c r="P202" s="70">
        <f t="shared" si="7"/>
        <v>364</v>
      </c>
      <c r="Q202" s="70">
        <v>2000</v>
      </c>
      <c r="R202" t="s">
        <v>4977</v>
      </c>
    </row>
    <row r="203" spans="1:18" x14ac:dyDescent="0.4">
      <c r="A203" s="69" t="s">
        <v>4974</v>
      </c>
      <c r="B203" s="69" t="s">
        <v>4975</v>
      </c>
      <c r="D203" s="69">
        <v>7556700059</v>
      </c>
      <c r="F203" s="69" t="s">
        <v>4976</v>
      </c>
      <c r="K203" s="69" t="s">
        <v>3061</v>
      </c>
      <c r="L203" s="69" t="s">
        <v>3062</v>
      </c>
      <c r="M203" s="70">
        <v>1</v>
      </c>
      <c r="N203" s="70">
        <v>3500</v>
      </c>
      <c r="O203" s="70">
        <f t="shared" si="6"/>
        <v>3182</v>
      </c>
      <c r="P203" s="70">
        <f t="shared" si="7"/>
        <v>318</v>
      </c>
      <c r="Q203" s="70">
        <v>3500</v>
      </c>
      <c r="R203" t="s">
        <v>4977</v>
      </c>
    </row>
    <row r="204" spans="1:18" x14ac:dyDescent="0.4">
      <c r="A204" s="69" t="s">
        <v>4974</v>
      </c>
      <c r="B204" s="69" t="s">
        <v>4975</v>
      </c>
      <c r="D204" s="69">
        <v>7556700059</v>
      </c>
      <c r="F204" s="69" t="s">
        <v>4976</v>
      </c>
      <c r="K204" s="69" t="s">
        <v>3065</v>
      </c>
      <c r="L204" s="69" t="s">
        <v>3066</v>
      </c>
      <c r="M204" s="70">
        <v>3</v>
      </c>
      <c r="N204" s="70">
        <v>1000</v>
      </c>
      <c r="O204" s="70">
        <f t="shared" si="6"/>
        <v>2727</v>
      </c>
      <c r="P204" s="70">
        <f t="shared" si="7"/>
        <v>273</v>
      </c>
      <c r="Q204" s="70">
        <v>1000</v>
      </c>
      <c r="R204" t="s">
        <v>4977</v>
      </c>
    </row>
    <row r="205" spans="1:18" x14ac:dyDescent="0.4">
      <c r="A205" s="69" t="s">
        <v>4974</v>
      </c>
      <c r="B205" s="69" t="s">
        <v>4975</v>
      </c>
      <c r="D205" s="69">
        <v>7556700059</v>
      </c>
      <c r="F205" s="69" t="s">
        <v>4976</v>
      </c>
      <c r="K205" s="69" t="s">
        <v>3067</v>
      </c>
      <c r="L205" s="69" t="s">
        <v>3068</v>
      </c>
      <c r="M205" s="70">
        <v>3</v>
      </c>
      <c r="N205" s="70">
        <v>4000</v>
      </c>
      <c r="O205" s="70">
        <f t="shared" si="6"/>
        <v>10909</v>
      </c>
      <c r="P205" s="70">
        <f t="shared" si="7"/>
        <v>1091</v>
      </c>
      <c r="Q205" s="70">
        <v>4000</v>
      </c>
      <c r="R205" t="s">
        <v>4977</v>
      </c>
    </row>
    <row r="206" spans="1:18" x14ac:dyDescent="0.4">
      <c r="A206" s="69" t="s">
        <v>4974</v>
      </c>
      <c r="B206" s="69" t="s">
        <v>4975</v>
      </c>
      <c r="D206" s="69">
        <v>7556700059</v>
      </c>
      <c r="F206" s="69" t="s">
        <v>4976</v>
      </c>
      <c r="K206" s="69" t="s">
        <v>3071</v>
      </c>
      <c r="L206" s="69" t="s">
        <v>3072</v>
      </c>
      <c r="M206" s="70">
        <v>1</v>
      </c>
      <c r="N206" s="70">
        <v>4500</v>
      </c>
      <c r="O206" s="70">
        <f t="shared" si="6"/>
        <v>4091</v>
      </c>
      <c r="P206" s="70">
        <f t="shared" si="7"/>
        <v>409</v>
      </c>
      <c r="Q206" s="70">
        <v>4500</v>
      </c>
      <c r="R206" t="s">
        <v>4977</v>
      </c>
    </row>
    <row r="207" spans="1:18" x14ac:dyDescent="0.4">
      <c r="A207" s="69" t="s">
        <v>4974</v>
      </c>
      <c r="B207" s="69" t="s">
        <v>4975</v>
      </c>
      <c r="D207" s="69">
        <v>7556700059</v>
      </c>
      <c r="F207" s="69" t="s">
        <v>4976</v>
      </c>
      <c r="K207" s="69" t="s">
        <v>3073</v>
      </c>
      <c r="L207" s="69" t="s">
        <v>3074</v>
      </c>
      <c r="M207" s="70">
        <v>1</v>
      </c>
      <c r="N207" s="70">
        <v>8000</v>
      </c>
      <c r="O207" s="70">
        <f t="shared" si="6"/>
        <v>7273</v>
      </c>
      <c r="P207" s="70">
        <f t="shared" si="7"/>
        <v>727</v>
      </c>
      <c r="Q207" s="70">
        <v>8000</v>
      </c>
      <c r="R207" t="s">
        <v>4977</v>
      </c>
    </row>
    <row r="208" spans="1:18" x14ac:dyDescent="0.4">
      <c r="A208" s="69" t="s">
        <v>4974</v>
      </c>
      <c r="B208" s="69" t="s">
        <v>4975</v>
      </c>
      <c r="D208" s="69">
        <v>7556700059</v>
      </c>
      <c r="F208" s="69" t="s">
        <v>4976</v>
      </c>
      <c r="K208" s="69" t="s">
        <v>3075</v>
      </c>
      <c r="L208" s="69" t="s">
        <v>3076</v>
      </c>
      <c r="M208" s="70">
        <v>1</v>
      </c>
      <c r="N208" s="70">
        <v>8000</v>
      </c>
      <c r="O208" s="70">
        <f t="shared" si="6"/>
        <v>7273</v>
      </c>
      <c r="P208" s="70">
        <f t="shared" si="7"/>
        <v>727</v>
      </c>
      <c r="Q208" s="70">
        <v>8000</v>
      </c>
      <c r="R208" t="s">
        <v>4977</v>
      </c>
    </row>
    <row r="209" spans="1:18" x14ac:dyDescent="0.4">
      <c r="A209" s="69" t="s">
        <v>4974</v>
      </c>
      <c r="B209" s="69" t="s">
        <v>4975</v>
      </c>
      <c r="D209" s="69">
        <v>7556700059</v>
      </c>
      <c r="F209" s="69" t="s">
        <v>4976</v>
      </c>
      <c r="K209" s="69" t="s">
        <v>3077</v>
      </c>
      <c r="L209" s="69" t="s">
        <v>3078</v>
      </c>
      <c r="M209" s="70">
        <v>1</v>
      </c>
      <c r="N209" s="70">
        <v>8000</v>
      </c>
      <c r="O209" s="70">
        <f t="shared" si="6"/>
        <v>7273</v>
      </c>
      <c r="P209" s="70">
        <f t="shared" si="7"/>
        <v>727</v>
      </c>
      <c r="Q209" s="70">
        <v>8000</v>
      </c>
      <c r="R209" t="s">
        <v>4977</v>
      </c>
    </row>
    <row r="210" spans="1:18" x14ac:dyDescent="0.4">
      <c r="A210" s="69" t="s">
        <v>4974</v>
      </c>
      <c r="B210" s="69" t="s">
        <v>4975</v>
      </c>
      <c r="D210" s="69">
        <v>7556700059</v>
      </c>
      <c r="F210" s="69" t="s">
        <v>4976</v>
      </c>
      <c r="K210" s="69" t="s">
        <v>3079</v>
      </c>
      <c r="L210" s="69" t="s">
        <v>3080</v>
      </c>
      <c r="M210" s="70">
        <v>1</v>
      </c>
      <c r="N210" s="70">
        <v>6000</v>
      </c>
      <c r="O210" s="70">
        <f t="shared" si="6"/>
        <v>5455</v>
      </c>
      <c r="P210" s="70">
        <f t="shared" si="7"/>
        <v>545</v>
      </c>
      <c r="Q210" s="70">
        <v>6000</v>
      </c>
      <c r="R210" t="s">
        <v>4977</v>
      </c>
    </row>
    <row r="211" spans="1:18" x14ac:dyDescent="0.4">
      <c r="A211" s="69" t="s">
        <v>4974</v>
      </c>
      <c r="B211" s="69" t="s">
        <v>4975</v>
      </c>
      <c r="D211" s="69">
        <v>7556700059</v>
      </c>
      <c r="F211" s="69" t="s">
        <v>4976</v>
      </c>
      <c r="K211" s="69" t="s">
        <v>3081</v>
      </c>
      <c r="L211" s="69" t="s">
        <v>3082</v>
      </c>
      <c r="M211" s="70">
        <v>1</v>
      </c>
      <c r="N211" s="70">
        <v>7500</v>
      </c>
      <c r="O211" s="70">
        <f t="shared" si="6"/>
        <v>6818</v>
      </c>
      <c r="P211" s="70">
        <f t="shared" si="7"/>
        <v>682</v>
      </c>
      <c r="Q211" s="70">
        <v>7500</v>
      </c>
      <c r="R211" t="s">
        <v>4977</v>
      </c>
    </row>
    <row r="212" spans="1:18" x14ac:dyDescent="0.4">
      <c r="A212" s="69" t="s">
        <v>4974</v>
      </c>
      <c r="B212" s="69" t="s">
        <v>4975</v>
      </c>
      <c r="D212" s="69">
        <v>7556700059</v>
      </c>
      <c r="F212" s="69" t="s">
        <v>4976</v>
      </c>
      <c r="K212" s="69" t="s">
        <v>3083</v>
      </c>
      <c r="L212" s="69" t="s">
        <v>3084</v>
      </c>
      <c r="M212" s="70">
        <v>1</v>
      </c>
      <c r="N212" s="70">
        <v>7000</v>
      </c>
      <c r="O212" s="70">
        <f t="shared" si="6"/>
        <v>6364</v>
      </c>
      <c r="P212" s="70">
        <f t="shared" si="7"/>
        <v>636</v>
      </c>
      <c r="Q212" s="70">
        <v>7000</v>
      </c>
      <c r="R212" t="s">
        <v>4977</v>
      </c>
    </row>
    <row r="213" spans="1:18" x14ac:dyDescent="0.4">
      <c r="A213" s="69" t="s">
        <v>4974</v>
      </c>
      <c r="B213" s="69" t="s">
        <v>4975</v>
      </c>
      <c r="D213" s="69">
        <v>7556700059</v>
      </c>
      <c r="F213" s="69" t="s">
        <v>4976</v>
      </c>
      <c r="K213" s="69" t="s">
        <v>3085</v>
      </c>
      <c r="L213" s="69" t="s">
        <v>3086</v>
      </c>
      <c r="M213" s="70">
        <v>1</v>
      </c>
      <c r="N213" s="70">
        <v>13000</v>
      </c>
      <c r="O213" s="70">
        <f t="shared" si="6"/>
        <v>11818</v>
      </c>
      <c r="P213" s="70">
        <f t="shared" si="7"/>
        <v>1182</v>
      </c>
      <c r="Q213" s="70">
        <v>13000</v>
      </c>
      <c r="R213" t="s">
        <v>4977</v>
      </c>
    </row>
    <row r="214" spans="1:18" x14ac:dyDescent="0.4">
      <c r="A214" s="69" t="s">
        <v>4974</v>
      </c>
      <c r="B214" s="69" t="s">
        <v>4975</v>
      </c>
      <c r="D214" s="69">
        <v>7556700059</v>
      </c>
      <c r="F214" s="69" t="s">
        <v>4976</v>
      </c>
      <c r="K214" s="69" t="s">
        <v>3087</v>
      </c>
      <c r="L214" s="69" t="s">
        <v>3088</v>
      </c>
      <c r="M214" s="70">
        <v>3</v>
      </c>
      <c r="N214" s="70">
        <v>16000</v>
      </c>
      <c r="O214" s="70">
        <f t="shared" si="6"/>
        <v>43636</v>
      </c>
      <c r="P214" s="70">
        <f t="shared" si="7"/>
        <v>4364</v>
      </c>
      <c r="Q214" s="70">
        <v>16000</v>
      </c>
      <c r="R214" t="s">
        <v>4977</v>
      </c>
    </row>
    <row r="215" spans="1:18" x14ac:dyDescent="0.4">
      <c r="A215" s="69" t="s">
        <v>4974</v>
      </c>
      <c r="B215" s="69" t="s">
        <v>4975</v>
      </c>
      <c r="D215" s="69">
        <v>7556700059</v>
      </c>
      <c r="F215" s="69" t="s">
        <v>4976</v>
      </c>
      <c r="K215" s="69" t="s">
        <v>3089</v>
      </c>
      <c r="L215" s="69" t="s">
        <v>3090</v>
      </c>
      <c r="M215" s="70">
        <v>1</v>
      </c>
      <c r="N215" s="70">
        <v>2000</v>
      </c>
      <c r="O215" s="70">
        <f t="shared" si="6"/>
        <v>1818</v>
      </c>
      <c r="P215" s="70">
        <f t="shared" si="7"/>
        <v>182</v>
      </c>
      <c r="Q215" s="70">
        <v>2000</v>
      </c>
      <c r="R215" t="s">
        <v>4977</v>
      </c>
    </row>
    <row r="216" spans="1:18" x14ac:dyDescent="0.4">
      <c r="A216" s="69" t="s">
        <v>4974</v>
      </c>
      <c r="B216" s="69" t="s">
        <v>4975</v>
      </c>
      <c r="D216" s="69">
        <v>7556700059</v>
      </c>
      <c r="F216" s="69" t="s">
        <v>4976</v>
      </c>
      <c r="K216" s="69" t="s">
        <v>3091</v>
      </c>
      <c r="L216" s="69" t="s">
        <v>3092</v>
      </c>
      <c r="M216" s="70">
        <v>1</v>
      </c>
      <c r="N216" s="70">
        <v>5000</v>
      </c>
      <c r="O216" s="70">
        <f t="shared" si="6"/>
        <v>4545</v>
      </c>
      <c r="P216" s="70">
        <f t="shared" si="7"/>
        <v>455</v>
      </c>
      <c r="Q216" s="70">
        <v>5000</v>
      </c>
      <c r="R216" t="s">
        <v>4977</v>
      </c>
    </row>
    <row r="217" spans="1:18" x14ac:dyDescent="0.4">
      <c r="A217" s="69" t="s">
        <v>4974</v>
      </c>
      <c r="B217" s="69" t="s">
        <v>4975</v>
      </c>
      <c r="D217" s="69">
        <v>7556700059</v>
      </c>
      <c r="F217" s="69" t="s">
        <v>4976</v>
      </c>
      <c r="K217" s="69" t="s">
        <v>3093</v>
      </c>
      <c r="L217" s="69" t="s">
        <v>3094</v>
      </c>
      <c r="M217" s="70">
        <v>1</v>
      </c>
      <c r="N217" s="70">
        <v>16000</v>
      </c>
      <c r="O217" s="70">
        <f t="shared" si="6"/>
        <v>14545</v>
      </c>
      <c r="P217" s="70">
        <f t="shared" si="7"/>
        <v>1455</v>
      </c>
      <c r="Q217" s="70">
        <v>16000</v>
      </c>
      <c r="R217" t="s">
        <v>4977</v>
      </c>
    </row>
    <row r="218" spans="1:18" x14ac:dyDescent="0.4">
      <c r="A218" s="69" t="s">
        <v>4974</v>
      </c>
      <c r="B218" s="69" t="s">
        <v>4975</v>
      </c>
      <c r="D218" s="69">
        <v>7556700059</v>
      </c>
      <c r="F218" s="69" t="s">
        <v>4976</v>
      </c>
      <c r="K218" s="69" t="s">
        <v>3095</v>
      </c>
      <c r="L218" s="69" t="s">
        <v>3096</v>
      </c>
      <c r="M218" s="70">
        <v>1</v>
      </c>
      <c r="N218" s="70">
        <v>10000</v>
      </c>
      <c r="O218" s="70">
        <f t="shared" si="6"/>
        <v>9091</v>
      </c>
      <c r="P218" s="70">
        <f t="shared" si="7"/>
        <v>909</v>
      </c>
      <c r="Q218" s="70">
        <v>10000</v>
      </c>
      <c r="R218" t="s">
        <v>4977</v>
      </c>
    </row>
    <row r="219" spans="1:18" x14ac:dyDescent="0.4">
      <c r="A219" s="69" t="s">
        <v>4974</v>
      </c>
      <c r="B219" s="69" t="s">
        <v>4975</v>
      </c>
      <c r="D219" s="69">
        <v>7556700059</v>
      </c>
      <c r="F219" s="69" t="s">
        <v>4976</v>
      </c>
      <c r="K219" s="69" t="s">
        <v>3097</v>
      </c>
      <c r="L219" s="69" t="s">
        <v>3098</v>
      </c>
      <c r="M219" s="70">
        <v>2</v>
      </c>
      <c r="N219" s="70">
        <v>42000</v>
      </c>
      <c r="O219" s="70">
        <f t="shared" si="6"/>
        <v>76364</v>
      </c>
      <c r="P219" s="70">
        <f t="shared" si="7"/>
        <v>7636</v>
      </c>
      <c r="Q219" s="70">
        <v>42000</v>
      </c>
      <c r="R219" t="s">
        <v>4977</v>
      </c>
    </row>
    <row r="220" spans="1:18" x14ac:dyDescent="0.4">
      <c r="A220" s="69" t="s">
        <v>4974</v>
      </c>
      <c r="B220" s="69" t="s">
        <v>4975</v>
      </c>
      <c r="D220" s="69">
        <v>7556700059</v>
      </c>
      <c r="F220" s="69" t="s">
        <v>4976</v>
      </c>
      <c r="K220" s="69" t="s">
        <v>3101</v>
      </c>
      <c r="L220" s="69" t="s">
        <v>3102</v>
      </c>
      <c r="M220" s="70">
        <v>1</v>
      </c>
      <c r="N220" s="70">
        <v>25000</v>
      </c>
      <c r="O220" s="70">
        <f t="shared" si="6"/>
        <v>22727</v>
      </c>
      <c r="P220" s="70">
        <f t="shared" si="7"/>
        <v>2273</v>
      </c>
      <c r="Q220" s="70">
        <v>25000</v>
      </c>
      <c r="R220" t="s">
        <v>4977</v>
      </c>
    </row>
    <row r="221" spans="1:18" x14ac:dyDescent="0.4">
      <c r="A221" s="69" t="s">
        <v>4974</v>
      </c>
      <c r="B221" s="69" t="s">
        <v>4975</v>
      </c>
      <c r="D221" s="69">
        <v>7556700059</v>
      </c>
      <c r="F221" s="69" t="s">
        <v>4976</v>
      </c>
      <c r="K221" s="69" t="s">
        <v>3103</v>
      </c>
      <c r="L221" s="69" t="s">
        <v>3104</v>
      </c>
      <c r="M221" s="70">
        <v>1</v>
      </c>
      <c r="N221" s="70">
        <v>25000</v>
      </c>
      <c r="O221" s="70">
        <f t="shared" si="6"/>
        <v>22727</v>
      </c>
      <c r="P221" s="70">
        <f t="shared" si="7"/>
        <v>2273</v>
      </c>
      <c r="Q221" s="70">
        <v>25000</v>
      </c>
      <c r="R221" t="s">
        <v>4977</v>
      </c>
    </row>
    <row r="222" spans="1:18" x14ac:dyDescent="0.4">
      <c r="A222" s="69" t="s">
        <v>4974</v>
      </c>
      <c r="B222" s="69" t="s">
        <v>4975</v>
      </c>
      <c r="D222" s="69">
        <v>7556700059</v>
      </c>
      <c r="F222" s="69" t="s">
        <v>4976</v>
      </c>
      <c r="K222" s="69" t="s">
        <v>460</v>
      </c>
      <c r="L222" s="69" t="s">
        <v>461</v>
      </c>
      <c r="M222" s="70">
        <v>1</v>
      </c>
      <c r="N222" s="70">
        <v>18000</v>
      </c>
      <c r="O222" s="70">
        <f t="shared" si="6"/>
        <v>16364</v>
      </c>
      <c r="P222" s="70">
        <f t="shared" si="7"/>
        <v>1636</v>
      </c>
      <c r="Q222" s="70">
        <v>18000</v>
      </c>
      <c r="R222" t="s">
        <v>4977</v>
      </c>
    </row>
    <row r="223" spans="1:18" x14ac:dyDescent="0.4">
      <c r="A223" s="69" t="s">
        <v>4974</v>
      </c>
      <c r="B223" s="69" t="s">
        <v>4975</v>
      </c>
      <c r="D223" s="69">
        <v>7556700059</v>
      </c>
      <c r="F223" s="69" t="s">
        <v>4976</v>
      </c>
      <c r="K223" s="69" t="s">
        <v>3105</v>
      </c>
      <c r="L223" s="69" t="s">
        <v>3106</v>
      </c>
      <c r="M223" s="70">
        <v>1</v>
      </c>
      <c r="N223" s="70">
        <v>2500</v>
      </c>
      <c r="O223" s="70">
        <f t="shared" si="6"/>
        <v>2273</v>
      </c>
      <c r="P223" s="70">
        <f t="shared" si="7"/>
        <v>227</v>
      </c>
      <c r="Q223" s="70">
        <v>2500</v>
      </c>
      <c r="R223" t="s">
        <v>4977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발주처</vt:lpstr>
      <vt:lpstr>위링커주문내역</vt:lpstr>
      <vt:lpstr>사입관리</vt:lpstr>
      <vt:lpstr>발주목록</vt:lpstr>
      <vt:lpstr>매장발주목록</vt:lpstr>
      <vt:lpstr>택배발주목록</vt:lpstr>
      <vt:lpstr>가재고</vt:lpstr>
      <vt:lpstr>가재고작업</vt:lpstr>
      <vt:lpstr>이카운트양식</vt:lpstr>
      <vt:lpstr>사입관리!Extract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김경록</dc:creator>
  <cp:lastModifiedBy>김경록</cp:lastModifiedBy>
  <dcterms:created xsi:type="dcterms:W3CDTF">2018-02-09T05:12:14Z</dcterms:created>
  <dcterms:modified xsi:type="dcterms:W3CDTF">2018-02-09T05:21:57Z</dcterms:modified>
</cp:coreProperties>
</file>