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ithinnu/Downloads/"/>
    </mc:Choice>
  </mc:AlternateContent>
  <xr:revisionPtr revIDLastSave="0" documentId="13_ncr:1_{CF4E35DA-3527-1A44-8B65-1F03B8D0D5AD}" xr6:coauthVersionLast="47" xr6:coauthVersionMax="47" xr10:uidLastSave="{00000000-0000-0000-0000-000000000000}"/>
  <bookViews>
    <workbookView xWindow="0" yWindow="500" windowWidth="19400" windowHeight="11480" activeTab="12" xr2:uid="{783FF9F9-E8D6-4888-9534-0D8B268E6A22}"/>
  </bookViews>
  <sheets>
    <sheet name="Q1-2022" sheetId="5" r:id="rId1"/>
    <sheet name="Q1-2021" sheetId="1" r:id="rId2"/>
    <sheet name="Q1-2020" sheetId="7" r:id="rId3"/>
    <sheet name="Q1-2019" sheetId="9" r:id="rId4"/>
    <sheet name="Q1-2015" sheetId="15" r:id="rId5"/>
    <sheet name="Q2-2022" sheetId="10" r:id="rId6"/>
    <sheet name="Sheet1" sheetId="17" r:id="rId7"/>
    <sheet name="Q2-2021" sheetId="6" r:id="rId8"/>
    <sheet name="Q2-2015" sheetId="16" r:id="rId9"/>
    <sheet name="Q3-2022" sheetId="8" r:id="rId10"/>
    <sheet name="Q3-2021" sheetId="11" r:id="rId11"/>
    <sheet name="Q3-2020" sheetId="12" r:id="rId12"/>
    <sheet name="Q4-2020" sheetId="14" r:id="rId13"/>
    <sheet name="Sheet2" sheetId="18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6" i="14" l="1"/>
  <c r="C58" i="14"/>
  <c r="N39" i="14"/>
  <c r="L39" i="14"/>
  <c r="L38" i="14"/>
  <c r="M38" i="14"/>
  <c r="F38" i="14"/>
  <c r="F39" i="14"/>
  <c r="E27" i="11"/>
  <c r="C67" i="8"/>
  <c r="C53" i="10"/>
  <c r="C119" i="10"/>
  <c r="C118" i="10"/>
  <c r="C61" i="16" a="1"/>
  <c r="C61" i="16" s="1"/>
  <c r="K8" i="16"/>
  <c r="K9" i="16"/>
  <c r="L9" i="16"/>
  <c r="M9" i="16"/>
  <c r="N9" i="16"/>
  <c r="D9" i="16"/>
  <c r="E9" i="16"/>
  <c r="F9" i="16"/>
  <c r="G9" i="16"/>
  <c r="C8" i="16"/>
  <c r="D8" i="16"/>
  <c r="C108" i="16" a="1"/>
  <c r="C108" i="16" s="1"/>
  <c r="C99" i="16" a="1"/>
  <c r="C99" i="16" s="1"/>
  <c r="C106" i="16" s="1" a="1"/>
  <c r="C106" i="16" s="1"/>
  <c r="C110" i="16" s="1" a="1"/>
  <c r="C110" i="16" s="1"/>
  <c r="C113" i="16" s="1"/>
  <c r="C80" i="16"/>
  <c r="C114" i="16" s="1"/>
  <c r="C116" i="16" s="1"/>
  <c r="C79" i="16"/>
  <c r="L58" i="16"/>
  <c r="K58" i="16"/>
  <c r="J58" i="16"/>
  <c r="I58" i="16"/>
  <c r="H58" i="16"/>
  <c r="G58" i="16"/>
  <c r="F58" i="16"/>
  <c r="E58" i="16"/>
  <c r="D58" i="16"/>
  <c r="C58" i="16"/>
  <c r="B58" i="16"/>
  <c r="L57" i="16"/>
  <c r="K57" i="16"/>
  <c r="J57" i="16"/>
  <c r="I57" i="16"/>
  <c r="H57" i="16"/>
  <c r="G57" i="16"/>
  <c r="F57" i="16"/>
  <c r="E57" i="16"/>
  <c r="D57" i="16"/>
  <c r="C57" i="16"/>
  <c r="B57" i="16"/>
  <c r="K56" i="16"/>
  <c r="I56" i="16"/>
  <c r="H56" i="16"/>
  <c r="B56" i="16"/>
  <c r="K55" i="16"/>
  <c r="J55" i="16"/>
  <c r="H55" i="16"/>
  <c r="B55" i="16"/>
  <c r="K54" i="16"/>
  <c r="J54" i="16"/>
  <c r="I54" i="16"/>
  <c r="B54" i="16"/>
  <c r="G53" i="16"/>
  <c r="E53" i="16"/>
  <c r="D53" i="16"/>
  <c r="B53" i="16"/>
  <c r="G52" i="16"/>
  <c r="F52" i="16"/>
  <c r="D52" i="16"/>
  <c r="B52" i="16"/>
  <c r="G51" i="16"/>
  <c r="F51" i="16"/>
  <c r="E51" i="16"/>
  <c r="B51" i="16"/>
  <c r="K50" i="16"/>
  <c r="J50" i="16"/>
  <c r="I50" i="16"/>
  <c r="H50" i="16"/>
  <c r="G50" i="16"/>
  <c r="F50" i="16"/>
  <c r="E50" i="16"/>
  <c r="D50" i="16"/>
  <c r="C50" i="16"/>
  <c r="J37" i="16"/>
  <c r="I37" i="16"/>
  <c r="H37" i="16"/>
  <c r="B37" i="16"/>
  <c r="K36" i="16"/>
  <c r="I36" i="16"/>
  <c r="H36" i="16"/>
  <c r="B36" i="16"/>
  <c r="K35" i="16"/>
  <c r="J35" i="16"/>
  <c r="H35" i="16"/>
  <c r="B35" i="16"/>
  <c r="K34" i="16"/>
  <c r="J34" i="16"/>
  <c r="I34" i="16"/>
  <c r="B34" i="16"/>
  <c r="G33" i="16"/>
  <c r="E33" i="16"/>
  <c r="D33" i="16"/>
  <c r="B33" i="16"/>
  <c r="G32" i="16"/>
  <c r="F32" i="16"/>
  <c r="D32" i="16"/>
  <c r="B32" i="16"/>
  <c r="G31" i="16"/>
  <c r="F31" i="16"/>
  <c r="E31" i="16"/>
  <c r="B31" i="16"/>
  <c r="B30" i="16"/>
  <c r="K26" i="16"/>
  <c r="K37" i="16" s="1"/>
  <c r="G26" i="16"/>
  <c r="G37" i="16" s="1"/>
  <c r="F26" i="16"/>
  <c r="F37" i="16" s="1"/>
  <c r="E26" i="16"/>
  <c r="E37" i="16" s="1"/>
  <c r="D26" i="16"/>
  <c r="D37" i="16" s="1"/>
  <c r="C26" i="16"/>
  <c r="C37" i="16" s="1"/>
  <c r="J25" i="16"/>
  <c r="J56" i="16" s="1"/>
  <c r="G25" i="16"/>
  <c r="G36" i="16" s="1"/>
  <c r="F25" i="16"/>
  <c r="F36" i="16" s="1"/>
  <c r="E25" i="16"/>
  <c r="E36" i="16" s="1"/>
  <c r="D25" i="16"/>
  <c r="D36" i="16" s="1"/>
  <c r="C25" i="16"/>
  <c r="C36" i="16" s="1"/>
  <c r="I24" i="16"/>
  <c r="I55" i="16" s="1"/>
  <c r="G24" i="16"/>
  <c r="G35" i="16" s="1"/>
  <c r="F24" i="16"/>
  <c r="F35" i="16" s="1"/>
  <c r="E24" i="16"/>
  <c r="E55" i="16" s="1"/>
  <c r="D24" i="16"/>
  <c r="D55" i="16" s="1"/>
  <c r="C24" i="16"/>
  <c r="C35" i="16" s="1"/>
  <c r="H23" i="16"/>
  <c r="H34" i="16" s="1"/>
  <c r="G23" i="16"/>
  <c r="G34" i="16" s="1"/>
  <c r="F23" i="16"/>
  <c r="F34" i="16" s="1"/>
  <c r="E23" i="16"/>
  <c r="E34" i="16" s="1"/>
  <c r="D23" i="16"/>
  <c r="D54" i="16" s="1"/>
  <c r="C23" i="16"/>
  <c r="C54" i="16" s="1"/>
  <c r="K22" i="16"/>
  <c r="K33" i="16" s="1"/>
  <c r="J22" i="16"/>
  <c r="J53" i="16" s="1"/>
  <c r="I22" i="16"/>
  <c r="I33" i="16" s="1"/>
  <c r="H22" i="16"/>
  <c r="H33" i="16" s="1"/>
  <c r="F22" i="16"/>
  <c r="F53" i="16" s="1"/>
  <c r="C22" i="16"/>
  <c r="C33" i="16" s="1"/>
  <c r="K21" i="16"/>
  <c r="K32" i="16" s="1"/>
  <c r="J21" i="16"/>
  <c r="J32" i="16" s="1"/>
  <c r="I21" i="16"/>
  <c r="I32" i="16" s="1"/>
  <c r="H21" i="16"/>
  <c r="H32" i="16" s="1"/>
  <c r="E21" i="16"/>
  <c r="E52" i="16" s="1"/>
  <c r="C21" i="16"/>
  <c r="C52" i="16" s="1"/>
  <c r="K20" i="16"/>
  <c r="K51" i="16" s="1"/>
  <c r="J20" i="16"/>
  <c r="J51" i="16" s="1"/>
  <c r="I20" i="16"/>
  <c r="I51" i="16" s="1"/>
  <c r="H20" i="16"/>
  <c r="H51" i="16" s="1"/>
  <c r="D20" i="16"/>
  <c r="D31" i="16" s="1"/>
  <c r="C20" i="16"/>
  <c r="C31" i="16" s="1"/>
  <c r="K19" i="16"/>
  <c r="K30" i="16" s="1"/>
  <c r="J19" i="16"/>
  <c r="J30" i="16" s="1"/>
  <c r="I19" i="16"/>
  <c r="I30" i="16" s="1"/>
  <c r="H19" i="16"/>
  <c r="H30" i="16" s="1"/>
  <c r="G19" i="16"/>
  <c r="G30" i="16" s="1"/>
  <c r="F19" i="16"/>
  <c r="F30" i="16" s="1"/>
  <c r="E19" i="16"/>
  <c r="E30" i="16" s="1"/>
  <c r="D19" i="16"/>
  <c r="D30" i="16" s="1"/>
  <c r="C19" i="16"/>
  <c r="C30" i="16" s="1"/>
  <c r="D15" i="16"/>
  <c r="H14" i="16"/>
  <c r="L19" i="16" s="1"/>
  <c r="G14" i="16"/>
  <c r="L26" i="16" s="1"/>
  <c r="F14" i="16"/>
  <c r="L25" i="16" s="1"/>
  <c r="L56" i="16" s="1"/>
  <c r="E14" i="16"/>
  <c r="L24" i="16" s="1"/>
  <c r="L55" i="16" s="1"/>
  <c r="D14" i="16"/>
  <c r="L23" i="16" s="1"/>
  <c r="L54" i="16" s="1"/>
  <c r="H12" i="16"/>
  <c r="L22" i="16" s="1"/>
  <c r="L53" i="16" s="1"/>
  <c r="H11" i="16"/>
  <c r="L21" i="16" s="1"/>
  <c r="L52" i="16" s="1"/>
  <c r="K10" i="16" a="1"/>
  <c r="K10" i="16" s="1"/>
  <c r="O14" i="16" s="1"/>
  <c r="H10" i="16"/>
  <c r="L20" i="16" s="1"/>
  <c r="L51" i="16" s="1"/>
  <c r="F21" i="9"/>
  <c r="C21" i="9"/>
  <c r="F20" i="9"/>
  <c r="C20" i="9"/>
  <c r="F21" i="7"/>
  <c r="C21" i="7"/>
  <c r="F20" i="7"/>
  <c r="C20" i="7"/>
  <c r="F21" i="1"/>
  <c r="F20" i="1"/>
  <c r="C21" i="1"/>
  <c r="C20" i="1"/>
  <c r="F21" i="5"/>
  <c r="F20" i="5"/>
  <c r="C21" i="5"/>
  <c r="C20" i="5"/>
  <c r="G21" i="15"/>
  <c r="G20" i="15"/>
  <c r="C21" i="15"/>
  <c r="C20" i="15"/>
  <c r="D41" i="9"/>
  <c r="D41" i="7"/>
  <c r="D41" i="1"/>
  <c r="D41" i="5"/>
  <c r="C88" i="10"/>
  <c r="D40" i="15"/>
  <c r="K8" i="9"/>
  <c r="J8" i="9"/>
  <c r="I8" i="9"/>
  <c r="I25" i="15"/>
  <c r="I24" i="15"/>
  <c r="I23" i="15"/>
  <c r="E25" i="15"/>
  <c r="E24" i="15"/>
  <c r="E23" i="15"/>
  <c r="E22" i="15"/>
  <c r="M10" i="15"/>
  <c r="E45" i="15" s="1"/>
  <c r="M9" i="15"/>
  <c r="M27" i="15" s="1"/>
  <c r="M7" i="15"/>
  <c r="M25" i="15" s="1"/>
  <c r="M6" i="15"/>
  <c r="M24" i="15" s="1"/>
  <c r="M5" i="15"/>
  <c r="M23" i="15" s="1"/>
  <c r="M4" i="15"/>
  <c r="M22" i="15" s="1"/>
  <c r="I8" i="15"/>
  <c r="I26" i="15" s="1"/>
  <c r="E8" i="15"/>
  <c r="E26" i="15" s="1"/>
  <c r="G4" i="15"/>
  <c r="G22" i="15" s="1"/>
  <c r="H4" i="15"/>
  <c r="H22" i="15" s="1"/>
  <c r="I4" i="15"/>
  <c r="I22" i="15" s="1"/>
  <c r="J4" i="15"/>
  <c r="J22" i="15" s="1"/>
  <c r="K4" i="9"/>
  <c r="J4" i="9"/>
  <c r="I4" i="9"/>
  <c r="N4" i="15"/>
  <c r="N22" i="15" s="1"/>
  <c r="L4" i="15"/>
  <c r="L22" i="15" s="1"/>
  <c r="K4" i="15"/>
  <c r="K22" i="15" s="1"/>
  <c r="B30" i="15"/>
  <c r="B27" i="15"/>
  <c r="B26" i="15"/>
  <c r="J25" i="15"/>
  <c r="H25" i="15"/>
  <c r="G25" i="15"/>
  <c r="F25" i="15"/>
  <c r="D25" i="15"/>
  <c r="C25" i="15"/>
  <c r="B25" i="15"/>
  <c r="J24" i="15"/>
  <c r="H24" i="15"/>
  <c r="G24" i="15"/>
  <c r="F24" i="15"/>
  <c r="D24" i="15"/>
  <c r="C24" i="15"/>
  <c r="B24" i="15"/>
  <c r="J23" i="15"/>
  <c r="H23" i="15"/>
  <c r="G23" i="15"/>
  <c r="F23" i="15"/>
  <c r="D23" i="15"/>
  <c r="C23" i="15"/>
  <c r="B23" i="15"/>
  <c r="F22" i="15"/>
  <c r="D22" i="15"/>
  <c r="C22" i="15"/>
  <c r="O21" i="15"/>
  <c r="K21" i="15"/>
  <c r="D15" i="15"/>
  <c r="D14" i="15"/>
  <c r="P12" i="15"/>
  <c r="O12" i="15"/>
  <c r="O30" i="15" s="1"/>
  <c r="J12" i="15"/>
  <c r="J30" i="15" s="1"/>
  <c r="F12" i="15"/>
  <c r="F30" i="15" s="1"/>
  <c r="N10" i="15"/>
  <c r="L10" i="15"/>
  <c r="K10" i="15"/>
  <c r="N9" i="15"/>
  <c r="N27" i="15" s="1"/>
  <c r="L9" i="15"/>
  <c r="L27" i="15" s="1"/>
  <c r="K9" i="15"/>
  <c r="K27" i="15" s="1"/>
  <c r="J8" i="15"/>
  <c r="J26" i="15" s="1"/>
  <c r="H8" i="15"/>
  <c r="H26" i="15" s="1"/>
  <c r="G8" i="15"/>
  <c r="G26" i="15" s="1"/>
  <c r="F8" i="15"/>
  <c r="F26" i="15" s="1"/>
  <c r="D8" i="15"/>
  <c r="D26" i="15" s="1"/>
  <c r="C8" i="15"/>
  <c r="C26" i="15" s="1"/>
  <c r="P7" i="15"/>
  <c r="O7" i="15"/>
  <c r="O26" i="15" s="1"/>
  <c r="N7" i="15"/>
  <c r="L7" i="15"/>
  <c r="L25" i="15" s="1"/>
  <c r="K7" i="15"/>
  <c r="K25" i="15" s="1"/>
  <c r="P6" i="15"/>
  <c r="D44" i="15" s="1"/>
  <c r="O6" i="15"/>
  <c r="O24" i="15" s="1"/>
  <c r="N6" i="15"/>
  <c r="N24" i="15" s="1"/>
  <c r="L6" i="15"/>
  <c r="L24" i="15" s="1"/>
  <c r="K6" i="15"/>
  <c r="K24" i="15" s="1"/>
  <c r="P5" i="15"/>
  <c r="C44" i="15" s="1"/>
  <c r="O5" i="15"/>
  <c r="O23" i="15" s="1"/>
  <c r="N5" i="15"/>
  <c r="N23" i="15" s="1"/>
  <c r="L5" i="15"/>
  <c r="L23" i="15" s="1"/>
  <c r="K5" i="15"/>
  <c r="K23" i="15" s="1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49" i="10"/>
  <c r="B48" i="10"/>
  <c r="B47" i="10"/>
  <c r="B46" i="10"/>
  <c r="B45" i="10"/>
  <c r="B44" i="10"/>
  <c r="B43" i="10"/>
  <c r="B42" i="10"/>
  <c r="B41" i="10"/>
  <c r="S31" i="6"/>
  <c r="B52" i="14"/>
  <c r="B51" i="14"/>
  <c r="B50" i="14"/>
  <c r="B49" i="14"/>
  <c r="B48" i="14"/>
  <c r="B47" i="14"/>
  <c r="B46" i="14"/>
  <c r="B45" i="14"/>
  <c r="B44" i="14"/>
  <c r="K10" i="14"/>
  <c r="J36" i="16" l="1"/>
  <c r="M36" i="16" s="1"/>
  <c r="B46" i="16" s="1"/>
  <c r="E54" i="16"/>
  <c r="F54" i="16"/>
  <c r="C83" i="16"/>
  <c r="C85" i="16" s="1"/>
  <c r="H53" i="16"/>
  <c r="D56" i="16"/>
  <c r="C32" i="16"/>
  <c r="I52" i="16"/>
  <c r="K31" i="16"/>
  <c r="J52" i="16"/>
  <c r="F33" i="16"/>
  <c r="M33" i="16" s="1"/>
  <c r="B42" i="16" s="1"/>
  <c r="G54" i="16"/>
  <c r="H54" i="16"/>
  <c r="I53" i="16"/>
  <c r="F55" i="16"/>
  <c r="G55" i="16"/>
  <c r="C51" i="16"/>
  <c r="K53" i="16"/>
  <c r="D35" i="16"/>
  <c r="D51" i="16"/>
  <c r="M37" i="16"/>
  <c r="B47" i="16" s="1"/>
  <c r="H31" i="16"/>
  <c r="J33" i="16"/>
  <c r="E35" i="16"/>
  <c r="I31" i="16"/>
  <c r="J31" i="16"/>
  <c r="C74" i="16" a="1"/>
  <c r="C74" i="16" s="1"/>
  <c r="B43" i="16"/>
  <c r="M30" i="16"/>
  <c r="B39" i="16" s="1"/>
  <c r="H52" i="16"/>
  <c r="C34" i="16"/>
  <c r="C56" i="16"/>
  <c r="E32" i="16"/>
  <c r="K52" i="16"/>
  <c r="F56" i="16"/>
  <c r="C53" i="16"/>
  <c r="G56" i="16"/>
  <c r="C55" i="16"/>
  <c r="D34" i="16"/>
  <c r="I35" i="16"/>
  <c r="E56" i="16"/>
  <c r="K11" i="15"/>
  <c r="L11" i="15"/>
  <c r="N11" i="15"/>
  <c r="M11" i="15"/>
  <c r="M29" i="15" s="1"/>
  <c r="Q7" i="15"/>
  <c r="P25" i="15" s="1"/>
  <c r="Q5" i="15"/>
  <c r="P23" i="15" s="1"/>
  <c r="N29" i="15"/>
  <c r="E44" i="15"/>
  <c r="K29" i="15"/>
  <c r="N25" i="15"/>
  <c r="O25" i="15"/>
  <c r="L29" i="15"/>
  <c r="D16" i="15"/>
  <c r="Q6" i="15"/>
  <c r="P24" i="15" s="1"/>
  <c r="C45" i="15"/>
  <c r="F45" i="15"/>
  <c r="D37" i="15"/>
  <c r="D45" i="15"/>
  <c r="M32" i="16" l="1"/>
  <c r="B41" i="16" s="1"/>
  <c r="M35" i="16"/>
  <c r="B45" i="16" s="1"/>
  <c r="M34" i="16"/>
  <c r="B44" i="16" s="1"/>
  <c r="M31" i="16"/>
  <c r="B40" i="16" s="1"/>
  <c r="C72" i="16" a="1"/>
  <c r="C72" i="16" s="1"/>
  <c r="C76" i="16" s="1" a="1"/>
  <c r="C76" i="16" s="1"/>
  <c r="C82" i="16" s="1"/>
  <c r="C115" i="16" s="1"/>
  <c r="C117" i="16" s="1"/>
  <c r="D17" i="15"/>
  <c r="D41" i="15" s="1"/>
  <c r="D33" i="15"/>
  <c r="D38" i="15"/>
  <c r="C37" i="15"/>
  <c r="E37" i="15" s="1"/>
  <c r="D32" i="15"/>
  <c r="D39" i="15"/>
  <c r="C38" i="15"/>
  <c r="D34" i="15"/>
  <c r="C84" i="16" l="1"/>
  <c r="C86" i="16" s="1"/>
  <c r="C39" i="15"/>
  <c r="E39" i="15" s="1"/>
  <c r="E38" i="15"/>
  <c r="C41" i="15"/>
  <c r="G37" i="15"/>
  <c r="G39" i="15"/>
  <c r="G38" i="15"/>
  <c r="C40" i="15" l="1"/>
  <c r="E40" i="15" s="1"/>
  <c r="F39" i="15" l="1"/>
  <c r="F37" i="15"/>
  <c r="F38" i="15"/>
  <c r="D15" i="10" l="1"/>
  <c r="C38" i="12" a="1"/>
  <c r="C38" i="12"/>
  <c r="C37" i="12" a="1"/>
  <c r="C37" i="12"/>
  <c r="C36" i="12" a="1"/>
  <c r="C36" i="12" s="1"/>
  <c r="C35" i="12" a="1"/>
  <c r="C35" i="12"/>
  <c r="C34" i="12" a="1"/>
  <c r="C34" i="12"/>
  <c r="C33" i="12" a="1"/>
  <c r="C33" i="12"/>
  <c r="C32" i="12" a="1"/>
  <c r="C32" i="12"/>
  <c r="K11" i="14"/>
  <c r="C55" i="14" l="1"/>
  <c r="B55" i="14"/>
  <c r="O18" i="14"/>
  <c r="O17" i="14"/>
  <c r="O14" i="14"/>
  <c r="O16" i="14" s="1"/>
  <c r="D66" i="14" s="1"/>
  <c r="D65" i="14" s="1"/>
  <c r="B13" i="14" a="1"/>
  <c r="B48" i="12"/>
  <c r="B43" i="12"/>
  <c r="C41" i="12"/>
  <c r="B41" i="12"/>
  <c r="B38" i="12"/>
  <c r="B37" i="12"/>
  <c r="B47" i="12" s="1"/>
  <c r="B36" i="12"/>
  <c r="B46" i="12" s="1"/>
  <c r="B35" i="12"/>
  <c r="B45" i="12" s="1"/>
  <c r="B34" i="12"/>
  <c r="B44" i="12" s="1"/>
  <c r="B33" i="12"/>
  <c r="B32" i="12"/>
  <c r="B42" i="12" s="1"/>
  <c r="D18" i="12" a="1"/>
  <c r="D18" i="12" s="1"/>
  <c r="D26" i="12" s="1"/>
  <c r="C18" i="12" a="1"/>
  <c r="C18" i="12" s="1"/>
  <c r="C26" i="12" s="1"/>
  <c r="E26" i="12" s="1"/>
  <c r="H13" i="12"/>
  <c r="G13" i="12"/>
  <c r="K13" i="12" s="1"/>
  <c r="O11" i="12"/>
  <c r="D50" i="12" s="1"/>
  <c r="D49" i="12" s="1"/>
  <c r="O10" i="12"/>
  <c r="O7" i="12"/>
  <c r="O9" i="12" s="1"/>
  <c r="B6" i="12" a="1"/>
  <c r="F13" i="12" s="1"/>
  <c r="B48" i="11"/>
  <c r="B43" i="11"/>
  <c r="C41" i="11"/>
  <c r="B41" i="11"/>
  <c r="B38" i="11"/>
  <c r="B37" i="11"/>
  <c r="B47" i="11" s="1"/>
  <c r="B36" i="11"/>
  <c r="B46" i="11" s="1"/>
  <c r="B35" i="11"/>
  <c r="B45" i="11" s="1"/>
  <c r="B34" i="11"/>
  <c r="B44" i="11" s="1"/>
  <c r="B33" i="11"/>
  <c r="B32" i="11"/>
  <c r="B42" i="11" s="1"/>
  <c r="O11" i="11"/>
  <c r="D50" i="11" s="1"/>
  <c r="D49" i="11" s="1"/>
  <c r="O10" i="11"/>
  <c r="O7" i="11"/>
  <c r="O9" i="11" s="1"/>
  <c r="B6" i="11" a="1"/>
  <c r="F13" i="11" s="1"/>
  <c r="C86" i="10"/>
  <c r="G63" i="14" l="1"/>
  <c r="G62" i="14"/>
  <c r="G64" i="14"/>
  <c r="G61" i="14"/>
  <c r="G60" i="14"/>
  <c r="G59" i="14"/>
  <c r="G58" i="14"/>
  <c r="H16" i="14"/>
  <c r="F14" i="14"/>
  <c r="G14" i="14"/>
  <c r="E20" i="14"/>
  <c r="E17" i="14"/>
  <c r="F20" i="14"/>
  <c r="F17" i="14"/>
  <c r="G20" i="14"/>
  <c r="G17" i="14"/>
  <c r="H20" i="14"/>
  <c r="H17" i="14"/>
  <c r="E21" i="14"/>
  <c r="E15" i="14"/>
  <c r="F21" i="14"/>
  <c r="F15" i="14"/>
  <c r="C25" i="14" a="1"/>
  <c r="C25" i="14" s="1"/>
  <c r="C33" i="14" s="1"/>
  <c r="E14" i="14"/>
  <c r="E19" i="14"/>
  <c r="F19" i="14"/>
  <c r="H14" i="14"/>
  <c r="G15" i="14"/>
  <c r="D25" i="14" a="1"/>
  <c r="D25" i="14" s="1"/>
  <c r="D33" i="14" s="1"/>
  <c r="H15" i="14"/>
  <c r="F16" i="14"/>
  <c r="H18" i="14"/>
  <c r="E18" i="14"/>
  <c r="F18" i="14"/>
  <c r="E16" i="14"/>
  <c r="G18" i="14"/>
  <c r="G16" i="14"/>
  <c r="G19" i="14"/>
  <c r="G21" i="14"/>
  <c r="B13" i="14"/>
  <c r="H19" i="14"/>
  <c r="H21" i="14"/>
  <c r="H11" i="12"/>
  <c r="J13" i="12"/>
  <c r="I13" i="12"/>
  <c r="L13" i="12"/>
  <c r="G10" i="12"/>
  <c r="E8" i="12"/>
  <c r="F8" i="12"/>
  <c r="E10" i="12"/>
  <c r="G8" i="12"/>
  <c r="F10" i="12"/>
  <c r="H8" i="12"/>
  <c r="E12" i="12"/>
  <c r="E14" i="12"/>
  <c r="H10" i="12"/>
  <c r="F12" i="12"/>
  <c r="F14" i="12"/>
  <c r="G12" i="12"/>
  <c r="G14" i="12"/>
  <c r="B6" i="12"/>
  <c r="H12" i="12"/>
  <c r="H14" i="12"/>
  <c r="E7" i="12"/>
  <c r="F7" i="12"/>
  <c r="D53" i="12" s="1"/>
  <c r="E9" i="12"/>
  <c r="G7" i="12"/>
  <c r="F9" i="12"/>
  <c r="H7" i="12"/>
  <c r="G9" i="12"/>
  <c r="E11" i="12"/>
  <c r="H9" i="12"/>
  <c r="F11" i="12"/>
  <c r="E13" i="12"/>
  <c r="G11" i="12"/>
  <c r="K11" i="12" s="1"/>
  <c r="C18" i="11" a="1"/>
  <c r="C18" i="11" s="1"/>
  <c r="C26" i="11" s="1"/>
  <c r="F8" i="11"/>
  <c r="E10" i="11"/>
  <c r="G8" i="11"/>
  <c r="K8" i="11" s="1"/>
  <c r="G12" i="11"/>
  <c r="G14" i="11"/>
  <c r="B6" i="11"/>
  <c r="E7" i="11"/>
  <c r="H12" i="11"/>
  <c r="H14" i="11"/>
  <c r="F7" i="11"/>
  <c r="E9" i="11"/>
  <c r="C53" i="11" s="1"/>
  <c r="G10" i="11"/>
  <c r="G7" i="11"/>
  <c r="H7" i="11"/>
  <c r="G9" i="11"/>
  <c r="E11" i="11"/>
  <c r="H8" i="11"/>
  <c r="E14" i="11"/>
  <c r="H10" i="11"/>
  <c r="F14" i="11"/>
  <c r="F9" i="11"/>
  <c r="H11" i="11"/>
  <c r="G13" i="11"/>
  <c r="H13" i="11"/>
  <c r="J13" i="11" s="1"/>
  <c r="D18" i="11" a="1"/>
  <c r="D18" i="11" s="1"/>
  <c r="D26" i="11" s="1"/>
  <c r="E26" i="11" s="1"/>
  <c r="E8" i="11"/>
  <c r="F10" i="11"/>
  <c r="E12" i="11"/>
  <c r="F12" i="11"/>
  <c r="H9" i="11"/>
  <c r="F11" i="11"/>
  <c r="E13" i="11"/>
  <c r="G11" i="11"/>
  <c r="I17" i="14" l="1"/>
  <c r="G37" i="14" a="1"/>
  <c r="G37" i="14" s="1"/>
  <c r="C45" i="14" s="1"/>
  <c r="H37" i="14" a="1"/>
  <c r="H37" i="14" s="1"/>
  <c r="C46" i="14" s="1"/>
  <c r="F37" i="14" a="1"/>
  <c r="F37" i="14" s="1"/>
  <c r="C44" i="14" s="1"/>
  <c r="J20" i="14"/>
  <c r="E22" i="14"/>
  <c r="E23" i="14" s="1"/>
  <c r="C56" i="14" s="1"/>
  <c r="E56" i="14" s="1"/>
  <c r="I20" i="14"/>
  <c r="I14" i="14"/>
  <c r="K16" i="14"/>
  <c r="L18" i="14"/>
  <c r="I18" i="14"/>
  <c r="K17" i="14"/>
  <c r="I16" i="14"/>
  <c r="L16" i="14"/>
  <c r="J16" i="14"/>
  <c r="J14" i="14"/>
  <c r="L14" i="14"/>
  <c r="J21" i="14"/>
  <c r="J15" i="14"/>
  <c r="L15" i="14"/>
  <c r="I15" i="14"/>
  <c r="K18" i="14"/>
  <c r="L20" i="14"/>
  <c r="J17" i="14"/>
  <c r="L17" i="14"/>
  <c r="K20" i="14"/>
  <c r="K15" i="14"/>
  <c r="J18" i="14"/>
  <c r="K14" i="14"/>
  <c r="E33" i="14"/>
  <c r="J19" i="14"/>
  <c r="L21" i="14"/>
  <c r="K21" i="14"/>
  <c r="I21" i="14"/>
  <c r="L19" i="14"/>
  <c r="I19" i="14"/>
  <c r="K19" i="14"/>
  <c r="K9" i="12"/>
  <c r="I68" i="12"/>
  <c r="L8" i="12"/>
  <c r="J8" i="12"/>
  <c r="I8" i="12"/>
  <c r="C53" i="12"/>
  <c r="L12" i="12"/>
  <c r="J12" i="12"/>
  <c r="I12" i="12"/>
  <c r="I9" i="12"/>
  <c r="L9" i="12"/>
  <c r="J9" i="12"/>
  <c r="M68" i="12"/>
  <c r="D67" i="12"/>
  <c r="K10" i="12"/>
  <c r="L10" i="12"/>
  <c r="J10" i="12"/>
  <c r="I10" i="12"/>
  <c r="J7" i="12"/>
  <c r="I7" i="12"/>
  <c r="L7" i="12"/>
  <c r="E15" i="12"/>
  <c r="E16" i="12" s="1"/>
  <c r="E27" i="12" s="1"/>
  <c r="C50" i="12" s="1"/>
  <c r="M67" i="12"/>
  <c r="H67" i="12"/>
  <c r="C67" i="12"/>
  <c r="H68" i="12"/>
  <c r="C68" i="12"/>
  <c r="K12" i="12"/>
  <c r="I67" i="12"/>
  <c r="N67" i="12"/>
  <c r="L53" i="12"/>
  <c r="K53" i="12"/>
  <c r="G53" i="12"/>
  <c r="H53" i="12"/>
  <c r="K7" i="12"/>
  <c r="K8" i="12"/>
  <c r="D68" i="12"/>
  <c r="N68" i="12"/>
  <c r="K14" i="12"/>
  <c r="I11" i="12"/>
  <c r="L11" i="12"/>
  <c r="J11" i="12"/>
  <c r="L14" i="12"/>
  <c r="J14" i="12"/>
  <c r="I14" i="12"/>
  <c r="L13" i="11"/>
  <c r="C32" i="11" a="1"/>
  <c r="C32" i="11" s="1"/>
  <c r="C34" i="11" a="1"/>
  <c r="C34" i="11" s="1"/>
  <c r="N68" i="11"/>
  <c r="E32" i="11"/>
  <c r="C42" i="11" s="1"/>
  <c r="E42" i="11" s="1"/>
  <c r="D32" i="11"/>
  <c r="E34" i="11"/>
  <c r="C44" i="11" s="1"/>
  <c r="E44" i="11" s="1"/>
  <c r="D34" i="11"/>
  <c r="K11" i="11"/>
  <c r="E15" i="11"/>
  <c r="E16" i="11" s="1"/>
  <c r="C50" i="11" s="1"/>
  <c r="C67" i="11"/>
  <c r="M67" i="11"/>
  <c r="H67" i="11"/>
  <c r="L14" i="11"/>
  <c r="J14" i="11"/>
  <c r="I14" i="11"/>
  <c r="K14" i="11"/>
  <c r="D68" i="11"/>
  <c r="L11" i="11"/>
  <c r="J11" i="11"/>
  <c r="I11" i="11"/>
  <c r="I9" i="11"/>
  <c r="L9" i="11"/>
  <c r="J9" i="11"/>
  <c r="L12" i="11"/>
  <c r="J12" i="11"/>
  <c r="I12" i="11"/>
  <c r="K12" i="11"/>
  <c r="I68" i="11"/>
  <c r="I67" i="11"/>
  <c r="N67" i="11"/>
  <c r="L10" i="11"/>
  <c r="J10" i="11"/>
  <c r="I10" i="11"/>
  <c r="K9" i="11"/>
  <c r="K53" i="11"/>
  <c r="L53" i="11"/>
  <c r="I8" i="11"/>
  <c r="L8" i="11"/>
  <c r="J8" i="11"/>
  <c r="H68" i="11"/>
  <c r="C68" i="11"/>
  <c r="K7" i="11"/>
  <c r="H53" i="11"/>
  <c r="G53" i="11"/>
  <c r="M68" i="11"/>
  <c r="D67" i="11"/>
  <c r="C33" i="11" a="1"/>
  <c r="C33" i="11" s="1"/>
  <c r="D53" i="11"/>
  <c r="K10" i="11"/>
  <c r="K13" i="11"/>
  <c r="J7" i="11"/>
  <c r="I7" i="11"/>
  <c r="L7" i="11"/>
  <c r="I13" i="11"/>
  <c r="M37" i="14" l="1" a="1"/>
  <c r="M37" i="14" s="1"/>
  <c r="C51" i="14" s="1"/>
  <c r="J37" i="14" a="1"/>
  <c r="J37" i="14" s="1"/>
  <c r="N37" i="14" a="1"/>
  <c r="N37" i="14" s="1"/>
  <c r="C52" i="14" s="1"/>
  <c r="L37" i="14" a="1"/>
  <c r="L37" i="14" s="1"/>
  <c r="C50" i="14" s="1"/>
  <c r="K37" i="14" a="1"/>
  <c r="K37" i="14" s="1"/>
  <c r="C49" i="14" s="1"/>
  <c r="I37" i="14" a="1"/>
  <c r="I37" i="14" s="1"/>
  <c r="C47" i="14" s="1"/>
  <c r="D44" i="14"/>
  <c r="E44" i="14"/>
  <c r="E58" i="14" s="1"/>
  <c r="H39" i="14"/>
  <c r="E46" i="14" s="1"/>
  <c r="C60" i="14" s="1"/>
  <c r="E60" i="14" s="1"/>
  <c r="H38" i="14"/>
  <c r="D46" i="14" s="1"/>
  <c r="G38" i="14"/>
  <c r="D45" i="14" s="1"/>
  <c r="G39" i="14"/>
  <c r="E45" i="14" s="1"/>
  <c r="C59" i="14" s="1"/>
  <c r="E59" i="14" s="1"/>
  <c r="E34" i="14"/>
  <c r="E33" i="12"/>
  <c r="C43" i="12" s="1"/>
  <c r="E43" i="12" s="1"/>
  <c r="D33" i="12"/>
  <c r="E32" i="12"/>
  <c r="C42" i="12" s="1"/>
  <c r="E42" i="12" s="1"/>
  <c r="D32" i="12"/>
  <c r="E34" i="12"/>
  <c r="C44" i="12" s="1"/>
  <c r="E44" i="12" s="1"/>
  <c r="D34" i="12"/>
  <c r="C37" i="11" a="1"/>
  <c r="C37" i="11" s="1"/>
  <c r="E33" i="11"/>
  <c r="C43" i="11" s="1"/>
  <c r="E43" i="11" s="1"/>
  <c r="D33" i="11"/>
  <c r="C38" i="11" a="1"/>
  <c r="C38" i="11" s="1"/>
  <c r="C35" i="11" a="1"/>
  <c r="C35" i="11" s="1"/>
  <c r="C36" i="11" a="1"/>
  <c r="C36" i="11" s="1"/>
  <c r="J38" i="14" l="1"/>
  <c r="D48" i="14" s="1"/>
  <c r="J39" i="14"/>
  <c r="E48" i="14" s="1"/>
  <c r="C62" i="14" s="1"/>
  <c r="E62" i="14" s="1"/>
  <c r="C48" i="14"/>
  <c r="E52" i="14"/>
  <c r="N38" i="14"/>
  <c r="D52" i="14" s="1"/>
  <c r="M39" i="14"/>
  <c r="D51" i="14"/>
  <c r="E50" i="14"/>
  <c r="C64" i="14" s="1"/>
  <c r="E64" i="14" s="1"/>
  <c r="D50" i="14"/>
  <c r="I39" i="14"/>
  <c r="E47" i="14" s="1"/>
  <c r="C61" i="14" s="1"/>
  <c r="E61" i="14" s="1"/>
  <c r="I38" i="14"/>
  <c r="D47" i="14" s="1"/>
  <c r="K39" i="14"/>
  <c r="E49" i="14" s="1"/>
  <c r="C63" i="14" s="1"/>
  <c r="E63" i="14" s="1"/>
  <c r="K38" i="14"/>
  <c r="D49" i="14" s="1"/>
  <c r="E38" i="12"/>
  <c r="C48" i="12" s="1"/>
  <c r="E48" i="12" s="1"/>
  <c r="D38" i="12"/>
  <c r="D36" i="12"/>
  <c r="E36" i="12"/>
  <c r="C46" i="12" s="1"/>
  <c r="E46" i="12" s="1"/>
  <c r="D35" i="12"/>
  <c r="E35" i="12"/>
  <c r="C45" i="12" s="1"/>
  <c r="D37" i="12"/>
  <c r="E37" i="12"/>
  <c r="C47" i="12" s="1"/>
  <c r="E47" i="12" s="1"/>
  <c r="E38" i="11"/>
  <c r="C48" i="11" s="1"/>
  <c r="E48" i="11" s="1"/>
  <c r="D38" i="11"/>
  <c r="D36" i="11"/>
  <c r="E36" i="11"/>
  <c r="C46" i="11" s="1"/>
  <c r="E46" i="11" s="1"/>
  <c r="E35" i="11"/>
  <c r="C45" i="11" s="1"/>
  <c r="E45" i="11" s="1"/>
  <c r="D35" i="11"/>
  <c r="E37" i="11"/>
  <c r="C47" i="11" s="1"/>
  <c r="E47" i="11" s="1"/>
  <c r="D37" i="11"/>
  <c r="C49" i="11"/>
  <c r="E49" i="11" s="1"/>
  <c r="C57" i="14" l="1"/>
  <c r="E51" i="14"/>
  <c r="E45" i="12"/>
  <c r="C49" i="12"/>
  <c r="E49" i="12" s="1"/>
  <c r="F48" i="12" s="1"/>
  <c r="F42" i="11"/>
  <c r="F44" i="11"/>
  <c r="F47" i="11"/>
  <c r="F45" i="11"/>
  <c r="F46" i="11"/>
  <c r="F43" i="11"/>
  <c r="F48" i="11"/>
  <c r="E57" i="14" l="1"/>
  <c r="C65" i="14"/>
  <c r="E65" i="14" s="1"/>
  <c r="F47" i="12"/>
  <c r="F46" i="12"/>
  <c r="F45" i="12"/>
  <c r="F42" i="12"/>
  <c r="F44" i="12"/>
  <c r="F43" i="12"/>
  <c r="F59" i="14" l="1"/>
  <c r="F58" i="14"/>
  <c r="F60" i="14"/>
  <c r="F61" i="14"/>
  <c r="F63" i="14"/>
  <c r="F64" i="14"/>
  <c r="F62" i="14"/>
  <c r="N68" i="8"/>
  <c r="N67" i="8"/>
  <c r="M68" i="8"/>
  <c r="M67" i="8"/>
  <c r="C120" i="10"/>
  <c r="C117" i="10"/>
  <c r="C116" i="10"/>
  <c r="C89" i="10"/>
  <c r="C83" i="10"/>
  <c r="C82" i="10"/>
  <c r="C111" i="10" a="1"/>
  <c r="C111" i="10" s="1"/>
  <c r="C102" i="10" a="1"/>
  <c r="C102" i="10" s="1"/>
  <c r="C109" i="10" s="1" a="1"/>
  <c r="C109" i="10" s="1"/>
  <c r="C113" i="10" s="1" a="1"/>
  <c r="C113" i="10" s="1"/>
  <c r="D54" i="10"/>
  <c r="D55" i="10"/>
  <c r="D56" i="10"/>
  <c r="E53" i="10"/>
  <c r="F53" i="10"/>
  <c r="G53" i="10"/>
  <c r="F54" i="10"/>
  <c r="G54" i="10"/>
  <c r="E55" i="10"/>
  <c r="E56" i="10"/>
  <c r="F56" i="10"/>
  <c r="G55" i="10"/>
  <c r="I57" i="10"/>
  <c r="J57" i="10"/>
  <c r="K57" i="10"/>
  <c r="H58" i="10"/>
  <c r="J58" i="10"/>
  <c r="K58" i="10"/>
  <c r="H59" i="10"/>
  <c r="I59" i="10"/>
  <c r="K59" i="10"/>
  <c r="D60" i="10"/>
  <c r="E60" i="10"/>
  <c r="F60" i="10"/>
  <c r="G60" i="10"/>
  <c r="H60" i="10"/>
  <c r="I60" i="10"/>
  <c r="J60" i="10"/>
  <c r="K60" i="10"/>
  <c r="D61" i="10"/>
  <c r="E61" i="10"/>
  <c r="F61" i="10"/>
  <c r="G61" i="10"/>
  <c r="H61" i="10"/>
  <c r="I61" i="10"/>
  <c r="J61" i="10"/>
  <c r="K61" i="10"/>
  <c r="C60" i="10"/>
  <c r="C61" i="10"/>
  <c r="C52" i="10" l="1"/>
  <c r="D52" i="10"/>
  <c r="E52" i="10"/>
  <c r="F52" i="10"/>
  <c r="G52" i="10"/>
  <c r="H52" i="10"/>
  <c r="I52" i="10"/>
  <c r="J52" i="10"/>
  <c r="K52" i="10"/>
  <c r="B53" i="10"/>
  <c r="B54" i="10"/>
  <c r="B55" i="10"/>
  <c r="B56" i="10"/>
  <c r="B57" i="10"/>
  <c r="B58" i="10"/>
  <c r="B59" i="10"/>
  <c r="B60" i="10"/>
  <c r="L60" i="10"/>
  <c r="B61" i="10"/>
  <c r="L61" i="10"/>
  <c r="K10" i="10" a="1"/>
  <c r="K10" i="10" s="1"/>
  <c r="O14" i="10" s="1"/>
  <c r="I68" i="8" l="1"/>
  <c r="H68" i="8"/>
  <c r="I67" i="8"/>
  <c r="H67" i="8"/>
  <c r="D68" i="8"/>
  <c r="D67" i="8"/>
  <c r="C68" i="8"/>
  <c r="C53" i="8"/>
  <c r="L53" i="8"/>
  <c r="K53" i="8"/>
  <c r="H53" i="8"/>
  <c r="G53" i="8"/>
  <c r="D53" i="8"/>
  <c r="F48" i="8"/>
  <c r="F47" i="8"/>
  <c r="F46" i="8"/>
  <c r="F45" i="8"/>
  <c r="F44" i="8"/>
  <c r="F43" i="8"/>
  <c r="F42" i="8"/>
  <c r="D49" i="8"/>
  <c r="E49" i="8" s="1"/>
  <c r="D50" i="8"/>
  <c r="E48" i="8" l="1"/>
  <c r="E47" i="8"/>
  <c r="E46" i="8"/>
  <c r="E45" i="8"/>
  <c r="E44" i="8"/>
  <c r="E43" i="8"/>
  <c r="E42" i="8"/>
  <c r="C49" i="8"/>
  <c r="C50" i="8"/>
  <c r="E27" i="8"/>
  <c r="C41" i="8"/>
  <c r="B41" i="8"/>
  <c r="O11" i="8"/>
  <c r="O10" i="8"/>
  <c r="B38" i="8"/>
  <c r="B48" i="8" s="1"/>
  <c r="B37" i="8"/>
  <c r="B47" i="8" s="1"/>
  <c r="B36" i="8"/>
  <c r="B46" i="8" s="1"/>
  <c r="B35" i="8"/>
  <c r="B45" i="8" s="1"/>
  <c r="B34" i="8"/>
  <c r="B44" i="8" s="1"/>
  <c r="B33" i="8"/>
  <c r="B43" i="8" s="1"/>
  <c r="B32" i="8"/>
  <c r="B42" i="8" s="1"/>
  <c r="B6" i="8" a="1"/>
  <c r="B6" i="8" s="1"/>
  <c r="G40" i="9"/>
  <c r="G39" i="9"/>
  <c r="G38" i="9"/>
  <c r="G37" i="9"/>
  <c r="G40" i="7"/>
  <c r="G39" i="7"/>
  <c r="G38" i="7"/>
  <c r="G37" i="7"/>
  <c r="G40" i="1"/>
  <c r="G39" i="1"/>
  <c r="G38" i="1"/>
  <c r="G37" i="1"/>
  <c r="D18" i="8" l="1" a="1"/>
  <c r="D18" i="8" s="1"/>
  <c r="D26" i="8" s="1"/>
  <c r="C18" i="8" a="1"/>
  <c r="C18" i="8" s="1"/>
  <c r="C26" i="8" s="1"/>
  <c r="E26" i="8" s="1"/>
  <c r="E9" i="8"/>
  <c r="E10" i="8"/>
  <c r="E11" i="8"/>
  <c r="E8" i="8"/>
  <c r="E12" i="8"/>
  <c r="E7" i="8"/>
  <c r="E13" i="8"/>
  <c r="E14" i="8"/>
  <c r="H7" i="8"/>
  <c r="F8" i="8"/>
  <c r="H8" i="8"/>
  <c r="G8" i="8"/>
  <c r="G9" i="8"/>
  <c r="G13" i="8"/>
  <c r="G14" i="8"/>
  <c r="F7" i="8"/>
  <c r="F9" i="8"/>
  <c r="H9" i="8"/>
  <c r="G11" i="8"/>
  <c r="G12" i="8"/>
  <c r="F13" i="8"/>
  <c r="F14" i="8"/>
  <c r="G7" i="8"/>
  <c r="G10" i="8"/>
  <c r="F10" i="8"/>
  <c r="H10" i="8"/>
  <c r="F11" i="8"/>
  <c r="H11" i="8"/>
  <c r="F12" i="8"/>
  <c r="H12" i="8"/>
  <c r="H13" i="8"/>
  <c r="H14" i="8"/>
  <c r="E15" i="8" l="1"/>
  <c r="E16" i="8" s="1"/>
  <c r="C32" i="8" a="1"/>
  <c r="C32" i="8" s="1"/>
  <c r="C34" i="8" a="1"/>
  <c r="C34" i="8" s="1"/>
  <c r="K9" i="8"/>
  <c r="K8" i="8"/>
  <c r="K7" i="8"/>
  <c r="C33" i="8" a="1"/>
  <c r="C33" i="8" s="1"/>
  <c r="I7" i="8"/>
  <c r="L7" i="8"/>
  <c r="J7" i="8"/>
  <c r="I13" i="8"/>
  <c r="L13" i="8"/>
  <c r="J13" i="8"/>
  <c r="K13" i="8"/>
  <c r="K12" i="8"/>
  <c r="K14" i="8"/>
  <c r="I10" i="8"/>
  <c r="L10" i="8"/>
  <c r="J10" i="8"/>
  <c r="K11" i="8"/>
  <c r="J11" i="8"/>
  <c r="L11" i="8"/>
  <c r="I11" i="8"/>
  <c r="K10" i="8"/>
  <c r="I14" i="8"/>
  <c r="L14" i="8"/>
  <c r="J14" i="8"/>
  <c r="L12" i="8"/>
  <c r="J12" i="8"/>
  <c r="I12" i="8"/>
  <c r="L8" i="8"/>
  <c r="J8" i="8"/>
  <c r="I8" i="8"/>
  <c r="J9" i="8"/>
  <c r="I9" i="8"/>
  <c r="L9" i="8"/>
  <c r="E32" i="8" l="1"/>
  <c r="C42" i="8" s="1"/>
  <c r="D32" i="8"/>
  <c r="D33" i="8"/>
  <c r="E33" i="8"/>
  <c r="C43" i="8" s="1"/>
  <c r="E34" i="8"/>
  <c r="C44" i="8" s="1"/>
  <c r="D34" i="8"/>
  <c r="C36" i="8" a="1"/>
  <c r="C36" i="8" s="1"/>
  <c r="C38" i="8" a="1"/>
  <c r="C38" i="8" s="1"/>
  <c r="C35" i="8" a="1"/>
  <c r="C35" i="8" s="1"/>
  <c r="C37" i="8" a="1"/>
  <c r="C37" i="8" s="1"/>
  <c r="E37" i="8" l="1"/>
  <c r="C47" i="8" s="1"/>
  <c r="D37" i="8"/>
  <c r="E38" i="8"/>
  <c r="C48" i="8" s="1"/>
  <c r="D38" i="8"/>
  <c r="D35" i="8"/>
  <c r="E35" i="8"/>
  <c r="C45" i="8" s="1"/>
  <c r="D36" i="8"/>
  <c r="E36" i="8"/>
  <c r="C46" i="8" s="1"/>
  <c r="O7" i="8" l="1"/>
  <c r="J39" i="10"/>
  <c r="I39" i="10"/>
  <c r="H39" i="10"/>
  <c r="K38" i="10"/>
  <c r="I38" i="10"/>
  <c r="H38" i="10"/>
  <c r="K37" i="10"/>
  <c r="J37" i="10"/>
  <c r="H37" i="10"/>
  <c r="K36" i="10"/>
  <c r="J36" i="10"/>
  <c r="I36" i="10"/>
  <c r="F35" i="10"/>
  <c r="E35" i="10"/>
  <c r="D35" i="10"/>
  <c r="G34" i="10"/>
  <c r="E34" i="10"/>
  <c r="D34" i="10"/>
  <c r="G33" i="10"/>
  <c r="F33" i="10"/>
  <c r="D33" i="10"/>
  <c r="G32" i="10"/>
  <c r="F32" i="10"/>
  <c r="E32" i="10"/>
  <c r="B36" i="10"/>
  <c r="B35" i="10"/>
  <c r="G27" i="10"/>
  <c r="F27" i="10"/>
  <c r="E27" i="10"/>
  <c r="D27" i="10"/>
  <c r="C27" i="10"/>
  <c r="K27" i="10"/>
  <c r="J26" i="10"/>
  <c r="J59" i="10" s="1"/>
  <c r="G26" i="10"/>
  <c r="G59" i="10" s="1"/>
  <c r="F26" i="10"/>
  <c r="F59" i="10" s="1"/>
  <c r="E26" i="10"/>
  <c r="E59" i="10" s="1"/>
  <c r="D26" i="10"/>
  <c r="D59" i="10" s="1"/>
  <c r="C26" i="10"/>
  <c r="C59" i="10" s="1"/>
  <c r="G25" i="10"/>
  <c r="G58" i="10" s="1"/>
  <c r="F25" i="10"/>
  <c r="F58" i="10" s="1"/>
  <c r="E25" i="10"/>
  <c r="E58" i="10" s="1"/>
  <c r="D25" i="10"/>
  <c r="D58" i="10" s="1"/>
  <c r="I25" i="10"/>
  <c r="I58" i="10" s="1"/>
  <c r="C25" i="10"/>
  <c r="C58" i="10" s="1"/>
  <c r="H24" i="10"/>
  <c r="H57" i="10" s="1"/>
  <c r="G24" i="10"/>
  <c r="G57" i="10" s="1"/>
  <c r="F24" i="10"/>
  <c r="F57" i="10" s="1"/>
  <c r="E24" i="10"/>
  <c r="E57" i="10" s="1"/>
  <c r="D24" i="10"/>
  <c r="D57" i="10" s="1"/>
  <c r="C24" i="10"/>
  <c r="C57" i="10" s="1"/>
  <c r="K23" i="10"/>
  <c r="K56" i="10" s="1"/>
  <c r="J23" i="10"/>
  <c r="J56" i="10" s="1"/>
  <c r="I23" i="10"/>
  <c r="I56" i="10" s="1"/>
  <c r="H23" i="10"/>
  <c r="H56" i="10" s="1"/>
  <c r="G23" i="10"/>
  <c r="G56" i="10" s="1"/>
  <c r="C23" i="10"/>
  <c r="C56" i="10" s="1"/>
  <c r="K22" i="10"/>
  <c r="K55" i="10" s="1"/>
  <c r="J22" i="10"/>
  <c r="J55" i="10" s="1"/>
  <c r="I22" i="10"/>
  <c r="I55" i="10" s="1"/>
  <c r="H22" i="10"/>
  <c r="H55" i="10" s="1"/>
  <c r="F22" i="10"/>
  <c r="F55" i="10" s="1"/>
  <c r="C22" i="10"/>
  <c r="C55" i="10" s="1"/>
  <c r="K21" i="10"/>
  <c r="K54" i="10" s="1"/>
  <c r="J21" i="10"/>
  <c r="J54" i="10" s="1"/>
  <c r="I21" i="10"/>
  <c r="I54" i="10" s="1"/>
  <c r="K20" i="10"/>
  <c r="K53" i="10" s="1"/>
  <c r="J20" i="10"/>
  <c r="J53" i="10" s="1"/>
  <c r="I20" i="10"/>
  <c r="I53" i="10" s="1"/>
  <c r="H20" i="10"/>
  <c r="H53" i="10" s="1"/>
  <c r="H21" i="10"/>
  <c r="H54" i="10" s="1"/>
  <c r="E21" i="10"/>
  <c r="E54" i="10" s="1"/>
  <c r="C21" i="10"/>
  <c r="C54" i="10" s="1"/>
  <c r="D20" i="10"/>
  <c r="D53" i="10" s="1"/>
  <c r="C20" i="10"/>
  <c r="K19" i="10"/>
  <c r="J19" i="10"/>
  <c r="I19" i="10"/>
  <c r="H19" i="10"/>
  <c r="G19" i="10"/>
  <c r="F19" i="10"/>
  <c r="E19" i="10"/>
  <c r="D19" i="10"/>
  <c r="C19" i="10"/>
  <c r="H14" i="10"/>
  <c r="L19" i="10" s="1"/>
  <c r="G14" i="10"/>
  <c r="L27" i="10" s="1"/>
  <c r="F14" i="10"/>
  <c r="L26" i="10" s="1"/>
  <c r="L59" i="10" s="1"/>
  <c r="E14" i="10"/>
  <c r="L25" i="10" s="1"/>
  <c r="L58" i="10" s="1"/>
  <c r="D14" i="10"/>
  <c r="L24" i="10" s="1"/>
  <c r="L57" i="10" s="1"/>
  <c r="H13" i="10"/>
  <c r="L23" i="10" s="1"/>
  <c r="L56" i="10" s="1"/>
  <c r="H12" i="10"/>
  <c r="L22" i="10" s="1"/>
  <c r="L55" i="10" s="1"/>
  <c r="H11" i="10"/>
  <c r="L21" i="10" s="1"/>
  <c r="L54" i="10" s="1"/>
  <c r="H10" i="10"/>
  <c r="L20" i="10" s="1"/>
  <c r="L53" i="10" s="1"/>
  <c r="B39" i="10"/>
  <c r="B38" i="10"/>
  <c r="B37" i="10"/>
  <c r="B34" i="10"/>
  <c r="B33" i="10"/>
  <c r="B32" i="10"/>
  <c r="B31" i="10"/>
  <c r="Q62" i="6"/>
  <c r="P62" i="6"/>
  <c r="O62" i="6"/>
  <c r="N62" i="6"/>
  <c r="M62" i="6"/>
  <c r="L62" i="6"/>
  <c r="K62" i="6"/>
  <c r="J62" i="6"/>
  <c r="H62" i="6"/>
  <c r="G62" i="6"/>
  <c r="E62" i="6"/>
  <c r="D62" i="6"/>
  <c r="R61" i="6"/>
  <c r="P61" i="6"/>
  <c r="O61" i="6"/>
  <c r="N61" i="6"/>
  <c r="M61" i="6"/>
  <c r="L61" i="6"/>
  <c r="K61" i="6"/>
  <c r="J61" i="6"/>
  <c r="I61" i="6"/>
  <c r="G61" i="6"/>
  <c r="E61" i="6"/>
  <c r="D61" i="6"/>
  <c r="R60" i="6"/>
  <c r="Q60" i="6"/>
  <c r="O60" i="6"/>
  <c r="N60" i="6"/>
  <c r="M60" i="6"/>
  <c r="L60" i="6"/>
  <c r="K60" i="6"/>
  <c r="J60" i="6"/>
  <c r="I60" i="6"/>
  <c r="H60" i="6"/>
  <c r="E60" i="6"/>
  <c r="D60" i="6"/>
  <c r="R59" i="6"/>
  <c r="Q59" i="6"/>
  <c r="P59" i="6"/>
  <c r="N59" i="6"/>
  <c r="M59" i="6"/>
  <c r="L59" i="6"/>
  <c r="K59" i="6"/>
  <c r="J59" i="6"/>
  <c r="H59" i="6"/>
  <c r="G59" i="6"/>
  <c r="F59" i="6"/>
  <c r="D59" i="6"/>
  <c r="C59" i="6"/>
  <c r="R58" i="6"/>
  <c r="Q58" i="6"/>
  <c r="P58" i="6"/>
  <c r="O58" i="6"/>
  <c r="M58" i="6"/>
  <c r="L58" i="6"/>
  <c r="K58" i="6"/>
  <c r="J58" i="6"/>
  <c r="I58" i="6"/>
  <c r="G58" i="6"/>
  <c r="F58" i="6"/>
  <c r="D58" i="6"/>
  <c r="R57" i="6"/>
  <c r="Q57" i="6"/>
  <c r="P57" i="6"/>
  <c r="O57" i="6"/>
  <c r="N57" i="6"/>
  <c r="L57" i="6"/>
  <c r="K57" i="6"/>
  <c r="J57" i="6"/>
  <c r="I57" i="6"/>
  <c r="H57" i="6"/>
  <c r="F57" i="6"/>
  <c r="D57" i="6"/>
  <c r="R56" i="6"/>
  <c r="Q56" i="6"/>
  <c r="P56" i="6"/>
  <c r="O56" i="6"/>
  <c r="N56" i="6"/>
  <c r="M56" i="6"/>
  <c r="K56" i="6"/>
  <c r="J56" i="6"/>
  <c r="H56" i="6"/>
  <c r="G56" i="6"/>
  <c r="F56" i="6"/>
  <c r="E56" i="6"/>
  <c r="R55" i="6"/>
  <c r="Q55" i="6"/>
  <c r="P55" i="6"/>
  <c r="O55" i="6"/>
  <c r="N55" i="6"/>
  <c r="M55" i="6"/>
  <c r="L55" i="6"/>
  <c r="J55" i="6"/>
  <c r="I55" i="6"/>
  <c r="G55" i="6"/>
  <c r="F55" i="6"/>
  <c r="E55" i="6"/>
  <c r="R54" i="6"/>
  <c r="Q54" i="6"/>
  <c r="P54" i="6"/>
  <c r="O54" i="6"/>
  <c r="N54" i="6"/>
  <c r="M54" i="6"/>
  <c r="L54" i="6"/>
  <c r="K54" i="6"/>
  <c r="I54" i="6"/>
  <c r="H54" i="6"/>
  <c r="F54" i="6"/>
  <c r="E54" i="6"/>
  <c r="Q53" i="6"/>
  <c r="P53" i="6"/>
  <c r="N53" i="6"/>
  <c r="M53" i="6"/>
  <c r="K53" i="6"/>
  <c r="J53" i="6"/>
  <c r="H53" i="6"/>
  <c r="G53" i="6"/>
  <c r="R52" i="6"/>
  <c r="P52" i="6"/>
  <c r="O52" i="6"/>
  <c r="M52" i="6"/>
  <c r="L52" i="6"/>
  <c r="J52" i="6"/>
  <c r="I52" i="6"/>
  <c r="G52" i="6"/>
  <c r="R51" i="6"/>
  <c r="Q51" i="6"/>
  <c r="O51" i="6"/>
  <c r="N51" i="6"/>
  <c r="L51" i="6"/>
  <c r="K51" i="6"/>
  <c r="I51" i="6"/>
  <c r="H51" i="6"/>
  <c r="O50" i="6"/>
  <c r="N50" i="6"/>
  <c r="M50" i="6"/>
  <c r="L50" i="6"/>
  <c r="K50" i="6"/>
  <c r="J50" i="6"/>
  <c r="E50" i="6"/>
  <c r="D50" i="6"/>
  <c r="R49" i="6"/>
  <c r="Q49" i="6"/>
  <c r="P49" i="6"/>
  <c r="L49" i="6"/>
  <c r="K49" i="6"/>
  <c r="J49" i="6"/>
  <c r="F49" i="6"/>
  <c r="D49" i="6"/>
  <c r="R48" i="6"/>
  <c r="Q48" i="6"/>
  <c r="P48" i="6"/>
  <c r="O48" i="6"/>
  <c r="N48" i="6"/>
  <c r="M48" i="6"/>
  <c r="F48" i="6"/>
  <c r="E48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R36" i="6"/>
  <c r="R62" i="6" s="1"/>
  <c r="Q35" i="6"/>
  <c r="Q61" i="6" s="1"/>
  <c r="P34" i="6"/>
  <c r="P60" i="6" s="1"/>
  <c r="O33" i="6"/>
  <c r="O59" i="6" s="1"/>
  <c r="N32" i="6"/>
  <c r="N58" i="6" s="1"/>
  <c r="M31" i="6"/>
  <c r="M57" i="6" s="1"/>
  <c r="L30" i="6"/>
  <c r="L56" i="6" s="1"/>
  <c r="K29" i="6"/>
  <c r="K55" i="6" s="1"/>
  <c r="J28" i="6"/>
  <c r="J54" i="6" s="1"/>
  <c r="C22" i="7"/>
  <c r="D22" i="7"/>
  <c r="E22" i="7"/>
  <c r="F22" i="7"/>
  <c r="G22" i="7"/>
  <c r="H22" i="7"/>
  <c r="B23" i="7"/>
  <c r="B24" i="7"/>
  <c r="B25" i="7"/>
  <c r="C22" i="1"/>
  <c r="D22" i="1"/>
  <c r="E22" i="1"/>
  <c r="F22" i="1"/>
  <c r="G22" i="1"/>
  <c r="H22" i="1"/>
  <c r="B23" i="1"/>
  <c r="B24" i="1"/>
  <c r="B25" i="1"/>
  <c r="C22" i="5"/>
  <c r="D22" i="5"/>
  <c r="E22" i="5"/>
  <c r="F22" i="5"/>
  <c r="G22" i="5"/>
  <c r="H22" i="5"/>
  <c r="B23" i="5"/>
  <c r="B24" i="5"/>
  <c r="B25" i="5"/>
  <c r="H22" i="9"/>
  <c r="G22" i="9"/>
  <c r="F22" i="9"/>
  <c r="E22" i="9"/>
  <c r="D22" i="9"/>
  <c r="C22" i="9"/>
  <c r="B25" i="9"/>
  <c r="B24" i="9"/>
  <c r="B23" i="9"/>
  <c r="B30" i="9"/>
  <c r="B27" i="9"/>
  <c r="B26" i="9"/>
  <c r="H25" i="9"/>
  <c r="G25" i="9"/>
  <c r="F25" i="9"/>
  <c r="E25" i="9"/>
  <c r="D25" i="9"/>
  <c r="C25" i="9"/>
  <c r="H24" i="9"/>
  <c r="G24" i="9"/>
  <c r="F24" i="9"/>
  <c r="E24" i="9"/>
  <c r="D24" i="9"/>
  <c r="C24" i="9"/>
  <c r="K23" i="9"/>
  <c r="H23" i="9"/>
  <c r="G23" i="9"/>
  <c r="F23" i="9"/>
  <c r="E23" i="9"/>
  <c r="D23" i="9"/>
  <c r="C23" i="9"/>
  <c r="K22" i="9"/>
  <c r="J22" i="9"/>
  <c r="I22" i="9"/>
  <c r="L21" i="9"/>
  <c r="I21" i="9"/>
  <c r="D15" i="9"/>
  <c r="D14" i="9"/>
  <c r="D16" i="9" s="1"/>
  <c r="M12" i="9"/>
  <c r="L12" i="9"/>
  <c r="L30" i="9" s="1"/>
  <c r="H12" i="9"/>
  <c r="H30" i="9" s="1"/>
  <c r="E12" i="9"/>
  <c r="E30" i="9" s="1"/>
  <c r="K10" i="9"/>
  <c r="E46" i="9" s="1"/>
  <c r="J10" i="9"/>
  <c r="D46" i="9" s="1"/>
  <c r="I10" i="9"/>
  <c r="K9" i="9"/>
  <c r="K27" i="9" s="1"/>
  <c r="J9" i="9"/>
  <c r="J27" i="9" s="1"/>
  <c r="I9" i="9"/>
  <c r="I27" i="9" s="1"/>
  <c r="H8" i="9"/>
  <c r="H26" i="9" s="1"/>
  <c r="G8" i="9"/>
  <c r="G26" i="9" s="1"/>
  <c r="F8" i="9"/>
  <c r="F26" i="9" s="1"/>
  <c r="E8" i="9"/>
  <c r="E26" i="9" s="1"/>
  <c r="D8" i="9"/>
  <c r="D26" i="9" s="1"/>
  <c r="C8" i="9"/>
  <c r="C26" i="9" s="1"/>
  <c r="M7" i="9"/>
  <c r="E45" i="9" s="1"/>
  <c r="L7" i="9"/>
  <c r="L26" i="9" s="1"/>
  <c r="K7" i="9"/>
  <c r="J7" i="9"/>
  <c r="I7" i="9"/>
  <c r="M6" i="9"/>
  <c r="D45" i="9" s="1"/>
  <c r="L6" i="9"/>
  <c r="L24" i="9" s="1"/>
  <c r="K6" i="9"/>
  <c r="K24" i="9" s="1"/>
  <c r="J6" i="9"/>
  <c r="J24" i="9" s="1"/>
  <c r="I6" i="9"/>
  <c r="I24" i="9" s="1"/>
  <c r="M5" i="9"/>
  <c r="C45" i="9" s="1"/>
  <c r="L5" i="9"/>
  <c r="L23" i="9" s="1"/>
  <c r="K5" i="9"/>
  <c r="J5" i="9"/>
  <c r="J23" i="9" s="1"/>
  <c r="I5" i="9"/>
  <c r="I23" i="9" s="1"/>
  <c r="R27" i="6"/>
  <c r="R53" i="6" s="1"/>
  <c r="O27" i="6"/>
  <c r="O53" i="6" s="1"/>
  <c r="L27" i="6"/>
  <c r="L53" i="6" s="1"/>
  <c r="Q26" i="6"/>
  <c r="Q52" i="6" s="1"/>
  <c r="N26" i="6"/>
  <c r="N52" i="6" s="1"/>
  <c r="K26" i="6"/>
  <c r="K52" i="6" s="1"/>
  <c r="P25" i="6"/>
  <c r="P51" i="6" s="1"/>
  <c r="M25" i="6"/>
  <c r="M51" i="6" s="1"/>
  <c r="J25" i="6"/>
  <c r="J51" i="6" s="1"/>
  <c r="R24" i="6"/>
  <c r="R50" i="6" s="1"/>
  <c r="Q24" i="6"/>
  <c r="Q50" i="6" s="1"/>
  <c r="P24" i="6"/>
  <c r="P50" i="6" s="1"/>
  <c r="O23" i="6"/>
  <c r="O49" i="6" s="1"/>
  <c r="N23" i="6"/>
  <c r="N49" i="6" s="1"/>
  <c r="M23" i="6"/>
  <c r="M49" i="6" s="1"/>
  <c r="L22" i="6"/>
  <c r="L48" i="6" s="1"/>
  <c r="K22" i="6"/>
  <c r="K48" i="6" s="1"/>
  <c r="J22" i="6"/>
  <c r="J48" i="6" s="1"/>
  <c r="R21" i="6"/>
  <c r="R47" i="6" s="1"/>
  <c r="Q21" i="6"/>
  <c r="Q47" i="6" s="1"/>
  <c r="P21" i="6"/>
  <c r="P47" i="6" s="1"/>
  <c r="O21" i="6"/>
  <c r="O47" i="6" s="1"/>
  <c r="N21" i="6"/>
  <c r="N47" i="6" s="1"/>
  <c r="M21" i="6"/>
  <c r="M47" i="6" s="1"/>
  <c r="L21" i="6"/>
  <c r="L47" i="6" s="1"/>
  <c r="K21" i="6"/>
  <c r="K47" i="6" s="1"/>
  <c r="J21" i="6"/>
  <c r="J47" i="6" s="1"/>
  <c r="I36" i="6"/>
  <c r="I62" i="6" s="1"/>
  <c r="F36" i="6"/>
  <c r="F62" i="6" s="1"/>
  <c r="C36" i="6"/>
  <c r="C62" i="6" s="1"/>
  <c r="H35" i="6"/>
  <c r="H61" i="6" s="1"/>
  <c r="F35" i="6"/>
  <c r="F61" i="6" s="1"/>
  <c r="C35" i="6"/>
  <c r="C61" i="6" s="1"/>
  <c r="G34" i="6"/>
  <c r="G60" i="6" s="1"/>
  <c r="F34" i="6"/>
  <c r="F60" i="6" s="1"/>
  <c r="C34" i="6"/>
  <c r="C60" i="6" s="1"/>
  <c r="I33" i="6"/>
  <c r="I59" i="6" s="1"/>
  <c r="E33" i="6"/>
  <c r="E59" i="6" s="1"/>
  <c r="C33" i="6"/>
  <c r="H32" i="6"/>
  <c r="H58" i="6" s="1"/>
  <c r="E32" i="6"/>
  <c r="E58" i="6" s="1"/>
  <c r="C32" i="6"/>
  <c r="C58" i="6" s="1"/>
  <c r="G31" i="6"/>
  <c r="G57" i="6" s="1"/>
  <c r="E31" i="6"/>
  <c r="E57" i="6" s="1"/>
  <c r="C31" i="6"/>
  <c r="C57" i="6" s="1"/>
  <c r="I30" i="6"/>
  <c r="I56" i="6" s="1"/>
  <c r="D30" i="6"/>
  <c r="D56" i="6" s="1"/>
  <c r="C30" i="6"/>
  <c r="C56" i="6" s="1"/>
  <c r="H29" i="6"/>
  <c r="H55" i="6" s="1"/>
  <c r="D29" i="6"/>
  <c r="D55" i="6" s="1"/>
  <c r="C29" i="6"/>
  <c r="C55" i="6" s="1"/>
  <c r="G28" i="6"/>
  <c r="G54" i="6" s="1"/>
  <c r="D28" i="6"/>
  <c r="D54" i="6" s="1"/>
  <c r="C28" i="6"/>
  <c r="C54" i="6" s="1"/>
  <c r="I27" i="6"/>
  <c r="I53" i="6" s="1"/>
  <c r="F27" i="6"/>
  <c r="F53" i="6" s="1"/>
  <c r="E27" i="6"/>
  <c r="E53" i="6" s="1"/>
  <c r="D27" i="6"/>
  <c r="D53" i="6" s="1"/>
  <c r="C27" i="6"/>
  <c r="C53" i="6" s="1"/>
  <c r="H26" i="6"/>
  <c r="H52" i="6" s="1"/>
  <c r="F26" i="6"/>
  <c r="F52" i="6" s="1"/>
  <c r="E26" i="6"/>
  <c r="E52" i="6" s="1"/>
  <c r="D26" i="6"/>
  <c r="D52" i="6" s="1"/>
  <c r="C26" i="6"/>
  <c r="C52" i="6" s="1"/>
  <c r="G25" i="6"/>
  <c r="G51" i="6" s="1"/>
  <c r="F25" i="6"/>
  <c r="F51" i="6" s="1"/>
  <c r="E25" i="6"/>
  <c r="E51" i="6" s="1"/>
  <c r="D25" i="6"/>
  <c r="D51" i="6" s="1"/>
  <c r="C25" i="6"/>
  <c r="C51" i="6" s="1"/>
  <c r="I24" i="6"/>
  <c r="I50" i="6" s="1"/>
  <c r="H24" i="6"/>
  <c r="H50" i="6" s="1"/>
  <c r="G24" i="6"/>
  <c r="G50" i="6" s="1"/>
  <c r="F24" i="6"/>
  <c r="F50" i="6" s="1"/>
  <c r="C24" i="6"/>
  <c r="C50" i="6" s="1"/>
  <c r="I23" i="6"/>
  <c r="I49" i="6" s="1"/>
  <c r="H23" i="6"/>
  <c r="H49" i="6" s="1"/>
  <c r="G23" i="6"/>
  <c r="G49" i="6" s="1"/>
  <c r="E23" i="6"/>
  <c r="E49" i="6" s="1"/>
  <c r="C23" i="6"/>
  <c r="C49" i="6" s="1"/>
  <c r="I22" i="6"/>
  <c r="I48" i="6" s="1"/>
  <c r="H22" i="6"/>
  <c r="H48" i="6" s="1"/>
  <c r="G22" i="6"/>
  <c r="G48" i="6" s="1"/>
  <c r="D22" i="6"/>
  <c r="D48" i="6" s="1"/>
  <c r="C22" i="6"/>
  <c r="C48" i="6" s="1"/>
  <c r="I21" i="6"/>
  <c r="I47" i="6" s="1"/>
  <c r="H21" i="6"/>
  <c r="H47" i="6" s="1"/>
  <c r="G21" i="6"/>
  <c r="G47" i="6" s="1"/>
  <c r="F21" i="6"/>
  <c r="F47" i="6" s="1"/>
  <c r="E21" i="6"/>
  <c r="E47" i="6" s="1"/>
  <c r="D21" i="6"/>
  <c r="D47" i="6" s="1"/>
  <c r="C21" i="6"/>
  <c r="C47" i="6" s="1"/>
  <c r="B30" i="7"/>
  <c r="B27" i="7"/>
  <c r="B26" i="7"/>
  <c r="H25" i="7"/>
  <c r="G25" i="7"/>
  <c r="F25" i="7"/>
  <c r="E25" i="7"/>
  <c r="D25" i="7"/>
  <c r="C25" i="7"/>
  <c r="H24" i="7"/>
  <c r="G24" i="7"/>
  <c r="F24" i="7"/>
  <c r="E24" i="7"/>
  <c r="D24" i="7"/>
  <c r="C24" i="7"/>
  <c r="H23" i="7"/>
  <c r="G23" i="7"/>
  <c r="F23" i="7"/>
  <c r="E23" i="7"/>
  <c r="D23" i="7"/>
  <c r="C23" i="7"/>
  <c r="K22" i="7"/>
  <c r="J22" i="7"/>
  <c r="I22" i="7"/>
  <c r="L21" i="7"/>
  <c r="I21" i="7"/>
  <c r="D15" i="7"/>
  <c r="D14" i="7"/>
  <c r="D37" i="7" s="1"/>
  <c r="M12" i="7"/>
  <c r="L12" i="7"/>
  <c r="L30" i="7" s="1"/>
  <c r="H12" i="7"/>
  <c r="H30" i="7" s="1"/>
  <c r="E12" i="7"/>
  <c r="E30" i="7" s="1"/>
  <c r="K10" i="7"/>
  <c r="K11" i="7" s="1"/>
  <c r="K29" i="7" s="1"/>
  <c r="J10" i="7"/>
  <c r="D46" i="7" s="1"/>
  <c r="I10" i="7"/>
  <c r="C46" i="7" s="1"/>
  <c r="K9" i="7"/>
  <c r="K27" i="7" s="1"/>
  <c r="J9" i="7"/>
  <c r="J27" i="7" s="1"/>
  <c r="I9" i="7"/>
  <c r="I27" i="7" s="1"/>
  <c r="H8" i="7"/>
  <c r="H26" i="7" s="1"/>
  <c r="G8" i="7"/>
  <c r="G26" i="7" s="1"/>
  <c r="F8" i="7"/>
  <c r="F26" i="7" s="1"/>
  <c r="E8" i="7"/>
  <c r="E26" i="7" s="1"/>
  <c r="D8" i="7"/>
  <c r="D26" i="7" s="1"/>
  <c r="C8" i="7"/>
  <c r="C26" i="7" s="1"/>
  <c r="M7" i="7"/>
  <c r="N7" i="7" s="1"/>
  <c r="N25" i="7" s="1"/>
  <c r="L7" i="7"/>
  <c r="L25" i="7" s="1"/>
  <c r="K7" i="7"/>
  <c r="J7" i="7"/>
  <c r="I7" i="7"/>
  <c r="M6" i="7"/>
  <c r="D45" i="7" s="1"/>
  <c r="L6" i="7"/>
  <c r="L24" i="7" s="1"/>
  <c r="K6" i="7"/>
  <c r="K24" i="7" s="1"/>
  <c r="J6" i="7"/>
  <c r="J24" i="7" s="1"/>
  <c r="I6" i="7"/>
  <c r="I24" i="7" s="1"/>
  <c r="M5" i="7"/>
  <c r="C45" i="7" s="1"/>
  <c r="L5" i="7"/>
  <c r="L23" i="7" s="1"/>
  <c r="K5" i="7"/>
  <c r="K23" i="7" s="1"/>
  <c r="J5" i="7"/>
  <c r="J23" i="7" s="1"/>
  <c r="I5" i="7"/>
  <c r="I23" i="7" s="1"/>
  <c r="S58" i="6" l="1"/>
  <c r="S59" i="6"/>
  <c r="S54" i="6"/>
  <c r="S50" i="6"/>
  <c r="S52" i="6"/>
  <c r="S49" i="6"/>
  <c r="S61" i="6"/>
  <c r="S56" i="6"/>
  <c r="G31" i="10"/>
  <c r="H31" i="10"/>
  <c r="I31" i="10"/>
  <c r="K31" i="10"/>
  <c r="C31" i="10"/>
  <c r="D31" i="10"/>
  <c r="E31" i="10"/>
  <c r="J31" i="10"/>
  <c r="F31" i="10"/>
  <c r="C77" i="10" a="1"/>
  <c r="C77" i="10" s="1"/>
  <c r="I34" i="10"/>
  <c r="I37" i="10"/>
  <c r="G39" i="10"/>
  <c r="C32" i="10"/>
  <c r="J34" i="10"/>
  <c r="D37" i="10"/>
  <c r="D32" i="10"/>
  <c r="K34" i="10"/>
  <c r="E37" i="10"/>
  <c r="C33" i="10"/>
  <c r="C35" i="10"/>
  <c r="F37" i="10"/>
  <c r="E33" i="10"/>
  <c r="G35" i="10"/>
  <c r="G37" i="10"/>
  <c r="H33" i="10"/>
  <c r="H35" i="10"/>
  <c r="C38" i="10"/>
  <c r="C39" i="10"/>
  <c r="K33" i="10"/>
  <c r="J32" i="10"/>
  <c r="K35" i="10"/>
  <c r="F38" i="10"/>
  <c r="K32" i="10"/>
  <c r="C36" i="10"/>
  <c r="G38" i="10"/>
  <c r="F39" i="10"/>
  <c r="E38" i="10"/>
  <c r="I33" i="10"/>
  <c r="D36" i="10"/>
  <c r="J38" i="10"/>
  <c r="F36" i="10"/>
  <c r="C34" i="10"/>
  <c r="G36" i="10"/>
  <c r="D39" i="10"/>
  <c r="F34" i="10"/>
  <c r="H36" i="10"/>
  <c r="E39" i="10"/>
  <c r="H34" i="10"/>
  <c r="C37" i="10"/>
  <c r="H32" i="10"/>
  <c r="I35" i="10"/>
  <c r="D38" i="10"/>
  <c r="I32" i="10"/>
  <c r="J35" i="10"/>
  <c r="J33" i="10"/>
  <c r="E36" i="10"/>
  <c r="K39" i="10"/>
  <c r="O9" i="8"/>
  <c r="S62" i="6"/>
  <c r="S55" i="6"/>
  <c r="S57" i="6"/>
  <c r="S48" i="6"/>
  <c r="S51" i="6"/>
  <c r="S53" i="6"/>
  <c r="S60" i="6"/>
  <c r="S47" i="6"/>
  <c r="K25" i="9"/>
  <c r="J25" i="9"/>
  <c r="I25" i="9"/>
  <c r="L25" i="9"/>
  <c r="N5" i="9"/>
  <c r="N23" i="9" s="1"/>
  <c r="I11" i="9"/>
  <c r="I29" i="9" s="1"/>
  <c r="N6" i="9"/>
  <c r="N24" i="9" s="1"/>
  <c r="K11" i="9"/>
  <c r="K29" i="9" s="1"/>
  <c r="C46" i="9"/>
  <c r="D17" i="9"/>
  <c r="C37" i="9" s="1"/>
  <c r="E37" i="9" s="1"/>
  <c r="D39" i="9"/>
  <c r="D37" i="9"/>
  <c r="D38" i="9"/>
  <c r="J11" i="9"/>
  <c r="J29" i="9" s="1"/>
  <c r="N7" i="9"/>
  <c r="N25" i="9" s="1"/>
  <c r="D40" i="9"/>
  <c r="E45" i="7"/>
  <c r="E46" i="7"/>
  <c r="I25" i="7"/>
  <c r="J25" i="7"/>
  <c r="K25" i="7"/>
  <c r="N5" i="7"/>
  <c r="N23" i="7" s="1"/>
  <c r="L26" i="7"/>
  <c r="N6" i="7"/>
  <c r="N24" i="7" s="1"/>
  <c r="I11" i="7"/>
  <c r="I29" i="7" s="1"/>
  <c r="J11" i="7"/>
  <c r="J29" i="7" s="1"/>
  <c r="D16" i="7"/>
  <c r="D40" i="7" s="1"/>
  <c r="D38" i="7"/>
  <c r="D33" i="7"/>
  <c r="F17" i="6"/>
  <c r="S36" i="6" s="1"/>
  <c r="E17" i="6"/>
  <c r="S35" i="6" s="1"/>
  <c r="D17" i="6"/>
  <c r="S34" i="6" s="1"/>
  <c r="F16" i="6"/>
  <c r="S33" i="6" s="1"/>
  <c r="E16" i="6"/>
  <c r="F15" i="6"/>
  <c r="S30" i="6" s="1"/>
  <c r="E15" i="6"/>
  <c r="S29" i="6" s="1"/>
  <c r="D15" i="6"/>
  <c r="S28" i="6" s="1"/>
  <c r="B30" i="5"/>
  <c r="B27" i="5"/>
  <c r="B26" i="5"/>
  <c r="H25" i="5"/>
  <c r="G25" i="5"/>
  <c r="F25" i="5"/>
  <c r="E25" i="5"/>
  <c r="D25" i="5"/>
  <c r="C25" i="5"/>
  <c r="H24" i="5"/>
  <c r="G24" i="5"/>
  <c r="F24" i="5"/>
  <c r="E24" i="5"/>
  <c r="D24" i="5"/>
  <c r="C24" i="5"/>
  <c r="H23" i="5"/>
  <c r="G23" i="5"/>
  <c r="F23" i="5"/>
  <c r="E23" i="5"/>
  <c r="D23" i="5"/>
  <c r="C23" i="5"/>
  <c r="K22" i="5"/>
  <c r="J22" i="5"/>
  <c r="I22" i="5"/>
  <c r="L21" i="5"/>
  <c r="I21" i="5"/>
  <c r="D15" i="5"/>
  <c r="D38" i="5" s="1"/>
  <c r="D14" i="5"/>
  <c r="D37" i="5" s="1"/>
  <c r="M12" i="5"/>
  <c r="L12" i="5"/>
  <c r="L30" i="5" s="1"/>
  <c r="H12" i="5"/>
  <c r="H30" i="5" s="1"/>
  <c r="E12" i="5"/>
  <c r="E30" i="5" s="1"/>
  <c r="K10" i="5"/>
  <c r="E46" i="5" s="1"/>
  <c r="J10" i="5"/>
  <c r="D46" i="5" s="1"/>
  <c r="I10" i="5"/>
  <c r="K9" i="5"/>
  <c r="K27" i="5" s="1"/>
  <c r="J9" i="5"/>
  <c r="J27" i="5" s="1"/>
  <c r="I9" i="5"/>
  <c r="I27" i="5" s="1"/>
  <c r="H8" i="5"/>
  <c r="H26" i="5" s="1"/>
  <c r="G8" i="5"/>
  <c r="G26" i="5" s="1"/>
  <c r="F8" i="5"/>
  <c r="F26" i="5" s="1"/>
  <c r="E8" i="5"/>
  <c r="E26" i="5" s="1"/>
  <c r="D8" i="5"/>
  <c r="D26" i="5" s="1"/>
  <c r="C8" i="5"/>
  <c r="C26" i="5" s="1"/>
  <c r="M7" i="5"/>
  <c r="E45" i="5" s="1"/>
  <c r="L7" i="5"/>
  <c r="L26" i="5" s="1"/>
  <c r="K7" i="5"/>
  <c r="K25" i="5" s="1"/>
  <c r="J7" i="5"/>
  <c r="J25" i="5" s="1"/>
  <c r="I7" i="5"/>
  <c r="I25" i="5" s="1"/>
  <c r="M6" i="5"/>
  <c r="L6" i="5"/>
  <c r="L24" i="5" s="1"/>
  <c r="K6" i="5"/>
  <c r="K24" i="5" s="1"/>
  <c r="J6" i="5"/>
  <c r="J24" i="5" s="1"/>
  <c r="I6" i="5"/>
  <c r="I24" i="5" s="1"/>
  <c r="M5" i="5"/>
  <c r="C45" i="5" s="1"/>
  <c r="L5" i="5"/>
  <c r="L23" i="5" s="1"/>
  <c r="K5" i="5"/>
  <c r="K23" i="5" s="1"/>
  <c r="J5" i="5"/>
  <c r="J23" i="5" s="1"/>
  <c r="I5" i="5"/>
  <c r="I23" i="5" s="1"/>
  <c r="K10" i="1"/>
  <c r="E46" i="1" s="1"/>
  <c r="J10" i="1"/>
  <c r="D46" i="1" s="1"/>
  <c r="I10" i="1"/>
  <c r="C46" i="1" s="1"/>
  <c r="K9" i="1"/>
  <c r="K27" i="1" s="1"/>
  <c r="J9" i="1"/>
  <c r="J27" i="1" s="1"/>
  <c r="I9" i="1"/>
  <c r="I27" i="1" s="1"/>
  <c r="M12" i="1"/>
  <c r="M7" i="1"/>
  <c r="M6" i="1"/>
  <c r="D45" i="1" s="1"/>
  <c r="M5" i="1"/>
  <c r="C45" i="1" s="1"/>
  <c r="I21" i="1"/>
  <c r="L21" i="1"/>
  <c r="I22" i="1"/>
  <c r="J22" i="1"/>
  <c r="K22" i="1"/>
  <c r="B26" i="1"/>
  <c r="B27" i="1"/>
  <c r="B30" i="1"/>
  <c r="C23" i="1"/>
  <c r="D23" i="1"/>
  <c r="E23" i="1"/>
  <c r="F23" i="1"/>
  <c r="G23" i="1"/>
  <c r="H23" i="1"/>
  <c r="C24" i="1"/>
  <c r="D24" i="1"/>
  <c r="E24" i="1"/>
  <c r="F24" i="1"/>
  <c r="G24" i="1"/>
  <c r="H24" i="1"/>
  <c r="C25" i="1"/>
  <c r="D25" i="1"/>
  <c r="E25" i="1"/>
  <c r="F25" i="1"/>
  <c r="G25" i="1"/>
  <c r="H25" i="1"/>
  <c r="K7" i="1"/>
  <c r="K25" i="1" s="1"/>
  <c r="J7" i="1"/>
  <c r="I7" i="1"/>
  <c r="K6" i="1"/>
  <c r="K24" i="1" s="1"/>
  <c r="J6" i="1"/>
  <c r="J24" i="1" s="1"/>
  <c r="I6" i="1"/>
  <c r="I24" i="1" s="1"/>
  <c r="K5" i="1"/>
  <c r="K23" i="1" s="1"/>
  <c r="J5" i="1"/>
  <c r="J23" i="1" s="1"/>
  <c r="I5" i="1"/>
  <c r="I23" i="1" s="1"/>
  <c r="H12" i="1"/>
  <c r="H30" i="1" s="1"/>
  <c r="E12" i="1"/>
  <c r="E30" i="1" s="1"/>
  <c r="L12" i="1"/>
  <c r="L30" i="1" s="1"/>
  <c r="H8" i="1"/>
  <c r="H26" i="1" s="1"/>
  <c r="G8" i="1"/>
  <c r="G26" i="1" s="1"/>
  <c r="F8" i="1"/>
  <c r="F26" i="1" s="1"/>
  <c r="E8" i="1"/>
  <c r="E26" i="1" s="1"/>
  <c r="D8" i="1"/>
  <c r="D26" i="1" s="1"/>
  <c r="C8" i="1"/>
  <c r="C26" i="1" s="1"/>
  <c r="L5" i="1"/>
  <c r="L23" i="1" s="1"/>
  <c r="L7" i="1"/>
  <c r="L25" i="1" s="1"/>
  <c r="L6" i="1"/>
  <c r="L24" i="1" s="1"/>
  <c r="D14" i="1"/>
  <c r="D16" i="1" s="1"/>
  <c r="D15" i="1"/>
  <c r="G16" i="6" l="1"/>
  <c r="S23" i="6" s="1"/>
  <c r="S32" i="6"/>
  <c r="M31" i="10"/>
  <c r="M39" i="10"/>
  <c r="M33" i="10"/>
  <c r="M38" i="10"/>
  <c r="C64" i="10" a="1"/>
  <c r="C64" i="10" s="1"/>
  <c r="C75" i="10" s="1" a="1"/>
  <c r="C75" i="10" s="1"/>
  <c r="M32" i="10"/>
  <c r="M34" i="10"/>
  <c r="M35" i="10"/>
  <c r="M37" i="10"/>
  <c r="M36" i="10"/>
  <c r="D18" i="6"/>
  <c r="S25" i="6" s="1"/>
  <c r="G18" i="6"/>
  <c r="S21" i="6" s="1"/>
  <c r="E18" i="6"/>
  <c r="S26" i="6" s="1"/>
  <c r="F18" i="6"/>
  <c r="S27" i="6" s="1"/>
  <c r="G17" i="6"/>
  <c r="S24" i="6" s="1"/>
  <c r="D32" i="9"/>
  <c r="D33" i="9"/>
  <c r="C39" i="9"/>
  <c r="E39" i="9" s="1"/>
  <c r="C38" i="9"/>
  <c r="E38" i="9" s="1"/>
  <c r="D42" i="9"/>
  <c r="D34" i="9"/>
  <c r="I11" i="5"/>
  <c r="I29" i="5" s="1"/>
  <c r="C46" i="5"/>
  <c r="N6" i="5"/>
  <c r="N24" i="5" s="1"/>
  <c r="D45" i="5"/>
  <c r="N7" i="1"/>
  <c r="N25" i="1" s="1"/>
  <c r="E45" i="1"/>
  <c r="D32" i="7"/>
  <c r="D39" i="7"/>
  <c r="D17" i="7"/>
  <c r="C37" i="7"/>
  <c r="E37" i="7" s="1"/>
  <c r="G15" i="6"/>
  <c r="S22" i="6" s="1"/>
  <c r="K11" i="5"/>
  <c r="K29" i="5" s="1"/>
  <c r="J11" i="5"/>
  <c r="J29" i="5" s="1"/>
  <c r="N7" i="5"/>
  <c r="N25" i="5" s="1"/>
  <c r="L25" i="5"/>
  <c r="N5" i="5"/>
  <c r="N23" i="5" s="1"/>
  <c r="D16" i="5"/>
  <c r="D17" i="5" s="1"/>
  <c r="I11" i="1"/>
  <c r="I29" i="1" s="1"/>
  <c r="D38" i="1"/>
  <c r="D39" i="1"/>
  <c r="D40" i="1"/>
  <c r="N5" i="1"/>
  <c r="N23" i="1" s="1"/>
  <c r="N6" i="1"/>
  <c r="N24" i="1" s="1"/>
  <c r="K11" i="1"/>
  <c r="K29" i="1" s="1"/>
  <c r="J11" i="1"/>
  <c r="J29" i="1" s="1"/>
  <c r="L26" i="1"/>
  <c r="I25" i="1"/>
  <c r="J25" i="1"/>
  <c r="D37" i="1"/>
  <c r="D17" i="1"/>
  <c r="D34" i="1" s="1"/>
  <c r="C79" i="10" l="1" a="1"/>
  <c r="C79" i="10" s="1"/>
  <c r="C85" i="10" s="1"/>
  <c r="C87" i="10" s="1"/>
  <c r="D33" i="5"/>
  <c r="C40" i="9"/>
  <c r="E40" i="9" s="1"/>
  <c r="C42" i="9"/>
  <c r="D42" i="7"/>
  <c r="D34" i="7"/>
  <c r="C39" i="7"/>
  <c r="E39" i="7" s="1"/>
  <c r="C40" i="7"/>
  <c r="E40" i="7" s="1"/>
  <c r="C38" i="7"/>
  <c r="E38" i="7" s="1"/>
  <c r="D42" i="5"/>
  <c r="D34" i="5"/>
  <c r="C39" i="5"/>
  <c r="C38" i="5"/>
  <c r="E38" i="5" s="1"/>
  <c r="D32" i="5"/>
  <c r="D39" i="5"/>
  <c r="G39" i="5" s="1"/>
  <c r="D40" i="5"/>
  <c r="G40" i="5" s="1"/>
  <c r="C37" i="5"/>
  <c r="E37" i="5" s="1"/>
  <c r="D32" i="1"/>
  <c r="C37" i="1"/>
  <c r="E37" i="1" s="1"/>
  <c r="D42" i="1"/>
  <c r="C42" i="1"/>
  <c r="D33" i="1"/>
  <c r="C40" i="1"/>
  <c r="E40" i="1" s="1"/>
  <c r="C38" i="1"/>
  <c r="C39" i="1"/>
  <c r="E39" i="1" s="1"/>
  <c r="G37" i="5" l="1"/>
  <c r="G38" i="5"/>
  <c r="C40" i="5"/>
  <c r="C41" i="5" s="1"/>
  <c r="E41" i="5" s="1"/>
  <c r="C41" i="9"/>
  <c r="E41" i="9" s="1"/>
  <c r="F39" i="9" s="1"/>
  <c r="C42" i="7"/>
  <c r="C41" i="7"/>
  <c r="E41" i="7" s="1"/>
  <c r="F37" i="7" s="1"/>
  <c r="E40" i="5"/>
  <c r="E39" i="5"/>
  <c r="C42" i="5"/>
  <c r="C41" i="1"/>
  <c r="E41" i="1" s="1"/>
  <c r="F40" i="1" s="1"/>
  <c r="E38" i="1"/>
  <c r="F40" i="9" l="1"/>
  <c r="F37" i="9"/>
  <c r="F38" i="9"/>
  <c r="F40" i="7"/>
  <c r="F38" i="7"/>
  <c r="F39" i="7"/>
  <c r="F40" i="5"/>
  <c r="F39" i="5"/>
  <c r="F38" i="5"/>
  <c r="F37" i="5"/>
  <c r="F38" i="1"/>
  <c r="F37" i="1"/>
  <c r="F3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<sst xmlns="http://schemas.openxmlformats.org/spreadsheetml/2006/main" count="739" uniqueCount="181">
  <si>
    <t>Percentage of hardwood concentration</t>
  </si>
  <si>
    <t>Pressure</t>
  </si>
  <si>
    <t>Day 2</t>
  </si>
  <si>
    <t>a</t>
  </si>
  <si>
    <t>n</t>
  </si>
  <si>
    <r>
      <t>Day 1</t>
    </r>
    <r>
      <rPr>
        <b/>
        <sz val="12"/>
        <color theme="1"/>
        <rFont val="Times New Roman"/>
        <family val="1"/>
      </rPr>
      <t xml:space="preserve"> </t>
    </r>
  </si>
  <si>
    <t>b</t>
  </si>
  <si>
    <t>Y.j.</t>
  </si>
  <si>
    <t>Yij^2</t>
  </si>
  <si>
    <r>
      <t>SS</t>
    </r>
    <r>
      <rPr>
        <vertAlign val="subscript"/>
        <sz val="11"/>
        <color theme="1"/>
        <rFont val="Calibri"/>
        <family val="2"/>
        <scheme val="minor"/>
      </rPr>
      <t>Total</t>
    </r>
  </si>
  <si>
    <t>Source of Variation</t>
  </si>
  <si>
    <t>Sum of Squares</t>
  </si>
  <si>
    <t>Degrees of Freedom</t>
  </si>
  <si>
    <t>Mean Square</t>
  </si>
  <si>
    <r>
      <t>F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</si>
  <si>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Error</t>
  </si>
  <si>
    <t>Total</t>
  </si>
  <si>
    <t>Expected Mean Square</t>
  </si>
  <si>
    <t>Blocks</t>
  </si>
  <si>
    <t>Yi..</t>
  </si>
  <si>
    <t>Y.jk</t>
  </si>
  <si>
    <t>Y..k</t>
  </si>
  <si>
    <t>treatment count (Block) (k)</t>
  </si>
  <si>
    <t>abn</t>
  </si>
  <si>
    <t>treatment level (Factor A) (i)</t>
  </si>
  <si>
    <t>treatment level (Factor B) (j)</t>
  </si>
  <si>
    <t>Yij.</t>
  </si>
  <si>
    <r>
      <t>SS</t>
    </r>
    <r>
      <rPr>
        <vertAlign val="subscript"/>
        <sz val="11"/>
        <color theme="1"/>
        <rFont val="Calibri"/>
        <family val="2"/>
        <scheme val="minor"/>
      </rPr>
      <t>A</t>
    </r>
  </si>
  <si>
    <r>
      <t>SS</t>
    </r>
    <r>
      <rPr>
        <vertAlign val="subscript"/>
        <sz val="11"/>
        <color theme="1"/>
        <rFont val="Calibri"/>
        <family val="2"/>
        <scheme val="minor"/>
      </rPr>
      <t>B</t>
    </r>
  </si>
  <si>
    <t>Yi..(bar)</t>
  </si>
  <si>
    <t>Y.j.(bar)</t>
  </si>
  <si>
    <t>Yi..(bar) - Y…(bar)</t>
  </si>
  <si>
    <t>Y.j.(bar) - Y…(bar)</t>
  </si>
  <si>
    <r>
      <t>Error (SS</t>
    </r>
    <r>
      <rPr>
        <vertAlign val="subscript"/>
        <sz val="11"/>
        <color theme="1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>)</t>
    </r>
  </si>
  <si>
    <r>
      <t>Total (SS</t>
    </r>
    <r>
      <rPr>
        <vertAlign val="subscript"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>)</t>
    </r>
  </si>
  <si>
    <t>Iteration(AB)</t>
  </si>
  <si>
    <t>Factor(B)</t>
  </si>
  <si>
    <t>Factor(A)</t>
  </si>
  <si>
    <t>Copper content (%)</t>
  </si>
  <si>
    <t>Temperature
(0C)</t>
  </si>
  <si>
    <t>Critical F</t>
  </si>
  <si>
    <t>Temperature (</t>
  </si>
  <si>
    <t xml:space="preserve"> )</t>
  </si>
  <si>
    <t>17, ---</t>
  </si>
  <si>
    <t>---, ---</t>
  </si>
  <si>
    <t>16, 12</t>
  </si>
  <si>
    <t>16, ---</t>
  </si>
  <si>
    <t>18, 13</t>
  </si>
  <si>
    <t>18, 21</t>
  </si>
  <si>
    <t>24, 22</t>
  </si>
  <si>
    <t>17, 12</t>
  </si>
  <si>
    <t>25, ---</t>
  </si>
  <si>
    <t>Temperature</t>
  </si>
  <si>
    <t>Temperature
(T)</t>
  </si>
  <si>
    <t>Copper content (%) (B)</t>
  </si>
  <si>
    <t>µ</t>
  </si>
  <si>
    <t>Temperature (oC)</t>
  </si>
  <si>
    <t>Position</t>
  </si>
  <si>
    <t>Treatment Average:</t>
  </si>
  <si>
    <t>Row average (A)</t>
  </si>
  <si>
    <t>Row average (B)</t>
  </si>
  <si>
    <t>Operator1</t>
  </si>
  <si>
    <t>Operator2</t>
  </si>
  <si>
    <t>Tempurature</t>
  </si>
  <si>
    <t>Glass Type</t>
  </si>
  <si>
    <r>
      <t>TB</t>
    </r>
    <r>
      <rPr>
        <vertAlign val="subscript"/>
        <sz val="11"/>
        <color theme="1"/>
        <rFont val="Calibri"/>
        <family val="2"/>
        <scheme val="minor"/>
      </rPr>
      <t>11</t>
    </r>
  </si>
  <si>
    <r>
      <t>TB</t>
    </r>
    <r>
      <rPr>
        <vertAlign val="subscript"/>
        <sz val="11"/>
        <color theme="1"/>
        <rFont val="Calibri"/>
        <family val="2"/>
        <scheme val="minor"/>
      </rPr>
      <t>12</t>
    </r>
  </si>
  <si>
    <r>
      <t>TB</t>
    </r>
    <r>
      <rPr>
        <vertAlign val="subscript"/>
        <sz val="11"/>
        <color theme="1"/>
        <rFont val="Calibri"/>
        <family val="2"/>
        <scheme val="minor"/>
      </rPr>
      <t>13</t>
    </r>
  </si>
  <si>
    <r>
      <t>TB</t>
    </r>
    <r>
      <rPr>
        <vertAlign val="subscript"/>
        <sz val="11"/>
        <color theme="1"/>
        <rFont val="Calibri"/>
        <family val="2"/>
        <scheme val="minor"/>
      </rPr>
      <t>21</t>
    </r>
  </si>
  <si>
    <r>
      <t>TB</t>
    </r>
    <r>
      <rPr>
        <vertAlign val="subscript"/>
        <sz val="11"/>
        <color theme="1"/>
        <rFont val="Calibri"/>
        <family val="2"/>
        <scheme val="minor"/>
      </rPr>
      <t>22</t>
    </r>
  </si>
  <si>
    <r>
      <t>TB</t>
    </r>
    <r>
      <rPr>
        <vertAlign val="subscript"/>
        <sz val="11"/>
        <color theme="1"/>
        <rFont val="Calibri"/>
        <family val="2"/>
        <scheme val="minor"/>
      </rPr>
      <t>23</t>
    </r>
  </si>
  <si>
    <r>
      <t>TB</t>
    </r>
    <r>
      <rPr>
        <vertAlign val="subscript"/>
        <sz val="11"/>
        <color theme="1"/>
        <rFont val="Calibri"/>
        <family val="2"/>
        <scheme val="minor"/>
      </rPr>
      <t>31</t>
    </r>
  </si>
  <si>
    <r>
      <t>TB</t>
    </r>
    <r>
      <rPr>
        <vertAlign val="subscript"/>
        <sz val="11"/>
        <color theme="1"/>
        <rFont val="Calibri"/>
        <family val="2"/>
        <scheme val="minor"/>
      </rPr>
      <t>32</t>
    </r>
  </si>
  <si>
    <r>
      <t>TB</t>
    </r>
    <r>
      <rPr>
        <vertAlign val="subscript"/>
        <sz val="11"/>
        <color theme="1"/>
        <rFont val="Calibri"/>
        <family val="2"/>
        <scheme val="minor"/>
      </rPr>
      <t>33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</si>
  <si>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</si>
  <si>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T</t>
    </r>
    <r>
      <rPr>
        <vertAlign val="subscript"/>
        <sz val="11"/>
        <color theme="1"/>
        <rFont val="Calibri"/>
        <family val="2"/>
        <scheme val="minor"/>
      </rPr>
      <t>2</t>
    </r>
  </si>
  <si>
    <r>
      <t>T</t>
    </r>
    <r>
      <rPr>
        <vertAlign val="subscript"/>
        <sz val="11"/>
        <color theme="1"/>
        <rFont val="Calibri"/>
        <family val="2"/>
        <scheme val="minor"/>
      </rPr>
      <t>3</t>
    </r>
  </si>
  <si>
    <r>
      <t>B</t>
    </r>
    <r>
      <rPr>
        <vertAlign val="subscript"/>
        <sz val="11"/>
        <color theme="1"/>
        <rFont val="Calibri"/>
        <family val="2"/>
        <scheme val="minor"/>
      </rPr>
      <t>1</t>
    </r>
  </si>
  <si>
    <r>
      <t>B</t>
    </r>
    <r>
      <rPr>
        <vertAlign val="subscript"/>
        <sz val="11"/>
        <color theme="1"/>
        <rFont val="Calibri"/>
        <family val="2"/>
        <scheme val="minor"/>
      </rPr>
      <t>2</t>
    </r>
  </si>
  <si>
    <r>
      <t>B</t>
    </r>
    <r>
      <rPr>
        <vertAlign val="subscript"/>
        <sz val="11"/>
        <color theme="1"/>
        <rFont val="Calibri"/>
        <family val="2"/>
        <scheme val="minor"/>
      </rPr>
      <t>3</t>
    </r>
  </si>
  <si>
    <t>Treatment</t>
  </si>
  <si>
    <t>Block</t>
  </si>
  <si>
    <t>--</t>
  </si>
  <si>
    <t>Block (B)</t>
  </si>
  <si>
    <t>Treatment (T)</t>
  </si>
  <si>
    <r>
      <t>T</t>
    </r>
    <r>
      <rPr>
        <vertAlign val="subscript"/>
        <sz val="11"/>
        <color theme="1"/>
        <rFont val="Calibri"/>
        <family val="2"/>
        <scheme val="minor"/>
      </rPr>
      <t>4</t>
    </r>
  </si>
  <si>
    <r>
      <t>B</t>
    </r>
    <r>
      <rPr>
        <vertAlign val="subscript"/>
        <sz val="11"/>
        <color theme="1"/>
        <rFont val="Calibri"/>
        <family val="2"/>
        <scheme val="minor"/>
      </rPr>
      <t>4</t>
    </r>
  </si>
  <si>
    <t>Treatment Combination</t>
  </si>
  <si>
    <t>ab</t>
  </si>
  <si>
    <t>c</t>
  </si>
  <si>
    <t>ac</t>
  </si>
  <si>
    <t>bc</t>
  </si>
  <si>
    <t>abc</t>
  </si>
  <si>
    <t>Replicate I</t>
  </si>
  <si>
    <t>Replicate II</t>
  </si>
  <si>
    <t>A</t>
  </si>
  <si>
    <t>B</t>
  </si>
  <si>
    <t>C</t>
  </si>
  <si>
    <t>AB</t>
  </si>
  <si>
    <t>AC</t>
  </si>
  <si>
    <t>BC</t>
  </si>
  <si>
    <t>ABC</t>
  </si>
  <si>
    <t>Contrast</t>
  </si>
  <si>
    <t>Total Treatment</t>
  </si>
  <si>
    <t>Add</t>
  </si>
  <si>
    <t>alpha</t>
  </si>
  <si>
    <t>Replica</t>
  </si>
  <si>
    <t>Estimate</t>
  </si>
  <si>
    <t>SS</t>
  </si>
  <si>
    <t>2^k-1*no of replica</t>
  </si>
  <si>
    <t>Treatment (K)</t>
  </si>
  <si>
    <t>Estimation Division</t>
  </si>
  <si>
    <t>SS Division</t>
  </si>
  <si>
    <t>2^k*no of replica</t>
  </si>
  <si>
    <t>Calculation Result</t>
  </si>
  <si>
    <t>ANOVA</t>
  </si>
  <si>
    <t>DF</t>
  </si>
  <si>
    <t>Y…=</t>
  </si>
  <si>
    <t>Y…=^2</t>
  </si>
  <si>
    <t>Yijk^2</t>
  </si>
  <si>
    <t>F0</t>
  </si>
  <si>
    <t>Effect Plot</t>
  </si>
  <si>
    <t>A=-1</t>
  </si>
  <si>
    <t>A=1</t>
  </si>
  <si>
    <t>B=-1</t>
  </si>
  <si>
    <t>B=1</t>
  </si>
  <si>
    <t>Least Square Normal Equation</t>
  </si>
  <si>
    <t>Reduce two redundant equations</t>
  </si>
  <si>
    <r>
      <t>A</t>
    </r>
    <r>
      <rPr>
        <b/>
        <vertAlign val="superscript"/>
        <sz val="11"/>
        <color theme="1"/>
        <rFont val="Calibri"/>
        <family val="2"/>
        <scheme val="minor"/>
      </rPr>
      <t>-1</t>
    </r>
  </si>
  <si>
    <t>Solution</t>
  </si>
  <si>
    <r>
      <t>X = A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*B</t>
    </r>
  </si>
  <si>
    <t>T1</t>
  </si>
  <si>
    <t>T2</t>
  </si>
  <si>
    <t>T3</t>
  </si>
  <si>
    <t>T4</t>
  </si>
  <si>
    <t>B1</t>
  </si>
  <si>
    <t>B2</t>
  </si>
  <si>
    <t>B3</t>
  </si>
  <si>
    <t>B4</t>
  </si>
  <si>
    <t>µ, T, B</t>
  </si>
  <si>
    <t>With Reduce Model</t>
  </si>
  <si>
    <t>µ, B</t>
  </si>
  <si>
    <t>R(µ, T, B)</t>
  </si>
  <si>
    <t>df_R(µ, T, B)</t>
  </si>
  <si>
    <t>SSE</t>
  </si>
  <si>
    <t>DF_E</t>
  </si>
  <si>
    <t>MSE</t>
  </si>
  <si>
    <t>R(µ, B)</t>
  </si>
  <si>
    <t>df_R(µ, B)</t>
  </si>
  <si>
    <t>ABC confounded</t>
  </si>
  <si>
    <t>AC confounded</t>
  </si>
  <si>
    <t>Replicates</t>
  </si>
  <si>
    <t>(a+b-1(for total))-2(1 for each factor. We have two factors, so it is 2)</t>
  </si>
  <si>
    <t>Total observation</t>
  </si>
  <si>
    <t>Total observation - df_R</t>
  </si>
  <si>
    <t>(a, b, c)</t>
  </si>
  <si>
    <t>Total (N)</t>
  </si>
  <si>
    <t>Total Treatment (2^k)</t>
  </si>
  <si>
    <t>Block1</t>
  </si>
  <si>
    <t xml:space="preserve">ac </t>
  </si>
  <si>
    <t xml:space="preserve">b </t>
  </si>
  <si>
    <t>ABC-Rep-2</t>
  </si>
  <si>
    <t>AC-Rep-1</t>
  </si>
  <si>
    <t>AC-Block-2</t>
  </si>
  <si>
    <t>ABC-Block-1</t>
  </si>
  <si>
    <t>Blocks within Replicates
ABC-Rep-1+AC-Rep-2</t>
  </si>
  <si>
    <t>𝛼</t>
  </si>
  <si>
    <t>At alpha=0.05, all effects are not significant (However, if we use a higher value of α we can conclude that A is significant).</t>
  </si>
  <si>
    <t>We have 15 normal equations in which 8 are redundant (to be precise, it is 7!).</t>
  </si>
  <si>
    <t xml:space="preserve">However, there 8 redundant equations can be replaced by </t>
  </si>
  <si>
    <t>So, we still have 15 equations.  But we need to determine 16 parameters!</t>
  </si>
  <si>
    <t>Therefore, it is impossible to solve for all parameters.  This problem occurs because of the fact that we don’t have data to analyze the interaction effect.</t>
  </si>
  <si>
    <t>An assumption that   (i.e., do not exist) should be made to help determine the remaining parameters.</t>
  </si>
  <si>
    <t>Operator</t>
  </si>
  <si>
    <t>Machine</t>
  </si>
  <si>
    <t>p-value</t>
  </si>
  <si>
    <t>Day</t>
  </si>
  <si>
    <t>*</t>
  </si>
  <si>
    <r>
      <t>SS</t>
    </r>
    <r>
      <rPr>
        <b/>
        <vertAlign val="subscript"/>
        <sz val="11"/>
        <color theme="1"/>
        <rFont val="Calibri"/>
        <family val="2"/>
        <scheme val="minor"/>
      </rPr>
      <t>Treatment</t>
    </r>
  </si>
  <si>
    <t>DF_T</t>
  </si>
  <si>
    <t>MS_Treatment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</si>
</sst>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.000"/>
    <numFmt numFmtId="166" formatCode="_(* #,##0_);_(* \(#,##0\);_(* &quot;-&quot;??_);_(@_)"/>
    <numFmt numFmtId="167" formatCode="_(* #,##0.000_);_(* \(#,##0.000\);_(* &quot;-&quot;??_);_(@_)"/>
    <numFmt numFmtId="168" formatCode="0.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u/>
      <sz val="12"/>
      <color theme="1"/>
      <name val="Times New Roman"/>
      <family val="1"/>
    </font>
    <font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i/>
      <sz val="12"/>
      <color theme="1"/>
      <name val="Times New Roman"/>
      <family val="1"/>
    </font>
    <font>
      <b/>
      <sz val="1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rgb="FF000000"/>
      <name val="Times New Roman"/>
      <family val="1"/>
    </font>
    <font>
      <i/>
      <sz val="12"/>
      <color rgb="FF000000"/>
      <name val="Times New Roman"/>
      <family val="1"/>
    </font>
    <font>
      <b/>
      <sz val="9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7">
    <border>
      <left/>
      <right/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medium">
        <color auto="1"/>
      </left>
      <right style="double">
        <color indexed="64"/>
      </right>
      <top/>
      <bottom/>
      <diagonal/>
    </border>
    <border>
      <left style="medium">
        <color auto="1"/>
      </left>
      <right style="double">
        <color indexed="64"/>
      </right>
      <top/>
      <bottom style="double">
        <color indexed="64"/>
      </bottom>
      <diagonal/>
    </border>
    <border>
      <left style="medium">
        <color auto="1"/>
      </left>
      <right style="double">
        <color indexed="64"/>
      </right>
      <top style="double">
        <color auto="1"/>
      </top>
      <bottom style="medium">
        <color auto="1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 style="double">
        <color indexed="64"/>
      </right>
      <top style="medium">
        <color auto="1"/>
      </top>
      <bottom style="medium">
        <color auto="1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48">
    <xf numFmtId="0" fontId="0" fillId="0" borderId="0" xfId="0"/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0" fillId="0" borderId="11" xfId="0" applyBorder="1"/>
    <xf numFmtId="0" fontId="0" fillId="0" borderId="13" xfId="0" applyBorder="1"/>
    <xf numFmtId="2" fontId="0" fillId="0" borderId="0" xfId="0" applyNumberFormat="1"/>
    <xf numFmtId="0" fontId="0" fillId="0" borderId="15" xfId="0" applyBorder="1"/>
    <xf numFmtId="0" fontId="0" fillId="0" borderId="14" xfId="0" applyBorder="1"/>
    <xf numFmtId="165" fontId="0" fillId="0" borderId="11" xfId="0" applyNumberFormat="1" applyBorder="1"/>
    <xf numFmtId="0" fontId="4" fillId="0" borderId="1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0" fillId="0" borderId="20" xfId="0" applyBorder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0" fontId="3" fillId="2" borderId="11" xfId="0" applyFont="1" applyFill="1" applyBorder="1"/>
    <xf numFmtId="164" fontId="0" fillId="0" borderId="0" xfId="0" applyNumberFormat="1"/>
    <xf numFmtId="0" fontId="4" fillId="0" borderId="19" xfId="0" applyFont="1" applyBorder="1" applyAlignment="1">
      <alignment horizontal="center" vertical="center" wrapText="1"/>
    </xf>
    <xf numFmtId="0" fontId="0" fillId="0" borderId="17" xfId="0" applyBorder="1"/>
    <xf numFmtId="0" fontId="0" fillId="0" borderId="16" xfId="0" applyBorder="1"/>
    <xf numFmtId="0" fontId="5" fillId="0" borderId="26" xfId="0" applyFont="1" applyBorder="1" applyAlignment="1">
      <alignment horizontal="center" vertical="center" wrapText="1"/>
    </xf>
    <xf numFmtId="0" fontId="5" fillId="0" borderId="28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2" fontId="0" fillId="0" borderId="30" xfId="0" applyNumberFormat="1" applyBorder="1"/>
    <xf numFmtId="2" fontId="0" fillId="0" borderId="31" xfId="0" applyNumberFormat="1" applyBorder="1"/>
    <xf numFmtId="0" fontId="0" fillId="0" borderId="24" xfId="0" applyBorder="1"/>
    <xf numFmtId="2" fontId="0" fillId="3" borderId="32" xfId="0" applyNumberFormat="1" applyFill="1" applyBorder="1"/>
    <xf numFmtId="0" fontId="0" fillId="0" borderId="33" xfId="0" applyBorder="1"/>
    <xf numFmtId="0" fontId="0" fillId="2" borderId="34" xfId="0" applyFill="1" applyBorder="1"/>
    <xf numFmtId="0" fontId="0" fillId="2" borderId="12" xfId="0" applyFill="1" applyBorder="1"/>
    <xf numFmtId="0" fontId="0" fillId="2" borderId="13" xfId="0" applyFill="1" applyBorder="1"/>
    <xf numFmtId="167" fontId="0" fillId="0" borderId="11" xfId="0" applyNumberFormat="1" applyBorder="1"/>
    <xf numFmtId="166" fontId="0" fillId="0" borderId="11" xfId="1" applyNumberFormat="1" applyFont="1" applyBorder="1"/>
    <xf numFmtId="0" fontId="5" fillId="0" borderId="19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5" fillId="0" borderId="3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0" borderId="40" xfId="0" applyFont="1" applyBorder="1" applyAlignment="1">
      <alignment horizontal="center" vertical="center" wrapText="1"/>
    </xf>
    <xf numFmtId="0" fontId="4" fillId="0" borderId="41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0" fillId="0" borderId="27" xfId="0" applyBorder="1"/>
    <xf numFmtId="0" fontId="0" fillId="0" borderId="43" xfId="0" applyBorder="1"/>
    <xf numFmtId="0" fontId="0" fillId="0" borderId="29" xfId="0" applyBorder="1"/>
    <xf numFmtId="0" fontId="0" fillId="0" borderId="18" xfId="0" applyBorder="1"/>
    <xf numFmtId="0" fontId="0" fillId="0" borderId="44" xfId="0" applyBorder="1"/>
    <xf numFmtId="0" fontId="4" fillId="0" borderId="48" xfId="0" applyFont="1" applyBorder="1" applyAlignment="1">
      <alignment horizontal="center" vertical="center" wrapText="1"/>
    </xf>
    <xf numFmtId="0" fontId="0" fillId="0" borderId="50" xfId="0" applyBorder="1"/>
    <xf numFmtId="0" fontId="0" fillId="0" borderId="0" xfId="0" applyAlignment="1">
      <alignment horizontal="right"/>
    </xf>
    <xf numFmtId="0" fontId="4" fillId="0" borderId="35" xfId="0" applyFont="1" applyBorder="1" applyAlignment="1">
      <alignment horizontal="center" vertical="center" wrapText="1"/>
    </xf>
    <xf numFmtId="2" fontId="2" fillId="0" borderId="21" xfId="0" applyNumberFormat="1" applyFont="1" applyBorder="1"/>
    <xf numFmtId="2" fontId="2" fillId="0" borderId="22" xfId="0" applyNumberFormat="1" applyFont="1" applyBorder="1"/>
    <xf numFmtId="2" fontId="2" fillId="0" borderId="23" xfId="0" applyNumberFormat="1" applyFont="1" applyBorder="1"/>
    <xf numFmtId="2" fontId="2" fillId="0" borderId="0" xfId="0" applyNumberFormat="1" applyFont="1"/>
    <xf numFmtId="0" fontId="0" fillId="0" borderId="51" xfId="0" applyBorder="1" applyAlignment="1">
      <alignment horizontal="right"/>
    </xf>
    <xf numFmtId="0" fontId="0" fillId="0" borderId="12" xfId="0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right"/>
    </xf>
    <xf numFmtId="0" fontId="0" fillId="0" borderId="13" xfId="0" applyBorder="1" applyAlignment="1">
      <alignment horizontal="right"/>
    </xf>
    <xf numFmtId="0" fontId="5" fillId="0" borderId="0" xfId="0" applyFont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52" xfId="0" applyFont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 wrapText="1"/>
    </xf>
    <xf numFmtId="166" fontId="0" fillId="0" borderId="0" xfId="1" applyNumberFormat="1" applyFont="1"/>
    <xf numFmtId="166" fontId="0" fillId="0" borderId="0" xfId="0" applyNumberFormat="1"/>
    <xf numFmtId="0" fontId="3" fillId="4" borderId="0" xfId="0" applyFont="1" applyFill="1"/>
    <xf numFmtId="0" fontId="3" fillId="4" borderId="0" xfId="0" applyFont="1" applyFill="1" applyAlignment="1">
      <alignment horizontal="right"/>
    </xf>
    <xf numFmtId="0" fontId="3" fillId="2" borderId="11" xfId="0" applyFont="1" applyFill="1" applyBorder="1" applyAlignment="1">
      <alignment horizontal="right"/>
    </xf>
    <xf numFmtId="0" fontId="0" fillId="4" borderId="0" xfId="0" applyFill="1"/>
    <xf numFmtId="0" fontId="0" fillId="4" borderId="0" xfId="0" quotePrefix="1" applyFill="1"/>
    <xf numFmtId="0" fontId="10" fillId="2" borderId="11" xfId="0" applyFont="1" applyFill="1" applyBorder="1" applyAlignment="1">
      <alignment horizontal="right"/>
    </xf>
    <xf numFmtId="165" fontId="0" fillId="0" borderId="12" xfId="0" applyNumberFormat="1" applyBorder="1"/>
    <xf numFmtId="1" fontId="0" fillId="0" borderId="0" xfId="0" applyNumberFormat="1"/>
    <xf numFmtId="0" fontId="0" fillId="0" borderId="14" xfId="0" applyBorder="1" applyAlignment="1">
      <alignment horizontal="center"/>
    </xf>
    <xf numFmtId="0" fontId="0" fillId="2" borderId="11" xfId="0" applyFill="1" applyBorder="1" applyAlignment="1">
      <alignment horizontal="right"/>
    </xf>
    <xf numFmtId="0" fontId="0" fillId="2" borderId="11" xfId="0" applyFill="1" applyBorder="1" applyAlignment="1">
      <alignment horizontal="center"/>
    </xf>
    <xf numFmtId="165" fontId="0" fillId="0" borderId="0" xfId="0" applyNumberFormat="1"/>
    <xf numFmtId="0" fontId="0" fillId="5" borderId="0" xfId="0" applyFill="1"/>
    <xf numFmtId="0" fontId="3" fillId="5" borderId="0" xfId="0" applyFont="1" applyFill="1" applyAlignment="1">
      <alignment horizontal="left"/>
    </xf>
    <xf numFmtId="0" fontId="3" fillId="5" borderId="0" xfId="0" applyFont="1" applyFill="1"/>
    <xf numFmtId="0" fontId="0" fillId="2" borderId="51" xfId="0" applyFill="1" applyBorder="1" applyAlignment="1">
      <alignment horizontal="right"/>
    </xf>
    <xf numFmtId="0" fontId="0" fillId="2" borderId="51" xfId="0" applyFill="1" applyBorder="1" applyAlignment="1">
      <alignment horizontal="center"/>
    </xf>
    <xf numFmtId="0" fontId="0" fillId="2" borderId="11" xfId="0" applyFill="1" applyBorder="1"/>
    <xf numFmtId="168" fontId="0" fillId="5" borderId="0" xfId="0" applyNumberFormat="1" applyFill="1"/>
    <xf numFmtId="167" fontId="0" fillId="0" borderId="0" xfId="1" applyNumberFormat="1" applyFont="1"/>
    <xf numFmtId="0" fontId="2" fillId="0" borderId="0" xfId="0" applyFont="1"/>
    <xf numFmtId="165" fontId="0" fillId="0" borderId="13" xfId="0" applyNumberFormat="1" applyBorder="1"/>
    <xf numFmtId="0" fontId="3" fillId="6" borderId="0" xfId="0" applyFont="1" applyFill="1"/>
    <xf numFmtId="0" fontId="0" fillId="7" borderId="0" xfId="0" applyFill="1" applyAlignment="1">
      <alignment horizontal="right"/>
    </xf>
    <xf numFmtId="0" fontId="13" fillId="0" borderId="0" xfId="0" applyFont="1"/>
    <xf numFmtId="0" fontId="9" fillId="2" borderId="19" xfId="0" applyFont="1" applyFill="1" applyBorder="1" applyAlignment="1">
      <alignment horizontal="center" vertical="center" wrapText="1"/>
    </xf>
    <xf numFmtId="0" fontId="0" fillId="2" borderId="19" xfId="0" applyFill="1" applyBorder="1"/>
    <xf numFmtId="0" fontId="14" fillId="0" borderId="5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0" fillId="0" borderId="55" xfId="0" applyBorder="1"/>
    <xf numFmtId="0" fontId="15" fillId="0" borderId="53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/>
    </xf>
    <xf numFmtId="0" fontId="9" fillId="0" borderId="54" xfId="0" applyFont="1" applyBorder="1" applyAlignment="1">
      <alignment horizontal="center"/>
    </xf>
    <xf numFmtId="0" fontId="0" fillId="0" borderId="12" xfId="0" applyBorder="1" applyAlignment="1">
      <alignment horizontal="right" wrapText="1"/>
    </xf>
    <xf numFmtId="0" fontId="10" fillId="0" borderId="15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51" xfId="0" applyBorder="1"/>
    <xf numFmtId="0" fontId="4" fillId="0" borderId="0" xfId="0" applyFont="1"/>
    <xf numFmtId="0" fontId="4" fillId="0" borderId="56" xfId="0" applyFont="1" applyBorder="1" applyAlignment="1">
      <alignment horizontal="center" vertical="center" wrapText="1"/>
    </xf>
    <xf numFmtId="0" fontId="16" fillId="5" borderId="0" xfId="0" applyFont="1" applyFill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5" fillId="0" borderId="26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5" fillId="0" borderId="2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0" fillId="0" borderId="48" xfId="0" applyBorder="1" applyAlignment="1">
      <alignment horizontal="center"/>
    </xf>
    <xf numFmtId="0" fontId="4" fillId="0" borderId="47" xfId="0" applyFont="1" applyBorder="1" applyAlignment="1">
      <alignment horizontal="center" vertical="center" wrapText="1"/>
    </xf>
    <xf numFmtId="0" fontId="4" fillId="0" borderId="45" xfId="0" applyFont="1" applyBorder="1" applyAlignment="1">
      <alignment horizontal="center" vertical="center" wrapText="1"/>
    </xf>
    <xf numFmtId="0" fontId="0" fillId="0" borderId="26" xfId="0" applyBorder="1" applyAlignment="1">
      <alignment horizontal="center" wrapText="1"/>
    </xf>
    <xf numFmtId="0" fontId="0" fillId="0" borderId="28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center" wrapText="1"/>
    </xf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3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55" xfId="0" applyBorder="1" applyAlignment="1">
      <alignment horizont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'Q3-2022'!$C$52:$D$52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'Q3-2022'!$C$53:$D$53</c:f>
              <c:numCache>
                <c:formatCode>General</c:formatCode>
                <c:ptCount val="2"/>
                <c:pt idx="0">
                  <c:v>197.91249999999999</c:v>
                </c:pt>
                <c:pt idx="1">
                  <c:v>197.08750000000001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F-4157-9DA1-C3CB9C1D3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23103"/>
        <c:axId val="801729711"/>
      </c:lineChart>
      <c:catAx>
        <c:axId val="39002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1729711"/>
        <c:crosses val="autoZero"/>
        <c:auto val="1"/>
        <c:lblAlgn val="ctr"/>
        <c:lblOffset val="100"/>
        <c:noMultiLvlLbl val="0"/>
      </c:catAx>
      <c:valAx>
        <c:axId val="8017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39002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'Q3-2022'!$G$52:$H$52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'Q3-2022'!$G$53:$H$53</c:f>
              <c:numCache>
                <c:formatCode>General</c:formatCode>
                <c:ptCount val="2"/>
                <c:pt idx="0">
                  <c:v>197.46250000000001</c:v>
                </c:pt>
                <c:pt idx="1">
                  <c:v>197.53749999999999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7-4A25-BED6-0C854A050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23103"/>
        <c:axId val="801729711"/>
      </c:lineChart>
      <c:catAx>
        <c:axId val="39002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1729711"/>
        <c:crosses val="autoZero"/>
        <c:auto val="1"/>
        <c:lblAlgn val="ctr"/>
        <c:lblOffset val="100"/>
        <c:noMultiLvlLbl val="0"/>
      </c:catAx>
      <c:valAx>
        <c:axId val="8017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39002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'Q3-2022'!$K$52:$L$52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'Q3-2022'!$K$53:$L$53</c:f>
              <c:numCache>
                <c:formatCode>General</c:formatCode>
                <c:ptCount val="2"/>
                <c:pt idx="0">
                  <c:v>196.52500000000001</c:v>
                </c:pt>
                <c:pt idx="1">
                  <c:v>198.47499999999999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64-4997-B426-5D86BA027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203807"/>
        <c:axId val="806772543"/>
      </c:lineChart>
      <c:catAx>
        <c:axId val="157020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72543"/>
        <c:crosses val="autoZero"/>
        <c:auto val="1"/>
        <c:lblAlgn val="ctr"/>
        <c:lblOffset val="100"/>
        <c:noMultiLvlLbl val="0"/>
      </c:catAx>
      <c:valAx>
        <c:axId val="80677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570203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'Q3-2022'!$C$66:$D$66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'Q3-2022'!$C$67:$D$67</c:f>
              <c:numCache>
                <c:formatCode>_(* #,##0_);_(* \(#,##0\);_(* "-"??_);_(@_)</c:formatCode>
                <c:ptCount val="2"/>
                <c:pt idx="0" formatCode="0">
                  <c:v>197.4</c:v>
                </c:pt>
                <c:pt idx="1">
                  <c:v>198.42500000000001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2-4966-8C4B-53DE8C0243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'Q3-2022'!$C$66:$D$66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'Q3-2022'!$C$68:$D$68</c:f>
              <c:numCache>
                <c:formatCode>_(* #,##0_);_(* \(#,##0\);_(* "-"??_);_(@_)</c:formatCode>
                <c:ptCount val="2"/>
                <c:pt idx="0" formatCode="0">
                  <c:v>197.52500000000001</c:v>
                </c:pt>
                <c:pt idx="1">
                  <c:v>196.64999999999998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72-4966-8C4B-53DE8C024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674351"/>
        <c:axId val="806749727"/>
      </c:lineChart>
      <c:catAx>
        <c:axId val="14866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49727"/>
        <c:crosses val="autoZero"/>
        <c:auto val="1"/>
        <c:lblAlgn val="ctr"/>
        <c:lblOffset val="100"/>
        <c:noMultiLvlLbl val="0"/>
      </c:catAx>
      <c:valAx>
        <c:axId val="8067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4866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'Q3-2022'!$H$66:$I$66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'Q3-2022'!$H$67:$I$67</c:f>
              <c:numCache>
                <c:formatCode>_(* #,##0.000_);_(* \(#,##0.000\);_(* "-"??_);_(@_)</c:formatCode>
                <c:ptCount val="2"/>
                <c:pt idx="0">
                  <c:v>196.57499999999999</c:v>
                </c:pt>
                <c:pt idx="1">
                  <c:v>199.25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D-4CF9-B3E2-13286C23ED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'Q3-2022'!$H$66:$I$66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'Q3-2022'!$H$68:$I$68</c:f>
              <c:numCache>
                <c:formatCode>_(* #,##0.000_);_(* \(#,##0.000\);_(* "-"??_);_(@_)</c:formatCode>
                <c:ptCount val="2"/>
                <c:pt idx="0">
                  <c:v>196.47499999999999</c:v>
                </c:pt>
                <c:pt idx="1">
                  <c:v>197.7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CD-4CF9-B3E2-13286C23E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674351"/>
        <c:axId val="806749727"/>
      </c:lineChart>
      <c:catAx>
        <c:axId val="14866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49727"/>
        <c:crosses val="autoZero"/>
        <c:auto val="1"/>
        <c:lblAlgn val="ctr"/>
        <c:lblOffset val="100"/>
        <c:noMultiLvlLbl val="0"/>
      </c:catAx>
      <c:valAx>
        <c:axId val="8067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_);_(* \(#,##0.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4866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'Q3-2022'!$M$66:$N$66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'Q3-2022'!$M$67:$N$67</c:f>
              <c:numCache>
                <c:formatCode>General</c:formatCode>
                <c:ptCount val="2"/>
                <c:pt idx="0">
                  <c:v>196.67500000000001</c:v>
                </c:pt>
                <c:pt idx="1">
                  <c:v>198.25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E-4B70-ABAB-D0C7FFC759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'Q3-2022'!$M$66:$N$66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'Q3-2022'!$M$68:$N$68</c:f>
              <c:numCache>
                <c:formatCode>General</c:formatCode>
                <c:ptCount val="2"/>
                <c:pt idx="0">
                  <c:v>196.375</c:v>
                </c:pt>
                <c:pt idx="1">
                  <c:v>198.7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E-4B70-ABAB-D0C7FFC75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674351"/>
        <c:axId val="806749727"/>
      </c:lineChart>
      <c:catAx>
        <c:axId val="14866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49727"/>
        <c:crosses val="autoZero"/>
        <c:auto val="1"/>
        <c:lblAlgn val="ctr"/>
        <c:lblOffset val="100"/>
        <c:noMultiLvlLbl val="0"/>
      </c:catAx>
      <c:valAx>
        <c:axId val="8067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4866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'Q3-2021'!$C$52:$D$52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'Q3-2021'!$C$53:$D$53</c:f>
              <c:numCache>
                <c:formatCode>General</c:formatCode>
                <c:ptCount val="2"/>
                <c:pt idx="0">
                  <c:v>11.41925</c:v>
                </c:pt>
                <c:pt idx="1">
                  <c:v>14.514625000000001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3-48E8-BE6F-E43DDF1AB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23103"/>
        <c:axId val="801729711"/>
      </c:lineChart>
      <c:catAx>
        <c:axId val="39002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1729711"/>
        <c:crosses val="autoZero"/>
        <c:auto val="1"/>
        <c:lblAlgn val="ctr"/>
        <c:lblOffset val="100"/>
        <c:noMultiLvlLbl val="0"/>
      </c:catAx>
      <c:valAx>
        <c:axId val="8017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39002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'Q3-2021'!$G$52:$H$52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'Q3-2021'!$G$53:$H$53</c:f>
              <c:numCache>
                <c:formatCode>General</c:formatCode>
                <c:ptCount val="2"/>
                <c:pt idx="0">
                  <c:v>10.955375</c:v>
                </c:pt>
                <c:pt idx="1">
                  <c:v>14.9785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B-4CA7-8552-7158FB6F8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23103"/>
        <c:axId val="801729711"/>
      </c:lineChart>
      <c:catAx>
        <c:axId val="39002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1729711"/>
        <c:crosses val="autoZero"/>
        <c:auto val="1"/>
        <c:lblAlgn val="ctr"/>
        <c:lblOffset val="100"/>
        <c:noMultiLvlLbl val="0"/>
      </c:catAx>
      <c:valAx>
        <c:axId val="8017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39002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'Q3-2021'!$K$52:$L$52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'Q3-2021'!$K$53:$L$53</c:f>
              <c:numCache>
                <c:formatCode>General</c:formatCode>
                <c:ptCount val="2"/>
                <c:pt idx="0">
                  <c:v>14.8035</c:v>
                </c:pt>
                <c:pt idx="1">
                  <c:v>11.130375000000001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3-4DAE-81EA-5B76836D9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203807"/>
        <c:axId val="806772543"/>
      </c:lineChart>
      <c:catAx>
        <c:axId val="157020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72543"/>
        <c:crosses val="autoZero"/>
        <c:auto val="1"/>
        <c:lblAlgn val="ctr"/>
        <c:lblOffset val="100"/>
        <c:noMultiLvlLbl val="0"/>
      </c:catAx>
      <c:valAx>
        <c:axId val="80677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570203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'Q3-2021'!$C$66:$D$66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'Q3-2021'!$C$67:$D$67</c:f>
              <c:numCache>
                <c:formatCode>_(* #,##0_);_(* \(#,##0\);_(* "-"??_);_(@_)</c:formatCode>
                <c:ptCount val="2"/>
                <c:pt idx="0" formatCode="0">
                  <c:v>10.42375</c:v>
                </c:pt>
                <c:pt idx="1">
                  <c:v>12.41475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0-418B-ADB4-DE7E8A7A87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'Q3-2021'!$C$66:$D$66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'Q3-2021'!$C$68:$D$68</c:f>
              <c:numCache>
                <c:formatCode>_(* #,##0_);_(* \(#,##0\);_(* "-"??_);_(@_)</c:formatCode>
                <c:ptCount val="2"/>
                <c:pt idx="0" formatCode="0">
                  <c:v>11.486999999999998</c:v>
                </c:pt>
                <c:pt idx="1">
                  <c:v>17.542250000000003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0-418B-ADB4-DE7E8A7A8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674351"/>
        <c:axId val="806749727"/>
      </c:lineChart>
      <c:catAx>
        <c:axId val="14866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49727"/>
        <c:crosses val="autoZero"/>
        <c:auto val="1"/>
        <c:lblAlgn val="ctr"/>
        <c:lblOffset val="100"/>
        <c:noMultiLvlLbl val="0"/>
      </c:catAx>
      <c:valAx>
        <c:axId val="8067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4866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'Q3-2021'!$H$66:$I$66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'Q3-2021'!$H$67:$I$67</c:f>
              <c:numCache>
                <c:formatCode>_(* #,##0.000_);_(* \(#,##0.000\);_(* "-"??_);_(@_)</c:formatCode>
                <c:ptCount val="2"/>
                <c:pt idx="0">
                  <c:v>11.2615</c:v>
                </c:pt>
                <c:pt idx="1">
                  <c:v>11.577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6-412E-B5CD-8602A5D55E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'Q3-2021'!$H$66:$I$66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'Q3-2021'!$H$68:$I$68</c:f>
              <c:numCache>
                <c:formatCode>_(* #,##0.000_);_(* \(#,##0.000\);_(* "-"??_);_(@_)</c:formatCode>
                <c:ptCount val="2"/>
                <c:pt idx="0">
                  <c:v>18.345500000000001</c:v>
                </c:pt>
                <c:pt idx="1">
                  <c:v>10.68375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6-412E-B5CD-8602A5D55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674351"/>
        <c:axId val="806749727"/>
      </c:lineChart>
      <c:catAx>
        <c:axId val="14866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49727"/>
        <c:crosses val="autoZero"/>
        <c:auto val="1"/>
        <c:lblAlgn val="ctr"/>
        <c:lblOffset val="100"/>
        <c:noMultiLvlLbl val="0"/>
      </c:catAx>
      <c:valAx>
        <c:axId val="8067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_);_(* \(#,##0.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4866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'Q3-2021'!$M$66:$N$66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'Q3-2021'!$M$67:$N$67</c:f>
              <c:numCache>
                <c:formatCode>General</c:formatCode>
                <c:ptCount val="2"/>
                <c:pt idx="0">
                  <c:v>12.857749999999999</c:v>
                </c:pt>
                <c:pt idx="1">
                  <c:v>9.0530000000000008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8-4418-BC33-BE8CC2D03F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'Q3-2021'!$M$66:$N$66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'Q3-2021'!$M$68:$N$68</c:f>
              <c:numCache>
                <c:formatCode>General</c:formatCode>
                <c:ptCount val="2"/>
                <c:pt idx="0">
                  <c:v>16.74925</c:v>
                </c:pt>
                <c:pt idx="1">
                  <c:v>13.207750000000001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88-4418-BC33-BE8CC2D03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674351"/>
        <c:axId val="806749727"/>
      </c:lineChart>
      <c:catAx>
        <c:axId val="14866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49727"/>
        <c:crosses val="autoZero"/>
        <c:auto val="1"/>
        <c:lblAlgn val="ctr"/>
        <c:lblOffset val="100"/>
        <c:noMultiLvlLbl val="0"/>
      </c:catAx>
      <c:valAx>
        <c:axId val="8067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4866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'Q3-2020'!$C$52:$D$52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'Q3-2020'!$C$53:$D$53</c:f>
              <c:numCache>
                <c:formatCode>General</c:formatCode>
                <c:ptCount val="2"/>
                <c:pt idx="0">
                  <c:v>9.5380000000000003</c:v>
                </c:pt>
                <c:pt idx="1">
                  <c:v>12.480375000000002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2-4A8C-884F-E122F81D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23103"/>
        <c:axId val="801729711"/>
      </c:lineChart>
      <c:catAx>
        <c:axId val="39002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1729711"/>
        <c:crosses val="autoZero"/>
        <c:auto val="1"/>
        <c:lblAlgn val="ctr"/>
        <c:lblOffset val="100"/>
        <c:noMultiLvlLbl val="0"/>
      </c:catAx>
      <c:valAx>
        <c:axId val="8017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39002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'Q3-2020'!$G$52:$H$52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'Q3-2020'!$G$53:$H$53</c:f>
              <c:numCache>
                <c:formatCode>General</c:formatCode>
                <c:ptCount val="2"/>
                <c:pt idx="0">
                  <c:v>9.0448750000000011</c:v>
                </c:pt>
                <c:pt idx="1">
                  <c:v>12.9735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8-49CB-B47E-AD10906D7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23103"/>
        <c:axId val="801729711"/>
      </c:lineChart>
      <c:catAx>
        <c:axId val="39002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1729711"/>
        <c:crosses val="autoZero"/>
        <c:auto val="1"/>
        <c:lblAlgn val="ctr"/>
        <c:lblOffset val="100"/>
        <c:noMultiLvlLbl val="0"/>
      </c:catAx>
      <c:valAx>
        <c:axId val="8017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39002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'Q3-2020'!$K$52:$L$52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'Q3-2020'!$K$53:$L$53</c:f>
              <c:numCache>
                <c:formatCode>General</c:formatCode>
                <c:ptCount val="2"/>
                <c:pt idx="0">
                  <c:v>12.768875000000001</c:v>
                </c:pt>
                <c:pt idx="1">
                  <c:v>9.2495000000000012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8-4BB8-B17A-1F7250015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203807"/>
        <c:axId val="806772543"/>
      </c:lineChart>
      <c:catAx>
        <c:axId val="157020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72543"/>
        <c:crosses val="autoZero"/>
        <c:auto val="1"/>
        <c:lblAlgn val="ctr"/>
        <c:lblOffset val="100"/>
        <c:noMultiLvlLbl val="0"/>
      </c:catAx>
      <c:valAx>
        <c:axId val="80677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570203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'Q3-2020'!$C$66:$D$66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'Q3-2020'!$C$67:$D$67</c:f>
              <c:numCache>
                <c:formatCode>_(* #,##0_);_(* \(#,##0\);_(* "-"??_);_(@_)</c:formatCode>
                <c:ptCount val="2"/>
                <c:pt idx="0" formatCode="0">
                  <c:v>8.4917499999999997</c:v>
                </c:pt>
                <c:pt idx="1">
                  <c:v>10.584250000000001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D-48F0-BC01-F68B34FFEE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'Q3-2020'!$C$66:$D$66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'Q3-2020'!$C$68:$D$68</c:f>
              <c:numCache>
                <c:formatCode>_(* #,##0_);_(* \(#,##0\);_(* "-"??_);_(@_)</c:formatCode>
                <c:ptCount val="2"/>
                <c:pt idx="0" formatCode="0">
                  <c:v>9.5980000000000008</c:v>
                </c:pt>
                <c:pt idx="1">
                  <c:v>15.36275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D-48F0-BC01-F68B34FFE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674351"/>
        <c:axId val="806749727"/>
      </c:lineChart>
      <c:catAx>
        <c:axId val="14866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49727"/>
        <c:crosses val="autoZero"/>
        <c:auto val="1"/>
        <c:lblAlgn val="ctr"/>
        <c:lblOffset val="100"/>
        <c:noMultiLvlLbl val="0"/>
      </c:catAx>
      <c:valAx>
        <c:axId val="8067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4866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'Q3-2020'!$H$66:$I$66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'Q3-2020'!$H$67:$I$67</c:f>
              <c:numCache>
                <c:formatCode>_(* #,##0.000_);_(* \(#,##0.000\);_(* "-"??_);_(@_)</c:formatCode>
                <c:ptCount val="2"/>
                <c:pt idx="0">
                  <c:v>9.2842500000000001</c:v>
                </c:pt>
                <c:pt idx="1">
                  <c:v>9.7917500000000004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1-4282-9E72-B9C2573201B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'Q3-2020'!$H$66:$I$66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'Q3-2020'!$H$68:$I$68</c:f>
              <c:numCache>
                <c:formatCode>_(* #,##0.000_);_(* \(#,##0.000\);_(* "-"??_);_(@_)</c:formatCode>
                <c:ptCount val="2"/>
                <c:pt idx="0">
                  <c:v>16.253500000000003</c:v>
                </c:pt>
                <c:pt idx="1">
                  <c:v>8.7072500000000002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1-4282-9E72-B9C257320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674351"/>
        <c:axId val="806749727"/>
      </c:lineChart>
      <c:catAx>
        <c:axId val="14866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49727"/>
        <c:crosses val="autoZero"/>
        <c:auto val="1"/>
        <c:lblAlgn val="ctr"/>
        <c:lblOffset val="100"/>
        <c:noMultiLvlLbl val="0"/>
      </c:catAx>
      <c:valAx>
        <c:axId val="8067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_);_(* \(#,##0.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4866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'Q3-2020'!$M$66:$N$66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'Q3-2020'!$M$67:$N$67</c:f>
              <c:numCache>
                <c:formatCode>General</c:formatCode>
                <c:ptCount val="2"/>
                <c:pt idx="0">
                  <c:v>10.83475</c:v>
                </c:pt>
                <c:pt idx="1">
                  <c:v>7.2550000000000008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88-48F0-AEA1-8982DE6F4A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'Q3-2020'!$M$66:$N$66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cat>
          <c:val>
            <c:numRef>
              <c:f>'Q3-2020'!$M$68:$N$68</c:f>
              <c:numCache>
                <c:formatCode>General</c:formatCode>
                <c:ptCount val="2"/>
                <c:pt idx="0">
                  <c:v>14.702999999999999</c:v>
                </c:pt>
                <c:pt idx="1">
                  <c:v>11.244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88-48F0-AEA1-8982DE6F4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674351"/>
        <c:axId val="806749727"/>
      </c:lineChart>
      <c:catAx>
        <c:axId val="14866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806749727"/>
        <c:crosses val="autoZero"/>
        <c:auto val="1"/>
        <c:lblAlgn val="ctr"/>
        <c:lblOffset val="100"/>
        <c:noMultiLvlLbl val="0"/>
      </c:catAx>
      <c:valAx>
        <c:axId val="80674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M"/>
          </a:p>
        </c:txPr>
        <c:crossAx val="14866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M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w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.wmf"/><Relationship Id="rId2" Type="http://schemas.openxmlformats.org/officeDocument/2006/relationships/image" Target="../media/image14.wmf"/><Relationship Id="rId1" Type="http://schemas.openxmlformats.org/officeDocument/2006/relationships/image" Target="../media/image13.wmf"/><Relationship Id="rId5" Type="http://schemas.openxmlformats.org/officeDocument/2006/relationships/image" Target="../media/image17.wmf"/><Relationship Id="rId4" Type="http://schemas.openxmlformats.org/officeDocument/2006/relationships/image" Target="../media/image16.w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w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473711</xdr:colOff>
      <xdr:row>48</xdr:row>
      <xdr:rowOff>142933</xdr:rowOff>
    </xdr:from>
    <xdr:to>
      <xdr:col>4</xdr:col>
      <xdr:colOff>479397</xdr:colOff>
      <xdr:row>67</xdr:row>
      <xdr:rowOff>124865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1" y="9205290"/>
          <a:ext cx="5462150" cy="34721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1311088</xdr:colOff>
      <xdr:row>32</xdr:row>
      <xdr:rowOff>33617</xdr:rowOff>
    </xdr:from>
    <xdr:to>
      <xdr:col>1</xdr:col>
      <xdr:colOff>2560544</xdr:colOff>
      <xdr:row>33</xdr:row>
      <xdr:rowOff>128867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86" t="50162" r="1880" b="37587"/>
        <a:stretch/>
      </xdr:blipFill>
      <xdr:spPr bwMode="auto">
        <a:xfrm>
          <a:off x="1958788" y="5881967"/>
          <a:ext cx="1249456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531876</xdr:colOff>
      <xdr:row>50</xdr:row>
      <xdr:rowOff>23613</xdr:rowOff>
    </xdr:from>
    <xdr:to>
      <xdr:col>9</xdr:col>
      <xdr:colOff>646613</xdr:colOff>
      <xdr:row>66</xdr:row>
      <xdr:rowOff>173690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8340" y="9453363"/>
          <a:ext cx="4360166" cy="3089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1344706</xdr:colOff>
      <xdr:row>30</xdr:row>
      <xdr:rowOff>123265</xdr:rowOff>
    </xdr:from>
    <xdr:to>
      <xdr:col>1</xdr:col>
      <xdr:colOff>2554941</xdr:colOff>
      <xdr:row>32</xdr:row>
      <xdr:rowOff>13448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70" t="49699" r="53313" b="38973"/>
        <a:stretch/>
      </xdr:blipFill>
      <xdr:spPr bwMode="auto">
        <a:xfrm>
          <a:off x="1992406" y="5590615"/>
          <a:ext cx="1210235" cy="2745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39220</xdr:colOff>
      <xdr:row>32</xdr:row>
      <xdr:rowOff>192054</xdr:rowOff>
    </xdr:from>
    <xdr:to>
      <xdr:col>5</xdr:col>
      <xdr:colOff>324969</xdr:colOff>
      <xdr:row>34</xdr:row>
      <xdr:rowOff>22414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6478" r="58607" b="4262"/>
        <a:stretch/>
      </xdr:blipFill>
      <xdr:spPr bwMode="auto">
        <a:xfrm>
          <a:off x="5497045" y="6040404"/>
          <a:ext cx="1685924" cy="2304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208109</xdr:colOff>
      <xdr:row>52</xdr:row>
      <xdr:rowOff>46731</xdr:rowOff>
    </xdr:from>
    <xdr:to>
      <xdr:col>15</xdr:col>
      <xdr:colOff>387243</xdr:colOff>
      <xdr:row>68</xdr:row>
      <xdr:rowOff>152157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395" y="9843874"/>
          <a:ext cx="4166027" cy="30445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297655</xdr:colOff>
      <xdr:row>34</xdr:row>
      <xdr:rowOff>65485</xdr:rowOff>
    </xdr:from>
    <xdr:to>
      <xdr:col>12</xdr:col>
      <xdr:colOff>648889</xdr:colOff>
      <xdr:row>36</xdr:row>
      <xdr:rowOff>44311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01" t="86730" r="36542" b="2801"/>
        <a:stretch/>
      </xdr:blipFill>
      <xdr:spPr bwMode="auto">
        <a:xfrm>
          <a:off x="11513343" y="6477001"/>
          <a:ext cx="1172765" cy="359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214312</xdr:colOff>
      <xdr:row>34</xdr:row>
      <xdr:rowOff>119063</xdr:rowOff>
    </xdr:from>
    <xdr:to>
      <xdr:col>11</xdr:col>
      <xdr:colOff>139302</xdr:colOff>
      <xdr:row>39</xdr:row>
      <xdr:rowOff>30264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6530579"/>
          <a:ext cx="2925365" cy="827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252228</xdr:colOff>
      <xdr:row>39</xdr:row>
      <xdr:rowOff>94830</xdr:rowOff>
    </xdr:from>
    <xdr:to>
      <xdr:col>11</xdr:col>
      <xdr:colOff>33155</xdr:colOff>
      <xdr:row>43</xdr:row>
      <xdr:rowOff>106737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7541" y="7423128"/>
          <a:ext cx="2781302" cy="7739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640599</xdr:colOff>
      <xdr:row>47</xdr:row>
      <xdr:rowOff>141331</xdr:rowOff>
    </xdr:from>
    <xdr:to>
      <xdr:col>4</xdr:col>
      <xdr:colOff>646285</xdr:colOff>
      <xdr:row>66</xdr:row>
      <xdr:rowOff>123264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599" y="8960360"/>
          <a:ext cx="5468554" cy="33885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1311088</xdr:colOff>
      <xdr:row>32</xdr:row>
      <xdr:rowOff>33617</xdr:rowOff>
    </xdr:from>
    <xdr:to>
      <xdr:col>1</xdr:col>
      <xdr:colOff>2560544</xdr:colOff>
      <xdr:row>33</xdr:row>
      <xdr:rowOff>128867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86" t="50162" r="1880" b="37587"/>
        <a:stretch/>
      </xdr:blipFill>
      <xdr:spPr bwMode="auto">
        <a:xfrm>
          <a:off x="1961029" y="3232897"/>
          <a:ext cx="1249456" cy="2969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621923</xdr:colOff>
      <xdr:row>49</xdr:row>
      <xdr:rowOff>128868</xdr:rowOff>
    </xdr:from>
    <xdr:to>
      <xdr:col>9</xdr:col>
      <xdr:colOff>736660</xdr:colOff>
      <xdr:row>66</xdr:row>
      <xdr:rowOff>95248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4791" y="9306486"/>
          <a:ext cx="4372973" cy="30143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1344706</xdr:colOff>
      <xdr:row>30</xdr:row>
      <xdr:rowOff>123265</xdr:rowOff>
    </xdr:from>
    <xdr:to>
      <xdr:col>1</xdr:col>
      <xdr:colOff>2554941</xdr:colOff>
      <xdr:row>32</xdr:row>
      <xdr:rowOff>16809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70" t="49699" r="53313" b="38973"/>
        <a:stretch/>
      </xdr:blipFill>
      <xdr:spPr bwMode="auto">
        <a:xfrm>
          <a:off x="1994647" y="2941545"/>
          <a:ext cx="1210235" cy="2745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39220</xdr:colOff>
      <xdr:row>32</xdr:row>
      <xdr:rowOff>192054</xdr:rowOff>
    </xdr:from>
    <xdr:to>
      <xdr:col>5</xdr:col>
      <xdr:colOff>324969</xdr:colOff>
      <xdr:row>34</xdr:row>
      <xdr:rowOff>22412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6478" r="58607" b="4262"/>
        <a:stretch/>
      </xdr:blipFill>
      <xdr:spPr bwMode="auto">
        <a:xfrm>
          <a:off x="5502088" y="6030319"/>
          <a:ext cx="1686485" cy="233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218516</xdr:colOff>
      <xdr:row>49</xdr:row>
      <xdr:rowOff>99558</xdr:rowOff>
    </xdr:from>
    <xdr:to>
      <xdr:col>15</xdr:col>
      <xdr:colOff>394447</xdr:colOff>
      <xdr:row>66</xdr:row>
      <xdr:rowOff>21289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4810" y="9277176"/>
          <a:ext cx="4159623" cy="29697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186997</xdr:colOff>
      <xdr:row>34</xdr:row>
      <xdr:rowOff>84044</xdr:rowOff>
    </xdr:from>
    <xdr:to>
      <xdr:col>12</xdr:col>
      <xdr:colOff>536130</xdr:colOff>
      <xdr:row>36</xdr:row>
      <xdr:rowOff>62870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01" t="86730" r="36542" b="2801"/>
        <a:stretch/>
      </xdr:blipFill>
      <xdr:spPr bwMode="auto">
        <a:xfrm>
          <a:off x="11398483" y="6505015"/>
          <a:ext cx="1172765" cy="359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95250</xdr:colOff>
      <xdr:row>34</xdr:row>
      <xdr:rowOff>137622</xdr:rowOff>
    </xdr:from>
    <xdr:to>
      <xdr:col>11</xdr:col>
      <xdr:colOff>28644</xdr:colOff>
      <xdr:row>39</xdr:row>
      <xdr:rowOff>46723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765" y="6558593"/>
          <a:ext cx="2925365" cy="827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133166</xdr:colOff>
      <xdr:row>39</xdr:row>
      <xdr:rowOff>111289</xdr:rowOff>
    </xdr:from>
    <xdr:to>
      <xdr:col>10</xdr:col>
      <xdr:colOff>667689</xdr:colOff>
      <xdr:row>43</xdr:row>
      <xdr:rowOff>123196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2681" y="7451142"/>
          <a:ext cx="2781302" cy="7739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130731</xdr:colOff>
      <xdr:row>51</xdr:row>
      <xdr:rowOff>46080</xdr:rowOff>
    </xdr:from>
    <xdr:to>
      <xdr:col>4</xdr:col>
      <xdr:colOff>786358</xdr:colOff>
      <xdr:row>70</xdr:row>
      <xdr:rowOff>28014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672" y="9582286"/>
          <a:ext cx="5468554" cy="33885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1311088</xdr:colOff>
      <xdr:row>32</xdr:row>
      <xdr:rowOff>33617</xdr:rowOff>
    </xdr:from>
    <xdr:to>
      <xdr:col>1</xdr:col>
      <xdr:colOff>2560544</xdr:colOff>
      <xdr:row>33</xdr:row>
      <xdr:rowOff>128867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86" t="50162" r="1880" b="37587"/>
        <a:stretch/>
      </xdr:blipFill>
      <xdr:spPr bwMode="auto">
        <a:xfrm>
          <a:off x="1958788" y="5881967"/>
          <a:ext cx="1249456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879658</xdr:colOff>
      <xdr:row>52</xdr:row>
      <xdr:rowOff>56030</xdr:rowOff>
    </xdr:from>
    <xdr:to>
      <xdr:col>10</xdr:col>
      <xdr:colOff>249205</xdr:colOff>
      <xdr:row>69</xdr:row>
      <xdr:rowOff>22410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2526" y="9771530"/>
          <a:ext cx="4372973" cy="30143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1344706</xdr:colOff>
      <xdr:row>30</xdr:row>
      <xdr:rowOff>123265</xdr:rowOff>
    </xdr:from>
    <xdr:to>
      <xdr:col>1</xdr:col>
      <xdr:colOff>2554941</xdr:colOff>
      <xdr:row>32</xdr:row>
      <xdr:rowOff>13448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70" t="49699" r="53313" b="38973"/>
        <a:stretch/>
      </xdr:blipFill>
      <xdr:spPr bwMode="auto">
        <a:xfrm>
          <a:off x="1992406" y="5590615"/>
          <a:ext cx="1210235" cy="271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39220</xdr:colOff>
      <xdr:row>32</xdr:row>
      <xdr:rowOff>192054</xdr:rowOff>
    </xdr:from>
    <xdr:to>
      <xdr:col>5</xdr:col>
      <xdr:colOff>324969</xdr:colOff>
      <xdr:row>34</xdr:row>
      <xdr:rowOff>22412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6478" r="58607" b="4262"/>
        <a:stretch/>
      </xdr:blipFill>
      <xdr:spPr bwMode="auto">
        <a:xfrm>
          <a:off x="5497045" y="6040404"/>
          <a:ext cx="1685924" cy="2304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375397</xdr:colOff>
      <xdr:row>53</xdr:row>
      <xdr:rowOff>99558</xdr:rowOff>
    </xdr:from>
    <xdr:to>
      <xdr:col>15</xdr:col>
      <xdr:colOff>551328</xdr:colOff>
      <xdr:row>70</xdr:row>
      <xdr:rowOff>21289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41691" y="9994352"/>
          <a:ext cx="4159623" cy="29697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63733</xdr:colOff>
      <xdr:row>35</xdr:row>
      <xdr:rowOff>67235</xdr:rowOff>
    </xdr:from>
    <xdr:to>
      <xdr:col>12</xdr:col>
      <xdr:colOff>412866</xdr:colOff>
      <xdr:row>37</xdr:row>
      <xdr:rowOff>46061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01" t="86730" r="36542" b="2801"/>
        <a:stretch/>
      </xdr:blipFill>
      <xdr:spPr bwMode="auto">
        <a:xfrm>
          <a:off x="11275219" y="6667500"/>
          <a:ext cx="1172765" cy="359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84045</xdr:colOff>
      <xdr:row>35</xdr:row>
      <xdr:rowOff>14357</xdr:rowOff>
    </xdr:from>
    <xdr:to>
      <xdr:col>11</xdr:col>
      <xdr:colOff>17439</xdr:colOff>
      <xdr:row>39</xdr:row>
      <xdr:rowOff>102752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3560" y="6614622"/>
          <a:ext cx="2925365" cy="827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121961</xdr:colOff>
      <xdr:row>39</xdr:row>
      <xdr:rowOff>167318</xdr:rowOff>
    </xdr:from>
    <xdr:to>
      <xdr:col>10</xdr:col>
      <xdr:colOff>656484</xdr:colOff>
      <xdr:row>43</xdr:row>
      <xdr:rowOff>179225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1476" y="7507171"/>
          <a:ext cx="2781302" cy="7739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473711</xdr:colOff>
      <xdr:row>48</xdr:row>
      <xdr:rowOff>142933</xdr:rowOff>
    </xdr:from>
    <xdr:to>
      <xdr:col>4</xdr:col>
      <xdr:colOff>479397</xdr:colOff>
      <xdr:row>67</xdr:row>
      <xdr:rowOff>124865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1" y="8977371"/>
          <a:ext cx="5463511" cy="34204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1311088</xdr:colOff>
      <xdr:row>32</xdr:row>
      <xdr:rowOff>33617</xdr:rowOff>
    </xdr:from>
    <xdr:to>
      <xdr:col>1</xdr:col>
      <xdr:colOff>2560544</xdr:colOff>
      <xdr:row>33</xdr:row>
      <xdr:rowOff>128867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86" t="50162" r="1880" b="37587"/>
        <a:stretch/>
      </xdr:blipFill>
      <xdr:spPr bwMode="auto">
        <a:xfrm>
          <a:off x="1958788" y="5877205"/>
          <a:ext cx="1249456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531876</xdr:colOff>
      <xdr:row>50</xdr:row>
      <xdr:rowOff>23613</xdr:rowOff>
    </xdr:from>
    <xdr:to>
      <xdr:col>9</xdr:col>
      <xdr:colOff>646613</xdr:colOff>
      <xdr:row>66</xdr:row>
      <xdr:rowOff>173690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9701" y="9220001"/>
          <a:ext cx="4367650" cy="3045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1344706</xdr:colOff>
      <xdr:row>30</xdr:row>
      <xdr:rowOff>123265</xdr:rowOff>
    </xdr:from>
    <xdr:to>
      <xdr:col>1</xdr:col>
      <xdr:colOff>2554941</xdr:colOff>
      <xdr:row>32</xdr:row>
      <xdr:rowOff>13448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70" t="49699" r="53313" b="38973"/>
        <a:stretch/>
      </xdr:blipFill>
      <xdr:spPr bwMode="auto">
        <a:xfrm>
          <a:off x="1992406" y="5585853"/>
          <a:ext cx="1210235" cy="271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39220</xdr:colOff>
      <xdr:row>32</xdr:row>
      <xdr:rowOff>192054</xdr:rowOff>
    </xdr:from>
    <xdr:to>
      <xdr:col>6</xdr:col>
      <xdr:colOff>551922</xdr:colOff>
      <xdr:row>34</xdr:row>
      <xdr:rowOff>148828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6478" r="58607" b="4262"/>
        <a:stretch/>
      </xdr:blipFill>
      <xdr:spPr bwMode="auto">
        <a:xfrm>
          <a:off x="5498236" y="6198758"/>
          <a:ext cx="2590342" cy="3615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208109</xdr:colOff>
      <xdr:row>52</xdr:row>
      <xdr:rowOff>46731</xdr:rowOff>
    </xdr:from>
    <xdr:to>
      <xdr:col>15</xdr:col>
      <xdr:colOff>387243</xdr:colOff>
      <xdr:row>68</xdr:row>
      <xdr:rowOff>152157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6559" y="9605069"/>
          <a:ext cx="4165347" cy="30010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47624</xdr:colOff>
      <xdr:row>35</xdr:row>
      <xdr:rowOff>17859</xdr:rowOff>
    </xdr:from>
    <xdr:to>
      <xdr:col>12</xdr:col>
      <xdr:colOff>398858</xdr:colOff>
      <xdr:row>36</xdr:row>
      <xdr:rowOff>175279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01" t="86730" r="36542" b="2801"/>
        <a:stretch/>
      </xdr:blipFill>
      <xdr:spPr bwMode="auto">
        <a:xfrm>
          <a:off x="11263312" y="6607969"/>
          <a:ext cx="1172765" cy="359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77390</xdr:colOff>
      <xdr:row>34</xdr:row>
      <xdr:rowOff>172641</xdr:rowOff>
    </xdr:from>
    <xdr:to>
      <xdr:col>11</xdr:col>
      <xdr:colOff>2380</xdr:colOff>
      <xdr:row>39</xdr:row>
      <xdr:rowOff>83842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2703" y="6584157"/>
          <a:ext cx="2925365" cy="827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115306</xdr:colOff>
      <xdr:row>39</xdr:row>
      <xdr:rowOff>148408</xdr:rowOff>
    </xdr:from>
    <xdr:to>
      <xdr:col>10</xdr:col>
      <xdr:colOff>646327</xdr:colOff>
      <xdr:row>43</xdr:row>
      <xdr:rowOff>160315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0619" y="7476706"/>
          <a:ext cx="2781302" cy="7739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473711</xdr:colOff>
      <xdr:row>47</xdr:row>
      <xdr:rowOff>142933</xdr:rowOff>
    </xdr:from>
    <xdr:to>
      <xdr:col>4</xdr:col>
      <xdr:colOff>479397</xdr:colOff>
      <xdr:row>66</xdr:row>
      <xdr:rowOff>124866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1" y="9158346"/>
          <a:ext cx="5463511" cy="34204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1311088</xdr:colOff>
      <xdr:row>32</xdr:row>
      <xdr:rowOff>33617</xdr:rowOff>
    </xdr:from>
    <xdr:to>
      <xdr:col>1</xdr:col>
      <xdr:colOff>2560544</xdr:colOff>
      <xdr:row>33</xdr:row>
      <xdr:rowOff>128866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86" t="50162" r="1880" b="37587"/>
        <a:stretch/>
      </xdr:blipFill>
      <xdr:spPr bwMode="auto">
        <a:xfrm>
          <a:off x="1958788" y="6058180"/>
          <a:ext cx="1249456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531876</xdr:colOff>
      <xdr:row>49</xdr:row>
      <xdr:rowOff>23613</xdr:rowOff>
    </xdr:from>
    <xdr:to>
      <xdr:col>10</xdr:col>
      <xdr:colOff>789487</xdr:colOff>
      <xdr:row>65</xdr:row>
      <xdr:rowOff>173690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9701" y="9400976"/>
          <a:ext cx="4367650" cy="30456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1344706</xdr:colOff>
      <xdr:row>30</xdr:row>
      <xdr:rowOff>123265</xdr:rowOff>
    </xdr:from>
    <xdr:to>
      <xdr:col>1</xdr:col>
      <xdr:colOff>2554941</xdr:colOff>
      <xdr:row>32</xdr:row>
      <xdr:rowOff>13448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70" t="49699" r="53313" b="38973"/>
        <a:stretch/>
      </xdr:blipFill>
      <xdr:spPr bwMode="auto">
        <a:xfrm>
          <a:off x="1992406" y="5766828"/>
          <a:ext cx="1210235" cy="271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98750</xdr:colOff>
      <xdr:row>32</xdr:row>
      <xdr:rowOff>29765</xdr:rowOff>
    </xdr:from>
    <xdr:to>
      <xdr:col>6</xdr:col>
      <xdr:colOff>199044</xdr:colOff>
      <xdr:row>33</xdr:row>
      <xdr:rowOff>148827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6478" r="58607" b="4262"/>
        <a:stretch/>
      </xdr:blipFill>
      <xdr:spPr bwMode="auto">
        <a:xfrm>
          <a:off x="5557766" y="6036469"/>
          <a:ext cx="2302951" cy="321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208109</xdr:colOff>
      <xdr:row>51</xdr:row>
      <xdr:rowOff>46731</xdr:rowOff>
    </xdr:from>
    <xdr:to>
      <xdr:col>18</xdr:col>
      <xdr:colOff>47915</xdr:colOff>
      <xdr:row>67</xdr:row>
      <xdr:rowOff>152157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6559" y="9786044"/>
          <a:ext cx="4165347" cy="30010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511968</xdr:colOff>
      <xdr:row>35</xdr:row>
      <xdr:rowOff>77390</xdr:rowOff>
    </xdr:from>
    <xdr:to>
      <xdr:col>14</xdr:col>
      <xdr:colOff>184546</xdr:colOff>
      <xdr:row>37</xdr:row>
      <xdr:rowOff>56216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01" t="86730" r="36542" b="2801"/>
        <a:stretch/>
      </xdr:blipFill>
      <xdr:spPr bwMode="auto">
        <a:xfrm>
          <a:off x="12459891" y="6673453"/>
          <a:ext cx="1172765" cy="359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464344</xdr:colOff>
      <xdr:row>35</xdr:row>
      <xdr:rowOff>11906</xdr:rowOff>
    </xdr:from>
    <xdr:to>
      <xdr:col>12</xdr:col>
      <xdr:colOff>460771</xdr:colOff>
      <xdr:row>39</xdr:row>
      <xdr:rowOff>101702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3329" y="6607969"/>
          <a:ext cx="2925365" cy="8279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484400</xdr:colOff>
      <xdr:row>39</xdr:row>
      <xdr:rowOff>59110</xdr:rowOff>
    </xdr:from>
    <xdr:to>
      <xdr:col>12</xdr:col>
      <xdr:colOff>336764</xdr:colOff>
      <xdr:row>43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3385" y="7393360"/>
          <a:ext cx="2781302" cy="7739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47623</xdr:colOff>
      <xdr:row>83</xdr:row>
      <xdr:rowOff>117337</xdr:rowOff>
    </xdr:from>
    <xdr:to>
      <xdr:col>10</xdr:col>
      <xdr:colOff>429488</xdr:colOff>
      <xdr:row>89</xdr:row>
      <xdr:rowOff>70994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2158" y="15785962"/>
          <a:ext cx="2486024" cy="10447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304800</xdr:colOff>
          <xdr:row>85</xdr:row>
          <xdr:rowOff>12700</xdr:rowOff>
        </xdr:from>
        <xdr:to>
          <xdr:col>12</xdr:col>
          <xdr:colOff>393700</xdr:colOff>
          <xdr:row>86</xdr:row>
          <xdr:rowOff>165100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30308</xdr:colOff>
      <xdr:row>115</xdr:row>
      <xdr:rowOff>7918</xdr:rowOff>
    </xdr:from>
    <xdr:to>
      <xdr:col>7</xdr:col>
      <xdr:colOff>514351</xdr:colOff>
      <xdr:row>120</xdr:row>
      <xdr:rowOff>95523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0683" y="21530089"/>
          <a:ext cx="2588203" cy="10141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</xdr:row>
          <xdr:rowOff>0</xdr:rowOff>
        </xdr:from>
        <xdr:to>
          <xdr:col>2</xdr:col>
          <xdr:colOff>215900</xdr:colOff>
          <xdr:row>1</xdr:row>
          <xdr:rowOff>190500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25400</xdr:colOff>
          <xdr:row>80</xdr:row>
          <xdr:rowOff>114300</xdr:rowOff>
        </xdr:from>
        <xdr:to>
          <xdr:col>1</xdr:col>
          <xdr:colOff>596900</xdr:colOff>
          <xdr:row>82</xdr:row>
          <xdr:rowOff>165100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6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25400</xdr:colOff>
          <xdr:row>80</xdr:row>
          <xdr:rowOff>88900</xdr:rowOff>
        </xdr:from>
        <xdr:to>
          <xdr:col>2</xdr:col>
          <xdr:colOff>635000</xdr:colOff>
          <xdr:row>82</xdr:row>
          <xdr:rowOff>152400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6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80</xdr:row>
          <xdr:rowOff>127000</xdr:rowOff>
        </xdr:from>
        <xdr:to>
          <xdr:col>7</xdr:col>
          <xdr:colOff>266700</xdr:colOff>
          <xdr:row>82</xdr:row>
          <xdr:rowOff>177800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6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660400</xdr:colOff>
          <xdr:row>80</xdr:row>
          <xdr:rowOff>101600</xdr:rowOff>
        </xdr:from>
        <xdr:to>
          <xdr:col>5</xdr:col>
          <xdr:colOff>25400</xdr:colOff>
          <xdr:row>82</xdr:row>
          <xdr:rowOff>177800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6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609600</xdr:colOff>
          <xdr:row>86</xdr:row>
          <xdr:rowOff>127000</xdr:rowOff>
        </xdr:from>
        <xdr:to>
          <xdr:col>1</xdr:col>
          <xdr:colOff>520700</xdr:colOff>
          <xdr:row>89</xdr:row>
          <xdr:rowOff>12700</xdr:rowOff>
        </xdr:to>
        <xdr:sp macro="" textlink="">
          <xdr:nvSpPr>
            <xdr:cNvPr id="6156" name="Object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6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609600</xdr:colOff>
          <xdr:row>86</xdr:row>
          <xdr:rowOff>101600</xdr:rowOff>
        </xdr:from>
        <xdr:to>
          <xdr:col>2</xdr:col>
          <xdr:colOff>558800</xdr:colOff>
          <xdr:row>89</xdr:row>
          <xdr:rowOff>0</xdr:rowOff>
        </xdr:to>
        <xdr:sp macro="" textlink="">
          <xdr:nvSpPr>
            <xdr:cNvPr id="6157" name="Object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6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12700</xdr:colOff>
          <xdr:row>86</xdr:row>
          <xdr:rowOff>139700</xdr:rowOff>
        </xdr:from>
        <xdr:to>
          <xdr:col>7</xdr:col>
          <xdr:colOff>203200</xdr:colOff>
          <xdr:row>89</xdr:row>
          <xdr:rowOff>25400</xdr:rowOff>
        </xdr:to>
        <xdr:sp macro="" textlink="">
          <xdr:nvSpPr>
            <xdr:cNvPr id="6158" name="Object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6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596900</xdr:colOff>
          <xdr:row>86</xdr:row>
          <xdr:rowOff>114300</xdr:rowOff>
        </xdr:from>
        <xdr:to>
          <xdr:col>4</xdr:col>
          <xdr:colOff>609600</xdr:colOff>
          <xdr:row>89</xdr:row>
          <xdr:rowOff>25400</xdr:rowOff>
        </xdr:to>
        <xdr:sp macro="" textlink="">
          <xdr:nvSpPr>
            <xdr:cNvPr id="6159" name="Object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6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47623</xdr:colOff>
      <xdr:row>80</xdr:row>
      <xdr:rowOff>117337</xdr:rowOff>
    </xdr:from>
    <xdr:to>
      <xdr:col>10</xdr:col>
      <xdr:colOff>429488</xdr:colOff>
      <xdr:row>86</xdr:row>
      <xdr:rowOff>70995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498" y="15752625"/>
          <a:ext cx="2482128" cy="10395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304800</xdr:colOff>
          <xdr:row>82</xdr:row>
          <xdr:rowOff>12700</xdr:rowOff>
        </xdr:from>
        <xdr:to>
          <xdr:col>12</xdr:col>
          <xdr:colOff>393700</xdr:colOff>
          <xdr:row>83</xdr:row>
          <xdr:rowOff>165100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7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303069</xdr:colOff>
      <xdr:row>112</xdr:row>
      <xdr:rowOff>3588</xdr:rowOff>
    </xdr:from>
    <xdr:to>
      <xdr:col>7</xdr:col>
      <xdr:colOff>85726</xdr:colOff>
      <xdr:row>117</xdr:row>
      <xdr:rowOff>108511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594" y="21468176"/>
          <a:ext cx="2583007" cy="1009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621505</xdr:colOff>
      <xdr:row>53</xdr:row>
      <xdr:rowOff>161924</xdr:rowOff>
    </xdr:from>
    <xdr:to>
      <xdr:col>4</xdr:col>
      <xdr:colOff>204787</xdr:colOff>
      <xdr:row>64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428625</xdr:colOff>
      <xdr:row>53</xdr:row>
      <xdr:rowOff>119063</xdr:rowOff>
    </xdr:from>
    <xdr:to>
      <xdr:col>8</xdr:col>
      <xdr:colOff>509587</xdr:colOff>
      <xdr:row>64</xdr:row>
      <xdr:rowOff>90488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78580</xdr:colOff>
      <xdr:row>53</xdr:row>
      <xdr:rowOff>138112</xdr:rowOff>
    </xdr:from>
    <xdr:to>
      <xdr:col>13</xdr:col>
      <xdr:colOff>781842</xdr:colOff>
      <xdr:row>64</xdr:row>
      <xdr:rowOff>123824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607218</xdr:colOff>
      <xdr:row>69</xdr:row>
      <xdr:rowOff>9525</xdr:rowOff>
    </xdr:from>
    <xdr:to>
      <xdr:col>4</xdr:col>
      <xdr:colOff>164305</xdr:colOff>
      <xdr:row>78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9</xdr:col>
      <xdr:colOff>314325</xdr:colOff>
      <xdr:row>78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490537</xdr:colOff>
      <xdr:row>68</xdr:row>
      <xdr:rowOff>166688</xdr:rowOff>
    </xdr:from>
    <xdr:to>
      <xdr:col>14</xdr:col>
      <xdr:colOff>319087</xdr:colOff>
      <xdr:row>78</xdr:row>
      <xdr:rowOff>100013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621505</xdr:colOff>
      <xdr:row>53</xdr:row>
      <xdr:rowOff>161924</xdr:rowOff>
    </xdr:from>
    <xdr:to>
      <xdr:col>4</xdr:col>
      <xdr:colOff>204787</xdr:colOff>
      <xdr:row>64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428625</xdr:colOff>
      <xdr:row>53</xdr:row>
      <xdr:rowOff>119063</xdr:rowOff>
    </xdr:from>
    <xdr:to>
      <xdr:col>8</xdr:col>
      <xdr:colOff>509587</xdr:colOff>
      <xdr:row>64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78580</xdr:colOff>
      <xdr:row>53</xdr:row>
      <xdr:rowOff>138112</xdr:rowOff>
    </xdr:from>
    <xdr:to>
      <xdr:col>13</xdr:col>
      <xdr:colOff>781842</xdr:colOff>
      <xdr:row>64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607218</xdr:colOff>
      <xdr:row>69</xdr:row>
      <xdr:rowOff>9525</xdr:rowOff>
    </xdr:from>
    <xdr:to>
      <xdr:col>4</xdr:col>
      <xdr:colOff>164305</xdr:colOff>
      <xdr:row>78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9</xdr:col>
      <xdr:colOff>314325</xdr:colOff>
      <xdr:row>78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490537</xdr:colOff>
      <xdr:row>68</xdr:row>
      <xdr:rowOff>166688</xdr:rowOff>
    </xdr:from>
    <xdr:to>
      <xdr:col>14</xdr:col>
      <xdr:colOff>319087</xdr:colOff>
      <xdr:row>78</xdr:row>
      <xdr:rowOff>100013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621505</xdr:colOff>
      <xdr:row>53</xdr:row>
      <xdr:rowOff>161924</xdr:rowOff>
    </xdr:from>
    <xdr:to>
      <xdr:col>4</xdr:col>
      <xdr:colOff>204787</xdr:colOff>
      <xdr:row>64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428625</xdr:colOff>
      <xdr:row>53</xdr:row>
      <xdr:rowOff>119063</xdr:rowOff>
    </xdr:from>
    <xdr:to>
      <xdr:col>8</xdr:col>
      <xdr:colOff>509587</xdr:colOff>
      <xdr:row>64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78580</xdr:colOff>
      <xdr:row>53</xdr:row>
      <xdr:rowOff>138112</xdr:rowOff>
    </xdr:from>
    <xdr:to>
      <xdr:col>13</xdr:col>
      <xdr:colOff>781842</xdr:colOff>
      <xdr:row>64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607218</xdr:colOff>
      <xdr:row>69</xdr:row>
      <xdr:rowOff>9525</xdr:rowOff>
    </xdr:from>
    <xdr:to>
      <xdr:col>4</xdr:col>
      <xdr:colOff>164305</xdr:colOff>
      <xdr:row>78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9</xdr:col>
      <xdr:colOff>314325</xdr:colOff>
      <xdr:row>78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490537</xdr:colOff>
      <xdr:row>68</xdr:row>
      <xdr:rowOff>166688</xdr:rowOff>
    </xdr:from>
    <xdr:to>
      <xdr:col>14</xdr:col>
      <xdr:colOff>319087</xdr:colOff>
      <xdr:row>78</xdr:row>
      <xdr:rowOff>100013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61915</xdr:colOff>
      <xdr:row>69</xdr:row>
      <xdr:rowOff>127786</xdr:rowOff>
    </xdr:from>
    <xdr:to>
      <xdr:col>3</xdr:col>
      <xdr:colOff>23813</xdr:colOff>
      <xdr:row>73</xdr:row>
      <xdr:rowOff>5291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063" b="76615"/>
        <a:stretch/>
      </xdr:blipFill>
      <xdr:spPr bwMode="auto">
        <a:xfrm>
          <a:off x="707498" y="13071203"/>
          <a:ext cx="2062691" cy="5971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582084</xdr:colOff>
      <xdr:row>73</xdr:row>
      <xdr:rowOff>91554</xdr:rowOff>
    </xdr:from>
    <xdr:to>
      <xdr:col>6</xdr:col>
      <xdr:colOff>229659</xdr:colOff>
      <xdr:row>87</xdr:row>
      <xdr:rowOff>40149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084" y="14294387"/>
          <a:ext cx="4611158" cy="2467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285750</xdr:colOff>
      <xdr:row>19</xdr:row>
      <xdr:rowOff>95250</xdr:rowOff>
    </xdr:from>
    <xdr:ext cx="1835150" cy="38735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038F239-3F4B-3A18-985A-DEF204E8FB43}"/>
                </a:ext>
              </a:extLst>
            </xdr:cNvPr>
            <xdr:cNvSpPr txBox="1"/>
          </xdr:nvSpPr>
          <xdr:spPr>
            <a:xfrm>
              <a:off x="8540750" y="3714750"/>
              <a:ext cx="1835150" cy="3873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nary>
                    <m:naryPr>
                      <m:chr m:val="∑"/>
                      <m:ctrlPr>
                        <a:rPr lang="en-US" sz="150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en-US" sz="15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n-US" sz="15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en-US" sz="1500" b="0" i="1">
                          <a:latin typeface="Cambria Math" panose="02040503050406030204" pitchFamily="18" charset="0"/>
                        </a:rPr>
                        <m:t>4</m:t>
                      </m:r>
                    </m:sup>
                    <m:e>
                      <m:r>
                        <a:rPr lang="en-US" sz="15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𝜏</m:t>
                      </m:r>
                      <m:r>
                        <a:rPr lang="en-US" sz="15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en-US" sz="1500" b="0" i="1">
                          <a:latin typeface="Cambria Math" panose="02040503050406030204" pitchFamily="18" charset="0"/>
                        </a:rPr>
                        <m:t>= </m:t>
                      </m:r>
                      <m:nary>
                        <m:naryPr>
                          <m:chr m:val="∑"/>
                          <m:ctrlPr>
                            <a:rPr lang="en-US" sz="1500" b="0" i="1">
                              <a:latin typeface="Cambria Math" panose="02040503050406030204" pitchFamily="18" charset="0"/>
                            </a:rPr>
                          </m:ctrlPr>
                        </m:naryPr>
                        <m:sub>
                          <m:r>
                            <m:rPr>
                              <m:brk m:alnAt="23"/>
                            </m:rPr>
                            <a:rPr lang="en-US" sz="1500" b="0" i="1">
                              <a:latin typeface="Cambria Math" panose="02040503050406030204" pitchFamily="18" charset="0"/>
                            </a:rPr>
                            <m:t>𝑗</m:t>
                          </m:r>
                          <m:r>
                            <a:rPr lang="en-US" sz="1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=1</m:t>
                          </m:r>
                        </m:sub>
                        <m:sup>
                          <m:r>
                            <a:rPr lang="en-US" sz="1500" b="0" i="1">
                              <a:latin typeface="Cambria Math" panose="02040503050406030204" pitchFamily="18" charset="0"/>
                            </a:rPr>
                            <m:t>4</m:t>
                          </m:r>
                        </m:sup>
                        <m:e>
                          <m:r>
                            <a:rPr lang="en-US" sz="15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𝛽</m:t>
                          </m:r>
                        </m:e>
                      </m:nary>
                      <m:r>
                        <a:rPr lang="en-US" sz="1500" b="0" i="1">
                          <a:latin typeface="Cambria Math" panose="02040503050406030204" pitchFamily="18" charset="0"/>
                        </a:rPr>
                        <m:t>𝑗</m:t>
                      </m:r>
                      <m:r>
                        <a:rPr lang="en-US" sz="1500" b="0" i="1">
                          <a:latin typeface="Cambria Math" panose="02040503050406030204" pitchFamily="18" charset="0"/>
                        </a:rPr>
                        <m:t> </m:t>
                      </m:r>
                    </m:e>
                  </m:nary>
                </m:oMath>
              </a14:m>
              <a:r>
                <a:rPr lang="en-US" sz="1500"/>
                <a:t>=0</a:t>
              </a:r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038F239-3F4B-3A18-985A-DEF204E8FB43}"/>
                </a:ext>
              </a:extLst>
            </xdr:cNvPr>
            <xdr:cNvSpPr txBox="1"/>
          </xdr:nvSpPr>
          <xdr:spPr>
            <a:xfrm>
              <a:off x="8540750" y="3714750"/>
              <a:ext cx="1835150" cy="3873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500" i="0">
                  <a:latin typeface="Cambria Math" panose="02040503050406030204" pitchFamily="18" charset="0"/>
                </a:rPr>
                <a:t>∑24_(</a:t>
              </a:r>
              <a:r>
                <a:rPr lang="en-US" sz="1500" b="0" i="0">
                  <a:latin typeface="Cambria Math" panose="02040503050406030204" pitchFamily="18" charset="0"/>
                </a:rPr>
                <a:t>𝑖=1)^4▒〖</a:t>
              </a:r>
              <a:r>
                <a:rPr lang="en-US" sz="15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</a:t>
              </a:r>
              <a:r>
                <a:rPr lang="en-US" sz="1500" b="0" i="0">
                  <a:latin typeface="Cambria Math" panose="02040503050406030204" pitchFamily="18" charset="0"/>
                </a:rPr>
                <a:t>𝑖= ∑24_(𝑗</a:t>
              </a:r>
              <a:r>
                <a:rPr lang="en-US" sz="1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=1)^</a:t>
              </a:r>
              <a:r>
                <a:rPr lang="en-US" sz="1500" b="0" i="0">
                  <a:latin typeface="Cambria Math" panose="02040503050406030204" pitchFamily="18" charset="0"/>
                </a:rPr>
                <a:t>4▒</a:t>
              </a:r>
              <a:r>
                <a:rPr lang="en-US" sz="15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 </a:t>
              </a:r>
              <a:r>
                <a:rPr lang="en-US" sz="1500" b="0" i="0">
                  <a:latin typeface="Cambria Math" panose="02040503050406030204" pitchFamily="18" charset="0"/>
                </a:rPr>
                <a:t>𝑗 〗</a:t>
              </a:r>
              <a:r>
                <a:rPr lang="en-US" sz="1500"/>
                <a:t>=0</a:t>
              </a: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0.w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wmf"/><Relationship Id="rId13" Type="http://schemas.openxmlformats.org/officeDocument/2006/relationships/oleObject" Target="../embeddings/oleObject7.bin"/><Relationship Id="rId3" Type="http://schemas.openxmlformats.org/officeDocument/2006/relationships/oleObject" Target="../embeddings/oleObject2.bin"/><Relationship Id="rId7" Type="http://schemas.openxmlformats.org/officeDocument/2006/relationships/oleObject" Target="../embeddings/oleObject4.bin"/><Relationship Id="rId12" Type="http://schemas.openxmlformats.org/officeDocument/2006/relationships/image" Target="../media/image17.wmf"/><Relationship Id="rId2" Type="http://schemas.openxmlformats.org/officeDocument/2006/relationships/vmlDrawing" Target="../drawings/vmlDrawing2.vml"/><Relationship Id="rId16" Type="http://schemas.openxmlformats.org/officeDocument/2006/relationships/oleObject" Target="../embeddings/oleObject10.bin"/><Relationship Id="rId1" Type="http://schemas.openxmlformats.org/officeDocument/2006/relationships/drawing" Target="../drawings/drawing7.xml"/><Relationship Id="rId6" Type="http://schemas.openxmlformats.org/officeDocument/2006/relationships/image" Target="../media/image14.wmf"/><Relationship Id="rId11" Type="http://schemas.openxmlformats.org/officeDocument/2006/relationships/oleObject" Target="../embeddings/oleObject6.bin"/><Relationship Id="rId5" Type="http://schemas.openxmlformats.org/officeDocument/2006/relationships/oleObject" Target="../embeddings/oleObject3.bin"/><Relationship Id="rId15" Type="http://schemas.openxmlformats.org/officeDocument/2006/relationships/oleObject" Target="../embeddings/oleObject9.bin"/><Relationship Id="rId10" Type="http://schemas.openxmlformats.org/officeDocument/2006/relationships/image" Target="../media/image16.wmf"/><Relationship Id="rId4" Type="http://schemas.openxmlformats.org/officeDocument/2006/relationships/image" Target="../media/image13.wmf"/><Relationship Id="rId9" Type="http://schemas.openxmlformats.org/officeDocument/2006/relationships/oleObject" Target="../embeddings/oleObject5.bin"/><Relationship Id="rId14" Type="http://schemas.openxmlformats.org/officeDocument/2006/relationships/oleObject" Target="../embeddings/oleObject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1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Relationship Id="rId4" Type="http://schemas.openxmlformats.org/officeDocument/2006/relationships/image" Target="../media/image10.w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DB17B-FCC0-4AB5-BCAB-66AE27D7AC36}">
  <dimension ref="B1:N46"/>
  <sheetViews>
    <sheetView showGridLines="0" zoomScale="80" zoomScaleNormal="80" workbookViewId="0">
      <selection activeCell="F20" sqref="F20:H21"/>
    </sheetView>
  </sheetViews>
  <sheetFormatPr baseColWidth="10" defaultColWidth="8.83203125" defaultRowHeight="15" x14ac:dyDescent="0.2"/>
  <cols>
    <col min="2" max="2" width="36.5" bestFit="1" customWidth="1"/>
    <col min="3" max="3" width="13.5" bestFit="1" customWidth="1"/>
    <col min="4" max="4" width="17.33203125" bestFit="1" customWidth="1"/>
    <col min="5" max="5" width="19.6640625" bestFit="1" customWidth="1"/>
    <col min="6" max="8" width="9.5" bestFit="1" customWidth="1"/>
    <col min="9" max="9" width="11.5" bestFit="1" customWidth="1"/>
    <col min="10" max="11" width="10.5" bestFit="1" customWidth="1"/>
    <col min="12" max="12" width="11.5" bestFit="1" customWidth="1"/>
    <col min="13" max="13" width="9.6640625" customWidth="1"/>
    <col min="14" max="14" width="15" bestFit="1" customWidth="1"/>
  </cols>
  <sheetData>
    <row r="1" spans="2:14" ht="16" thickBot="1" x14ac:dyDescent="0.25"/>
    <row r="2" spans="2:14" ht="18" thickTop="1" thickBot="1" x14ac:dyDescent="0.25">
      <c r="B2" s="117" t="s">
        <v>39</v>
      </c>
      <c r="C2" s="120" t="s">
        <v>5</v>
      </c>
      <c r="D2" s="121"/>
      <c r="E2" s="122"/>
      <c r="F2" s="120" t="s">
        <v>2</v>
      </c>
      <c r="G2" s="121"/>
      <c r="H2" s="122"/>
      <c r="I2" s="10"/>
    </row>
    <row r="3" spans="2:14" ht="17" thickBot="1" x14ac:dyDescent="0.25">
      <c r="B3" s="118"/>
      <c r="C3" s="123" t="s">
        <v>38</v>
      </c>
      <c r="D3" s="124"/>
      <c r="E3" s="125"/>
      <c r="F3" s="123" t="s">
        <v>38</v>
      </c>
      <c r="G3" s="124"/>
      <c r="H3" s="125"/>
      <c r="I3" s="114" t="s">
        <v>26</v>
      </c>
      <c r="J3" s="114"/>
      <c r="K3" s="114"/>
      <c r="L3" s="115" t="s">
        <v>19</v>
      </c>
      <c r="M3" s="115" t="s">
        <v>29</v>
      </c>
      <c r="N3" s="115" t="s">
        <v>31</v>
      </c>
    </row>
    <row r="4" spans="2:14" ht="17" thickBot="1" x14ac:dyDescent="0.25">
      <c r="B4" s="119"/>
      <c r="C4" s="39">
        <v>40</v>
      </c>
      <c r="D4" s="40">
        <v>60</v>
      </c>
      <c r="E4" s="40">
        <v>80</v>
      </c>
      <c r="F4" s="39">
        <v>40</v>
      </c>
      <c r="G4" s="40">
        <v>60</v>
      </c>
      <c r="H4" s="40">
        <v>80</v>
      </c>
      <c r="I4" s="39">
        <v>40</v>
      </c>
      <c r="J4" s="40">
        <v>60</v>
      </c>
      <c r="K4" s="40">
        <v>80</v>
      </c>
      <c r="L4" s="116"/>
      <c r="M4" s="116"/>
      <c r="N4" s="116"/>
    </row>
    <row r="5" spans="2:14" ht="16" x14ac:dyDescent="0.2">
      <c r="B5" s="41">
        <v>50</v>
      </c>
      <c r="C5" s="43">
        <v>17</v>
      </c>
      <c r="D5" s="44">
        <v>16</v>
      </c>
      <c r="E5" s="44">
        <v>24</v>
      </c>
      <c r="F5" s="43">
        <v>20</v>
      </c>
      <c r="G5" s="44">
        <v>21</v>
      </c>
      <c r="H5" s="45">
        <v>22</v>
      </c>
      <c r="I5" s="16">
        <f t="shared" ref="I5:K7" si="0">C5+F5</f>
        <v>37</v>
      </c>
      <c r="J5" s="16">
        <f t="shared" si="0"/>
        <v>37</v>
      </c>
      <c r="K5" s="16">
        <f t="shared" si="0"/>
        <v>46</v>
      </c>
      <c r="L5" s="17">
        <f>SUM(C5:H5)</f>
        <v>120</v>
      </c>
      <c r="M5" s="58">
        <f>AVERAGE(C5:H5)</f>
        <v>20</v>
      </c>
      <c r="N5" s="17">
        <f>M5-M12</f>
        <v>2.4444444444444429</v>
      </c>
    </row>
    <row r="6" spans="2:14" ht="16" x14ac:dyDescent="0.2">
      <c r="B6" s="6">
        <v>70</v>
      </c>
      <c r="C6" s="14">
        <v>12</v>
      </c>
      <c r="D6" s="3">
        <v>18</v>
      </c>
      <c r="E6" s="3">
        <v>17</v>
      </c>
      <c r="F6" s="14">
        <v>9</v>
      </c>
      <c r="G6" s="3">
        <v>13</v>
      </c>
      <c r="H6" s="2">
        <v>12</v>
      </c>
      <c r="I6" s="23">
        <f t="shared" si="0"/>
        <v>21</v>
      </c>
      <c r="J6" s="23">
        <f t="shared" si="0"/>
        <v>31</v>
      </c>
      <c r="K6" s="23">
        <f t="shared" si="0"/>
        <v>29</v>
      </c>
      <c r="L6" s="18">
        <f>SUM(C6:H6)</f>
        <v>81</v>
      </c>
      <c r="M6" s="59">
        <f t="shared" ref="M6:M7" si="1">AVERAGE(C6:H6)</f>
        <v>13.5</v>
      </c>
      <c r="N6" s="18">
        <f>M6-M12</f>
        <v>-4.0555555555555571</v>
      </c>
    </row>
    <row r="7" spans="2:14" ht="17" thickBot="1" x14ac:dyDescent="0.25">
      <c r="B7" s="42">
        <v>75</v>
      </c>
      <c r="C7" s="15">
        <v>16</v>
      </c>
      <c r="D7" s="4">
        <v>18</v>
      </c>
      <c r="E7" s="4">
        <v>25</v>
      </c>
      <c r="F7" s="15">
        <v>12</v>
      </c>
      <c r="G7" s="4">
        <v>21</v>
      </c>
      <c r="H7" s="5">
        <v>23</v>
      </c>
      <c r="I7" s="24">
        <f t="shared" si="0"/>
        <v>28</v>
      </c>
      <c r="J7" s="24">
        <f t="shared" si="0"/>
        <v>39</v>
      </c>
      <c r="K7" s="24">
        <f t="shared" si="0"/>
        <v>48</v>
      </c>
      <c r="L7" s="19">
        <f>SUM(C7:H7)</f>
        <v>115</v>
      </c>
      <c r="M7" s="60">
        <f t="shared" si="1"/>
        <v>19.166666666666668</v>
      </c>
      <c r="N7" s="19">
        <f>M7-M12</f>
        <v>1.6111111111111107</v>
      </c>
    </row>
    <row r="8" spans="2:14" ht="16" thickTop="1" x14ac:dyDescent="0.2">
      <c r="B8" s="34" t="s">
        <v>20</v>
      </c>
      <c r="C8" s="29">
        <f>SUM(C5:C7)</f>
        <v>45</v>
      </c>
      <c r="D8" s="30">
        <f t="shared" ref="D8:H8" si="2">SUM(D5:D7)</f>
        <v>52</v>
      </c>
      <c r="E8" s="30">
        <f t="shared" si="2"/>
        <v>66</v>
      </c>
      <c r="F8" s="30">
        <f t="shared" si="2"/>
        <v>41</v>
      </c>
      <c r="G8" s="30">
        <f t="shared" si="2"/>
        <v>55</v>
      </c>
      <c r="H8" s="30">
        <f t="shared" si="2"/>
        <v>57</v>
      </c>
      <c r="I8" s="9"/>
      <c r="L8" s="33"/>
      <c r="M8" s="33"/>
    </row>
    <row r="9" spans="2:14" x14ac:dyDescent="0.2">
      <c r="B9" s="35" t="s">
        <v>7</v>
      </c>
      <c r="C9" s="10"/>
      <c r="I9" s="9">
        <f>SUM(C5:C7,F5:F7)</f>
        <v>86</v>
      </c>
      <c r="J9" s="9">
        <f t="shared" ref="J9:K9" si="3">SUM(D5:D7,G5:G7)</f>
        <v>107</v>
      </c>
      <c r="K9" s="9">
        <f t="shared" si="3"/>
        <v>123</v>
      </c>
      <c r="L9" s="33"/>
      <c r="M9" s="33"/>
    </row>
    <row r="10" spans="2:14" x14ac:dyDescent="0.2">
      <c r="B10" s="35" t="s">
        <v>30</v>
      </c>
      <c r="C10" s="10"/>
      <c r="I10" s="61">
        <f>AVERAGE(C5:C7,F5:F7)</f>
        <v>14.333333333333334</v>
      </c>
      <c r="J10" s="61">
        <f t="shared" ref="J10:K10" si="4">AVERAGE(D5:D7,G5:G7)</f>
        <v>17.833333333333332</v>
      </c>
      <c r="K10" s="61">
        <f t="shared" si="4"/>
        <v>20.5</v>
      </c>
      <c r="L10" s="33"/>
      <c r="M10" s="33"/>
    </row>
    <row r="11" spans="2:14" x14ac:dyDescent="0.2">
      <c r="B11" s="35" t="s">
        <v>32</v>
      </c>
      <c r="C11" s="10"/>
      <c r="I11" s="9">
        <f>I10-M12</f>
        <v>-3.2222222222222232</v>
      </c>
      <c r="J11" s="9">
        <f>J10-M12</f>
        <v>0.27777777777777501</v>
      </c>
      <c r="K11" s="9">
        <f>K10-M12</f>
        <v>2.9444444444444429</v>
      </c>
      <c r="L11" s="33"/>
      <c r="M11" s="33"/>
    </row>
    <row r="12" spans="2:14" x14ac:dyDescent="0.2">
      <c r="B12" s="36" t="s">
        <v>21</v>
      </c>
      <c r="C12" s="11"/>
      <c r="D12" s="31"/>
      <c r="E12" s="31">
        <f>SUM(C5:E7)</f>
        <v>163</v>
      </c>
      <c r="F12" s="31"/>
      <c r="G12" s="31"/>
      <c r="H12" s="31">
        <f>SUM(F5:H7)</f>
        <v>153</v>
      </c>
      <c r="I12" s="31"/>
      <c r="J12" s="31"/>
      <c r="K12" s="31"/>
      <c r="L12" s="32">
        <f>SUM(C5:H7)</f>
        <v>316</v>
      </c>
      <c r="M12" s="32">
        <f>AVERAGE(C5:H7)</f>
        <v>17.555555555555557</v>
      </c>
    </row>
    <row r="14" spans="2:14" x14ac:dyDescent="0.2">
      <c r="B14" t="s">
        <v>22</v>
      </c>
      <c r="C14" t="s">
        <v>4</v>
      </c>
      <c r="D14">
        <f>COUNTIF(C2:H2,"*")</f>
        <v>2</v>
      </c>
      <c r="E14" s="9"/>
      <c r="G14" s="9"/>
      <c r="H14" s="9"/>
    </row>
    <row r="15" spans="2:14" x14ac:dyDescent="0.2">
      <c r="B15" t="s">
        <v>24</v>
      </c>
      <c r="C15" t="s">
        <v>3</v>
      </c>
      <c r="D15">
        <f>COUNT(B5:B7)</f>
        <v>3</v>
      </c>
      <c r="E15" s="9"/>
      <c r="G15" s="9"/>
      <c r="H15" s="9"/>
    </row>
    <row r="16" spans="2:14" x14ac:dyDescent="0.2">
      <c r="B16" t="s">
        <v>25</v>
      </c>
      <c r="C16" t="s">
        <v>6</v>
      </c>
      <c r="D16">
        <f>COUNT(C4:H4,"*")/D14</f>
        <v>3</v>
      </c>
      <c r="E16" s="9"/>
      <c r="G16" s="9"/>
      <c r="H16" s="9"/>
    </row>
    <row r="17" spans="2:14" x14ac:dyDescent="0.2">
      <c r="C17" t="s">
        <v>23</v>
      </c>
      <c r="D17">
        <f>D15*D16*D14</f>
        <v>18</v>
      </c>
      <c r="E17" s="9"/>
      <c r="G17" s="9"/>
      <c r="H17" s="9"/>
    </row>
    <row r="18" spans="2:14" x14ac:dyDescent="0.2">
      <c r="C18" t="s">
        <v>105</v>
      </c>
      <c r="D18">
        <v>0.05</v>
      </c>
      <c r="E18" s="9"/>
      <c r="G18" s="9"/>
      <c r="H18" s="9"/>
    </row>
    <row r="19" spans="2:14" ht="16" thickBot="1" x14ac:dyDescent="0.25">
      <c r="C19" s="9"/>
      <c r="D19" s="9"/>
      <c r="E19" s="9"/>
      <c r="F19" s="9"/>
      <c r="G19" s="9"/>
      <c r="H19" s="9"/>
    </row>
    <row r="20" spans="2:14" ht="18" thickTop="1" thickBot="1" x14ac:dyDescent="0.25">
      <c r="B20" s="117" t="s">
        <v>8</v>
      </c>
      <c r="C20" s="120" t="str">
        <f>C2</f>
        <v xml:space="preserve">Day 1 </v>
      </c>
      <c r="D20" s="121"/>
      <c r="E20" s="122"/>
      <c r="F20" s="120" t="str">
        <f t="shared" ref="F20:F21" si="5">F2</f>
        <v>Day 2</v>
      </c>
      <c r="G20" s="121"/>
      <c r="H20" s="122"/>
      <c r="I20" s="10"/>
    </row>
    <row r="21" spans="2:14" ht="17" thickBot="1" x14ac:dyDescent="0.25">
      <c r="B21" s="118"/>
      <c r="C21" s="123" t="str">
        <f>C3</f>
        <v>Copper content (%)</v>
      </c>
      <c r="D21" s="124"/>
      <c r="E21" s="125"/>
      <c r="F21" s="123" t="str">
        <f t="shared" si="5"/>
        <v>Copper content (%)</v>
      </c>
      <c r="G21" s="124"/>
      <c r="H21" s="125"/>
      <c r="I21" s="114" t="str">
        <f>I3</f>
        <v>Yij.</v>
      </c>
      <c r="J21" s="114"/>
      <c r="K21" s="114"/>
      <c r="L21" s="115" t="str">
        <f>L3</f>
        <v>Yi..</v>
      </c>
      <c r="M21" s="115"/>
      <c r="N21" s="115" t="s">
        <v>31</v>
      </c>
    </row>
    <row r="22" spans="2:14" ht="17" thickBot="1" x14ac:dyDescent="0.25">
      <c r="B22" s="119"/>
      <c r="C22" s="1">
        <f t="shared" ref="C22:H22" si="6">C4</f>
        <v>40</v>
      </c>
      <c r="D22" s="1">
        <f t="shared" si="6"/>
        <v>60</v>
      </c>
      <c r="E22" s="1">
        <f t="shared" si="6"/>
        <v>80</v>
      </c>
      <c r="F22" s="13">
        <f t="shared" si="6"/>
        <v>40</v>
      </c>
      <c r="G22" s="1">
        <f t="shared" si="6"/>
        <v>60</v>
      </c>
      <c r="H22" s="1">
        <f t="shared" si="6"/>
        <v>80</v>
      </c>
      <c r="I22" s="22">
        <f>I4</f>
        <v>40</v>
      </c>
      <c r="J22" s="22">
        <f>J4</f>
        <v>60</v>
      </c>
      <c r="K22" s="22">
        <f>K4</f>
        <v>80</v>
      </c>
      <c r="L22" s="116"/>
      <c r="M22" s="116"/>
      <c r="N22" s="116"/>
    </row>
    <row r="23" spans="2:14" ht="16" x14ac:dyDescent="0.2">
      <c r="B23" s="27">
        <f t="shared" ref="B23:B25" si="7">B5</f>
        <v>50</v>
      </c>
      <c r="C23" s="3">
        <f t="shared" ref="C23:I25" si="8">C5^2</f>
        <v>289</v>
      </c>
      <c r="D23" s="3">
        <f t="shared" si="8"/>
        <v>256</v>
      </c>
      <c r="E23" s="3">
        <f t="shared" si="8"/>
        <v>576</v>
      </c>
      <c r="F23" s="14">
        <f t="shared" si="8"/>
        <v>400</v>
      </c>
      <c r="G23" s="3">
        <f t="shared" si="8"/>
        <v>441</v>
      </c>
      <c r="H23" s="3">
        <f t="shared" si="8"/>
        <v>484</v>
      </c>
      <c r="I23" s="16">
        <f t="shared" si="8"/>
        <v>1369</v>
      </c>
      <c r="J23" s="16">
        <f t="shared" ref="J23:K23" si="9">J5^2</f>
        <v>1369</v>
      </c>
      <c r="K23" s="16">
        <f t="shared" si="9"/>
        <v>2116</v>
      </c>
      <c r="L23" s="17">
        <f>L5^2</f>
        <v>14400</v>
      </c>
      <c r="M23" s="17"/>
      <c r="N23" s="17">
        <f>N5^2</f>
        <v>5.9753086419753005</v>
      </c>
    </row>
    <row r="24" spans="2:14" ht="16" x14ac:dyDescent="0.2">
      <c r="B24" s="27">
        <f t="shared" si="7"/>
        <v>70</v>
      </c>
      <c r="C24" s="3">
        <f t="shared" si="8"/>
        <v>144</v>
      </c>
      <c r="D24" s="3">
        <f t="shared" si="8"/>
        <v>324</v>
      </c>
      <c r="E24" s="3">
        <f t="shared" si="8"/>
        <v>289</v>
      </c>
      <c r="F24" s="14">
        <f t="shared" si="8"/>
        <v>81</v>
      </c>
      <c r="G24" s="3">
        <f t="shared" si="8"/>
        <v>169</v>
      </c>
      <c r="H24" s="3">
        <f t="shared" si="8"/>
        <v>144</v>
      </c>
      <c r="I24" s="23">
        <f t="shared" si="8"/>
        <v>441</v>
      </c>
      <c r="J24" s="23">
        <f>J6^2</f>
        <v>961</v>
      </c>
      <c r="K24" s="23">
        <f>K6^2</f>
        <v>841</v>
      </c>
      <c r="L24" s="18">
        <f>L6^2</f>
        <v>6561</v>
      </c>
      <c r="M24" s="18"/>
      <c r="N24" s="18">
        <f>N6^2</f>
        <v>16.447530864197542</v>
      </c>
    </row>
    <row r="25" spans="2:14" ht="17" thickBot="1" x14ac:dyDescent="0.25">
      <c r="B25" s="28">
        <f t="shared" si="7"/>
        <v>75</v>
      </c>
      <c r="C25" s="4">
        <f t="shared" si="8"/>
        <v>256</v>
      </c>
      <c r="D25" s="4">
        <f t="shared" si="8"/>
        <v>324</v>
      </c>
      <c r="E25" s="4">
        <f t="shared" si="8"/>
        <v>625</v>
      </c>
      <c r="F25" s="15">
        <f t="shared" si="8"/>
        <v>144</v>
      </c>
      <c r="G25" s="4">
        <f t="shared" si="8"/>
        <v>441</v>
      </c>
      <c r="H25" s="4">
        <f t="shared" si="8"/>
        <v>529</v>
      </c>
      <c r="I25" s="24">
        <f t="shared" si="8"/>
        <v>784</v>
      </c>
      <c r="J25" s="24">
        <f>J7^2</f>
        <v>1521</v>
      </c>
      <c r="K25" s="24">
        <f>K7^2</f>
        <v>2304</v>
      </c>
      <c r="L25" s="19">
        <f>L7^2</f>
        <v>13225</v>
      </c>
      <c r="M25" s="19"/>
      <c r="N25" s="19">
        <f>N7^2</f>
        <v>2.5956790123456779</v>
      </c>
    </row>
    <row r="26" spans="2:14" ht="16" thickTop="1" x14ac:dyDescent="0.2">
      <c r="B26" s="34" t="str">
        <f>B8</f>
        <v>Y.jk</v>
      </c>
      <c r="C26" s="29">
        <f t="shared" ref="C26:H26" si="10">C8^2</f>
        <v>2025</v>
      </c>
      <c r="D26" s="30">
        <f t="shared" si="10"/>
        <v>2704</v>
      </c>
      <c r="E26" s="30">
        <f t="shared" si="10"/>
        <v>4356</v>
      </c>
      <c r="F26" s="30">
        <f t="shared" si="10"/>
        <v>1681</v>
      </c>
      <c r="G26" s="30">
        <f t="shared" si="10"/>
        <v>3025</v>
      </c>
      <c r="H26" s="30">
        <f t="shared" si="10"/>
        <v>3249</v>
      </c>
      <c r="I26" s="9"/>
      <c r="L26" s="33">
        <f>L7</f>
        <v>115</v>
      </c>
    </row>
    <row r="27" spans="2:14" x14ac:dyDescent="0.2">
      <c r="B27" s="35" t="str">
        <f>B9</f>
        <v>Y.j.</v>
      </c>
      <c r="C27" s="10"/>
      <c r="I27" s="9">
        <f>I9^2</f>
        <v>7396</v>
      </c>
      <c r="J27" s="9">
        <f>J9^2</f>
        <v>11449</v>
      </c>
      <c r="K27" s="9">
        <f>K9^2</f>
        <v>15129</v>
      </c>
      <c r="L27" s="33"/>
    </row>
    <row r="28" spans="2:14" x14ac:dyDescent="0.2">
      <c r="B28" s="35" t="s">
        <v>30</v>
      </c>
      <c r="C28" s="10"/>
      <c r="I28" s="9"/>
      <c r="J28" s="9"/>
      <c r="K28" s="9"/>
      <c r="L28" s="33"/>
    </row>
    <row r="29" spans="2:14" x14ac:dyDescent="0.2">
      <c r="B29" s="35" t="s">
        <v>32</v>
      </c>
      <c r="C29" s="10"/>
      <c r="I29" s="9">
        <f>I11^2</f>
        <v>10.382716049382722</v>
      </c>
      <c r="J29" s="9">
        <f t="shared" ref="J29:K29" si="11">J11^2</f>
        <v>7.7160493827158963E-2</v>
      </c>
      <c r="K29" s="9">
        <f t="shared" si="11"/>
        <v>8.6697530864197443</v>
      </c>
      <c r="L29" s="33"/>
    </row>
    <row r="30" spans="2:14" x14ac:dyDescent="0.2">
      <c r="B30" s="36" t="str">
        <f>B12</f>
        <v>Y..k</v>
      </c>
      <c r="C30" s="11"/>
      <c r="D30" s="31"/>
      <c r="E30" s="31">
        <f>E12^2</f>
        <v>26569</v>
      </c>
      <c r="F30" s="31"/>
      <c r="G30" s="31"/>
      <c r="H30" s="31">
        <f>H12^2</f>
        <v>23409</v>
      </c>
      <c r="I30" s="31"/>
      <c r="J30" s="31"/>
      <c r="K30" s="31"/>
      <c r="L30" s="32">
        <f>L12^2</f>
        <v>99856</v>
      </c>
    </row>
    <row r="31" spans="2:14" x14ac:dyDescent="0.2">
      <c r="C31" s="9"/>
      <c r="D31" s="9"/>
      <c r="E31" s="9"/>
      <c r="F31" s="9"/>
      <c r="G31" s="9"/>
      <c r="H31" s="9"/>
    </row>
    <row r="32" spans="2:14" ht="17" x14ac:dyDescent="0.25">
      <c r="C32" t="s">
        <v>27</v>
      </c>
      <c r="D32" s="9">
        <f>(D16*D14)*(SUM(N23:N25))</f>
        <v>150.11111111111111</v>
      </c>
      <c r="E32" s="9"/>
      <c r="F32" s="9"/>
      <c r="G32" s="9"/>
      <c r="H32" s="9"/>
    </row>
    <row r="33" spans="2:8" ht="17" x14ac:dyDescent="0.25">
      <c r="C33" t="s">
        <v>28</v>
      </c>
      <c r="D33" s="9">
        <f>(D15*D14)*(SUM(I29:K29))</f>
        <v>114.77777777777776</v>
      </c>
      <c r="E33" s="9"/>
      <c r="F33" s="9"/>
      <c r="G33" s="9"/>
      <c r="H33" s="9"/>
    </row>
    <row r="34" spans="2:8" ht="17" x14ac:dyDescent="0.25">
      <c r="C34" t="s">
        <v>9</v>
      </c>
      <c r="D34" s="9">
        <f>SUM(C23:H25)-(L30/D17)</f>
        <v>368.44444444444434</v>
      </c>
      <c r="E34" s="9"/>
      <c r="F34" s="9"/>
      <c r="G34" s="9"/>
      <c r="H34" s="9"/>
    </row>
    <row r="35" spans="2:8" x14ac:dyDescent="0.2">
      <c r="C35" s="9"/>
      <c r="D35" s="9"/>
      <c r="E35" s="9"/>
      <c r="F35" s="9"/>
      <c r="G35" s="9"/>
      <c r="H35" s="9"/>
    </row>
    <row r="36" spans="2:8" ht="17" x14ac:dyDescent="0.25">
      <c r="B36" s="20" t="s">
        <v>10</v>
      </c>
      <c r="C36" s="20" t="s">
        <v>11</v>
      </c>
      <c r="D36" s="20" t="s">
        <v>12</v>
      </c>
      <c r="E36" s="20" t="s">
        <v>17</v>
      </c>
      <c r="F36" s="20" t="s">
        <v>14</v>
      </c>
      <c r="G36" s="20" t="s">
        <v>40</v>
      </c>
    </row>
    <row r="37" spans="2:8" x14ac:dyDescent="0.2">
      <c r="B37" s="7" t="s">
        <v>18</v>
      </c>
      <c r="C37" s="37">
        <f>(SUM(E30,H30)/(D15*D16))-(L30/D17)</f>
        <v>5.5555555555556566</v>
      </c>
      <c r="D37" s="38">
        <f>D14-1</f>
        <v>1</v>
      </c>
      <c r="E37" s="12">
        <f>C37/D37</f>
        <v>5.5555555555556566</v>
      </c>
      <c r="F37" s="12">
        <f>E37/$E$41</f>
        <v>0.77369439071568047</v>
      </c>
      <c r="G37" s="12">
        <f>_xlfn.F.INV.RT($D$18,D37,$D$41)</f>
        <v>5.3176550715787174</v>
      </c>
    </row>
    <row r="38" spans="2:8" x14ac:dyDescent="0.2">
      <c r="B38" s="7" t="s">
        <v>37</v>
      </c>
      <c r="C38" s="37">
        <f>(SUM(L23:L25)/(D16*D14))-(L30/D17)</f>
        <v>150.11111111111131</v>
      </c>
      <c r="D38" s="38">
        <f>D15-1</f>
        <v>2</v>
      </c>
      <c r="E38" s="12">
        <f t="shared" ref="E38:E41" si="12">C38/D38</f>
        <v>75.055555555555657</v>
      </c>
      <c r="F38" s="12">
        <f t="shared" ref="F38:F40" si="13">E38/$E$41</f>
        <v>10.452611218568666</v>
      </c>
      <c r="G38" s="12">
        <f>_xlfn.F.INV.RT($D$18,D38,$D$41)</f>
        <v>4.4589701075245118</v>
      </c>
    </row>
    <row r="39" spans="2:8" x14ac:dyDescent="0.2">
      <c r="B39" s="7" t="s">
        <v>36</v>
      </c>
      <c r="C39" s="37">
        <f>(SUM(I27:K27)/(D15*D14))-(L30/D17)</f>
        <v>114.77777777777737</v>
      </c>
      <c r="D39" s="38">
        <f>D16-1</f>
        <v>2</v>
      </c>
      <c r="E39" s="12">
        <f t="shared" si="12"/>
        <v>57.388888888888687</v>
      </c>
      <c r="F39" s="12">
        <f t="shared" si="13"/>
        <v>7.9922630560928054</v>
      </c>
      <c r="G39" s="12">
        <f>_xlfn.F.INV.RT($D$18,D39,$D$41)</f>
        <v>4.4589701075245118</v>
      </c>
    </row>
    <row r="40" spans="2:8" x14ac:dyDescent="0.2">
      <c r="B40" s="7" t="s">
        <v>35</v>
      </c>
      <c r="C40" s="37">
        <f>(SUM(I23:K25)/D14)-(L30/D17)-D32-D33</f>
        <v>40.555555555555472</v>
      </c>
      <c r="D40" s="38">
        <f>(D15-1)*(D16-1)</f>
        <v>4</v>
      </c>
      <c r="E40" s="12">
        <f t="shared" si="12"/>
        <v>10.138888888888868</v>
      </c>
      <c r="F40" s="12">
        <f t="shared" si="13"/>
        <v>1.4119922630560882</v>
      </c>
      <c r="G40" s="12">
        <f>_xlfn.F.INV.RT($D$18,D40,$D$41)</f>
        <v>3.8378533545558975</v>
      </c>
    </row>
    <row r="41" spans="2:8" ht="17" x14ac:dyDescent="0.25">
      <c r="B41" s="7" t="s">
        <v>33</v>
      </c>
      <c r="C41" s="37">
        <f>D34-SUM(C37:C40)</f>
        <v>57.444444444444514</v>
      </c>
      <c r="D41" s="38">
        <f>D42-SUM(D37:D40)</f>
        <v>8</v>
      </c>
      <c r="E41" s="12">
        <f t="shared" si="12"/>
        <v>7.1805555555555642</v>
      </c>
      <c r="F41" s="7"/>
      <c r="G41" s="7"/>
    </row>
    <row r="42" spans="2:8" ht="17" x14ac:dyDescent="0.25">
      <c r="B42" s="7" t="s">
        <v>34</v>
      </c>
      <c r="C42" s="37">
        <f>D34</f>
        <v>368.44444444444434</v>
      </c>
      <c r="D42" s="7">
        <f>D17-1</f>
        <v>17</v>
      </c>
      <c r="E42" s="12"/>
      <c r="F42" s="7"/>
      <c r="G42" s="7"/>
    </row>
    <row r="43" spans="2:8" x14ac:dyDescent="0.2">
      <c r="C43" s="21"/>
      <c r="D43" s="73"/>
    </row>
    <row r="44" spans="2:8" x14ac:dyDescent="0.2">
      <c r="B44" t="s">
        <v>58</v>
      </c>
    </row>
    <row r="45" spans="2:8" x14ac:dyDescent="0.2">
      <c r="B45" t="s">
        <v>59</v>
      </c>
      <c r="C45" s="9">
        <f>$M$5</f>
        <v>20</v>
      </c>
      <c r="D45" s="9">
        <f>M6</f>
        <v>13.5</v>
      </c>
      <c r="E45" s="9">
        <f>M7</f>
        <v>19.166666666666668</v>
      </c>
    </row>
    <row r="46" spans="2:8" x14ac:dyDescent="0.2">
      <c r="B46" t="s">
        <v>60</v>
      </c>
      <c r="C46" s="9">
        <f>I10</f>
        <v>14.333333333333334</v>
      </c>
      <c r="D46" s="9">
        <f t="shared" ref="D46:E46" si="14">J10</f>
        <v>17.833333333333332</v>
      </c>
      <c r="E46" s="9">
        <f t="shared" si="14"/>
        <v>20.5</v>
      </c>
    </row>
  </sheetData>
  <mergeCells count="18">
    <mergeCell ref="M21:M22"/>
    <mergeCell ref="N21:N22"/>
    <mergeCell ref="L3:L4"/>
    <mergeCell ref="M3:M4"/>
    <mergeCell ref="N3:N4"/>
    <mergeCell ref="I21:K21"/>
    <mergeCell ref="L21:L22"/>
    <mergeCell ref="B2:B4"/>
    <mergeCell ref="C2:E2"/>
    <mergeCell ref="F2:H2"/>
    <mergeCell ref="C3:E3"/>
    <mergeCell ref="F3:H3"/>
    <mergeCell ref="I3:K3"/>
    <mergeCell ref="B20:B22"/>
    <mergeCell ref="C20:E20"/>
    <mergeCell ref="F20:H20"/>
    <mergeCell ref="C21:E21"/>
    <mergeCell ref="F21:H2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1DA9D-1605-4282-A191-E6F1E4D0DF3F}">
  <dimension ref="B1:N46"/>
  <sheetViews>
    <sheetView showGridLines="0" zoomScale="85" zoomScaleNormal="85" workbookViewId="0">
      <selection activeCell="F20" sqref="F20:H21"/>
    </sheetView>
  </sheetViews>
  <sheetFormatPr baseColWidth="10" defaultColWidth="8.83203125" defaultRowHeight="15" x14ac:dyDescent="0.2"/>
  <cols>
    <col min="2" max="2" width="36.5" bestFit="1" customWidth="1"/>
    <col min="3" max="3" width="13.5" bestFit="1" customWidth="1"/>
    <col min="4" max="4" width="17.33203125" bestFit="1" customWidth="1"/>
    <col min="5" max="5" width="19.6640625" bestFit="1" customWidth="1"/>
    <col min="6" max="8" width="9.5" bestFit="1" customWidth="1"/>
    <col min="9" max="9" width="11.5" bestFit="1" customWidth="1"/>
    <col min="10" max="11" width="10.5" bestFit="1" customWidth="1"/>
    <col min="12" max="12" width="11.5" bestFit="1" customWidth="1"/>
    <col min="13" max="13" width="9.6640625" customWidth="1"/>
    <col min="14" max="14" width="15" bestFit="1" customWidth="1"/>
  </cols>
  <sheetData>
    <row r="1" spans="2:14" ht="16" thickBot="1" x14ac:dyDescent="0.25"/>
    <row r="2" spans="2:14" ht="18" thickTop="1" thickBot="1" x14ac:dyDescent="0.25">
      <c r="B2" s="117" t="s">
        <v>0</v>
      </c>
      <c r="C2" s="120" t="s">
        <v>5</v>
      </c>
      <c r="D2" s="121"/>
      <c r="E2" s="122"/>
      <c r="F2" s="120" t="s">
        <v>2</v>
      </c>
      <c r="G2" s="121"/>
      <c r="H2" s="122"/>
      <c r="I2" s="10"/>
    </row>
    <row r="3" spans="2:14" ht="17" thickBot="1" x14ac:dyDescent="0.25">
      <c r="B3" s="118"/>
      <c r="C3" s="123" t="s">
        <v>1</v>
      </c>
      <c r="D3" s="124"/>
      <c r="E3" s="125"/>
      <c r="F3" s="123" t="s">
        <v>1</v>
      </c>
      <c r="G3" s="124"/>
      <c r="H3" s="125"/>
      <c r="I3" s="114" t="s">
        <v>26</v>
      </c>
      <c r="J3" s="114"/>
      <c r="K3" s="114"/>
      <c r="L3" s="115" t="s">
        <v>19</v>
      </c>
      <c r="M3" s="115" t="s">
        <v>29</v>
      </c>
      <c r="N3" s="115" t="s">
        <v>31</v>
      </c>
    </row>
    <row r="4" spans="2:14" ht="17" thickBot="1" x14ac:dyDescent="0.25">
      <c r="B4" s="119"/>
      <c r="C4" s="1">
        <v>400</v>
      </c>
      <c r="D4" s="1">
        <v>500</v>
      </c>
      <c r="E4" s="1">
        <v>650</v>
      </c>
      <c r="F4" s="13">
        <v>400</v>
      </c>
      <c r="G4" s="1">
        <v>500</v>
      </c>
      <c r="H4" s="1">
        <v>650</v>
      </c>
      <c r="I4" s="22">
        <v>400</v>
      </c>
      <c r="J4" s="22">
        <v>500</v>
      </c>
      <c r="K4" s="22">
        <v>650</v>
      </c>
      <c r="L4" s="116"/>
      <c r="M4" s="116"/>
      <c r="N4" s="116"/>
    </row>
    <row r="5" spans="2:14" ht="16" x14ac:dyDescent="0.2">
      <c r="B5" s="27">
        <v>2</v>
      </c>
      <c r="C5" s="3">
        <v>196.6</v>
      </c>
      <c r="D5" s="3">
        <v>197.7</v>
      </c>
      <c r="E5" s="3">
        <v>198.8</v>
      </c>
      <c r="F5" s="14">
        <v>198.4</v>
      </c>
      <c r="G5" s="3">
        <v>199.6</v>
      </c>
      <c r="H5" s="3">
        <v>200.6</v>
      </c>
      <c r="I5" s="16">
        <f t="shared" ref="I5:K7" si="0">C5+F5</f>
        <v>395</v>
      </c>
      <c r="J5" s="16">
        <f t="shared" si="0"/>
        <v>397.29999999999995</v>
      </c>
      <c r="K5" s="16">
        <f t="shared" si="0"/>
        <v>399.4</v>
      </c>
      <c r="L5" s="17">
        <f>SUM(C5:H5)</f>
        <v>1191.6999999999998</v>
      </c>
      <c r="M5" s="58">
        <f>AVERAGE(C5:H5)</f>
        <v>198.61666666666665</v>
      </c>
      <c r="N5" s="17">
        <f>M5-M12</f>
        <v>0.61666666666667425</v>
      </c>
    </row>
    <row r="6" spans="2:14" ht="16" x14ac:dyDescent="0.2">
      <c r="B6" s="27">
        <v>4</v>
      </c>
      <c r="C6" s="3">
        <v>198.5</v>
      </c>
      <c r="D6" s="3">
        <v>196</v>
      </c>
      <c r="E6" s="3">
        <v>198.4</v>
      </c>
      <c r="F6" s="14">
        <v>197.5</v>
      </c>
      <c r="G6" s="3">
        <v>198.7</v>
      </c>
      <c r="H6" s="3">
        <v>199.6</v>
      </c>
      <c r="I6" s="23">
        <f t="shared" si="0"/>
        <v>396</v>
      </c>
      <c r="J6" s="23">
        <f t="shared" si="0"/>
        <v>394.7</v>
      </c>
      <c r="K6" s="23">
        <f t="shared" si="0"/>
        <v>398</v>
      </c>
      <c r="L6" s="18">
        <f>SUM(C6:H6)</f>
        <v>1188.6999999999998</v>
      </c>
      <c r="M6" s="59">
        <f t="shared" ref="M6:M7" si="1">AVERAGE(C6:H6)</f>
        <v>198.11666666666665</v>
      </c>
      <c r="N6" s="18">
        <f>M6-M12</f>
        <v>0.11666666666667425</v>
      </c>
    </row>
    <row r="7" spans="2:14" ht="17" thickBot="1" x14ac:dyDescent="0.25">
      <c r="B7" s="28">
        <v>8</v>
      </c>
      <c r="C7" s="4">
        <v>197.5</v>
      </c>
      <c r="D7" s="4">
        <v>195.6</v>
      </c>
      <c r="E7" s="4">
        <v>197.4</v>
      </c>
      <c r="F7" s="15">
        <v>197.6</v>
      </c>
      <c r="G7" s="4">
        <v>197</v>
      </c>
      <c r="H7" s="4">
        <v>198.5</v>
      </c>
      <c r="I7" s="24">
        <f t="shared" si="0"/>
        <v>395.1</v>
      </c>
      <c r="J7" s="24">
        <f t="shared" si="0"/>
        <v>392.6</v>
      </c>
      <c r="K7" s="24">
        <f t="shared" si="0"/>
        <v>395.9</v>
      </c>
      <c r="L7" s="19">
        <f>SUM(C7:H7)</f>
        <v>1183.5999999999999</v>
      </c>
      <c r="M7" s="60">
        <f t="shared" si="1"/>
        <v>197.26666666666665</v>
      </c>
      <c r="N7" s="19">
        <f>M7-M12</f>
        <v>-0.73333333333332007</v>
      </c>
    </row>
    <row r="8" spans="2:14" ht="16" thickTop="1" x14ac:dyDescent="0.2">
      <c r="B8" s="34" t="s">
        <v>20</v>
      </c>
      <c r="C8" s="29">
        <f>SUM(C5:C7)</f>
        <v>592.6</v>
      </c>
      <c r="D8" s="30">
        <f t="shared" ref="D8:H8" si="2">SUM(D5:D7)</f>
        <v>589.29999999999995</v>
      </c>
      <c r="E8" s="30">
        <f t="shared" si="2"/>
        <v>594.6</v>
      </c>
      <c r="F8" s="30">
        <f t="shared" si="2"/>
        <v>593.5</v>
      </c>
      <c r="G8" s="30">
        <f t="shared" si="2"/>
        <v>595.29999999999995</v>
      </c>
      <c r="H8" s="30">
        <f t="shared" si="2"/>
        <v>598.70000000000005</v>
      </c>
      <c r="L8" s="33"/>
      <c r="M8" s="33"/>
    </row>
    <row r="9" spans="2:14" x14ac:dyDescent="0.2">
      <c r="B9" s="35" t="s">
        <v>7</v>
      </c>
      <c r="C9" s="10"/>
      <c r="I9" s="9">
        <f>SUM(C5:C7,F5:F7)</f>
        <v>1186.0999999999999</v>
      </c>
      <c r="J9" s="9">
        <f t="shared" ref="J9:K9" si="3">SUM(D5:D7,G5:G7)</f>
        <v>1184.5999999999999</v>
      </c>
      <c r="K9" s="9">
        <f t="shared" si="3"/>
        <v>1193.3000000000002</v>
      </c>
      <c r="L9" s="33"/>
      <c r="M9" s="33"/>
    </row>
    <row r="10" spans="2:14" x14ac:dyDescent="0.2">
      <c r="B10" s="35" t="s">
        <v>30</v>
      </c>
      <c r="C10" s="10"/>
      <c r="I10" s="61">
        <f>AVERAGE(C5:C7,F5:F7)</f>
        <v>197.68333333333331</v>
      </c>
      <c r="J10" s="61">
        <f t="shared" ref="J10:K10" si="4">AVERAGE(D5:D7,G5:G7)</f>
        <v>197.43333333333331</v>
      </c>
      <c r="K10" s="61">
        <f t="shared" si="4"/>
        <v>198.88333333333335</v>
      </c>
      <c r="L10" s="33"/>
      <c r="M10" s="33"/>
    </row>
    <row r="11" spans="2:14" x14ac:dyDescent="0.2">
      <c r="B11" s="35" t="s">
        <v>32</v>
      </c>
      <c r="C11" s="10"/>
      <c r="I11" s="9">
        <f>I10-M12</f>
        <v>-0.31666666666666288</v>
      </c>
      <c r="J11" s="9">
        <f>J10-M12</f>
        <v>-0.56666666666666288</v>
      </c>
      <c r="K11" s="9">
        <f>K10-M12</f>
        <v>0.8833333333333826</v>
      </c>
      <c r="L11" s="33"/>
      <c r="M11" s="33"/>
    </row>
    <row r="12" spans="2:14" x14ac:dyDescent="0.2">
      <c r="B12" s="36" t="s">
        <v>21</v>
      </c>
      <c r="C12" s="11"/>
      <c r="D12" s="31"/>
      <c r="E12" s="31">
        <f>SUM(C5:E7)</f>
        <v>1776.5</v>
      </c>
      <c r="F12" s="31"/>
      <c r="G12" s="31"/>
      <c r="H12" s="31">
        <f>SUM(F5:H7)</f>
        <v>1787.4999999999998</v>
      </c>
      <c r="I12" s="31"/>
      <c r="J12" s="31"/>
      <c r="K12" s="31"/>
      <c r="L12" s="32">
        <f>SUM(C5:H7)</f>
        <v>3563.9999999999995</v>
      </c>
      <c r="M12" s="32">
        <f>AVERAGE(C5:H7)</f>
        <v>197.99999999999997</v>
      </c>
    </row>
    <row r="14" spans="2:14" x14ac:dyDescent="0.2">
      <c r="B14" t="s">
        <v>22</v>
      </c>
      <c r="C14" t="s">
        <v>4</v>
      </c>
      <c r="D14">
        <f>COUNTIF(C2:H2,"*")</f>
        <v>2</v>
      </c>
      <c r="E14" s="9"/>
      <c r="G14" s="9"/>
      <c r="H14" s="9"/>
    </row>
    <row r="15" spans="2:14" x14ac:dyDescent="0.2">
      <c r="B15" t="s">
        <v>24</v>
      </c>
      <c r="C15" t="s">
        <v>3</v>
      </c>
      <c r="D15">
        <f>COUNT(B5:B7)</f>
        <v>3</v>
      </c>
      <c r="E15" s="9"/>
      <c r="G15" s="9"/>
      <c r="H15" s="9"/>
    </row>
    <row r="16" spans="2:14" x14ac:dyDescent="0.2">
      <c r="B16" t="s">
        <v>25</v>
      </c>
      <c r="C16" t="s">
        <v>6</v>
      </c>
      <c r="D16">
        <f>COUNT(C4:H4,"*")/D14</f>
        <v>3</v>
      </c>
      <c r="E16" s="9"/>
      <c r="G16" s="9"/>
      <c r="H16" s="9"/>
    </row>
    <row r="17" spans="2:14" x14ac:dyDescent="0.2">
      <c r="C17" t="s">
        <v>23</v>
      </c>
      <c r="D17">
        <f>D15*D16*D14</f>
        <v>18</v>
      </c>
      <c r="E17" s="9"/>
      <c r="G17" s="9"/>
      <c r="H17" s="9"/>
    </row>
    <row r="18" spans="2:14" x14ac:dyDescent="0.2">
      <c r="C18" t="s">
        <v>105</v>
      </c>
      <c r="D18">
        <v>0.05</v>
      </c>
      <c r="E18" s="9"/>
      <c r="G18" s="9"/>
      <c r="H18" s="9"/>
    </row>
    <row r="19" spans="2:14" ht="16" thickBot="1" x14ac:dyDescent="0.25">
      <c r="C19" s="9"/>
      <c r="D19" s="9"/>
      <c r="E19" s="9"/>
      <c r="F19" s="9"/>
      <c r="G19" s="9"/>
      <c r="H19" s="9"/>
    </row>
    <row r="20" spans="2:14" ht="18" thickTop="1" thickBot="1" x14ac:dyDescent="0.25">
      <c r="B20" s="117" t="s">
        <v>8</v>
      </c>
      <c r="C20" s="120" t="str">
        <f>C2</f>
        <v xml:space="preserve">Day 1 </v>
      </c>
      <c r="D20" s="121"/>
      <c r="E20" s="122"/>
      <c r="F20" s="120" t="str">
        <f>F2</f>
        <v>Day 2</v>
      </c>
      <c r="G20" s="121"/>
      <c r="H20" s="122"/>
      <c r="I20" s="10"/>
    </row>
    <row r="21" spans="2:14" ht="17" thickBot="1" x14ac:dyDescent="0.25">
      <c r="B21" s="118"/>
      <c r="C21" s="123" t="str">
        <f>C3</f>
        <v>Pressure</v>
      </c>
      <c r="D21" s="124"/>
      <c r="E21" s="125"/>
      <c r="F21" s="123" t="str">
        <f>F3</f>
        <v>Pressure</v>
      </c>
      <c r="G21" s="124"/>
      <c r="H21" s="125"/>
      <c r="I21" s="114" t="str">
        <f>I3</f>
        <v>Yij.</v>
      </c>
      <c r="J21" s="114"/>
      <c r="K21" s="114"/>
      <c r="L21" s="115" t="str">
        <f>L3</f>
        <v>Yi..</v>
      </c>
      <c r="M21" s="115"/>
      <c r="N21" s="115" t="s">
        <v>31</v>
      </c>
    </row>
    <row r="22" spans="2:14" ht="17" thickBot="1" x14ac:dyDescent="0.25">
      <c r="B22" s="119"/>
      <c r="C22" s="1">
        <f t="shared" ref="C22:H22" si="5">C4</f>
        <v>400</v>
      </c>
      <c r="D22" s="1">
        <f t="shared" si="5"/>
        <v>500</v>
      </c>
      <c r="E22" s="1">
        <f t="shared" si="5"/>
        <v>650</v>
      </c>
      <c r="F22" s="13">
        <f t="shared" si="5"/>
        <v>400</v>
      </c>
      <c r="G22" s="1">
        <f t="shared" si="5"/>
        <v>500</v>
      </c>
      <c r="H22" s="1">
        <f t="shared" si="5"/>
        <v>650</v>
      </c>
      <c r="I22" s="22">
        <f>I4</f>
        <v>400</v>
      </c>
      <c r="J22" s="22">
        <f>J4</f>
        <v>500</v>
      </c>
      <c r="K22" s="22">
        <f>K4</f>
        <v>650</v>
      </c>
      <c r="L22" s="116"/>
      <c r="M22" s="116"/>
      <c r="N22" s="116"/>
    </row>
    <row r="23" spans="2:14" ht="16" x14ac:dyDescent="0.2">
      <c r="B23" s="27">
        <f t="shared" ref="B23:B25" si="6">B5</f>
        <v>2</v>
      </c>
      <c r="C23" s="3">
        <f>C5^2</f>
        <v>38651.56</v>
      </c>
      <c r="D23" s="3">
        <f t="shared" ref="D23:H23" si="7">D5^2</f>
        <v>39085.289999999994</v>
      </c>
      <c r="E23" s="3">
        <f t="shared" si="7"/>
        <v>39521.440000000002</v>
      </c>
      <c r="F23" s="14">
        <f t="shared" si="7"/>
        <v>39362.560000000005</v>
      </c>
      <c r="G23" s="3">
        <f t="shared" si="7"/>
        <v>39840.159999999996</v>
      </c>
      <c r="H23" s="3">
        <f t="shared" si="7"/>
        <v>40240.36</v>
      </c>
      <c r="I23" s="16">
        <f>I5^2</f>
        <v>156025</v>
      </c>
      <c r="J23" s="16">
        <f t="shared" ref="J23:K23" si="8">J5^2</f>
        <v>157847.28999999995</v>
      </c>
      <c r="K23" s="16">
        <f t="shared" si="8"/>
        <v>159520.35999999999</v>
      </c>
      <c r="L23" s="17">
        <f>L5^2</f>
        <v>1420148.8899999997</v>
      </c>
      <c r="M23" s="17"/>
      <c r="N23" s="17">
        <f>N5^2</f>
        <v>0.38027777777778715</v>
      </c>
    </row>
    <row r="24" spans="2:14" ht="16" x14ac:dyDescent="0.2">
      <c r="B24" s="27">
        <f t="shared" si="6"/>
        <v>4</v>
      </c>
      <c r="C24" s="3">
        <f>C6^2</f>
        <v>39402.25</v>
      </c>
      <c r="D24" s="3">
        <f t="shared" ref="D24:L24" si="9">D6^2</f>
        <v>38416</v>
      </c>
      <c r="E24" s="3">
        <f t="shared" si="9"/>
        <v>39362.560000000005</v>
      </c>
      <c r="F24" s="14">
        <f t="shared" si="9"/>
        <v>39006.25</v>
      </c>
      <c r="G24" s="3">
        <f t="shared" si="9"/>
        <v>39481.689999999995</v>
      </c>
      <c r="H24" s="3">
        <f t="shared" si="9"/>
        <v>39840.159999999996</v>
      </c>
      <c r="I24" s="23">
        <f t="shared" si="9"/>
        <v>156816</v>
      </c>
      <c r="J24" s="23">
        <f t="shared" si="9"/>
        <v>155788.09</v>
      </c>
      <c r="K24" s="23">
        <f t="shared" si="9"/>
        <v>158404</v>
      </c>
      <c r="L24" s="18">
        <f t="shared" si="9"/>
        <v>1413007.6899999995</v>
      </c>
      <c r="M24" s="18"/>
      <c r="N24" s="18">
        <f>N6^2</f>
        <v>1.361111111111288E-2</v>
      </c>
    </row>
    <row r="25" spans="2:14" ht="17" thickBot="1" x14ac:dyDescent="0.25">
      <c r="B25" s="28">
        <f t="shared" si="6"/>
        <v>8</v>
      </c>
      <c r="C25" s="4">
        <f>C7^2</f>
        <v>39006.25</v>
      </c>
      <c r="D25" s="4">
        <f t="shared" ref="D25:L25" si="10">D7^2</f>
        <v>38259.360000000001</v>
      </c>
      <c r="E25" s="4">
        <f t="shared" si="10"/>
        <v>38966.76</v>
      </c>
      <c r="F25" s="15">
        <f t="shared" si="10"/>
        <v>39045.759999999995</v>
      </c>
      <c r="G25" s="4">
        <f t="shared" si="10"/>
        <v>38809</v>
      </c>
      <c r="H25" s="4">
        <f t="shared" si="10"/>
        <v>39402.25</v>
      </c>
      <c r="I25" s="24">
        <f t="shared" si="10"/>
        <v>156104.01</v>
      </c>
      <c r="J25" s="24">
        <f t="shared" si="10"/>
        <v>154134.76</v>
      </c>
      <c r="K25" s="24">
        <f t="shared" si="10"/>
        <v>156736.80999999997</v>
      </c>
      <c r="L25" s="19">
        <f t="shared" si="10"/>
        <v>1400908.9599999997</v>
      </c>
      <c r="M25" s="19"/>
      <c r="N25" s="19">
        <f>N7^2</f>
        <v>0.53777777777775837</v>
      </c>
    </row>
    <row r="26" spans="2:14" ht="16" thickTop="1" x14ac:dyDescent="0.2">
      <c r="B26" s="34" t="str">
        <f>B8</f>
        <v>Y.jk</v>
      </c>
      <c r="C26" s="29">
        <f t="shared" ref="C26:H26" si="11">C8^2</f>
        <v>351174.76</v>
      </c>
      <c r="D26" s="30">
        <f t="shared" si="11"/>
        <v>347274.48999999993</v>
      </c>
      <c r="E26" s="30">
        <f t="shared" si="11"/>
        <v>353549.16000000003</v>
      </c>
      <c r="F26" s="30">
        <f t="shared" si="11"/>
        <v>352242.25</v>
      </c>
      <c r="G26" s="30">
        <f t="shared" si="11"/>
        <v>354382.08999999997</v>
      </c>
      <c r="H26" s="30">
        <f t="shared" si="11"/>
        <v>358441.69000000006</v>
      </c>
      <c r="L26" s="33">
        <f>L7</f>
        <v>1183.5999999999999</v>
      </c>
    </row>
    <row r="27" spans="2:14" x14ac:dyDescent="0.2">
      <c r="B27" s="35" t="str">
        <f>B9</f>
        <v>Y.j.</v>
      </c>
      <c r="C27" s="10"/>
      <c r="I27" s="9">
        <f>I9^2</f>
        <v>1406833.2099999997</v>
      </c>
      <c r="J27" s="9">
        <f>J9^2</f>
        <v>1403277.1599999997</v>
      </c>
      <c r="K27" s="9">
        <f>K9^2</f>
        <v>1423964.8900000004</v>
      </c>
      <c r="L27" s="33"/>
    </row>
    <row r="28" spans="2:14" x14ac:dyDescent="0.2">
      <c r="B28" s="35" t="s">
        <v>30</v>
      </c>
      <c r="C28" s="10"/>
      <c r="I28" s="9"/>
      <c r="J28" s="9"/>
      <c r="K28" s="9"/>
      <c r="L28" s="33"/>
    </row>
    <row r="29" spans="2:14" x14ac:dyDescent="0.2">
      <c r="B29" s="35" t="s">
        <v>32</v>
      </c>
      <c r="C29" s="10"/>
      <c r="I29" s="9">
        <f>I11^2</f>
        <v>0.10027777777777538</v>
      </c>
      <c r="J29" s="9">
        <f t="shared" ref="J29:K29" si="12">J11^2</f>
        <v>0.3211111111111068</v>
      </c>
      <c r="K29" s="9">
        <f t="shared" si="12"/>
        <v>0.78027777777786478</v>
      </c>
      <c r="L29" s="33"/>
    </row>
    <row r="30" spans="2:14" x14ac:dyDescent="0.2">
      <c r="B30" s="36" t="str">
        <f>B12</f>
        <v>Y..k</v>
      </c>
      <c r="C30" s="11"/>
      <c r="D30" s="31"/>
      <c r="E30" s="31">
        <f>E12^2</f>
        <v>3155952.25</v>
      </c>
      <c r="F30" s="31"/>
      <c r="G30" s="31"/>
      <c r="H30" s="31">
        <f>H12^2</f>
        <v>3195156.2499999991</v>
      </c>
      <c r="I30" s="31"/>
      <c r="J30" s="31"/>
      <c r="K30" s="31"/>
      <c r="L30" s="32">
        <f>L12^2</f>
        <v>12702095.999999996</v>
      </c>
    </row>
    <row r="31" spans="2:14" x14ac:dyDescent="0.2">
      <c r="C31" s="9"/>
      <c r="D31" s="9"/>
      <c r="E31" s="9"/>
      <c r="F31" s="9"/>
      <c r="G31" s="9"/>
      <c r="H31" s="9"/>
    </row>
    <row r="32" spans="2:14" ht="17" x14ac:dyDescent="0.25">
      <c r="C32" t="s">
        <v>27</v>
      </c>
      <c r="D32" s="9">
        <f>(D16*D14)*(SUM(N23:N25))</f>
        <v>5.5899999999999501</v>
      </c>
      <c r="E32" s="9"/>
      <c r="F32" s="9"/>
      <c r="G32" s="9"/>
      <c r="H32" s="9"/>
    </row>
    <row r="33" spans="2:8" ht="17" x14ac:dyDescent="0.25">
      <c r="C33" t="s">
        <v>28</v>
      </c>
      <c r="D33" s="9">
        <f>(D15*D14)*(SUM(I29:K29))</f>
        <v>7.2100000000004822</v>
      </c>
      <c r="E33" s="9"/>
      <c r="F33" s="9"/>
      <c r="G33" s="9"/>
      <c r="H33" s="9"/>
    </row>
    <row r="34" spans="2:8" ht="17" x14ac:dyDescent="0.25">
      <c r="C34" t="s">
        <v>9</v>
      </c>
      <c r="D34" s="9">
        <f>SUM(C23:H25)-(L30/D17)</f>
        <v>27.660000000265427</v>
      </c>
      <c r="E34" s="9"/>
      <c r="F34" s="9"/>
      <c r="G34" s="9"/>
      <c r="H34" s="9"/>
    </row>
    <row r="35" spans="2:8" x14ac:dyDescent="0.2">
      <c r="C35" s="9"/>
      <c r="D35" s="9"/>
      <c r="E35" s="9"/>
      <c r="F35" s="9"/>
      <c r="G35" s="9"/>
      <c r="H35" s="9"/>
    </row>
    <row r="36" spans="2:8" ht="17" x14ac:dyDescent="0.25">
      <c r="B36" s="20" t="s">
        <v>10</v>
      </c>
      <c r="C36" s="20" t="s">
        <v>11</v>
      </c>
      <c r="D36" s="20" t="s">
        <v>12</v>
      </c>
      <c r="E36" s="20" t="s">
        <v>17</v>
      </c>
      <c r="F36" s="20" t="s">
        <v>14</v>
      </c>
      <c r="G36" s="20" t="s">
        <v>40</v>
      </c>
    </row>
    <row r="37" spans="2:8" x14ac:dyDescent="0.2">
      <c r="B37" s="7" t="s">
        <v>18</v>
      </c>
      <c r="C37" s="37">
        <f>(SUM(E30,H30)/(D15*D16))-(L30/D17)</f>
        <v>6.7222222223645076</v>
      </c>
      <c r="D37" s="38">
        <f>D14-1</f>
        <v>1</v>
      </c>
      <c r="E37" s="12">
        <f>C37/D37</f>
        <v>6.7222222223645076</v>
      </c>
      <c r="F37" s="12">
        <f>E37/$E$41</f>
        <v>11.255813954719031</v>
      </c>
      <c r="G37" s="12">
        <f>_xlfn.F.INV.RT($D$18,D37,$D$41)</f>
        <v>5.3176550715787174</v>
      </c>
    </row>
    <row r="38" spans="2:8" x14ac:dyDescent="0.2">
      <c r="B38" s="7" t="s">
        <v>37</v>
      </c>
      <c r="C38" s="37">
        <f>(SUM(L23:L25)/(D16*D14))-(L30/D17)</f>
        <v>5.590000000083819</v>
      </c>
      <c r="D38" s="38">
        <f>D15-1</f>
        <v>2</v>
      </c>
      <c r="E38" s="12">
        <f t="shared" ref="E38:E41" si="13">C38/D38</f>
        <v>2.7950000000419095</v>
      </c>
      <c r="F38" s="12">
        <f t="shared" ref="F38:F40" si="14">E38/$E$41</f>
        <v>4.6800000004828046</v>
      </c>
      <c r="G38" s="12">
        <f t="shared" ref="G38:G40" si="15">_xlfn.F.INV.RT($D$18,D38,$D$41)</f>
        <v>4.4589701075245118</v>
      </c>
    </row>
    <row r="39" spans="2:8" x14ac:dyDescent="0.2">
      <c r="B39" s="7" t="s">
        <v>36</v>
      </c>
      <c r="C39" s="37">
        <f>(SUM(I27:K27)/(D15*D14))-(L30/D17)</f>
        <v>7.2100000001955777</v>
      </c>
      <c r="D39" s="38">
        <f>D16-1</f>
        <v>2</v>
      </c>
      <c r="E39" s="12">
        <f t="shared" si="13"/>
        <v>3.6050000000977889</v>
      </c>
      <c r="F39" s="12">
        <f t="shared" si="14"/>
        <v>6.0362790704633937</v>
      </c>
      <c r="G39" s="12">
        <f t="shared" si="15"/>
        <v>4.4589701075245118</v>
      </c>
    </row>
    <row r="40" spans="2:8" x14ac:dyDescent="0.2">
      <c r="B40" s="7" t="s">
        <v>35</v>
      </c>
      <c r="C40" s="37">
        <f>(SUM(I23:K25)/D14)-(L30/D17)-D32-D33</f>
        <v>3.3600000002649946</v>
      </c>
      <c r="D40" s="38">
        <f>(D15-1)*(D16-1)</f>
        <v>4</v>
      </c>
      <c r="E40" s="12">
        <f t="shared" si="13"/>
        <v>0.84000000006624864</v>
      </c>
      <c r="F40" s="12">
        <f t="shared" si="14"/>
        <v>1.4065116281419154</v>
      </c>
      <c r="G40" s="12">
        <f t="shared" si="15"/>
        <v>3.8378533545558975</v>
      </c>
    </row>
    <row r="41" spans="2:8" ht="17" x14ac:dyDescent="0.25">
      <c r="B41" s="7" t="s">
        <v>33</v>
      </c>
      <c r="C41" s="37">
        <f>D34-SUM(C37:C40)</f>
        <v>4.7777777773565262</v>
      </c>
      <c r="D41" s="38">
        <f>D42-SUM(D37:D40)</f>
        <v>8</v>
      </c>
      <c r="E41" s="12">
        <f t="shared" si="13"/>
        <v>0.59722222216956578</v>
      </c>
      <c r="F41" s="7"/>
      <c r="G41" s="7"/>
    </row>
    <row r="42" spans="2:8" ht="17" x14ac:dyDescent="0.25">
      <c r="B42" s="7" t="s">
        <v>34</v>
      </c>
      <c r="C42" s="37">
        <f>D34</f>
        <v>27.660000000265427</v>
      </c>
      <c r="D42" s="7">
        <f>D17-1</f>
        <v>17</v>
      </c>
      <c r="E42" s="12"/>
      <c r="F42" s="7"/>
      <c r="G42" s="7"/>
    </row>
    <row r="43" spans="2:8" x14ac:dyDescent="0.2">
      <c r="C43" s="21"/>
    </row>
    <row r="44" spans="2:8" x14ac:dyDescent="0.2">
      <c r="B44" t="s">
        <v>58</v>
      </c>
    </row>
    <row r="45" spans="2:8" x14ac:dyDescent="0.2">
      <c r="B45" t="s">
        <v>59</v>
      </c>
      <c r="C45" s="9">
        <f>$M$5</f>
        <v>198.61666666666665</v>
      </c>
      <c r="D45" s="9">
        <f>M6</f>
        <v>198.11666666666665</v>
      </c>
      <c r="E45" s="9">
        <f>M7</f>
        <v>197.26666666666665</v>
      </c>
    </row>
    <row r="46" spans="2:8" x14ac:dyDescent="0.2">
      <c r="B46" t="s">
        <v>60</v>
      </c>
      <c r="C46" s="9">
        <f>I10</f>
        <v>197.68333333333331</v>
      </c>
      <c r="D46" s="9">
        <f t="shared" ref="D46:E46" si="16">J10</f>
        <v>197.43333333333331</v>
      </c>
      <c r="E46" s="9">
        <f t="shared" si="16"/>
        <v>198.88333333333335</v>
      </c>
    </row>
  </sheetData>
  <mergeCells count="18">
    <mergeCell ref="N3:N4"/>
    <mergeCell ref="N21:N22"/>
    <mergeCell ref="M21:M22"/>
    <mergeCell ref="I3:K3"/>
    <mergeCell ref="L3:L4"/>
    <mergeCell ref="I21:K21"/>
    <mergeCell ref="L21:L22"/>
    <mergeCell ref="M3:M4"/>
    <mergeCell ref="B20:B22"/>
    <mergeCell ref="C20:E20"/>
    <mergeCell ref="F20:H20"/>
    <mergeCell ref="C21:E21"/>
    <mergeCell ref="F21:H21"/>
    <mergeCell ref="B2:B4"/>
    <mergeCell ref="C2:E2"/>
    <mergeCell ref="C3:E3"/>
    <mergeCell ref="F2:H2"/>
    <mergeCell ref="F3:H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D6C8-5ED9-4E47-91B8-57C203A08A27}">
  <dimension ref="B1:N46"/>
  <sheetViews>
    <sheetView showGridLines="0" topLeftCell="B1" zoomScale="85" zoomScaleNormal="85" workbookViewId="0">
      <selection activeCell="C20" sqref="C20:E21"/>
    </sheetView>
  </sheetViews>
  <sheetFormatPr baseColWidth="10" defaultColWidth="8.83203125" defaultRowHeight="15" x14ac:dyDescent="0.2"/>
  <cols>
    <col min="2" max="2" width="36.5" bestFit="1" customWidth="1"/>
    <col min="3" max="3" width="13.5" bestFit="1" customWidth="1"/>
    <col min="4" max="4" width="17.33203125" bestFit="1" customWidth="1"/>
    <col min="5" max="5" width="19.6640625" bestFit="1" customWidth="1"/>
    <col min="6" max="8" width="9.5" bestFit="1" customWidth="1"/>
    <col min="9" max="9" width="11.5" bestFit="1" customWidth="1"/>
    <col min="10" max="11" width="10.5" bestFit="1" customWidth="1"/>
    <col min="12" max="12" width="11.5" bestFit="1" customWidth="1"/>
    <col min="13" max="13" width="9.6640625" customWidth="1"/>
    <col min="14" max="14" width="15" bestFit="1" customWidth="1"/>
  </cols>
  <sheetData>
    <row r="1" spans="2:14" ht="16" thickBot="1" x14ac:dyDescent="0.25"/>
    <row r="2" spans="2:14" ht="18" thickTop="1" thickBot="1" x14ac:dyDescent="0.25">
      <c r="B2" s="117" t="s">
        <v>57</v>
      </c>
      <c r="C2" s="120" t="s">
        <v>5</v>
      </c>
      <c r="D2" s="121"/>
      <c r="E2" s="122"/>
      <c r="F2" s="120" t="s">
        <v>2</v>
      </c>
      <c r="G2" s="121"/>
      <c r="H2" s="122"/>
      <c r="I2" s="10"/>
    </row>
    <row r="3" spans="2:14" ht="17" thickBot="1" x14ac:dyDescent="0.25">
      <c r="B3" s="118"/>
      <c r="C3" s="123" t="s">
        <v>56</v>
      </c>
      <c r="D3" s="124"/>
      <c r="E3" s="125"/>
      <c r="F3" s="123" t="s">
        <v>56</v>
      </c>
      <c r="G3" s="124"/>
      <c r="H3" s="125"/>
      <c r="I3" s="114" t="s">
        <v>26</v>
      </c>
      <c r="J3" s="114"/>
      <c r="K3" s="114"/>
      <c r="L3" s="115" t="s">
        <v>19</v>
      </c>
      <c r="M3" s="115" t="s">
        <v>29</v>
      </c>
      <c r="N3" s="115" t="s">
        <v>31</v>
      </c>
    </row>
    <row r="4" spans="2:14" ht="17" thickBot="1" x14ac:dyDescent="0.25">
      <c r="B4" s="119"/>
      <c r="C4" s="22">
        <v>800</v>
      </c>
      <c r="D4" s="57">
        <v>825</v>
      </c>
      <c r="E4" s="57">
        <v>850</v>
      </c>
      <c r="F4" s="39">
        <v>40</v>
      </c>
      <c r="G4" s="40">
        <v>60</v>
      </c>
      <c r="H4" s="40">
        <v>80</v>
      </c>
      <c r="I4" s="22">
        <v>400</v>
      </c>
      <c r="J4" s="22">
        <v>500</v>
      </c>
      <c r="K4" s="22">
        <v>650</v>
      </c>
      <c r="L4" s="116"/>
      <c r="M4" s="116"/>
      <c r="N4" s="116"/>
    </row>
    <row r="5" spans="2:14" ht="16" x14ac:dyDescent="0.2">
      <c r="B5" s="44">
        <v>1</v>
      </c>
      <c r="C5" s="43">
        <v>570</v>
      </c>
      <c r="D5" s="44">
        <v>1063</v>
      </c>
      <c r="E5" s="44">
        <v>565</v>
      </c>
      <c r="F5" s="43">
        <v>565</v>
      </c>
      <c r="G5" s="44">
        <v>1080</v>
      </c>
      <c r="H5" s="45">
        <v>510</v>
      </c>
      <c r="I5" s="16">
        <f t="shared" ref="I5:K7" si="0">C5+F5</f>
        <v>1135</v>
      </c>
      <c r="J5" s="16">
        <f t="shared" si="0"/>
        <v>2143</v>
      </c>
      <c r="K5" s="16">
        <f t="shared" si="0"/>
        <v>1075</v>
      </c>
      <c r="L5" s="17">
        <f>SUM(C5:H5)</f>
        <v>4353</v>
      </c>
      <c r="M5" s="58">
        <f>AVERAGE(C5:H5)</f>
        <v>725.5</v>
      </c>
      <c r="N5" s="17">
        <f>M5-M12</f>
        <v>15.555555555555543</v>
      </c>
    </row>
    <row r="6" spans="2:14" ht="16" x14ac:dyDescent="0.2">
      <c r="B6" s="3">
        <v>2</v>
      </c>
      <c r="C6" s="14">
        <v>583</v>
      </c>
      <c r="D6" s="3">
        <v>1043</v>
      </c>
      <c r="E6" s="3">
        <v>590</v>
      </c>
      <c r="F6" s="14">
        <v>528</v>
      </c>
      <c r="G6" s="3">
        <v>988</v>
      </c>
      <c r="H6" s="2">
        <v>526</v>
      </c>
      <c r="I6" s="23">
        <f t="shared" si="0"/>
        <v>1111</v>
      </c>
      <c r="J6" s="23">
        <f t="shared" si="0"/>
        <v>2031</v>
      </c>
      <c r="K6" s="23">
        <f t="shared" si="0"/>
        <v>1116</v>
      </c>
      <c r="L6" s="18">
        <f>SUM(C6:H6)</f>
        <v>4258</v>
      </c>
      <c r="M6" s="59">
        <f t="shared" ref="M6:M7" si="1">AVERAGE(C6:H6)</f>
        <v>709.66666666666663</v>
      </c>
      <c r="N6" s="18">
        <f>M6-M12</f>
        <v>-0.27777777777782831</v>
      </c>
    </row>
    <row r="7" spans="2:14" ht="17" thickBot="1" x14ac:dyDescent="0.25">
      <c r="B7" s="4">
        <v>3</v>
      </c>
      <c r="C7" s="15">
        <v>547</v>
      </c>
      <c r="D7" s="4">
        <v>1026</v>
      </c>
      <c r="E7" s="4">
        <v>538</v>
      </c>
      <c r="F7" s="15">
        <v>521</v>
      </c>
      <c r="G7" s="4">
        <v>1004</v>
      </c>
      <c r="H7" s="5">
        <v>532</v>
      </c>
      <c r="I7" s="24">
        <f t="shared" si="0"/>
        <v>1068</v>
      </c>
      <c r="J7" s="24">
        <f t="shared" si="0"/>
        <v>2030</v>
      </c>
      <c r="K7" s="24">
        <f t="shared" si="0"/>
        <v>1070</v>
      </c>
      <c r="L7" s="19">
        <f>SUM(C7:H7)</f>
        <v>4168</v>
      </c>
      <c r="M7" s="60">
        <f t="shared" si="1"/>
        <v>694.66666666666663</v>
      </c>
      <c r="N7" s="19">
        <f>M7-M12</f>
        <v>-15.277777777777828</v>
      </c>
    </row>
    <row r="8" spans="2:14" ht="16" thickTop="1" x14ac:dyDescent="0.2">
      <c r="B8" s="34" t="s">
        <v>20</v>
      </c>
      <c r="C8" s="29">
        <f>SUM(C5:C7)</f>
        <v>1700</v>
      </c>
      <c r="D8" s="30">
        <f t="shared" ref="D8:H8" si="2">SUM(D5:D7)</f>
        <v>3132</v>
      </c>
      <c r="E8" s="30">
        <f t="shared" si="2"/>
        <v>1693</v>
      </c>
      <c r="F8" s="30">
        <f t="shared" si="2"/>
        <v>1614</v>
      </c>
      <c r="G8" s="30">
        <f t="shared" si="2"/>
        <v>3072</v>
      </c>
      <c r="H8" s="30">
        <f t="shared" si="2"/>
        <v>1568</v>
      </c>
      <c r="L8" s="33"/>
      <c r="M8" s="33"/>
    </row>
    <row r="9" spans="2:14" x14ac:dyDescent="0.2">
      <c r="B9" s="35" t="s">
        <v>7</v>
      </c>
      <c r="C9" s="10"/>
      <c r="I9" s="9">
        <f>SUM(C5:C7,F5:F7)</f>
        <v>3314</v>
      </c>
      <c r="J9" s="9">
        <f t="shared" ref="J9:K9" si="3">SUM(D5:D7,G5:G7)</f>
        <v>6204</v>
      </c>
      <c r="K9" s="9">
        <f t="shared" si="3"/>
        <v>3261</v>
      </c>
      <c r="L9" s="33"/>
      <c r="M9" s="33"/>
    </row>
    <row r="10" spans="2:14" x14ac:dyDescent="0.2">
      <c r="B10" s="35" t="s">
        <v>30</v>
      </c>
      <c r="C10" s="10"/>
      <c r="I10" s="61">
        <f>AVERAGE(C5:C7,F5:F7)</f>
        <v>552.33333333333337</v>
      </c>
      <c r="J10" s="61">
        <f t="shared" ref="J10:K10" si="4">AVERAGE(D5:D7,G5:G7)</f>
        <v>1034</v>
      </c>
      <c r="K10" s="61">
        <f t="shared" si="4"/>
        <v>543.5</v>
      </c>
      <c r="L10" s="33"/>
      <c r="M10" s="33"/>
    </row>
    <row r="11" spans="2:14" x14ac:dyDescent="0.2">
      <c r="B11" s="35" t="s">
        <v>32</v>
      </c>
      <c r="C11" s="10"/>
      <c r="I11" s="9">
        <f>I10-M12</f>
        <v>-157.61111111111109</v>
      </c>
      <c r="J11" s="9">
        <f>J10-M12</f>
        <v>324.05555555555554</v>
      </c>
      <c r="K11" s="9">
        <f>K10-M12</f>
        <v>-166.44444444444446</v>
      </c>
      <c r="L11" s="33"/>
      <c r="M11" s="33"/>
    </row>
    <row r="12" spans="2:14" x14ac:dyDescent="0.2">
      <c r="B12" s="36" t="s">
        <v>21</v>
      </c>
      <c r="C12" s="11"/>
      <c r="D12" s="31"/>
      <c r="E12" s="31">
        <f>SUM(C5:E7)</f>
        <v>6525</v>
      </c>
      <c r="F12" s="31"/>
      <c r="G12" s="31"/>
      <c r="H12" s="31">
        <f>SUM(F5:H7)</f>
        <v>6254</v>
      </c>
      <c r="I12" s="31"/>
      <c r="J12" s="31"/>
      <c r="K12" s="31"/>
      <c r="L12" s="32">
        <f>SUM(C5:H7)</f>
        <v>12779</v>
      </c>
      <c r="M12" s="32">
        <f>AVERAGE(C5:H7)</f>
        <v>709.94444444444446</v>
      </c>
    </row>
    <row r="14" spans="2:14" x14ac:dyDescent="0.2">
      <c r="B14" t="s">
        <v>22</v>
      </c>
      <c r="C14" t="s">
        <v>4</v>
      </c>
      <c r="D14">
        <f>COUNTIF(C2:H2,"*")</f>
        <v>2</v>
      </c>
      <c r="E14" s="9"/>
      <c r="G14" s="9"/>
      <c r="H14" s="9"/>
    </row>
    <row r="15" spans="2:14" x14ac:dyDescent="0.2">
      <c r="B15" t="s">
        <v>24</v>
      </c>
      <c r="C15" t="s">
        <v>3</v>
      </c>
      <c r="D15">
        <f>COUNT(B5:B7)</f>
        <v>3</v>
      </c>
      <c r="E15" s="9"/>
      <c r="G15" s="9"/>
      <c r="H15" s="9"/>
    </row>
    <row r="16" spans="2:14" x14ac:dyDescent="0.2">
      <c r="B16" t="s">
        <v>25</v>
      </c>
      <c r="C16" t="s">
        <v>6</v>
      </c>
      <c r="D16">
        <f>COUNT(C4:H4,"*")/D14</f>
        <v>3</v>
      </c>
      <c r="E16" s="9"/>
      <c r="G16" s="9"/>
      <c r="H16" s="9"/>
    </row>
    <row r="17" spans="2:14" x14ac:dyDescent="0.2">
      <c r="C17" t="s">
        <v>23</v>
      </c>
      <c r="D17">
        <f>D15*D16*D14</f>
        <v>18</v>
      </c>
      <c r="E17" s="9"/>
      <c r="G17" s="9"/>
      <c r="H17" s="9"/>
    </row>
    <row r="18" spans="2:14" x14ac:dyDescent="0.2">
      <c r="C18" t="s">
        <v>105</v>
      </c>
      <c r="D18">
        <v>0.05</v>
      </c>
      <c r="E18" s="9"/>
      <c r="G18" s="9"/>
      <c r="H18" s="9"/>
    </row>
    <row r="19" spans="2:14" ht="16" thickBot="1" x14ac:dyDescent="0.25">
      <c r="C19" s="9"/>
      <c r="D19" s="9"/>
      <c r="E19" s="9"/>
      <c r="F19" s="9"/>
      <c r="G19" s="9"/>
      <c r="H19" s="9"/>
    </row>
    <row r="20" spans="2:14" ht="18" thickTop="1" thickBot="1" x14ac:dyDescent="0.25">
      <c r="B20" s="117" t="s">
        <v>8</v>
      </c>
      <c r="C20" s="120" t="str">
        <f>C2</f>
        <v xml:space="preserve">Day 1 </v>
      </c>
      <c r="D20" s="121"/>
      <c r="E20" s="122"/>
      <c r="F20" s="120" t="str">
        <f>F2</f>
        <v>Day 2</v>
      </c>
      <c r="G20" s="121"/>
      <c r="H20" s="122"/>
      <c r="I20" s="10"/>
    </row>
    <row r="21" spans="2:14" ht="17" thickBot="1" x14ac:dyDescent="0.25">
      <c r="B21" s="118"/>
      <c r="C21" s="123" t="str">
        <f>C3</f>
        <v>Temperature (oC)</v>
      </c>
      <c r="D21" s="124"/>
      <c r="E21" s="125"/>
      <c r="F21" s="123" t="str">
        <f>F3</f>
        <v>Temperature (oC)</v>
      </c>
      <c r="G21" s="124"/>
      <c r="H21" s="125"/>
      <c r="I21" s="114" t="str">
        <f>I3</f>
        <v>Yij.</v>
      </c>
      <c r="J21" s="114"/>
      <c r="K21" s="114"/>
      <c r="L21" s="115" t="str">
        <f>L3</f>
        <v>Yi..</v>
      </c>
      <c r="M21" s="115"/>
      <c r="N21" s="115" t="s">
        <v>31</v>
      </c>
    </row>
    <row r="22" spans="2:14" ht="17" thickBot="1" x14ac:dyDescent="0.25">
      <c r="B22" s="119"/>
      <c r="C22" s="1">
        <f t="shared" ref="C22:H22" si="5">C4</f>
        <v>800</v>
      </c>
      <c r="D22" s="1">
        <f t="shared" si="5"/>
        <v>825</v>
      </c>
      <c r="E22" s="1">
        <f t="shared" si="5"/>
        <v>850</v>
      </c>
      <c r="F22" s="13">
        <f t="shared" si="5"/>
        <v>40</v>
      </c>
      <c r="G22" s="1">
        <f t="shared" si="5"/>
        <v>60</v>
      </c>
      <c r="H22" s="1">
        <f t="shared" si="5"/>
        <v>80</v>
      </c>
      <c r="I22" s="22">
        <f>I4</f>
        <v>400</v>
      </c>
      <c r="J22" s="22">
        <f>J4</f>
        <v>500</v>
      </c>
      <c r="K22" s="22">
        <f>K4</f>
        <v>650</v>
      </c>
      <c r="L22" s="116"/>
      <c r="M22" s="116"/>
      <c r="N22" s="116"/>
    </row>
    <row r="23" spans="2:14" ht="16" x14ac:dyDescent="0.2">
      <c r="B23" s="27">
        <f t="shared" ref="B23:B25" si="6">B5</f>
        <v>1</v>
      </c>
      <c r="C23" s="3">
        <f t="shared" ref="C23:I25" si="7">C5^2</f>
        <v>324900</v>
      </c>
      <c r="D23" s="3">
        <f t="shared" si="7"/>
        <v>1129969</v>
      </c>
      <c r="E23" s="3">
        <f t="shared" si="7"/>
        <v>319225</v>
      </c>
      <c r="F23" s="14">
        <f t="shared" si="7"/>
        <v>319225</v>
      </c>
      <c r="G23" s="3">
        <f t="shared" si="7"/>
        <v>1166400</v>
      </c>
      <c r="H23" s="3">
        <f t="shared" si="7"/>
        <v>260100</v>
      </c>
      <c r="I23" s="16">
        <f t="shared" si="7"/>
        <v>1288225</v>
      </c>
      <c r="J23" s="16">
        <f t="shared" ref="J23:K23" si="8">J5^2</f>
        <v>4592449</v>
      </c>
      <c r="K23" s="16">
        <f t="shared" si="8"/>
        <v>1155625</v>
      </c>
      <c r="L23" s="17">
        <f>L5^2</f>
        <v>18948609</v>
      </c>
      <c r="M23" s="17"/>
      <c r="N23" s="17">
        <f>N5^2</f>
        <v>241.97530864197492</v>
      </c>
    </row>
    <row r="24" spans="2:14" ht="16" x14ac:dyDescent="0.2">
      <c r="B24" s="27">
        <f t="shared" si="6"/>
        <v>2</v>
      </c>
      <c r="C24" s="3">
        <f t="shared" si="7"/>
        <v>339889</v>
      </c>
      <c r="D24" s="3">
        <f t="shared" si="7"/>
        <v>1087849</v>
      </c>
      <c r="E24" s="3">
        <f t="shared" si="7"/>
        <v>348100</v>
      </c>
      <c r="F24" s="14">
        <f t="shared" si="7"/>
        <v>278784</v>
      </c>
      <c r="G24" s="3">
        <f t="shared" si="7"/>
        <v>976144</v>
      </c>
      <c r="H24" s="3">
        <f t="shared" si="7"/>
        <v>276676</v>
      </c>
      <c r="I24" s="23">
        <f t="shared" si="7"/>
        <v>1234321</v>
      </c>
      <c r="J24" s="23">
        <f>J6^2</f>
        <v>4124961</v>
      </c>
      <c r="K24" s="23">
        <f>K6^2</f>
        <v>1245456</v>
      </c>
      <c r="L24" s="18">
        <f>L6^2</f>
        <v>18130564</v>
      </c>
      <c r="M24" s="18"/>
      <c r="N24" s="18">
        <f>N6^2</f>
        <v>7.7160493827188564E-2</v>
      </c>
    </row>
    <row r="25" spans="2:14" ht="17" thickBot="1" x14ac:dyDescent="0.25">
      <c r="B25" s="28">
        <f t="shared" si="6"/>
        <v>3</v>
      </c>
      <c r="C25" s="4">
        <f t="shared" si="7"/>
        <v>299209</v>
      </c>
      <c r="D25" s="4">
        <f t="shared" si="7"/>
        <v>1052676</v>
      </c>
      <c r="E25" s="4">
        <f t="shared" si="7"/>
        <v>289444</v>
      </c>
      <c r="F25" s="15">
        <f t="shared" si="7"/>
        <v>271441</v>
      </c>
      <c r="G25" s="4">
        <f t="shared" si="7"/>
        <v>1008016</v>
      </c>
      <c r="H25" s="4">
        <f t="shared" si="7"/>
        <v>283024</v>
      </c>
      <c r="I25" s="24">
        <f t="shared" si="7"/>
        <v>1140624</v>
      </c>
      <c r="J25" s="24">
        <f>J7^2</f>
        <v>4120900</v>
      </c>
      <c r="K25" s="24">
        <f>K7^2</f>
        <v>1144900</v>
      </c>
      <c r="L25" s="19">
        <f>L7^2</f>
        <v>17372224</v>
      </c>
      <c r="M25" s="19"/>
      <c r="N25" s="19">
        <f>N7^2</f>
        <v>233.41049382716204</v>
      </c>
    </row>
    <row r="26" spans="2:14" ht="16" thickTop="1" x14ac:dyDescent="0.2">
      <c r="B26" s="34" t="str">
        <f>B8</f>
        <v>Y.jk</v>
      </c>
      <c r="C26" s="29">
        <f t="shared" ref="C26:H26" si="9">C8^2</f>
        <v>2890000</v>
      </c>
      <c r="D26" s="30">
        <f t="shared" si="9"/>
        <v>9809424</v>
      </c>
      <c r="E26" s="30">
        <f t="shared" si="9"/>
        <v>2866249</v>
      </c>
      <c r="F26" s="30">
        <f t="shared" si="9"/>
        <v>2604996</v>
      </c>
      <c r="G26" s="30">
        <f t="shared" si="9"/>
        <v>9437184</v>
      </c>
      <c r="H26" s="30">
        <f t="shared" si="9"/>
        <v>2458624</v>
      </c>
      <c r="L26" s="33">
        <f>L7</f>
        <v>4168</v>
      </c>
    </row>
    <row r="27" spans="2:14" x14ac:dyDescent="0.2">
      <c r="B27" s="35" t="str">
        <f>B9</f>
        <v>Y.j.</v>
      </c>
      <c r="C27" s="10"/>
      <c r="I27" s="9">
        <f>I9^2</f>
        <v>10982596</v>
      </c>
      <c r="J27" s="9">
        <f>J9^2</f>
        <v>38489616</v>
      </c>
      <c r="K27" s="9">
        <f>K9^2</f>
        <v>10634121</v>
      </c>
      <c r="L27" s="33"/>
    </row>
    <row r="28" spans="2:14" x14ac:dyDescent="0.2">
      <c r="B28" s="35" t="s">
        <v>30</v>
      </c>
      <c r="C28" s="10"/>
      <c r="I28" s="9"/>
      <c r="J28" s="9"/>
      <c r="K28" s="9"/>
      <c r="L28" s="33"/>
    </row>
    <row r="29" spans="2:14" x14ac:dyDescent="0.2">
      <c r="B29" s="35" t="s">
        <v>32</v>
      </c>
      <c r="C29" s="10"/>
      <c r="I29" s="9">
        <f>I11^2</f>
        <v>24841.262345679006</v>
      </c>
      <c r="J29" s="9">
        <f t="shared" ref="J29:K29" si="10">J11^2</f>
        <v>105012.00308641975</v>
      </c>
      <c r="K29" s="9">
        <f t="shared" si="10"/>
        <v>27703.753086419758</v>
      </c>
      <c r="L29" s="33"/>
    </row>
    <row r="30" spans="2:14" x14ac:dyDescent="0.2">
      <c r="B30" s="36" t="str">
        <f>B12</f>
        <v>Y..k</v>
      </c>
      <c r="C30" s="11"/>
      <c r="D30" s="31"/>
      <c r="E30" s="31">
        <f>E12^2</f>
        <v>42575625</v>
      </c>
      <c r="F30" s="31"/>
      <c r="G30" s="31"/>
      <c r="H30" s="31">
        <f>H12^2</f>
        <v>39112516</v>
      </c>
      <c r="I30" s="31"/>
      <c r="J30" s="31"/>
      <c r="K30" s="31"/>
      <c r="L30" s="32">
        <f>L12^2</f>
        <v>163302841</v>
      </c>
    </row>
    <row r="31" spans="2:14" x14ac:dyDescent="0.2">
      <c r="C31" s="9"/>
      <c r="D31" s="9"/>
      <c r="E31" s="9"/>
      <c r="F31" s="9"/>
      <c r="G31" s="9"/>
      <c r="H31" s="9"/>
    </row>
    <row r="32" spans="2:14" ht="17" x14ac:dyDescent="0.25">
      <c r="C32" t="s">
        <v>27</v>
      </c>
      <c r="D32" s="9">
        <f>(D16*D14)*(SUM(N23:N25))</f>
        <v>2852.7777777777851</v>
      </c>
      <c r="E32" s="9"/>
      <c r="F32" s="9"/>
      <c r="G32" s="9"/>
      <c r="H32" s="9"/>
    </row>
    <row r="33" spans="2:8" ht="17" x14ac:dyDescent="0.25">
      <c r="C33" t="s">
        <v>28</v>
      </c>
      <c r="D33" s="9">
        <f>(D15*D14)*(SUM(I29:K29))</f>
        <v>945342.11111111101</v>
      </c>
      <c r="E33" s="9"/>
      <c r="F33" s="9"/>
      <c r="G33" s="9"/>
      <c r="H33" s="9"/>
    </row>
    <row r="34" spans="2:8" ht="17" x14ac:dyDescent="0.25">
      <c r="C34" t="s">
        <v>9</v>
      </c>
      <c r="D34" s="9">
        <f>SUM(C23:H25)-(L30/D17)</f>
        <v>958690.94444444403</v>
      </c>
      <c r="E34" s="9"/>
      <c r="F34" s="9"/>
      <c r="G34" s="9"/>
      <c r="H34" s="9"/>
    </row>
    <row r="35" spans="2:8" x14ac:dyDescent="0.2">
      <c r="C35" s="9"/>
      <c r="D35" s="9"/>
      <c r="E35" s="9"/>
      <c r="F35" s="9"/>
      <c r="G35" s="9"/>
      <c r="H35" s="9"/>
    </row>
    <row r="36" spans="2:8" ht="17" x14ac:dyDescent="0.25">
      <c r="B36" s="20" t="s">
        <v>10</v>
      </c>
      <c r="C36" s="20" t="s">
        <v>11</v>
      </c>
      <c r="D36" s="20" t="s">
        <v>12</v>
      </c>
      <c r="E36" s="20" t="s">
        <v>17</v>
      </c>
      <c r="F36" s="20" t="s">
        <v>14</v>
      </c>
      <c r="G36" s="20" t="s">
        <v>40</v>
      </c>
    </row>
    <row r="37" spans="2:8" x14ac:dyDescent="0.2">
      <c r="B37" s="7" t="s">
        <v>18</v>
      </c>
      <c r="C37" s="37">
        <f>(SUM(E30,H30)/(D15*D16))-(L30/D17)</f>
        <v>4080.0555555559695</v>
      </c>
      <c r="D37" s="38">
        <f>D14-1</f>
        <v>1</v>
      </c>
      <c r="E37" s="12">
        <f>C37/D37</f>
        <v>4080.0555555559695</v>
      </c>
      <c r="F37" s="12">
        <f>E37/$E$41</f>
        <v>10.011041439476696</v>
      </c>
      <c r="G37" s="12">
        <f>_xlfn.F.INV.RT($D$18,D37,$D$41)</f>
        <v>5.3176550715787174</v>
      </c>
    </row>
    <row r="38" spans="2:8" x14ac:dyDescent="0.2">
      <c r="B38" s="7" t="s">
        <v>37</v>
      </c>
      <c r="C38" s="37">
        <f>(SUM(L23:L25)/(D16*D14))-(L30/D17)</f>
        <v>2852.7777777779847</v>
      </c>
      <c r="D38" s="38">
        <f>D15-1</f>
        <v>2</v>
      </c>
      <c r="E38" s="12">
        <f t="shared" ref="E38:E41" si="11">C38/D38</f>
        <v>1426.3888888889924</v>
      </c>
      <c r="F38" s="12">
        <f t="shared" ref="F38:F40" si="12">E38/$E$41</f>
        <v>3.4998636859323367</v>
      </c>
      <c r="G38" s="12">
        <f t="shared" ref="G38:G40" si="13">_xlfn.F.INV.RT($D$18,D38,$D$41)</f>
        <v>4.4589701075245118</v>
      </c>
    </row>
    <row r="39" spans="2:8" x14ac:dyDescent="0.2">
      <c r="B39" s="7" t="s">
        <v>36</v>
      </c>
      <c r="C39" s="37">
        <f>(SUM(I27:K27)/(D15*D14))-(L30/D17)</f>
        <v>945342.11111111008</v>
      </c>
      <c r="D39" s="38">
        <f>D16-1</f>
        <v>2</v>
      </c>
      <c r="E39" s="12">
        <f t="shared" si="11"/>
        <v>472671.05555555504</v>
      </c>
      <c r="F39" s="12">
        <f t="shared" si="12"/>
        <v>1159.7708560522422</v>
      </c>
      <c r="G39" s="12">
        <f t="shared" si="13"/>
        <v>4.4589701075245118</v>
      </c>
    </row>
    <row r="40" spans="2:8" x14ac:dyDescent="0.2">
      <c r="B40" s="7" t="s">
        <v>35</v>
      </c>
      <c r="C40" s="37">
        <f>(SUM(I23:K25)/D14)-(L30/D17)-D32-D33</f>
        <v>3155.555555555271</v>
      </c>
      <c r="D40" s="38">
        <f>(D15-1)*(D16-1)</f>
        <v>4</v>
      </c>
      <c r="E40" s="12">
        <f t="shared" si="11"/>
        <v>788.88888888881775</v>
      </c>
      <c r="F40" s="12">
        <f t="shared" si="12"/>
        <v>1.9356597600868974</v>
      </c>
      <c r="G40" s="12">
        <f t="shared" si="13"/>
        <v>3.8378533545558975</v>
      </c>
    </row>
    <row r="41" spans="2:8" ht="17" x14ac:dyDescent="0.25">
      <c r="B41" s="7" t="s">
        <v>33</v>
      </c>
      <c r="C41" s="37">
        <f>D34-SUM(C37:C40)</f>
        <v>3260.444444444729</v>
      </c>
      <c r="D41" s="38">
        <f>D42-SUM(D37:D40)</f>
        <v>8</v>
      </c>
      <c r="E41" s="12">
        <f t="shared" si="11"/>
        <v>407.55555555559113</v>
      </c>
      <c r="F41" s="7"/>
      <c r="G41" s="7"/>
    </row>
    <row r="42" spans="2:8" ht="17" x14ac:dyDescent="0.25">
      <c r="B42" s="7" t="s">
        <v>34</v>
      </c>
      <c r="C42" s="37">
        <f>D34</f>
        <v>958690.94444444403</v>
      </c>
      <c r="D42" s="7">
        <f>D17-1</f>
        <v>17</v>
      </c>
      <c r="E42" s="12"/>
      <c r="F42" s="7"/>
      <c r="G42" s="7"/>
    </row>
    <row r="43" spans="2:8" x14ac:dyDescent="0.2">
      <c r="C43" s="21"/>
    </row>
    <row r="44" spans="2:8" x14ac:dyDescent="0.2">
      <c r="B44" t="s">
        <v>58</v>
      </c>
    </row>
    <row r="45" spans="2:8" x14ac:dyDescent="0.2">
      <c r="B45" t="s">
        <v>59</v>
      </c>
      <c r="C45" s="9">
        <f>$M$5</f>
        <v>725.5</v>
      </c>
      <c r="D45" s="9">
        <f>M6</f>
        <v>709.66666666666663</v>
      </c>
      <c r="E45" s="9">
        <f>M7</f>
        <v>694.66666666666663</v>
      </c>
    </row>
    <row r="46" spans="2:8" x14ac:dyDescent="0.2">
      <c r="B46" t="s">
        <v>60</v>
      </c>
      <c r="C46" s="9">
        <f>I10</f>
        <v>552.33333333333337</v>
      </c>
      <c r="D46" s="9">
        <f t="shared" ref="D46:E46" si="14">J10</f>
        <v>1034</v>
      </c>
      <c r="E46" s="9">
        <f t="shared" si="14"/>
        <v>543.5</v>
      </c>
    </row>
  </sheetData>
  <mergeCells count="18">
    <mergeCell ref="M21:M22"/>
    <mergeCell ref="N21:N22"/>
    <mergeCell ref="L3:L4"/>
    <mergeCell ref="M3:M4"/>
    <mergeCell ref="N3:N4"/>
    <mergeCell ref="I21:K21"/>
    <mergeCell ref="L21:L22"/>
    <mergeCell ref="B2:B4"/>
    <mergeCell ref="C2:E2"/>
    <mergeCell ref="F2:H2"/>
    <mergeCell ref="C3:E3"/>
    <mergeCell ref="F3:H3"/>
    <mergeCell ref="I3:K3"/>
    <mergeCell ref="B20:B22"/>
    <mergeCell ref="C20:E20"/>
    <mergeCell ref="F20:H20"/>
    <mergeCell ref="C21:E21"/>
    <mergeCell ref="F21:H2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947D-050E-46CA-B841-5061DBBF6857}">
  <dimension ref="B1:N46"/>
  <sheetViews>
    <sheetView showGridLines="0" zoomScale="80" zoomScaleNormal="80" workbookViewId="0">
      <selection activeCell="K23" sqref="K23"/>
    </sheetView>
  </sheetViews>
  <sheetFormatPr baseColWidth="10" defaultColWidth="8.83203125" defaultRowHeight="15" x14ac:dyDescent="0.2"/>
  <cols>
    <col min="2" max="2" width="36.5" bestFit="1" customWidth="1"/>
    <col min="3" max="3" width="13.5" bestFit="1" customWidth="1"/>
    <col min="4" max="4" width="17.33203125" bestFit="1" customWidth="1"/>
    <col min="5" max="5" width="19.6640625" bestFit="1" customWidth="1"/>
    <col min="6" max="8" width="9.5" bestFit="1" customWidth="1"/>
    <col min="9" max="9" width="11.5" bestFit="1" customWidth="1"/>
    <col min="10" max="11" width="10.5" bestFit="1" customWidth="1"/>
    <col min="12" max="12" width="11.5" bestFit="1" customWidth="1"/>
    <col min="13" max="13" width="9.6640625" customWidth="1"/>
    <col min="14" max="14" width="15" bestFit="1" customWidth="1"/>
  </cols>
  <sheetData>
    <row r="1" spans="2:14" ht="16" thickBot="1" x14ac:dyDescent="0.25"/>
    <row r="2" spans="2:14" ht="18" thickTop="1" thickBot="1" x14ac:dyDescent="0.25">
      <c r="B2" s="117" t="s">
        <v>64</v>
      </c>
      <c r="C2" s="120" t="s">
        <v>61</v>
      </c>
      <c r="D2" s="121"/>
      <c r="E2" s="122"/>
      <c r="F2" s="120" t="s">
        <v>62</v>
      </c>
      <c r="G2" s="121"/>
      <c r="H2" s="122"/>
      <c r="I2" s="10"/>
    </row>
    <row r="3" spans="2:14" ht="17" thickBot="1" x14ac:dyDescent="0.25">
      <c r="B3" s="118"/>
      <c r="C3" s="123" t="s">
        <v>52</v>
      </c>
      <c r="D3" s="124"/>
      <c r="E3" s="125"/>
      <c r="F3" s="123" t="s">
        <v>63</v>
      </c>
      <c r="G3" s="124"/>
      <c r="H3" s="125"/>
      <c r="I3" s="114" t="s">
        <v>26</v>
      </c>
      <c r="J3" s="114"/>
      <c r="K3" s="114"/>
      <c r="L3" s="115" t="s">
        <v>19</v>
      </c>
      <c r="M3" s="115" t="s">
        <v>29</v>
      </c>
      <c r="N3" s="115" t="s">
        <v>31</v>
      </c>
    </row>
    <row r="4" spans="2:14" ht="17" thickBot="1" x14ac:dyDescent="0.25">
      <c r="B4" s="119"/>
      <c r="C4" s="39">
        <v>100</v>
      </c>
      <c r="D4" s="40">
        <v>25</v>
      </c>
      <c r="E4" s="40">
        <v>150</v>
      </c>
      <c r="F4" s="39">
        <v>100</v>
      </c>
      <c r="G4" s="40">
        <v>25</v>
      </c>
      <c r="H4" s="40">
        <v>150</v>
      </c>
      <c r="I4" s="39">
        <f>C4</f>
        <v>100</v>
      </c>
      <c r="J4" s="40">
        <f>D4</f>
        <v>25</v>
      </c>
      <c r="K4" s="40">
        <f>E4</f>
        <v>150</v>
      </c>
      <c r="L4" s="116"/>
      <c r="M4" s="116"/>
      <c r="N4" s="116"/>
    </row>
    <row r="5" spans="2:14" ht="16" x14ac:dyDescent="0.2">
      <c r="B5" s="41">
        <v>1</v>
      </c>
      <c r="C5" s="43">
        <v>580</v>
      </c>
      <c r="D5" s="44">
        <v>1090</v>
      </c>
      <c r="E5" s="44">
        <v>1392</v>
      </c>
      <c r="F5" s="43">
        <v>568</v>
      </c>
      <c r="G5" s="44">
        <v>1087</v>
      </c>
      <c r="H5" s="45">
        <v>1380</v>
      </c>
      <c r="I5" s="16">
        <f t="shared" ref="I5:K7" si="0">C5+F5</f>
        <v>1148</v>
      </c>
      <c r="J5" s="16">
        <f t="shared" si="0"/>
        <v>2177</v>
      </c>
      <c r="K5" s="16">
        <f t="shared" si="0"/>
        <v>2772</v>
      </c>
      <c r="L5" s="17">
        <f>SUM(C5:H5)</f>
        <v>6097</v>
      </c>
      <c r="M5" s="58">
        <f>AVERAGE(C5:H5)</f>
        <v>1016.1666666666666</v>
      </c>
      <c r="N5" s="17">
        <f>M5-M12</f>
        <v>76.611111111111086</v>
      </c>
    </row>
    <row r="6" spans="2:14" ht="16" x14ac:dyDescent="0.2">
      <c r="B6" s="6">
        <v>2</v>
      </c>
      <c r="C6" s="14">
        <v>550</v>
      </c>
      <c r="D6" s="3">
        <v>1070</v>
      </c>
      <c r="E6" s="3">
        <v>1328</v>
      </c>
      <c r="F6" s="14">
        <v>530</v>
      </c>
      <c r="G6" s="3">
        <v>1035</v>
      </c>
      <c r="H6" s="2">
        <v>1312</v>
      </c>
      <c r="I6" s="23">
        <f t="shared" si="0"/>
        <v>1080</v>
      </c>
      <c r="J6" s="23">
        <f t="shared" si="0"/>
        <v>2105</v>
      </c>
      <c r="K6" s="23">
        <f t="shared" si="0"/>
        <v>2640</v>
      </c>
      <c r="L6" s="18">
        <f>SUM(C6:H6)</f>
        <v>5825</v>
      </c>
      <c r="M6" s="59">
        <f t="shared" ref="M6:M7" si="1">AVERAGE(C6:H6)</f>
        <v>970.83333333333337</v>
      </c>
      <c r="N6" s="18">
        <f>M6-M12</f>
        <v>31.277777777777828</v>
      </c>
    </row>
    <row r="7" spans="2:14" ht="17" thickBot="1" x14ac:dyDescent="0.25">
      <c r="B7" s="42">
        <v>3</v>
      </c>
      <c r="C7" s="15">
        <v>546</v>
      </c>
      <c r="D7" s="4">
        <v>1045</v>
      </c>
      <c r="E7" s="4">
        <v>867</v>
      </c>
      <c r="F7" s="15">
        <v>575</v>
      </c>
      <c r="G7" s="4">
        <v>1053</v>
      </c>
      <c r="H7" s="5">
        <v>904</v>
      </c>
      <c r="I7" s="24">
        <f t="shared" si="0"/>
        <v>1121</v>
      </c>
      <c r="J7" s="24">
        <f t="shared" si="0"/>
        <v>2098</v>
      </c>
      <c r="K7" s="24">
        <f t="shared" si="0"/>
        <v>1771</v>
      </c>
      <c r="L7" s="19">
        <f>SUM(C7:H7)</f>
        <v>4990</v>
      </c>
      <c r="M7" s="60">
        <f t="shared" si="1"/>
        <v>831.66666666666663</v>
      </c>
      <c r="N7" s="19">
        <f>M7-M12</f>
        <v>-107.88888888888891</v>
      </c>
    </row>
    <row r="8" spans="2:14" ht="16" thickTop="1" x14ac:dyDescent="0.2">
      <c r="B8" s="34" t="s">
        <v>20</v>
      </c>
      <c r="C8" s="29">
        <f>SUM(C5:C7)</f>
        <v>1676</v>
      </c>
      <c r="D8" s="30">
        <f t="shared" ref="D8:H8" si="2">SUM(D5:D7)</f>
        <v>3205</v>
      </c>
      <c r="E8" s="30">
        <f t="shared" si="2"/>
        <v>3587</v>
      </c>
      <c r="F8" s="30">
        <f t="shared" si="2"/>
        <v>1673</v>
      </c>
      <c r="G8" s="30">
        <f t="shared" si="2"/>
        <v>3175</v>
      </c>
      <c r="H8" s="30">
        <f t="shared" si="2"/>
        <v>3596</v>
      </c>
      <c r="I8" s="9">
        <f>SUM(I5:I7)</f>
        <v>3349</v>
      </c>
      <c r="J8" s="9">
        <f t="shared" ref="J8:K8" si="3">SUM(J5:J7)</f>
        <v>6380</v>
      </c>
      <c r="K8" s="9">
        <f t="shared" si="3"/>
        <v>7183</v>
      </c>
      <c r="L8" s="33"/>
      <c r="M8" s="33"/>
    </row>
    <row r="9" spans="2:14" x14ac:dyDescent="0.2">
      <c r="B9" s="35" t="s">
        <v>7</v>
      </c>
      <c r="C9" s="10"/>
      <c r="I9" s="9">
        <f>SUM(C5:C7,F5:F7)</f>
        <v>3349</v>
      </c>
      <c r="J9" s="9">
        <f t="shared" ref="J9:K9" si="4">SUM(D5:D7,G5:G7)</f>
        <v>6380</v>
      </c>
      <c r="K9" s="9">
        <f t="shared" si="4"/>
        <v>7183</v>
      </c>
      <c r="L9" s="33"/>
      <c r="M9" s="33"/>
    </row>
    <row r="10" spans="2:14" x14ac:dyDescent="0.2">
      <c r="B10" s="35" t="s">
        <v>30</v>
      </c>
      <c r="C10" s="10"/>
      <c r="I10" s="61">
        <f>AVERAGE(C5:C7,F5:F7)</f>
        <v>558.16666666666663</v>
      </c>
      <c r="J10" s="61">
        <f t="shared" ref="J10:K10" si="5">AVERAGE(D5:D7,G5:G7)</f>
        <v>1063.3333333333333</v>
      </c>
      <c r="K10" s="61">
        <f t="shared" si="5"/>
        <v>1197.1666666666667</v>
      </c>
      <c r="L10" s="33"/>
      <c r="M10" s="33"/>
    </row>
    <row r="11" spans="2:14" x14ac:dyDescent="0.2">
      <c r="B11" s="35" t="s">
        <v>32</v>
      </c>
      <c r="C11" s="10"/>
      <c r="I11" s="9">
        <f>I10-M12</f>
        <v>-381.38888888888891</v>
      </c>
      <c r="J11" s="9">
        <f>J10-M12</f>
        <v>123.77777777777771</v>
      </c>
      <c r="K11" s="9">
        <f>K10-M12</f>
        <v>257.6111111111112</v>
      </c>
      <c r="L11" s="33"/>
      <c r="M11" s="33"/>
    </row>
    <row r="12" spans="2:14" x14ac:dyDescent="0.2">
      <c r="B12" s="36" t="s">
        <v>21</v>
      </c>
      <c r="C12" s="11"/>
      <c r="D12" s="31"/>
      <c r="E12" s="31">
        <f>SUM(C5:E7)</f>
        <v>8468</v>
      </c>
      <c r="F12" s="31"/>
      <c r="G12" s="31"/>
      <c r="H12" s="31">
        <f>SUM(F5:H7)</f>
        <v>8444</v>
      </c>
      <c r="I12" s="31"/>
      <c r="J12" s="31"/>
      <c r="K12" s="31"/>
      <c r="L12" s="32">
        <f>SUM(C5:H7)</f>
        <v>16912</v>
      </c>
      <c r="M12" s="32">
        <f>AVERAGE(C5:H7)</f>
        <v>939.55555555555554</v>
      </c>
    </row>
    <row r="14" spans="2:14" x14ac:dyDescent="0.2">
      <c r="B14" t="s">
        <v>22</v>
      </c>
      <c r="C14" t="s">
        <v>4</v>
      </c>
      <c r="D14">
        <f>COUNTIF(C2:H2,"*")</f>
        <v>2</v>
      </c>
      <c r="E14" s="9"/>
      <c r="G14" s="9"/>
      <c r="H14" s="9"/>
    </row>
    <row r="15" spans="2:14" x14ac:dyDescent="0.2">
      <c r="B15" t="s">
        <v>24</v>
      </c>
      <c r="C15" t="s">
        <v>3</v>
      </c>
      <c r="D15">
        <f>COUNT(B5:B7)</f>
        <v>3</v>
      </c>
      <c r="E15" s="9"/>
      <c r="G15" s="9"/>
      <c r="H15" s="9"/>
    </row>
    <row r="16" spans="2:14" x14ac:dyDescent="0.2">
      <c r="B16" t="s">
        <v>25</v>
      </c>
      <c r="C16" t="s">
        <v>6</v>
      </c>
      <c r="D16">
        <f>COUNT(C4:H4,"*")/D14</f>
        <v>3</v>
      </c>
      <c r="E16" s="9"/>
      <c r="G16" s="9"/>
      <c r="H16" s="9"/>
    </row>
    <row r="17" spans="2:14" x14ac:dyDescent="0.2">
      <c r="C17" t="s">
        <v>23</v>
      </c>
      <c r="D17">
        <f>D15*D16*D14</f>
        <v>18</v>
      </c>
      <c r="E17" s="9"/>
      <c r="G17" s="9"/>
      <c r="H17" s="9"/>
    </row>
    <row r="18" spans="2:14" x14ac:dyDescent="0.2">
      <c r="C18" t="s">
        <v>105</v>
      </c>
      <c r="D18">
        <v>0.05</v>
      </c>
      <c r="E18" s="9"/>
      <c r="G18" s="9"/>
      <c r="H18" s="9"/>
    </row>
    <row r="19" spans="2:14" ht="16" thickBot="1" x14ac:dyDescent="0.25">
      <c r="C19" s="9"/>
      <c r="D19" s="9"/>
      <c r="E19" s="9"/>
      <c r="F19" s="9"/>
      <c r="G19" s="9"/>
      <c r="H19" s="9"/>
    </row>
    <row r="20" spans="2:14" ht="18" thickTop="1" thickBot="1" x14ac:dyDescent="0.25">
      <c r="B20" s="117" t="s">
        <v>8</v>
      </c>
      <c r="C20" s="120" t="str">
        <f>C2</f>
        <v>Operator1</v>
      </c>
      <c r="D20" s="121"/>
      <c r="E20" s="122"/>
      <c r="F20" s="120" t="str">
        <f>F2</f>
        <v>Operator2</v>
      </c>
      <c r="G20" s="121"/>
      <c r="H20" s="122"/>
      <c r="I20" s="10"/>
    </row>
    <row r="21" spans="2:14" ht="17" thickBot="1" x14ac:dyDescent="0.25">
      <c r="B21" s="118"/>
      <c r="C21" s="123" t="str">
        <f>C3</f>
        <v>Temperature</v>
      </c>
      <c r="D21" s="124"/>
      <c r="E21" s="125"/>
      <c r="F21" s="123" t="str">
        <f>F3</f>
        <v>Tempurature</v>
      </c>
      <c r="G21" s="124"/>
      <c r="H21" s="125"/>
      <c r="I21" s="114" t="str">
        <f>I3</f>
        <v>Yij.</v>
      </c>
      <c r="J21" s="114"/>
      <c r="K21" s="114"/>
      <c r="L21" s="115" t="str">
        <f>L3</f>
        <v>Yi..</v>
      </c>
      <c r="M21" s="115"/>
      <c r="N21" s="115" t="s">
        <v>31</v>
      </c>
    </row>
    <row r="22" spans="2:14" ht="17" thickBot="1" x14ac:dyDescent="0.25">
      <c r="B22" s="119"/>
      <c r="C22" s="1">
        <f>C4</f>
        <v>100</v>
      </c>
      <c r="D22" s="1">
        <f t="shared" ref="D22:H22" si="6">D4</f>
        <v>25</v>
      </c>
      <c r="E22" s="1">
        <f t="shared" si="6"/>
        <v>150</v>
      </c>
      <c r="F22" s="13">
        <f t="shared" si="6"/>
        <v>100</v>
      </c>
      <c r="G22" s="1">
        <f t="shared" si="6"/>
        <v>25</v>
      </c>
      <c r="H22" s="1">
        <f t="shared" si="6"/>
        <v>150</v>
      </c>
      <c r="I22" s="22">
        <f>I4</f>
        <v>100</v>
      </c>
      <c r="J22" s="22">
        <f>J4</f>
        <v>25</v>
      </c>
      <c r="K22" s="22">
        <f>K4</f>
        <v>150</v>
      </c>
      <c r="L22" s="116"/>
      <c r="M22" s="116"/>
      <c r="N22" s="116"/>
    </row>
    <row r="23" spans="2:14" ht="16" x14ac:dyDescent="0.2">
      <c r="B23" s="27">
        <f>B5</f>
        <v>1</v>
      </c>
      <c r="C23" s="3">
        <f t="shared" ref="C23:I25" si="7">C5^2</f>
        <v>336400</v>
      </c>
      <c r="D23" s="3">
        <f t="shared" si="7"/>
        <v>1188100</v>
      </c>
      <c r="E23" s="3">
        <f t="shared" si="7"/>
        <v>1937664</v>
      </c>
      <c r="F23" s="14">
        <f t="shared" si="7"/>
        <v>322624</v>
      </c>
      <c r="G23" s="3">
        <f t="shared" si="7"/>
        <v>1181569</v>
      </c>
      <c r="H23" s="3">
        <f t="shared" si="7"/>
        <v>1904400</v>
      </c>
      <c r="I23" s="16">
        <f t="shared" si="7"/>
        <v>1317904</v>
      </c>
      <c r="J23" s="16">
        <f t="shared" ref="J23:K23" si="8">J5^2</f>
        <v>4739329</v>
      </c>
      <c r="K23" s="16">
        <f t="shared" si="8"/>
        <v>7683984</v>
      </c>
      <c r="L23" s="17">
        <f>L5^2</f>
        <v>37173409</v>
      </c>
      <c r="M23" s="17"/>
      <c r="N23" s="17">
        <f>N5^2</f>
        <v>5869.2623456790088</v>
      </c>
    </row>
    <row r="24" spans="2:14" ht="16" x14ac:dyDescent="0.2">
      <c r="B24" s="27">
        <f t="shared" ref="B24:B25" si="9">B6</f>
        <v>2</v>
      </c>
      <c r="C24" s="3">
        <f t="shared" si="7"/>
        <v>302500</v>
      </c>
      <c r="D24" s="3">
        <f t="shared" si="7"/>
        <v>1144900</v>
      </c>
      <c r="E24" s="3">
        <f t="shared" si="7"/>
        <v>1763584</v>
      </c>
      <c r="F24" s="14">
        <f t="shared" si="7"/>
        <v>280900</v>
      </c>
      <c r="G24" s="3">
        <f t="shared" si="7"/>
        <v>1071225</v>
      </c>
      <c r="H24" s="3">
        <f t="shared" si="7"/>
        <v>1721344</v>
      </c>
      <c r="I24" s="23">
        <f t="shared" si="7"/>
        <v>1166400</v>
      </c>
      <c r="J24" s="23">
        <f>J6^2</f>
        <v>4431025</v>
      </c>
      <c r="K24" s="23">
        <f>K6^2</f>
        <v>6969600</v>
      </c>
      <c r="L24" s="18">
        <f>L6^2</f>
        <v>33930625</v>
      </c>
      <c r="M24" s="18"/>
      <c r="N24" s="18">
        <f>N6^2</f>
        <v>978.29938271605249</v>
      </c>
    </row>
    <row r="25" spans="2:14" ht="17" thickBot="1" x14ac:dyDescent="0.25">
      <c r="B25" s="28">
        <f t="shared" si="9"/>
        <v>3</v>
      </c>
      <c r="C25" s="4">
        <f t="shared" si="7"/>
        <v>298116</v>
      </c>
      <c r="D25" s="4">
        <f t="shared" si="7"/>
        <v>1092025</v>
      </c>
      <c r="E25" s="4">
        <f t="shared" si="7"/>
        <v>751689</v>
      </c>
      <c r="F25" s="15">
        <f t="shared" si="7"/>
        <v>330625</v>
      </c>
      <c r="G25" s="4">
        <f t="shared" si="7"/>
        <v>1108809</v>
      </c>
      <c r="H25" s="4">
        <f t="shared" si="7"/>
        <v>817216</v>
      </c>
      <c r="I25" s="24">
        <f t="shared" si="7"/>
        <v>1256641</v>
      </c>
      <c r="J25" s="24">
        <f>J7^2</f>
        <v>4401604</v>
      </c>
      <c r="K25" s="24">
        <f>K7^2</f>
        <v>3136441</v>
      </c>
      <c r="L25" s="19">
        <f>L7^2</f>
        <v>24900100</v>
      </c>
      <c r="M25" s="19"/>
      <c r="N25" s="19">
        <f>N7^2</f>
        <v>11640.012345679017</v>
      </c>
    </row>
    <row r="26" spans="2:14" ht="16" thickTop="1" x14ac:dyDescent="0.2">
      <c r="B26" s="34" t="str">
        <f>B8</f>
        <v>Y.jk</v>
      </c>
      <c r="C26" s="29">
        <f t="shared" ref="C26:H26" si="10">C8^2</f>
        <v>2808976</v>
      </c>
      <c r="D26" s="30">
        <f t="shared" si="10"/>
        <v>10272025</v>
      </c>
      <c r="E26" s="30">
        <f t="shared" si="10"/>
        <v>12866569</v>
      </c>
      <c r="F26" s="30">
        <f t="shared" si="10"/>
        <v>2798929</v>
      </c>
      <c r="G26" s="30">
        <f t="shared" si="10"/>
        <v>10080625</v>
      </c>
      <c r="H26" s="30">
        <f t="shared" si="10"/>
        <v>12931216</v>
      </c>
      <c r="I26" s="9"/>
      <c r="L26" s="33">
        <f>L7</f>
        <v>4990</v>
      </c>
    </row>
    <row r="27" spans="2:14" x14ac:dyDescent="0.2">
      <c r="B27" s="35" t="str">
        <f>B9</f>
        <v>Y.j.</v>
      </c>
      <c r="C27" s="10"/>
      <c r="I27" s="9">
        <f>I9^2</f>
        <v>11215801</v>
      </c>
      <c r="J27" s="9">
        <f>J9^2</f>
        <v>40704400</v>
      </c>
      <c r="K27" s="9">
        <f>K9^2</f>
        <v>51595489</v>
      </c>
      <c r="L27" s="33"/>
    </row>
    <row r="28" spans="2:14" x14ac:dyDescent="0.2">
      <c r="B28" s="35" t="s">
        <v>30</v>
      </c>
      <c r="C28" s="10"/>
      <c r="I28" s="9"/>
      <c r="J28" s="9"/>
      <c r="K28" s="9"/>
      <c r="L28" s="33"/>
    </row>
    <row r="29" spans="2:14" x14ac:dyDescent="0.2">
      <c r="B29" s="35" t="s">
        <v>32</v>
      </c>
      <c r="C29" s="10"/>
      <c r="I29" s="9">
        <f>I11^2</f>
        <v>145457.48456790127</v>
      </c>
      <c r="J29" s="9">
        <f t="shared" ref="J29:K29" si="11">J11^2</f>
        <v>15320.938271604922</v>
      </c>
      <c r="K29" s="9">
        <f t="shared" si="11"/>
        <v>66363.48456790128</v>
      </c>
      <c r="L29" s="33"/>
    </row>
    <row r="30" spans="2:14" x14ac:dyDescent="0.2">
      <c r="B30" s="36" t="str">
        <f>B12</f>
        <v>Y..k</v>
      </c>
      <c r="C30" s="11"/>
      <c r="D30" s="31"/>
      <c r="E30" s="31">
        <f>E12^2</f>
        <v>71707024</v>
      </c>
      <c r="F30" s="31"/>
      <c r="G30" s="31"/>
      <c r="H30" s="31">
        <f>H12^2</f>
        <v>71301136</v>
      </c>
      <c r="I30" s="31"/>
      <c r="J30" s="31"/>
      <c r="K30" s="31"/>
      <c r="L30" s="32">
        <f>L12^2</f>
        <v>286015744</v>
      </c>
    </row>
    <row r="31" spans="2:14" x14ac:dyDescent="0.2">
      <c r="C31" s="9"/>
      <c r="D31" s="9"/>
      <c r="E31" s="9"/>
      <c r="F31" s="9"/>
      <c r="G31" s="9"/>
      <c r="H31" s="9"/>
    </row>
    <row r="32" spans="2:14" ht="17" x14ac:dyDescent="0.25">
      <c r="C32" t="s">
        <v>27</v>
      </c>
      <c r="D32" s="9">
        <f>(D16*D14)*(SUM(N23:N25))</f>
        <v>110925.44444444448</v>
      </c>
      <c r="E32" s="9"/>
      <c r="F32" s="9"/>
      <c r="G32" s="9"/>
      <c r="H32" s="9"/>
    </row>
    <row r="33" spans="2:8" ht="17" x14ac:dyDescent="0.25">
      <c r="C33" t="s">
        <v>28</v>
      </c>
      <c r="D33" s="9">
        <f>(D15*D14)*(SUM(I29:K29))</f>
        <v>1362851.444444445</v>
      </c>
      <c r="E33" s="9"/>
      <c r="F33" s="9"/>
      <c r="G33" s="9"/>
      <c r="H33" s="9"/>
    </row>
    <row r="34" spans="2:8" ht="17" x14ac:dyDescent="0.25">
      <c r="C34" t="s">
        <v>9</v>
      </c>
      <c r="D34" s="9">
        <f>SUM(C23:H25)-(L30/D17)</f>
        <v>1663926.444444444</v>
      </c>
      <c r="E34" s="9"/>
      <c r="F34" s="9"/>
      <c r="G34" s="9"/>
      <c r="H34" s="9"/>
    </row>
    <row r="35" spans="2:8" x14ac:dyDescent="0.2">
      <c r="C35" s="9"/>
      <c r="D35" s="9"/>
      <c r="E35" s="9"/>
      <c r="F35" s="9"/>
      <c r="G35" s="9"/>
      <c r="H35" s="9"/>
    </row>
    <row r="36" spans="2:8" ht="17" x14ac:dyDescent="0.25">
      <c r="B36" s="20" t="s">
        <v>10</v>
      </c>
      <c r="C36" s="20" t="s">
        <v>11</v>
      </c>
      <c r="D36" s="20" t="s">
        <v>12</v>
      </c>
      <c r="E36" s="20" t="s">
        <v>17</v>
      </c>
      <c r="F36" s="20" t="s">
        <v>14</v>
      </c>
      <c r="G36" s="20" t="s">
        <v>40</v>
      </c>
    </row>
    <row r="37" spans="2:8" x14ac:dyDescent="0.2">
      <c r="B37" s="7" t="s">
        <v>18</v>
      </c>
      <c r="C37" s="37">
        <f>(SUM(E30,H30)/(D15*D16))-(L30/D17)</f>
        <v>32</v>
      </c>
      <c r="D37" s="38">
        <f>D14-1</f>
        <v>1</v>
      </c>
      <c r="E37" s="12">
        <f>C37/D37</f>
        <v>32</v>
      </c>
      <c r="F37" s="12">
        <f>E37/$E$41</f>
        <v>0.11668185961706336</v>
      </c>
      <c r="G37" s="12">
        <f>_xlfn.F.INV.RT($D$18,D37,$D$41)</f>
        <v>5.3176550715787174</v>
      </c>
    </row>
    <row r="38" spans="2:8" x14ac:dyDescent="0.2">
      <c r="B38" s="7" t="s">
        <v>37</v>
      </c>
      <c r="C38" s="37">
        <f>(SUM(L23:L25)/(D16*D14))-(L30/D17)</f>
        <v>110925.44444444403</v>
      </c>
      <c r="D38" s="38">
        <f>D15-1</f>
        <v>2</v>
      </c>
      <c r="E38" s="12">
        <f t="shared" ref="E38:E41" si="12">C38/D38</f>
        <v>55462.722222222015</v>
      </c>
      <c r="F38" s="12">
        <f t="shared" ref="F38:F40" si="13">E38/$E$41</f>
        <v>202.23417400979653</v>
      </c>
      <c r="G38" s="12">
        <f t="shared" ref="G38:G40" si="14">_xlfn.F.INV.RT($D$18,D38,$D$41)</f>
        <v>4.4589701075245118</v>
      </c>
    </row>
    <row r="39" spans="2:8" x14ac:dyDescent="0.2">
      <c r="B39" s="7" t="s">
        <v>36</v>
      </c>
      <c r="C39" s="37">
        <f>(SUM(I27:K27)/(D15*D14))-(L30/D17)</f>
        <v>1362851.444444444</v>
      </c>
      <c r="D39" s="38">
        <f>D16-1</f>
        <v>2</v>
      </c>
      <c r="E39" s="12">
        <f t="shared" si="12"/>
        <v>681425.72222222202</v>
      </c>
      <c r="F39" s="12">
        <f t="shared" si="13"/>
        <v>2484.6881393684162</v>
      </c>
      <c r="G39" s="12">
        <f t="shared" si="14"/>
        <v>4.4589701075245118</v>
      </c>
    </row>
    <row r="40" spans="2:8" x14ac:dyDescent="0.2">
      <c r="B40" s="7" t="s">
        <v>35</v>
      </c>
      <c r="C40" s="37">
        <f>(SUM(I23:K25)/D14)-(L30/D17)-D32-D33</f>
        <v>187923.55555555457</v>
      </c>
      <c r="D40" s="38">
        <f>(D15-1)*(D16-1)</f>
        <v>4</v>
      </c>
      <c r="E40" s="12">
        <f t="shared" si="12"/>
        <v>46980.888888888643</v>
      </c>
      <c r="F40" s="12">
        <f t="shared" si="13"/>
        <v>171.30679631306737</v>
      </c>
      <c r="G40" s="12">
        <f t="shared" si="14"/>
        <v>3.8378533545558975</v>
      </c>
    </row>
    <row r="41" spans="2:8" ht="17" x14ac:dyDescent="0.25">
      <c r="B41" s="7" t="s">
        <v>33</v>
      </c>
      <c r="C41" s="37">
        <f>D34-SUM(C37:C40)</f>
        <v>2194.000000001397</v>
      </c>
      <c r="D41" s="38">
        <f>D42-SUM(D37:D40)</f>
        <v>8</v>
      </c>
      <c r="E41" s="12">
        <f t="shared" si="12"/>
        <v>274.25000000017462</v>
      </c>
      <c r="F41" s="7"/>
      <c r="G41" s="7"/>
    </row>
    <row r="42" spans="2:8" ht="17" x14ac:dyDescent="0.25">
      <c r="B42" s="7" t="s">
        <v>34</v>
      </c>
      <c r="C42" s="37">
        <f>D34</f>
        <v>1663926.444444444</v>
      </c>
      <c r="D42" s="7">
        <f>D17-1</f>
        <v>17</v>
      </c>
      <c r="E42" s="12"/>
      <c r="F42" s="7"/>
      <c r="G42" s="7"/>
    </row>
    <row r="43" spans="2:8" x14ac:dyDescent="0.2">
      <c r="C43" s="21"/>
    </row>
    <row r="44" spans="2:8" x14ac:dyDescent="0.2">
      <c r="B44" t="s">
        <v>58</v>
      </c>
    </row>
    <row r="45" spans="2:8" x14ac:dyDescent="0.2">
      <c r="B45" t="s">
        <v>59</v>
      </c>
      <c r="C45" s="9">
        <f>$M$5</f>
        <v>1016.1666666666666</v>
      </c>
      <c r="D45" s="9">
        <f>M6</f>
        <v>970.83333333333337</v>
      </c>
      <c r="E45" s="9">
        <f>M7</f>
        <v>831.66666666666663</v>
      </c>
    </row>
    <row r="46" spans="2:8" x14ac:dyDescent="0.2">
      <c r="B46" t="s">
        <v>60</v>
      </c>
      <c r="C46" s="9">
        <f>I10</f>
        <v>558.16666666666663</v>
      </c>
      <c r="D46" s="9">
        <f t="shared" ref="D46:E46" si="15">J10</f>
        <v>1063.3333333333333</v>
      </c>
      <c r="E46" s="9">
        <f t="shared" si="15"/>
        <v>1197.1666666666667</v>
      </c>
    </row>
  </sheetData>
  <mergeCells count="18">
    <mergeCell ref="I21:K21"/>
    <mergeCell ref="L21:L22"/>
    <mergeCell ref="B2:B4"/>
    <mergeCell ref="C2:E2"/>
    <mergeCell ref="F2:H2"/>
    <mergeCell ref="C3:E3"/>
    <mergeCell ref="F3:H3"/>
    <mergeCell ref="I3:K3"/>
    <mergeCell ref="B20:B22"/>
    <mergeCell ref="C20:E20"/>
    <mergeCell ref="F20:H20"/>
    <mergeCell ref="C21:E21"/>
    <mergeCell ref="F21:H21"/>
    <mergeCell ref="M21:M22"/>
    <mergeCell ref="N21:N22"/>
    <mergeCell ref="L3:L4"/>
    <mergeCell ref="M3:M4"/>
    <mergeCell ref="N3:N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5CC2-EE45-4F14-9F54-1EFBD6ACCBF2}">
  <dimension ref="B1:Q45"/>
  <sheetViews>
    <sheetView showGridLines="0" topLeftCell="A10" zoomScale="80" zoomScaleNormal="80" workbookViewId="0">
      <selection activeCell="E45" sqref="E45"/>
    </sheetView>
  </sheetViews>
  <sheetFormatPr baseColWidth="10" defaultColWidth="8.83203125" defaultRowHeight="15" x14ac:dyDescent="0.2"/>
  <cols>
    <col min="2" max="2" width="36.5" bestFit="1" customWidth="1"/>
    <col min="3" max="3" width="13.5" bestFit="1" customWidth="1"/>
    <col min="4" max="4" width="17.33203125" bestFit="1" customWidth="1"/>
    <col min="5" max="5" width="11.33203125" customWidth="1"/>
    <col min="6" max="6" width="19.6640625" bestFit="1" customWidth="1"/>
    <col min="7" max="8" width="9.5" bestFit="1" customWidth="1"/>
    <col min="9" max="9" width="9.5" customWidth="1"/>
    <col min="10" max="10" width="9.5" bestFit="1" customWidth="1"/>
    <col min="11" max="11" width="11.5" bestFit="1" customWidth="1"/>
    <col min="12" max="12" width="10.5" bestFit="1" customWidth="1"/>
    <col min="13" max="13" width="10.5" customWidth="1"/>
    <col min="14" max="14" width="10.5" bestFit="1" customWidth="1"/>
    <col min="15" max="15" width="11.5" bestFit="1" customWidth="1"/>
    <col min="16" max="16" width="14.5" bestFit="1" customWidth="1"/>
    <col min="17" max="17" width="15" bestFit="1" customWidth="1"/>
  </cols>
  <sheetData>
    <row r="1" spans="2:17" ht="16" thickBot="1" x14ac:dyDescent="0.25"/>
    <row r="2" spans="2:17" ht="18" thickTop="1" thickBot="1" x14ac:dyDescent="0.25">
      <c r="B2" s="117" t="s">
        <v>173</v>
      </c>
      <c r="C2" s="120" t="s">
        <v>174</v>
      </c>
      <c r="D2" s="121"/>
      <c r="E2" s="121"/>
      <c r="F2" s="122"/>
      <c r="G2" s="120" t="s">
        <v>174</v>
      </c>
      <c r="H2" s="121"/>
      <c r="I2" s="121"/>
      <c r="J2" s="122"/>
      <c r="K2" s="10"/>
    </row>
    <row r="3" spans="2:17" ht="17" thickBot="1" x14ac:dyDescent="0.25">
      <c r="B3" s="118"/>
      <c r="C3" s="123" t="s">
        <v>158</v>
      </c>
      <c r="D3" s="124"/>
      <c r="E3" s="124"/>
      <c r="F3" s="125"/>
      <c r="G3" s="123" t="s">
        <v>81</v>
      </c>
      <c r="H3" s="124"/>
      <c r="I3" s="124"/>
      <c r="J3" s="125"/>
      <c r="K3" s="114" t="s">
        <v>26</v>
      </c>
      <c r="L3" s="114"/>
      <c r="M3" s="114"/>
      <c r="N3" s="114"/>
      <c r="O3" s="115" t="s">
        <v>19</v>
      </c>
      <c r="P3" s="115" t="s">
        <v>29</v>
      </c>
      <c r="Q3" s="115" t="s">
        <v>31</v>
      </c>
    </row>
    <row r="4" spans="2:17" ht="17" thickBot="1" x14ac:dyDescent="0.25">
      <c r="B4" s="119"/>
      <c r="C4" s="39">
        <v>1</v>
      </c>
      <c r="D4" s="40">
        <v>2</v>
      </c>
      <c r="E4" s="40">
        <v>3</v>
      </c>
      <c r="F4" s="40">
        <v>4</v>
      </c>
      <c r="G4" s="39">
        <f t="shared" ref="G4:J4" si="0">C4</f>
        <v>1</v>
      </c>
      <c r="H4" s="40">
        <f t="shared" si="0"/>
        <v>2</v>
      </c>
      <c r="I4" s="40">
        <f t="shared" si="0"/>
        <v>3</v>
      </c>
      <c r="J4" s="40">
        <f t="shared" si="0"/>
        <v>4</v>
      </c>
      <c r="K4" s="39">
        <f>C4</f>
        <v>1</v>
      </c>
      <c r="L4" s="40">
        <f>D4</f>
        <v>2</v>
      </c>
      <c r="M4" s="40">
        <f>E4</f>
        <v>3</v>
      </c>
      <c r="N4" s="40">
        <f>F4</f>
        <v>4</v>
      </c>
      <c r="O4" s="116"/>
      <c r="P4" s="116"/>
      <c r="Q4" s="116"/>
    </row>
    <row r="5" spans="2:17" ht="17" thickTop="1" x14ac:dyDescent="0.2">
      <c r="B5" s="41">
        <v>1</v>
      </c>
      <c r="C5" s="43">
        <v>109</v>
      </c>
      <c r="D5" s="112">
        <v>110</v>
      </c>
      <c r="E5" s="43">
        <v>108</v>
      </c>
      <c r="F5" s="44">
        <v>110</v>
      </c>
      <c r="G5" s="43">
        <v>110</v>
      </c>
      <c r="H5" s="44">
        <v>115</v>
      </c>
      <c r="I5" s="44">
        <v>109</v>
      </c>
      <c r="J5" s="45">
        <v>108</v>
      </c>
      <c r="K5" s="16">
        <f t="shared" ref="K5:M7" si="1">C5+G5</f>
        <v>219</v>
      </c>
      <c r="L5" s="16">
        <f t="shared" si="1"/>
        <v>225</v>
      </c>
      <c r="M5" s="16">
        <f t="shared" si="1"/>
        <v>217</v>
      </c>
      <c r="N5" s="16">
        <f t="shared" ref="N5:N7" si="2">F5+J5</f>
        <v>218</v>
      </c>
      <c r="O5" s="17">
        <f>SUM(C5:J5)</f>
        <v>879</v>
      </c>
      <c r="P5" s="58">
        <f>AVERAGE(C5:J5)</f>
        <v>109.875</v>
      </c>
      <c r="Q5" s="17">
        <f>P5-P12</f>
        <v>-2.4166666666666714</v>
      </c>
    </row>
    <row r="6" spans="2:17" ht="16" x14ac:dyDescent="0.2">
      <c r="B6" s="6">
        <v>2</v>
      </c>
      <c r="C6" s="14">
        <v>110</v>
      </c>
      <c r="D6" s="14">
        <v>110</v>
      </c>
      <c r="E6" s="14">
        <v>111</v>
      </c>
      <c r="F6" s="3">
        <v>114</v>
      </c>
      <c r="G6" s="14">
        <v>112</v>
      </c>
      <c r="H6" s="3">
        <v>111</v>
      </c>
      <c r="I6" s="3">
        <v>109</v>
      </c>
      <c r="J6" s="2">
        <v>112</v>
      </c>
      <c r="K6" s="23">
        <f t="shared" si="1"/>
        <v>222</v>
      </c>
      <c r="L6" s="23">
        <f t="shared" si="1"/>
        <v>221</v>
      </c>
      <c r="M6" s="23">
        <f t="shared" si="1"/>
        <v>220</v>
      </c>
      <c r="N6" s="23">
        <f t="shared" si="2"/>
        <v>226</v>
      </c>
      <c r="O6" s="18">
        <f>SUM(C6:J6)</f>
        <v>889</v>
      </c>
      <c r="P6" s="59">
        <f t="shared" ref="P6:P7" si="3">AVERAGE(C6:J6)</f>
        <v>111.125</v>
      </c>
      <c r="Q6" s="18">
        <f>P6-P12</f>
        <v>-1.1666666666666714</v>
      </c>
    </row>
    <row r="7" spans="2:17" ht="17" thickBot="1" x14ac:dyDescent="0.25">
      <c r="B7" s="42">
        <v>3</v>
      </c>
      <c r="C7" s="15">
        <v>116</v>
      </c>
      <c r="D7" s="15">
        <v>112</v>
      </c>
      <c r="E7" s="15">
        <v>114</v>
      </c>
      <c r="F7" s="4">
        <v>120</v>
      </c>
      <c r="G7" s="15">
        <v>114</v>
      </c>
      <c r="H7" s="4">
        <v>115</v>
      </c>
      <c r="I7" s="4">
        <v>119</v>
      </c>
      <c r="J7" s="5">
        <v>117</v>
      </c>
      <c r="K7" s="24">
        <f t="shared" si="1"/>
        <v>230</v>
      </c>
      <c r="L7" s="24">
        <f t="shared" si="1"/>
        <v>227</v>
      </c>
      <c r="M7" s="24">
        <f t="shared" si="1"/>
        <v>233</v>
      </c>
      <c r="N7" s="24">
        <f t="shared" si="2"/>
        <v>237</v>
      </c>
      <c r="O7" s="19">
        <f>SUM(C7:J7)</f>
        <v>927</v>
      </c>
      <c r="P7" s="60">
        <f t="shared" si="3"/>
        <v>115.875</v>
      </c>
      <c r="Q7" s="19">
        <f>P7-P12</f>
        <v>3.5833333333333286</v>
      </c>
    </row>
    <row r="8" spans="2:17" ht="16" thickTop="1" x14ac:dyDescent="0.2">
      <c r="B8" s="34" t="s">
        <v>20</v>
      </c>
      <c r="C8" s="29">
        <f>SUM(C5:C7)</f>
        <v>335</v>
      </c>
      <c r="D8" s="30">
        <f t="shared" ref="D8:J8" si="4">SUM(D5:D7)</f>
        <v>332</v>
      </c>
      <c r="E8" s="30">
        <f t="shared" si="4"/>
        <v>333</v>
      </c>
      <c r="F8" s="30">
        <f t="shared" si="4"/>
        <v>344</v>
      </c>
      <c r="G8" s="30">
        <f t="shared" si="4"/>
        <v>336</v>
      </c>
      <c r="H8" s="30">
        <f t="shared" si="4"/>
        <v>341</v>
      </c>
      <c r="I8" s="30">
        <f t="shared" si="4"/>
        <v>337</v>
      </c>
      <c r="J8" s="30">
        <f t="shared" si="4"/>
        <v>337</v>
      </c>
      <c r="O8" s="33"/>
      <c r="P8" s="33"/>
    </row>
    <row r="9" spans="2:17" x14ac:dyDescent="0.2">
      <c r="B9" s="35" t="s">
        <v>7</v>
      </c>
      <c r="C9" s="10"/>
      <c r="K9" s="9">
        <f>SUM(C5:C7,G5:G7)</f>
        <v>671</v>
      </c>
      <c r="L9" s="9">
        <f>SUM(D5:D7,H5:H7)</f>
        <v>673</v>
      </c>
      <c r="M9" s="9">
        <f>SUM(E5:E7,I5:I7)</f>
        <v>670</v>
      </c>
      <c r="N9" s="9">
        <f t="shared" ref="N9" si="5">SUM(F5:F7,J5:J7)</f>
        <v>681</v>
      </c>
      <c r="O9" s="33"/>
      <c r="P9" s="33"/>
    </row>
    <row r="10" spans="2:17" x14ac:dyDescent="0.2">
      <c r="B10" s="35" t="s">
        <v>30</v>
      </c>
      <c r="C10" s="10"/>
      <c r="K10" s="61">
        <f>AVERAGE(C5:C7,G5:G7)</f>
        <v>111.83333333333333</v>
      </c>
      <c r="L10" s="61">
        <f>AVERAGE(D5:D7,H5:H7)</f>
        <v>112.16666666666667</v>
      </c>
      <c r="M10" s="61">
        <f>AVERAGE(E5:E7,I5:I7)</f>
        <v>111.66666666666667</v>
      </c>
      <c r="N10" s="61">
        <f t="shared" ref="N10" si="6">AVERAGE(F5:F7,J5:J7)</f>
        <v>113.5</v>
      </c>
      <c r="O10" s="33"/>
      <c r="P10" s="33"/>
    </row>
    <row r="11" spans="2:17" x14ac:dyDescent="0.2">
      <c r="B11" s="35" t="s">
        <v>32</v>
      </c>
      <c r="C11" s="10"/>
      <c r="K11" s="9">
        <f>K10-$P$12</f>
        <v>-0.45833333333334281</v>
      </c>
      <c r="L11" s="9">
        <f>L10-$P$12</f>
        <v>-0.125</v>
      </c>
      <c r="M11" s="9">
        <f>M10-$P$12</f>
        <v>-0.625</v>
      </c>
      <c r="N11" s="9">
        <f>N10-$P$12</f>
        <v>1.2083333333333286</v>
      </c>
      <c r="O11" s="33"/>
      <c r="P11" s="33"/>
    </row>
    <row r="12" spans="2:17" x14ac:dyDescent="0.2">
      <c r="B12" s="36" t="s">
        <v>21</v>
      </c>
      <c r="C12" s="11"/>
      <c r="D12" s="31"/>
      <c r="E12" s="31"/>
      <c r="F12" s="31">
        <f>SUM(C5:F7)</f>
        <v>1344</v>
      </c>
      <c r="G12" s="31"/>
      <c r="H12" s="31"/>
      <c r="I12" s="31"/>
      <c r="J12" s="31">
        <f>SUM(G5:J7)</f>
        <v>1351</v>
      </c>
      <c r="K12" s="31"/>
      <c r="L12" s="31"/>
      <c r="M12" s="31"/>
      <c r="N12" s="31"/>
      <c r="O12" s="32">
        <f>SUM(C5:J7)</f>
        <v>2695</v>
      </c>
      <c r="P12" s="32">
        <f>AVERAGE(C5:J7)</f>
        <v>112.29166666666667</v>
      </c>
    </row>
    <row r="14" spans="2:17" x14ac:dyDescent="0.2">
      <c r="B14" t="s">
        <v>22</v>
      </c>
      <c r="C14" t="s">
        <v>4</v>
      </c>
      <c r="D14">
        <f>COUNTIF(C2:J2,"*")</f>
        <v>2</v>
      </c>
      <c r="F14" s="9"/>
      <c r="H14" s="9"/>
      <c r="I14" s="9"/>
      <c r="J14" s="9"/>
    </row>
    <row r="15" spans="2:17" x14ac:dyDescent="0.2">
      <c r="B15" t="s">
        <v>24</v>
      </c>
      <c r="C15" t="s">
        <v>3</v>
      </c>
      <c r="D15">
        <f>COUNT(B5:B7)</f>
        <v>3</v>
      </c>
      <c r="F15" s="9"/>
      <c r="H15" s="9"/>
      <c r="I15" s="9"/>
      <c r="J15" s="9"/>
    </row>
    <row r="16" spans="2:17" x14ac:dyDescent="0.2">
      <c r="B16" t="s">
        <v>25</v>
      </c>
      <c r="C16" t="s">
        <v>6</v>
      </c>
      <c r="D16">
        <f>COUNT(C4:J4,"*")/D14</f>
        <v>4</v>
      </c>
      <c r="F16" s="9"/>
      <c r="H16" s="9"/>
      <c r="I16" s="9"/>
      <c r="J16" s="9"/>
    </row>
    <row r="17" spans="2:16" x14ac:dyDescent="0.2">
      <c r="C17" t="s">
        <v>23</v>
      </c>
      <c r="D17">
        <f>D15*D16*D14</f>
        <v>24</v>
      </c>
      <c r="F17" s="9"/>
      <c r="H17" s="9"/>
      <c r="I17" s="9"/>
      <c r="J17" s="9"/>
    </row>
    <row r="18" spans="2:16" x14ac:dyDescent="0.2">
      <c r="C18" t="s">
        <v>105</v>
      </c>
      <c r="D18">
        <v>0.05</v>
      </c>
      <c r="F18" s="9"/>
      <c r="H18" s="9"/>
      <c r="I18" s="9"/>
      <c r="J18" s="9"/>
    </row>
    <row r="19" spans="2:16" ht="16" thickBot="1" x14ac:dyDescent="0.25">
      <c r="C19" s="9"/>
      <c r="D19" s="9"/>
      <c r="E19" s="9"/>
      <c r="F19" s="9"/>
      <c r="G19" s="9"/>
      <c r="H19" s="9"/>
      <c r="I19" s="9"/>
      <c r="J19" s="9"/>
    </row>
    <row r="20" spans="2:16" ht="18" thickTop="1" thickBot="1" x14ac:dyDescent="0.25">
      <c r="B20" s="117" t="s">
        <v>8</v>
      </c>
      <c r="C20" s="120" t="str">
        <f>C2</f>
        <v>Machine</v>
      </c>
      <c r="D20" s="121"/>
      <c r="E20" s="121"/>
      <c r="F20" s="122"/>
      <c r="G20" s="120" t="str">
        <f>G2</f>
        <v>Machine</v>
      </c>
      <c r="H20" s="121"/>
      <c r="I20" s="121"/>
      <c r="J20" s="122"/>
      <c r="K20" s="10"/>
    </row>
    <row r="21" spans="2:16" ht="17" thickBot="1" x14ac:dyDescent="0.25">
      <c r="B21" s="118"/>
      <c r="C21" s="123" t="str">
        <f>C3</f>
        <v>Block1</v>
      </c>
      <c r="D21" s="124"/>
      <c r="E21" s="124"/>
      <c r="F21" s="125"/>
      <c r="G21" s="123" t="str">
        <f>G3</f>
        <v>Block</v>
      </c>
      <c r="H21" s="124"/>
      <c r="I21" s="124"/>
      <c r="J21" s="125"/>
      <c r="K21" s="114" t="str">
        <f>K3</f>
        <v>Yij.</v>
      </c>
      <c r="L21" s="114"/>
      <c r="M21" s="114"/>
      <c r="N21" s="114"/>
      <c r="O21" s="115" t="str">
        <f>O3</f>
        <v>Yi..</v>
      </c>
      <c r="P21" s="115" t="s">
        <v>31</v>
      </c>
    </row>
    <row r="22" spans="2:16" ht="17" thickBot="1" x14ac:dyDescent="0.25">
      <c r="B22" s="119"/>
      <c r="C22" s="1">
        <f>C4</f>
        <v>1</v>
      </c>
      <c r="D22" s="1">
        <f t="shared" ref="D22:J22" si="7">D4</f>
        <v>2</v>
      </c>
      <c r="E22" s="1">
        <f t="shared" ref="E22" si="8">E4</f>
        <v>3</v>
      </c>
      <c r="F22" s="1">
        <f t="shared" si="7"/>
        <v>4</v>
      </c>
      <c r="G22" s="13">
        <f t="shared" si="7"/>
        <v>1</v>
      </c>
      <c r="H22" s="1">
        <f t="shared" si="7"/>
        <v>2</v>
      </c>
      <c r="I22" s="1">
        <f t="shared" ref="I22" si="9">I4</f>
        <v>3</v>
      </c>
      <c r="J22" s="1">
        <f t="shared" si="7"/>
        <v>4</v>
      </c>
      <c r="K22" s="22">
        <f>K4</f>
        <v>1</v>
      </c>
      <c r="L22" s="22">
        <f>L4</f>
        <v>2</v>
      </c>
      <c r="M22" s="22">
        <f>M4</f>
        <v>3</v>
      </c>
      <c r="N22" s="22">
        <f>N4</f>
        <v>4</v>
      </c>
      <c r="O22" s="116"/>
      <c r="P22" s="116"/>
    </row>
    <row r="23" spans="2:16" ht="16" x14ac:dyDescent="0.2">
      <c r="B23" s="27">
        <f>B5</f>
        <v>1</v>
      </c>
      <c r="C23" s="3">
        <f t="shared" ref="C23:N26" si="10">C5^2</f>
        <v>11881</v>
      </c>
      <c r="D23" s="3">
        <f t="shared" si="10"/>
        <v>12100</v>
      </c>
      <c r="E23" s="3">
        <f t="shared" ref="E23" si="11">E5^2</f>
        <v>11664</v>
      </c>
      <c r="F23" s="3">
        <f t="shared" si="10"/>
        <v>12100</v>
      </c>
      <c r="G23" s="14">
        <f t="shared" si="10"/>
        <v>12100</v>
      </c>
      <c r="H23" s="3">
        <f t="shared" si="10"/>
        <v>13225</v>
      </c>
      <c r="I23" s="3">
        <f t="shared" ref="I23" si="12">I5^2</f>
        <v>11881</v>
      </c>
      <c r="J23" s="3">
        <f t="shared" si="10"/>
        <v>11664</v>
      </c>
      <c r="K23" s="16">
        <f t="shared" si="10"/>
        <v>47961</v>
      </c>
      <c r="L23" s="16">
        <f t="shared" si="10"/>
        <v>50625</v>
      </c>
      <c r="M23" s="16">
        <f t="shared" ref="M23" si="13">M5^2</f>
        <v>47089</v>
      </c>
      <c r="N23" s="16">
        <f t="shared" si="10"/>
        <v>47524</v>
      </c>
      <c r="O23" s="17">
        <f>O5^2</f>
        <v>772641</v>
      </c>
      <c r="P23" s="17">
        <f>Q5^2</f>
        <v>5.8402777777778008</v>
      </c>
    </row>
    <row r="24" spans="2:16" ht="16" x14ac:dyDescent="0.2">
      <c r="B24" s="27">
        <f t="shared" ref="B24:B25" si="14">B6</f>
        <v>2</v>
      </c>
      <c r="C24" s="3">
        <f t="shared" si="10"/>
        <v>12100</v>
      </c>
      <c r="D24" s="3">
        <f t="shared" si="10"/>
        <v>12100</v>
      </c>
      <c r="E24" s="3">
        <f t="shared" ref="E24" si="15">E6^2</f>
        <v>12321</v>
      </c>
      <c r="F24" s="3">
        <f t="shared" si="10"/>
        <v>12996</v>
      </c>
      <c r="G24" s="14">
        <f t="shared" si="10"/>
        <v>12544</v>
      </c>
      <c r="H24" s="3">
        <f t="shared" si="10"/>
        <v>12321</v>
      </c>
      <c r="I24" s="3">
        <f t="shared" ref="I24" si="16">I6^2</f>
        <v>11881</v>
      </c>
      <c r="J24" s="3">
        <f t="shared" si="10"/>
        <v>12544</v>
      </c>
      <c r="K24" s="23">
        <f t="shared" si="10"/>
        <v>49284</v>
      </c>
      <c r="L24" s="23">
        <f t="shared" ref="L24:N25" si="17">L6^2</f>
        <v>48841</v>
      </c>
      <c r="M24" s="23">
        <f t="shared" si="17"/>
        <v>48400</v>
      </c>
      <c r="N24" s="23">
        <f t="shared" si="17"/>
        <v>51076</v>
      </c>
      <c r="O24" s="18">
        <f>O6^2</f>
        <v>790321</v>
      </c>
      <c r="P24" s="18">
        <f>Q6^2</f>
        <v>1.3611111111111223</v>
      </c>
    </row>
    <row r="25" spans="2:16" ht="17" thickBot="1" x14ac:dyDescent="0.25">
      <c r="B25" s="28">
        <f t="shared" si="14"/>
        <v>3</v>
      </c>
      <c r="C25" s="4">
        <f t="shared" si="10"/>
        <v>13456</v>
      </c>
      <c r="D25" s="4">
        <f t="shared" si="10"/>
        <v>12544</v>
      </c>
      <c r="E25" s="4">
        <f t="shared" ref="E25" si="18">E7^2</f>
        <v>12996</v>
      </c>
      <c r="F25" s="4">
        <f t="shared" si="10"/>
        <v>14400</v>
      </c>
      <c r="G25" s="15">
        <f t="shared" si="10"/>
        <v>12996</v>
      </c>
      <c r="H25" s="4">
        <f t="shared" si="10"/>
        <v>13225</v>
      </c>
      <c r="I25" s="4">
        <f t="shared" ref="I25" si="19">I7^2</f>
        <v>14161</v>
      </c>
      <c r="J25" s="4">
        <f t="shared" si="10"/>
        <v>13689</v>
      </c>
      <c r="K25" s="24">
        <f t="shared" si="10"/>
        <v>52900</v>
      </c>
      <c r="L25" s="24">
        <f t="shared" si="17"/>
        <v>51529</v>
      </c>
      <c r="M25" s="24">
        <f t="shared" si="17"/>
        <v>54289</v>
      </c>
      <c r="N25" s="24">
        <f t="shared" si="17"/>
        <v>56169</v>
      </c>
      <c r="O25" s="19">
        <f>O7^2</f>
        <v>859329</v>
      </c>
      <c r="P25" s="19">
        <f>Q7^2</f>
        <v>12.840277777777743</v>
      </c>
    </row>
    <row r="26" spans="2:16" ht="16" thickTop="1" x14ac:dyDescent="0.2">
      <c r="B26" s="34" t="str">
        <f>B8</f>
        <v>Y.jk</v>
      </c>
      <c r="C26" s="29">
        <f t="shared" si="10"/>
        <v>112225</v>
      </c>
      <c r="D26" s="30">
        <f t="shared" si="10"/>
        <v>110224</v>
      </c>
      <c r="E26" s="30">
        <f t="shared" ref="E26" si="20">E8^2</f>
        <v>110889</v>
      </c>
      <c r="F26" s="30">
        <f t="shared" si="10"/>
        <v>118336</v>
      </c>
      <c r="G26" s="30">
        <f t="shared" si="10"/>
        <v>112896</v>
      </c>
      <c r="H26" s="30">
        <f t="shared" si="10"/>
        <v>116281</v>
      </c>
      <c r="I26" s="30">
        <f t="shared" ref="I26" si="21">I8^2</f>
        <v>113569</v>
      </c>
      <c r="J26" s="30">
        <f t="shared" si="10"/>
        <v>113569</v>
      </c>
      <c r="O26" s="33">
        <f>O7</f>
        <v>927</v>
      </c>
    </row>
    <row r="27" spans="2:16" x14ac:dyDescent="0.2">
      <c r="B27" s="35" t="str">
        <f>B9</f>
        <v>Y.j.</v>
      </c>
      <c r="C27" s="10"/>
      <c r="K27" s="9">
        <f>K9^2</f>
        <v>450241</v>
      </c>
      <c r="L27" s="9">
        <f>L9^2</f>
        <v>452929</v>
      </c>
      <c r="M27" s="9">
        <f>M9^2</f>
        <v>448900</v>
      </c>
      <c r="N27" s="9">
        <f>N9^2</f>
        <v>463761</v>
      </c>
      <c r="O27" s="33"/>
    </row>
    <row r="28" spans="2:16" x14ac:dyDescent="0.2">
      <c r="B28" s="35" t="s">
        <v>30</v>
      </c>
      <c r="C28" s="10"/>
      <c r="K28" s="9"/>
      <c r="L28" s="9"/>
      <c r="M28" s="9"/>
      <c r="N28" s="9"/>
      <c r="O28" s="33"/>
    </row>
    <row r="29" spans="2:16" x14ac:dyDescent="0.2">
      <c r="B29" s="35" t="s">
        <v>32</v>
      </c>
      <c r="C29" s="10"/>
      <c r="K29" s="9">
        <f>K11^2</f>
        <v>0.21006944444445314</v>
      </c>
      <c r="L29" s="9">
        <f t="shared" ref="L29:N29" si="22">L11^2</f>
        <v>1.5625E-2</v>
      </c>
      <c r="M29" s="9">
        <f t="shared" si="22"/>
        <v>0.390625</v>
      </c>
      <c r="N29" s="9">
        <f t="shared" si="22"/>
        <v>1.4600694444444331</v>
      </c>
      <c r="O29" s="33"/>
    </row>
    <row r="30" spans="2:16" x14ac:dyDescent="0.2">
      <c r="B30" s="36" t="str">
        <f>B12</f>
        <v>Y..k</v>
      </c>
      <c r="C30" s="11"/>
      <c r="D30" s="31"/>
      <c r="E30" s="31"/>
      <c r="F30" s="31">
        <f>F12^2</f>
        <v>1806336</v>
      </c>
      <c r="G30" s="31"/>
      <c r="H30" s="31"/>
      <c r="I30" s="31"/>
      <c r="J30" s="31">
        <f>J12^2</f>
        <v>1825201</v>
      </c>
      <c r="K30" s="31"/>
      <c r="L30" s="31"/>
      <c r="M30" s="31"/>
      <c r="N30" s="31"/>
      <c r="O30" s="32">
        <f>O12^2</f>
        <v>7263025</v>
      </c>
    </row>
    <row r="31" spans="2:16" x14ac:dyDescent="0.2">
      <c r="C31" s="9"/>
      <c r="D31" s="9"/>
      <c r="E31" s="9"/>
      <c r="F31" s="9"/>
      <c r="G31" s="9"/>
      <c r="H31" s="9"/>
      <c r="I31" s="9"/>
      <c r="J31" s="9"/>
    </row>
    <row r="32" spans="2:16" ht="17" x14ac:dyDescent="0.25">
      <c r="C32" t="s">
        <v>27</v>
      </c>
      <c r="D32" s="9">
        <f>(D16*D14)*(SUM(P23:P25))</f>
        <v>160.33333333333331</v>
      </c>
      <c r="E32" s="9"/>
      <c r="F32" s="9"/>
      <c r="G32" s="9"/>
      <c r="H32" s="9"/>
      <c r="I32" s="9"/>
      <c r="J32" s="9"/>
    </row>
    <row r="33" spans="2:10" ht="17" x14ac:dyDescent="0.25">
      <c r="C33" t="s">
        <v>28</v>
      </c>
      <c r="D33" s="9">
        <f>(D15*D14)*(SUM(K29:N29))</f>
        <v>12.458333333333318</v>
      </c>
      <c r="E33" s="9"/>
      <c r="F33" s="9"/>
      <c r="G33" s="9"/>
      <c r="H33" s="9"/>
      <c r="I33" s="9"/>
      <c r="J33" s="9"/>
    </row>
    <row r="34" spans="2:10" ht="17" x14ac:dyDescent="0.25">
      <c r="C34" t="s">
        <v>9</v>
      </c>
      <c r="D34" s="9">
        <f>SUM(C23:J25)-(O30/D17)</f>
        <v>262.95833333331393</v>
      </c>
      <c r="E34" s="9"/>
      <c r="F34" s="9"/>
      <c r="G34" s="9"/>
      <c r="H34" s="9"/>
      <c r="I34" s="9"/>
      <c r="J34" s="9"/>
    </row>
    <row r="35" spans="2:10" x14ac:dyDescent="0.2">
      <c r="C35" s="9"/>
      <c r="D35" s="9"/>
      <c r="E35" s="9"/>
      <c r="F35" s="9"/>
      <c r="G35" s="9"/>
      <c r="H35" s="9"/>
      <c r="I35" s="9"/>
      <c r="J35" s="9"/>
    </row>
    <row r="36" spans="2:10" ht="17" x14ac:dyDescent="0.25">
      <c r="B36" s="20" t="s">
        <v>10</v>
      </c>
      <c r="C36" s="20" t="s">
        <v>11</v>
      </c>
      <c r="D36" s="20" t="s">
        <v>12</v>
      </c>
      <c r="E36" s="20" t="s">
        <v>17</v>
      </c>
      <c r="F36" s="20" t="s">
        <v>14</v>
      </c>
      <c r="G36" s="20" t="s">
        <v>40</v>
      </c>
      <c r="H36" s="20" t="s">
        <v>175</v>
      </c>
      <c r="I36" s="85"/>
    </row>
    <row r="37" spans="2:10" x14ac:dyDescent="0.2">
      <c r="B37" s="7" t="s">
        <v>37</v>
      </c>
      <c r="C37" s="37">
        <f>(SUM(O23:O25)/(D16*D14))-(O30/D17)</f>
        <v>160.33333333331393</v>
      </c>
      <c r="D37" s="38">
        <f>D15-1</f>
        <v>2</v>
      </c>
      <c r="E37" s="12">
        <f>C37/D37</f>
        <v>80.166666666656965</v>
      </c>
      <c r="F37" s="12">
        <f>E37/$E$40</f>
        <v>21.142857142836569</v>
      </c>
      <c r="G37" s="12">
        <f>_xlfn.F.INV.RT($D$18,D37,$D$40)</f>
        <v>3.8852938346523942</v>
      </c>
      <c r="H37" s="12"/>
      <c r="I37" s="85"/>
    </row>
    <row r="38" spans="2:10" x14ac:dyDescent="0.2">
      <c r="B38" s="7" t="s">
        <v>36</v>
      </c>
      <c r="C38" s="37">
        <f>(SUM(K27:N27)/(D15*D14))-(O30/D17)</f>
        <v>12.458333333313931</v>
      </c>
      <c r="D38" s="38">
        <f>D16-1</f>
        <v>3</v>
      </c>
      <c r="E38" s="12">
        <f>C38/D38</f>
        <v>4.15277777777131</v>
      </c>
      <c r="F38" s="12">
        <f>E38/$E$40</f>
        <v>1.0952380952354563</v>
      </c>
      <c r="G38" s="12">
        <f>_xlfn.F.INV.RT($D$18,D38,$D$40)</f>
        <v>3.4902948194976045</v>
      </c>
      <c r="H38" s="12"/>
      <c r="I38" s="85"/>
    </row>
    <row r="39" spans="2:10" x14ac:dyDescent="0.2">
      <c r="B39" s="7" t="s">
        <v>35</v>
      </c>
      <c r="C39" s="37">
        <f>(SUM(K23:N25)/D14)-(O30/D17)-D32-D33</f>
        <v>44.666666666647302</v>
      </c>
      <c r="D39" s="38">
        <f>(D15-1)*(D16-1)</f>
        <v>6</v>
      </c>
      <c r="E39" s="12">
        <f>C39/D39</f>
        <v>7.444444444441217</v>
      </c>
      <c r="F39" s="12">
        <f>E39/$E$40</f>
        <v>1.9633699633674393</v>
      </c>
      <c r="G39" s="12">
        <f>_xlfn.F.INV.RT($D$18,D39,$D$40)</f>
        <v>2.996120377517109</v>
      </c>
      <c r="H39" s="12"/>
      <c r="I39" s="85"/>
    </row>
    <row r="40" spans="2:10" ht="17" x14ac:dyDescent="0.25">
      <c r="B40" s="7" t="s">
        <v>33</v>
      </c>
      <c r="C40" s="37">
        <f>D34-SUM(C37:C39)</f>
        <v>45.500000000038767</v>
      </c>
      <c r="D40" s="38">
        <f>D41-SUM(D37:D39)</f>
        <v>12</v>
      </c>
      <c r="E40" s="12">
        <f>C40/D40</f>
        <v>3.7916666666698973</v>
      </c>
      <c r="F40" s="7"/>
      <c r="G40" s="7"/>
      <c r="H40" s="7"/>
    </row>
    <row r="41" spans="2:10" ht="17" x14ac:dyDescent="0.25">
      <c r="B41" s="7" t="s">
        <v>34</v>
      </c>
      <c r="C41" s="37">
        <f>D34</f>
        <v>262.95833333331393</v>
      </c>
      <c r="D41" s="7">
        <f>D17-1</f>
        <v>23</v>
      </c>
      <c r="E41" s="12"/>
      <c r="F41" s="7"/>
      <c r="G41" s="7"/>
      <c r="H41" s="7"/>
    </row>
    <row r="42" spans="2:10" x14ac:dyDescent="0.2">
      <c r="C42" s="21"/>
    </row>
    <row r="43" spans="2:10" x14ac:dyDescent="0.2">
      <c r="B43" t="s">
        <v>58</v>
      </c>
    </row>
    <row r="44" spans="2:10" x14ac:dyDescent="0.2">
      <c r="B44" t="s">
        <v>59</v>
      </c>
      <c r="C44" s="9">
        <f>$P$5</f>
        <v>109.875</v>
      </c>
      <c r="D44" s="9">
        <f>P6</f>
        <v>111.125</v>
      </c>
      <c r="E44" s="9">
        <f>P7</f>
        <v>115.875</v>
      </c>
    </row>
    <row r="45" spans="2:10" x14ac:dyDescent="0.2">
      <c r="B45" t="s">
        <v>60</v>
      </c>
      <c r="C45" s="9">
        <f>K10</f>
        <v>111.83333333333333</v>
      </c>
      <c r="D45" s="9">
        <f>L10</f>
        <v>112.16666666666667</v>
      </c>
      <c r="E45" s="9">
        <f>M10</f>
        <v>111.66666666666667</v>
      </c>
      <c r="F45" s="9">
        <f t="shared" ref="F45" si="23">N10</f>
        <v>113.5</v>
      </c>
    </row>
  </sheetData>
  <mergeCells count="17">
    <mergeCell ref="B2:B4"/>
    <mergeCell ref="C2:F2"/>
    <mergeCell ref="G2:J2"/>
    <mergeCell ref="C3:F3"/>
    <mergeCell ref="G3:J3"/>
    <mergeCell ref="B20:B22"/>
    <mergeCell ref="C20:F20"/>
    <mergeCell ref="G20:J20"/>
    <mergeCell ref="C21:F21"/>
    <mergeCell ref="G21:J21"/>
    <mergeCell ref="K3:N3"/>
    <mergeCell ref="P21:P22"/>
    <mergeCell ref="O3:O4"/>
    <mergeCell ref="P3:P4"/>
    <mergeCell ref="Q3:Q4"/>
    <mergeCell ref="K21:N21"/>
    <mergeCell ref="O21:O2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8709C-1B1E-4C20-94E6-F43D1A99F909}">
  <dimension ref="B1:O120"/>
  <sheetViews>
    <sheetView showGridLines="0" topLeftCell="C32" zoomScale="137" zoomScaleNormal="110" workbookViewId="0">
      <selection activeCell="C54" sqref="C54"/>
    </sheetView>
  </sheetViews>
  <sheetFormatPr baseColWidth="10" defaultColWidth="8.83203125" defaultRowHeight="15" x14ac:dyDescent="0.2"/>
  <cols>
    <col min="2" max="2" width="12" customWidth="1"/>
    <col min="3" max="3" width="11" bestFit="1" customWidth="1"/>
    <col min="4" max="11" width="9.83203125" bestFit="1" customWidth="1"/>
  </cols>
  <sheetData>
    <row r="1" spans="3:15" ht="30.75" customHeight="1" thickTop="1" thickBot="1" x14ac:dyDescent="0.25">
      <c r="C1" s="126" t="s">
        <v>80</v>
      </c>
      <c r="D1" s="128" t="s">
        <v>81</v>
      </c>
      <c r="E1" s="128"/>
      <c r="F1" s="128"/>
      <c r="G1" s="128"/>
    </row>
    <row r="2" spans="3:15" ht="17" thickBot="1" x14ac:dyDescent="0.25">
      <c r="C2" s="127"/>
      <c r="D2" s="69">
        <v>1</v>
      </c>
      <c r="E2" s="70">
        <v>2</v>
      </c>
      <c r="F2" s="70">
        <v>3</v>
      </c>
      <c r="G2" s="70">
        <v>4</v>
      </c>
    </row>
    <row r="3" spans="3:15" ht="17" thickTop="1" x14ac:dyDescent="0.2">
      <c r="C3" s="68">
        <v>1</v>
      </c>
      <c r="D3" s="2">
        <v>35</v>
      </c>
      <c r="E3" s="2">
        <v>39</v>
      </c>
      <c r="F3" s="2">
        <v>37</v>
      </c>
      <c r="G3" s="2">
        <v>43</v>
      </c>
    </row>
    <row r="4" spans="3:15" ht="17" x14ac:dyDescent="0.2">
      <c r="C4" s="68">
        <v>2</v>
      </c>
      <c r="D4" s="2">
        <v>43</v>
      </c>
      <c r="E4" s="2" t="s">
        <v>82</v>
      </c>
      <c r="F4" s="2">
        <v>33</v>
      </c>
      <c r="G4" s="2">
        <v>57</v>
      </c>
    </row>
    <row r="5" spans="3:15" ht="16" x14ac:dyDescent="0.2">
      <c r="C5" s="68">
        <v>3</v>
      </c>
      <c r="D5" s="2">
        <v>39</v>
      </c>
      <c r="E5" s="2">
        <v>51</v>
      </c>
      <c r="F5" s="2">
        <v>35</v>
      </c>
      <c r="G5" s="2">
        <v>59</v>
      </c>
    </row>
    <row r="6" spans="3:15" ht="17" thickBot="1" x14ac:dyDescent="0.25">
      <c r="C6" s="69">
        <v>4</v>
      </c>
      <c r="D6" s="5">
        <v>23</v>
      </c>
      <c r="E6" s="5">
        <v>37</v>
      </c>
      <c r="F6" s="5">
        <v>27</v>
      </c>
      <c r="G6" s="5">
        <v>37</v>
      </c>
    </row>
    <row r="7" spans="3:15" ht="17" thickTop="1" thickBot="1" x14ac:dyDescent="0.25"/>
    <row r="8" spans="3:15" ht="18" thickTop="1" thickBot="1" x14ac:dyDescent="0.25">
      <c r="C8" s="126" t="s">
        <v>84</v>
      </c>
      <c r="D8" s="128" t="s">
        <v>83</v>
      </c>
      <c r="E8" s="128"/>
      <c r="F8" s="128"/>
      <c r="G8" s="128"/>
      <c r="J8" s="126" t="s">
        <v>8</v>
      </c>
      <c r="K8" s="128" t="s">
        <v>83</v>
      </c>
      <c r="L8" s="128"/>
      <c r="M8" s="128"/>
      <c r="N8" s="128"/>
    </row>
    <row r="9" spans="3:15" ht="17" thickBot="1" x14ac:dyDescent="0.25">
      <c r="C9" s="127"/>
      <c r="D9" s="69">
        <v>1</v>
      </c>
      <c r="E9" s="70">
        <v>2</v>
      </c>
      <c r="F9" s="70">
        <v>3</v>
      </c>
      <c r="G9" s="70">
        <v>4</v>
      </c>
      <c r="J9" s="127"/>
      <c r="K9" s="69">
        <v>1</v>
      </c>
      <c r="L9" s="70">
        <v>2</v>
      </c>
      <c r="M9" s="70">
        <v>3</v>
      </c>
      <c r="N9" s="70">
        <v>4</v>
      </c>
    </row>
    <row r="10" spans="3:15" ht="17" thickTop="1" x14ac:dyDescent="0.2">
      <c r="C10" s="68">
        <v>1</v>
      </c>
      <c r="D10" s="2">
        <v>35</v>
      </c>
      <c r="E10" s="2">
        <v>39</v>
      </c>
      <c r="F10" s="2">
        <v>37</v>
      </c>
      <c r="G10" s="2">
        <v>43</v>
      </c>
      <c r="H10">
        <f>SUM(D10:G10)</f>
        <v>154</v>
      </c>
      <c r="J10" s="68">
        <v>1</v>
      </c>
      <c r="K10" s="2" cm="1">
        <f t="array" ref="K10:N13">D10:G13^2</f>
        <v>1225</v>
      </c>
      <c r="L10" s="2">
        <v>1521</v>
      </c>
      <c r="M10" s="2">
        <v>1369</v>
      </c>
      <c r="N10" s="2">
        <v>1849</v>
      </c>
    </row>
    <row r="11" spans="3:15" ht="16" x14ac:dyDescent="0.2">
      <c r="C11" s="68">
        <v>2</v>
      </c>
      <c r="D11" s="2">
        <v>43</v>
      </c>
      <c r="E11" s="2"/>
      <c r="F11" s="2">
        <v>33</v>
      </c>
      <c r="G11" s="2">
        <v>57</v>
      </c>
      <c r="H11">
        <f>SUM(D11:G11)</f>
        <v>133</v>
      </c>
      <c r="J11" s="68">
        <v>2</v>
      </c>
      <c r="K11" s="2">
        <v>1849</v>
      </c>
      <c r="L11" s="2">
        <v>0</v>
      </c>
      <c r="M11" s="2">
        <v>1089</v>
      </c>
      <c r="N11" s="2">
        <v>3249</v>
      </c>
    </row>
    <row r="12" spans="3:15" ht="16" x14ac:dyDescent="0.2">
      <c r="C12" s="68">
        <v>3</v>
      </c>
      <c r="D12" s="2">
        <v>39</v>
      </c>
      <c r="E12" s="2">
        <v>51</v>
      </c>
      <c r="F12" s="2">
        <v>35</v>
      </c>
      <c r="G12" s="2">
        <v>59</v>
      </c>
      <c r="H12">
        <f>SUM(D12:G12)</f>
        <v>184</v>
      </c>
      <c r="J12" s="68">
        <v>3</v>
      </c>
      <c r="K12" s="2">
        <v>1521</v>
      </c>
      <c r="L12" s="2">
        <v>2601</v>
      </c>
      <c r="M12" s="2">
        <v>1225</v>
      </c>
      <c r="N12" s="2">
        <v>3481</v>
      </c>
    </row>
    <row r="13" spans="3:15" ht="17" thickBot="1" x14ac:dyDescent="0.25">
      <c r="C13" s="69">
        <v>4</v>
      </c>
      <c r="D13" s="5">
        <v>23</v>
      </c>
      <c r="E13" s="5">
        <v>37</v>
      </c>
      <c r="F13" s="5">
        <v>27</v>
      </c>
      <c r="G13" s="5">
        <v>37</v>
      </c>
      <c r="H13">
        <f>SUM(D13:G13)</f>
        <v>124</v>
      </c>
      <c r="J13" s="69">
        <v>4</v>
      </c>
      <c r="K13" s="5">
        <v>529</v>
      </c>
      <c r="L13" s="5">
        <v>1369</v>
      </c>
      <c r="M13" s="5">
        <v>729</v>
      </c>
      <c r="N13" s="5">
        <v>1369</v>
      </c>
    </row>
    <row r="14" spans="3:15" ht="16" thickTop="1" x14ac:dyDescent="0.2">
      <c r="D14">
        <f>SUM(D10:D13)</f>
        <v>140</v>
      </c>
      <c r="E14">
        <f t="shared" ref="E14:G14" si="0">SUM(E10:E13)</f>
        <v>127</v>
      </c>
      <c r="F14">
        <f t="shared" si="0"/>
        <v>132</v>
      </c>
      <c r="G14">
        <f t="shared" si="0"/>
        <v>196</v>
      </c>
      <c r="H14">
        <f>SUM(D10:G13)</f>
        <v>595</v>
      </c>
      <c r="O14">
        <f>SUM(_xlfn.ANCHORARRAY(K10))</f>
        <v>24975</v>
      </c>
    </row>
    <row r="15" spans="3:15" x14ac:dyDescent="0.2">
      <c r="C15" s="98" t="s">
        <v>153</v>
      </c>
      <c r="D15">
        <f>COUNT(D10:G13)</f>
        <v>15</v>
      </c>
    </row>
    <row r="17" spans="2:13" x14ac:dyDescent="0.2">
      <c r="B17" s="88" t="s">
        <v>126</v>
      </c>
      <c r="C17" s="86"/>
      <c r="D17" s="86"/>
    </row>
    <row r="18" spans="2:13" ht="17" x14ac:dyDescent="0.25">
      <c r="C18" s="83" t="s">
        <v>55</v>
      </c>
      <c r="D18" s="84" t="s">
        <v>74</v>
      </c>
      <c r="E18" s="84" t="s">
        <v>75</v>
      </c>
      <c r="F18" s="84" t="s">
        <v>76</v>
      </c>
      <c r="G18" s="84" t="s">
        <v>85</v>
      </c>
      <c r="H18" s="84" t="s">
        <v>77</v>
      </c>
      <c r="I18" s="84" t="s">
        <v>78</v>
      </c>
      <c r="J18" s="84" t="s">
        <v>79</v>
      </c>
      <c r="K18" s="84" t="s">
        <v>86</v>
      </c>
      <c r="L18" s="82"/>
    </row>
    <row r="19" spans="2:13" x14ac:dyDescent="0.2">
      <c r="B19" s="62" t="s">
        <v>55</v>
      </c>
      <c r="C19" s="63">
        <f>COUNT(D10:G13)</f>
        <v>15</v>
      </c>
      <c r="D19" s="63">
        <f>COUNT(D10:G10)</f>
        <v>4</v>
      </c>
      <c r="E19" s="63">
        <f>COUNT(D11:G11)</f>
        <v>3</v>
      </c>
      <c r="F19" s="63">
        <f>COUNT(D12:G12)</f>
        <v>4</v>
      </c>
      <c r="G19" s="63">
        <f>COUNT(D13:G13)</f>
        <v>4</v>
      </c>
      <c r="H19" s="63">
        <f>COUNT(D10:D13)</f>
        <v>4</v>
      </c>
      <c r="I19" s="63">
        <f>COUNT(E10:E13)</f>
        <v>3</v>
      </c>
      <c r="J19" s="63">
        <f>COUNT(F10:F13)</f>
        <v>4</v>
      </c>
      <c r="K19" s="63">
        <f>COUNT(G10:G13)</f>
        <v>4</v>
      </c>
      <c r="L19" s="63">
        <f>H14</f>
        <v>595</v>
      </c>
    </row>
    <row r="20" spans="2:13" ht="17" x14ac:dyDescent="0.25">
      <c r="B20" s="66" t="s">
        <v>74</v>
      </c>
      <c r="C20" s="63">
        <f>COUNT(D10:G10)</f>
        <v>4</v>
      </c>
      <c r="D20" s="63">
        <f>COUNT(D10:G10)</f>
        <v>4</v>
      </c>
      <c r="E20" s="63"/>
      <c r="F20" s="63"/>
      <c r="G20" s="63"/>
      <c r="H20" s="63">
        <f t="shared" ref="H20:K23" si="1">COUNT(D10)</f>
        <v>1</v>
      </c>
      <c r="I20" s="63">
        <f t="shared" si="1"/>
        <v>1</v>
      </c>
      <c r="J20" s="63">
        <f t="shared" si="1"/>
        <v>1</v>
      </c>
      <c r="K20" s="63">
        <f t="shared" si="1"/>
        <v>1</v>
      </c>
      <c r="L20" s="63">
        <f>H10</f>
        <v>154</v>
      </c>
    </row>
    <row r="21" spans="2:13" ht="17" x14ac:dyDescent="0.25">
      <c r="B21" s="66" t="s">
        <v>75</v>
      </c>
      <c r="C21" s="63">
        <f>COUNT(D11:G11)</f>
        <v>3</v>
      </c>
      <c r="D21" s="63"/>
      <c r="E21" s="63">
        <f>COUNT(D11:G11)</f>
        <v>3</v>
      </c>
      <c r="F21" s="63"/>
      <c r="G21" s="63"/>
      <c r="H21" s="63">
        <f t="shared" si="1"/>
        <v>1</v>
      </c>
      <c r="I21" s="63">
        <f t="shared" si="1"/>
        <v>0</v>
      </c>
      <c r="J21" s="63">
        <f t="shared" si="1"/>
        <v>1</v>
      </c>
      <c r="K21" s="63">
        <f t="shared" si="1"/>
        <v>1</v>
      </c>
      <c r="L21" s="63">
        <f>H11</f>
        <v>133</v>
      </c>
    </row>
    <row r="22" spans="2:13" ht="17" x14ac:dyDescent="0.25">
      <c r="B22" s="66" t="s">
        <v>76</v>
      </c>
      <c r="C22" s="63">
        <f>COUNT(D12:G12)</f>
        <v>4</v>
      </c>
      <c r="D22" s="63"/>
      <c r="E22" s="63"/>
      <c r="F22" s="63">
        <f>COUNT(D12:G12)</f>
        <v>4</v>
      </c>
      <c r="G22" s="63"/>
      <c r="H22" s="63">
        <f t="shared" si="1"/>
        <v>1</v>
      </c>
      <c r="I22" s="63">
        <f t="shared" si="1"/>
        <v>1</v>
      </c>
      <c r="J22" s="63">
        <f t="shared" si="1"/>
        <v>1</v>
      </c>
      <c r="K22" s="63">
        <f t="shared" si="1"/>
        <v>1</v>
      </c>
      <c r="L22" s="63">
        <f>H12</f>
        <v>184</v>
      </c>
    </row>
    <row r="23" spans="2:13" ht="17" x14ac:dyDescent="0.25">
      <c r="B23" s="66" t="s">
        <v>85</v>
      </c>
      <c r="C23" s="63">
        <f>COUNT(D13:G13)</f>
        <v>4</v>
      </c>
      <c r="D23" s="63"/>
      <c r="E23" s="63"/>
      <c r="F23" s="63"/>
      <c r="G23" s="63">
        <f>COUNT(D13:G13)</f>
        <v>4</v>
      </c>
      <c r="H23" s="63">
        <f t="shared" si="1"/>
        <v>1</v>
      </c>
      <c r="I23" s="63">
        <f t="shared" si="1"/>
        <v>1</v>
      </c>
      <c r="J23" s="63">
        <f t="shared" si="1"/>
        <v>1</v>
      </c>
      <c r="K23" s="63">
        <f t="shared" si="1"/>
        <v>1</v>
      </c>
      <c r="L23" s="63">
        <f>H13</f>
        <v>124</v>
      </c>
    </row>
    <row r="24" spans="2:13" ht="17" x14ac:dyDescent="0.25">
      <c r="B24" s="66" t="s">
        <v>77</v>
      </c>
      <c r="C24" s="63">
        <f>COUNT(D10:D13)</f>
        <v>4</v>
      </c>
      <c r="D24" s="63">
        <f>COUNT(D10)</f>
        <v>1</v>
      </c>
      <c r="E24" s="63">
        <f>COUNT(D11)</f>
        <v>1</v>
      </c>
      <c r="F24" s="63">
        <f>COUNT(D12)</f>
        <v>1</v>
      </c>
      <c r="G24" s="63">
        <f>COUNT(D13)</f>
        <v>1</v>
      </c>
      <c r="H24" s="63">
        <f>COUNT(D10:D13)</f>
        <v>4</v>
      </c>
      <c r="I24" s="63"/>
      <c r="J24" s="63"/>
      <c r="K24" s="63"/>
      <c r="L24" s="63">
        <f>D14</f>
        <v>140</v>
      </c>
    </row>
    <row r="25" spans="2:13" ht="17" x14ac:dyDescent="0.25">
      <c r="B25" s="66" t="s">
        <v>78</v>
      </c>
      <c r="C25" s="63">
        <f>COUNT(E10:E13)</f>
        <v>3</v>
      </c>
      <c r="D25" s="63">
        <f>COUNT(E10)</f>
        <v>1</v>
      </c>
      <c r="E25" s="63">
        <f>COUNT(E11)</f>
        <v>0</v>
      </c>
      <c r="F25" s="63">
        <f>COUNT(E12)</f>
        <v>1</v>
      </c>
      <c r="G25" s="63">
        <f>COUNT(E13)</f>
        <v>1</v>
      </c>
      <c r="H25" s="63"/>
      <c r="I25" s="63">
        <f>COUNT(E10:E13)</f>
        <v>3</v>
      </c>
      <c r="J25" s="63"/>
      <c r="K25" s="63"/>
      <c r="L25" s="63">
        <f>E14</f>
        <v>127</v>
      </c>
    </row>
    <row r="26" spans="2:13" ht="17" x14ac:dyDescent="0.25">
      <c r="B26" s="66" t="s">
        <v>79</v>
      </c>
      <c r="C26" s="63">
        <f>COUNT(F10:F13)</f>
        <v>4</v>
      </c>
      <c r="D26" s="63">
        <f>COUNT(F10)</f>
        <v>1</v>
      </c>
      <c r="E26" s="63">
        <f>COUNT(F11)</f>
        <v>1</v>
      </c>
      <c r="F26" s="63">
        <f>COUNT(F12)</f>
        <v>1</v>
      </c>
      <c r="G26" s="63">
        <f>COUNT(F13)</f>
        <v>1</v>
      </c>
      <c r="H26" s="63"/>
      <c r="I26" s="63"/>
      <c r="J26" s="63">
        <f>COUNT(F10:F13)</f>
        <v>4</v>
      </c>
      <c r="K26" s="63"/>
      <c r="L26" s="63">
        <f>F14</f>
        <v>132</v>
      </c>
    </row>
    <row r="27" spans="2:13" ht="17" x14ac:dyDescent="0.25">
      <c r="B27" s="66" t="s">
        <v>86</v>
      </c>
      <c r="C27" s="63">
        <f>COUNT(G10:G13)</f>
        <v>4</v>
      </c>
      <c r="D27" s="63">
        <f>COUNT(G10)</f>
        <v>1</v>
      </c>
      <c r="E27" s="63">
        <f>COUNT(G11)</f>
        <v>1</v>
      </c>
      <c r="F27" s="63">
        <f>COUNT(G12)</f>
        <v>1</v>
      </c>
      <c r="G27" s="63">
        <f>COUNT(G13)</f>
        <v>1</v>
      </c>
      <c r="H27" s="63"/>
      <c r="I27" s="63"/>
      <c r="J27" s="63"/>
      <c r="K27" s="63">
        <f>COUNT(G10:G13)</f>
        <v>4</v>
      </c>
      <c r="L27" s="63">
        <f>G14</f>
        <v>196</v>
      </c>
    </row>
    <row r="28" spans="2:13" x14ac:dyDescent="0.2">
      <c r="B28" s="66" t="s">
        <v>104</v>
      </c>
      <c r="C28" s="63">
        <v>0</v>
      </c>
      <c r="D28" s="63">
        <v>1</v>
      </c>
      <c r="E28" s="63">
        <v>1</v>
      </c>
      <c r="F28" s="63">
        <v>1</v>
      </c>
      <c r="G28" s="63">
        <v>1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</row>
    <row r="29" spans="2:13" x14ac:dyDescent="0.2">
      <c r="B29" s="67" t="s">
        <v>104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1</v>
      </c>
      <c r="I29" s="8">
        <v>1</v>
      </c>
      <c r="J29" s="8">
        <v>1</v>
      </c>
      <c r="K29" s="8">
        <v>1</v>
      </c>
      <c r="L29" s="8">
        <v>0</v>
      </c>
    </row>
    <row r="30" spans="2:13" x14ac:dyDescent="0.2">
      <c r="B30" s="56"/>
    </row>
    <row r="31" spans="2:13" x14ac:dyDescent="0.2">
      <c r="B31" s="56" t="str">
        <f t="shared" ref="B31:B39" si="2">B19</f>
        <v>µ</v>
      </c>
      <c r="C31" s="56" t="str">
        <f t="shared" ref="C31:K31" si="3">IF(OR(ISBLANK(C19),C19=0),"",_xlfn.CONCAT(C19,C$18))</f>
        <v>15µ</v>
      </c>
      <c r="D31" s="56" t="str">
        <f t="shared" si="3"/>
        <v>4T1</v>
      </c>
      <c r="E31" s="56" t="str">
        <f t="shared" si="3"/>
        <v>3T2</v>
      </c>
      <c r="F31" s="56" t="str">
        <f t="shared" si="3"/>
        <v>4T3</v>
      </c>
      <c r="G31" s="56" t="str">
        <f t="shared" si="3"/>
        <v>4T4</v>
      </c>
      <c r="H31" s="56" t="str">
        <f t="shared" si="3"/>
        <v>4B1</v>
      </c>
      <c r="I31" s="56" t="str">
        <f t="shared" si="3"/>
        <v>3B2</v>
      </c>
      <c r="J31" s="56" t="str">
        <f t="shared" si="3"/>
        <v>4B3</v>
      </c>
      <c r="K31" s="56" t="str">
        <f t="shared" si="3"/>
        <v>4B4</v>
      </c>
      <c r="M31" t="str">
        <f t="shared" ref="M31:M39" si="4">_xlfn.TEXTJOIN("+",TRUE,C31:K31)</f>
        <v>15µ+4T1+3T2+4T3+4T4+4B1+3B2+4B3+4B4</v>
      </c>
    </row>
    <row r="32" spans="2:13" x14ac:dyDescent="0.2">
      <c r="B32" s="56" t="str">
        <f t="shared" si="2"/>
        <v>T1</v>
      </c>
      <c r="C32" s="56" t="str">
        <f t="shared" ref="C32:K32" si="5">IF(OR(ISBLANK(C20),C20=0),"",_xlfn.CONCAT(C20,C$18))</f>
        <v>4µ</v>
      </c>
      <c r="D32" s="56" t="str">
        <f t="shared" si="5"/>
        <v>4T1</v>
      </c>
      <c r="E32" s="56" t="str">
        <f t="shared" si="5"/>
        <v/>
      </c>
      <c r="F32" s="56" t="str">
        <f t="shared" si="5"/>
        <v/>
      </c>
      <c r="G32" s="56" t="str">
        <f t="shared" si="5"/>
        <v/>
      </c>
      <c r="H32" s="56" t="str">
        <f t="shared" si="5"/>
        <v>1B1</v>
      </c>
      <c r="I32" s="56" t="str">
        <f t="shared" si="5"/>
        <v>1B2</v>
      </c>
      <c r="J32" s="56" t="str">
        <f t="shared" si="5"/>
        <v>1B3</v>
      </c>
      <c r="K32" s="56" t="str">
        <f t="shared" si="5"/>
        <v>1B4</v>
      </c>
      <c r="M32" t="str">
        <f t="shared" si="4"/>
        <v>4µ+4T1+1B1+1B2+1B3+1B4</v>
      </c>
    </row>
    <row r="33" spans="2:13" x14ac:dyDescent="0.2">
      <c r="B33" s="56" t="str">
        <f t="shared" si="2"/>
        <v>T2</v>
      </c>
      <c r="C33" s="56" t="str">
        <f t="shared" ref="C33:K33" si="6">IF(OR(ISBLANK(C21),C21=0),"",_xlfn.CONCAT(C21,C$18))</f>
        <v>3µ</v>
      </c>
      <c r="D33" s="56" t="str">
        <f t="shared" si="6"/>
        <v/>
      </c>
      <c r="E33" s="56" t="str">
        <f t="shared" si="6"/>
        <v>3T2</v>
      </c>
      <c r="F33" s="56" t="str">
        <f t="shared" si="6"/>
        <v/>
      </c>
      <c r="G33" s="56" t="str">
        <f t="shared" si="6"/>
        <v/>
      </c>
      <c r="H33" s="56" t="str">
        <f t="shared" si="6"/>
        <v>1B1</v>
      </c>
      <c r="I33" s="56" t="str">
        <f t="shared" si="6"/>
        <v/>
      </c>
      <c r="J33" s="56" t="str">
        <f t="shared" si="6"/>
        <v>1B3</v>
      </c>
      <c r="K33" s="56" t="str">
        <f t="shared" si="6"/>
        <v>1B4</v>
      </c>
      <c r="M33" t="str">
        <f t="shared" si="4"/>
        <v>3µ+3T2+1B1+1B3+1B4</v>
      </c>
    </row>
    <row r="34" spans="2:13" x14ac:dyDescent="0.2">
      <c r="B34" s="56" t="str">
        <f t="shared" si="2"/>
        <v>T3</v>
      </c>
      <c r="C34" s="56" t="str">
        <f t="shared" ref="C34:K34" si="7">IF(OR(ISBLANK(C22),C22=0),"",_xlfn.CONCAT(C22,C$18))</f>
        <v>4µ</v>
      </c>
      <c r="D34" s="56" t="str">
        <f t="shared" si="7"/>
        <v/>
      </c>
      <c r="E34" s="56" t="str">
        <f t="shared" si="7"/>
        <v/>
      </c>
      <c r="F34" s="56" t="str">
        <f t="shared" si="7"/>
        <v>4T3</v>
      </c>
      <c r="G34" s="56" t="str">
        <f t="shared" si="7"/>
        <v/>
      </c>
      <c r="H34" s="56" t="str">
        <f t="shared" si="7"/>
        <v>1B1</v>
      </c>
      <c r="I34" s="56" t="str">
        <f t="shared" si="7"/>
        <v>1B2</v>
      </c>
      <c r="J34" s="56" t="str">
        <f t="shared" si="7"/>
        <v>1B3</v>
      </c>
      <c r="K34" s="56" t="str">
        <f t="shared" si="7"/>
        <v>1B4</v>
      </c>
      <c r="M34" t="str">
        <f t="shared" si="4"/>
        <v>4µ+4T3+1B1+1B2+1B3+1B4</v>
      </c>
    </row>
    <row r="35" spans="2:13" x14ac:dyDescent="0.2">
      <c r="B35" s="56" t="str">
        <f t="shared" si="2"/>
        <v>T4</v>
      </c>
      <c r="C35" s="56" t="str">
        <f t="shared" ref="C35:K35" si="8">IF(OR(ISBLANK(C23),C23=0),"",_xlfn.CONCAT(C23,C$18))</f>
        <v>4µ</v>
      </c>
      <c r="D35" s="56" t="str">
        <f t="shared" si="8"/>
        <v/>
      </c>
      <c r="E35" s="56" t="str">
        <f t="shared" si="8"/>
        <v/>
      </c>
      <c r="F35" s="56" t="str">
        <f t="shared" si="8"/>
        <v/>
      </c>
      <c r="G35" s="56" t="str">
        <f t="shared" si="8"/>
        <v>4T4</v>
      </c>
      <c r="H35" s="56" t="str">
        <f t="shared" si="8"/>
        <v>1B1</v>
      </c>
      <c r="I35" s="56" t="str">
        <f t="shared" si="8"/>
        <v>1B2</v>
      </c>
      <c r="J35" s="56" t="str">
        <f t="shared" si="8"/>
        <v>1B3</v>
      </c>
      <c r="K35" s="56" t="str">
        <f t="shared" si="8"/>
        <v>1B4</v>
      </c>
      <c r="M35" t="str">
        <f t="shared" si="4"/>
        <v>4µ+4T4+1B1+1B2+1B3+1B4</v>
      </c>
    </row>
    <row r="36" spans="2:13" x14ac:dyDescent="0.2">
      <c r="B36" s="56" t="str">
        <f t="shared" si="2"/>
        <v>B1</v>
      </c>
      <c r="C36" s="56" t="str">
        <f t="shared" ref="C36:K36" si="9">IF(OR(ISBLANK(C24),C24=0),"",_xlfn.CONCAT(C24,C$18))</f>
        <v>4µ</v>
      </c>
      <c r="D36" s="56" t="str">
        <f t="shared" si="9"/>
        <v>1T1</v>
      </c>
      <c r="E36" s="56" t="str">
        <f t="shared" si="9"/>
        <v>1T2</v>
      </c>
      <c r="F36" s="56" t="str">
        <f t="shared" si="9"/>
        <v>1T3</v>
      </c>
      <c r="G36" s="56" t="str">
        <f t="shared" si="9"/>
        <v>1T4</v>
      </c>
      <c r="H36" s="56" t="str">
        <f t="shared" si="9"/>
        <v>4B1</v>
      </c>
      <c r="I36" s="56" t="str">
        <f t="shared" si="9"/>
        <v/>
      </c>
      <c r="J36" s="56" t="str">
        <f t="shared" si="9"/>
        <v/>
      </c>
      <c r="K36" s="56" t="str">
        <f t="shared" si="9"/>
        <v/>
      </c>
      <c r="M36" t="str">
        <f t="shared" si="4"/>
        <v>4µ+1T1+1T2+1T3+1T4+4B1</v>
      </c>
    </row>
    <row r="37" spans="2:13" x14ac:dyDescent="0.2">
      <c r="B37" s="56" t="str">
        <f t="shared" si="2"/>
        <v>B2</v>
      </c>
      <c r="C37" s="56" t="str">
        <f t="shared" ref="C37:K37" si="10">IF(OR(ISBLANK(C25),C25=0),"",_xlfn.CONCAT(C25,C$18))</f>
        <v>3µ</v>
      </c>
      <c r="D37" s="56" t="str">
        <f t="shared" si="10"/>
        <v>1T1</v>
      </c>
      <c r="E37" s="56" t="str">
        <f t="shared" si="10"/>
        <v/>
      </c>
      <c r="F37" s="56" t="str">
        <f t="shared" si="10"/>
        <v>1T3</v>
      </c>
      <c r="G37" s="56" t="str">
        <f t="shared" si="10"/>
        <v>1T4</v>
      </c>
      <c r="H37" s="56" t="str">
        <f t="shared" si="10"/>
        <v/>
      </c>
      <c r="I37" s="56" t="str">
        <f t="shared" si="10"/>
        <v>3B2</v>
      </c>
      <c r="J37" s="56" t="str">
        <f t="shared" si="10"/>
        <v/>
      </c>
      <c r="K37" s="56" t="str">
        <f t="shared" si="10"/>
        <v/>
      </c>
      <c r="M37" t="str">
        <f t="shared" si="4"/>
        <v>3µ+1T1+1T3+1T4+3B2</v>
      </c>
    </row>
    <row r="38" spans="2:13" x14ac:dyDescent="0.2">
      <c r="B38" s="56" t="str">
        <f t="shared" si="2"/>
        <v>B3</v>
      </c>
      <c r="C38" s="56" t="str">
        <f t="shared" ref="C38:K38" si="11">IF(OR(ISBLANK(C26),C26=0),"",_xlfn.CONCAT(C26,C$18))</f>
        <v>4µ</v>
      </c>
      <c r="D38" s="56" t="str">
        <f t="shared" si="11"/>
        <v>1T1</v>
      </c>
      <c r="E38" s="56" t="str">
        <f t="shared" si="11"/>
        <v>1T2</v>
      </c>
      <c r="F38" s="56" t="str">
        <f t="shared" si="11"/>
        <v>1T3</v>
      </c>
      <c r="G38" s="56" t="str">
        <f t="shared" si="11"/>
        <v>1T4</v>
      </c>
      <c r="H38" s="56" t="str">
        <f t="shared" si="11"/>
        <v/>
      </c>
      <c r="I38" s="56" t="str">
        <f t="shared" si="11"/>
        <v/>
      </c>
      <c r="J38" s="56" t="str">
        <f t="shared" si="11"/>
        <v>4B3</v>
      </c>
      <c r="K38" s="56" t="str">
        <f t="shared" si="11"/>
        <v/>
      </c>
      <c r="M38" t="str">
        <f t="shared" si="4"/>
        <v>4µ+1T1+1T2+1T3+1T4+4B3</v>
      </c>
    </row>
    <row r="39" spans="2:13" x14ac:dyDescent="0.2">
      <c r="B39" s="56" t="str">
        <f t="shared" si="2"/>
        <v>B4</v>
      </c>
      <c r="C39" s="56" t="str">
        <f t="shared" ref="C39:K39" si="12">IF(OR(ISBLANK(C27),C27=0),"",_xlfn.CONCAT(C27,C$18))</f>
        <v>4µ</v>
      </c>
      <c r="D39" s="56" t="str">
        <f t="shared" si="12"/>
        <v>1T1</v>
      </c>
      <c r="E39" s="56" t="str">
        <f t="shared" si="12"/>
        <v>1T2</v>
      </c>
      <c r="F39" s="56" t="str">
        <f t="shared" si="12"/>
        <v>1T3</v>
      </c>
      <c r="G39" s="56" t="str">
        <f t="shared" si="12"/>
        <v>1T4</v>
      </c>
      <c r="H39" s="56" t="str">
        <f t="shared" si="12"/>
        <v/>
      </c>
      <c r="I39" s="56" t="str">
        <f t="shared" si="12"/>
        <v/>
      </c>
      <c r="J39" s="56" t="str">
        <f t="shared" si="12"/>
        <v/>
      </c>
      <c r="K39" s="56" t="str">
        <f t="shared" si="12"/>
        <v>4B4</v>
      </c>
      <c r="M39" t="str">
        <f t="shared" si="4"/>
        <v>4µ+1T1+1T2+1T3+1T4+4B4</v>
      </c>
    </row>
    <row r="40" spans="2:13" x14ac:dyDescent="0.2">
      <c r="B40" s="56"/>
    </row>
    <row r="41" spans="2:13" x14ac:dyDescent="0.2">
      <c r="B41" t="str">
        <f t="shared" ref="B41:B49" si="13">_xlfn.CONCAT(B31," : ",M31," = ",L19)</f>
        <v>µ : 15µ+4T1+3T2+4T3+4T4+4B1+3B2+4B3+4B4 = 595</v>
      </c>
    </row>
    <row r="42" spans="2:13" x14ac:dyDescent="0.2">
      <c r="B42" t="str">
        <f t="shared" si="13"/>
        <v>T1 : 4µ+4T1+1B1+1B2+1B3+1B4 = 154</v>
      </c>
    </row>
    <row r="43" spans="2:13" x14ac:dyDescent="0.2">
      <c r="B43" t="str">
        <f t="shared" si="13"/>
        <v>T2 : 3µ+3T2+1B1+1B3+1B4 = 133</v>
      </c>
    </row>
    <row r="44" spans="2:13" x14ac:dyDescent="0.2">
      <c r="B44" t="str">
        <f t="shared" si="13"/>
        <v>T3 : 4µ+4T3+1B1+1B2+1B3+1B4 = 184</v>
      </c>
    </row>
    <row r="45" spans="2:13" x14ac:dyDescent="0.2">
      <c r="B45" t="str">
        <f t="shared" si="13"/>
        <v>T4 : 4µ+4T4+1B1+1B2+1B3+1B4 = 124</v>
      </c>
    </row>
    <row r="46" spans="2:13" x14ac:dyDescent="0.2">
      <c r="B46" t="str">
        <f t="shared" si="13"/>
        <v>B1 : 4µ+1T1+1T2+1T3+1T4+4B1 = 140</v>
      </c>
    </row>
    <row r="47" spans="2:13" x14ac:dyDescent="0.2">
      <c r="B47" t="str">
        <f t="shared" si="13"/>
        <v>B2 : 3µ+1T1+1T3+1T4+3B2 = 127</v>
      </c>
    </row>
    <row r="48" spans="2:13" x14ac:dyDescent="0.2">
      <c r="B48" t="str">
        <f t="shared" si="13"/>
        <v>B3 : 4µ+1T1+1T2+1T3+1T4+4B3 = 132</v>
      </c>
    </row>
    <row r="49" spans="2:12" x14ac:dyDescent="0.2">
      <c r="B49" t="str">
        <f t="shared" si="13"/>
        <v>B4 : 4µ+1T1+1T2+1T3+1T4+4B4 = 196</v>
      </c>
    </row>
    <row r="51" spans="2:12" x14ac:dyDescent="0.2">
      <c r="B51" s="87" t="s">
        <v>127</v>
      </c>
      <c r="C51" s="86"/>
      <c r="D51" s="86"/>
    </row>
    <row r="52" spans="2:12" x14ac:dyDescent="0.2">
      <c r="C52" s="83" t="str">
        <f t="shared" ref="C52:K52" si="14">C18</f>
        <v>µ</v>
      </c>
      <c r="D52" s="84" t="str">
        <f t="shared" si="14"/>
        <v>T1</v>
      </c>
      <c r="E52" s="84" t="str">
        <f t="shared" si="14"/>
        <v>T2</v>
      </c>
      <c r="F52" s="84" t="str">
        <f t="shared" si="14"/>
        <v>T3</v>
      </c>
      <c r="G52" s="84" t="str">
        <f t="shared" si="14"/>
        <v>T4</v>
      </c>
      <c r="H52" s="84" t="str">
        <f t="shared" si="14"/>
        <v>B1</v>
      </c>
      <c r="I52" s="84" t="str">
        <f t="shared" si="14"/>
        <v>B2</v>
      </c>
      <c r="J52" s="84" t="str">
        <f t="shared" si="14"/>
        <v>B3</v>
      </c>
      <c r="K52" s="84" t="str">
        <f t="shared" si="14"/>
        <v>B4</v>
      </c>
      <c r="L52" s="82"/>
    </row>
    <row r="53" spans="2:12" x14ac:dyDescent="0.2">
      <c r="B53" s="62" t="str">
        <f>B20</f>
        <v>T1</v>
      </c>
      <c r="C53" s="63">
        <f>C20</f>
        <v>4</v>
      </c>
      <c r="D53" s="63">
        <f>D20</f>
        <v>4</v>
      </c>
      <c r="E53" s="63">
        <f t="shared" ref="E53:G53" si="15">E20</f>
        <v>0</v>
      </c>
      <c r="F53" s="63">
        <f t="shared" si="15"/>
        <v>0</v>
      </c>
      <c r="G53" s="63">
        <f t="shared" si="15"/>
        <v>0</v>
      </c>
      <c r="H53" s="63">
        <f>H20</f>
        <v>1</v>
      </c>
      <c r="I53" s="63">
        <f>I20</f>
        <v>1</v>
      </c>
      <c r="J53" s="63">
        <f>J20</f>
        <v>1</v>
      </c>
      <c r="K53" s="63">
        <f>K20</f>
        <v>1</v>
      </c>
      <c r="L53" s="63">
        <f>L20</f>
        <v>154</v>
      </c>
    </row>
    <row r="54" spans="2:12" x14ac:dyDescent="0.2">
      <c r="B54" s="66" t="str">
        <f t="shared" ref="B54:C59" si="16">B21</f>
        <v>T2</v>
      </c>
      <c r="C54" s="63">
        <f t="shared" si="16"/>
        <v>3</v>
      </c>
      <c r="D54" s="63">
        <f t="shared" ref="D54:I54" si="17">D21</f>
        <v>0</v>
      </c>
      <c r="E54" s="63">
        <f>E21</f>
        <v>3</v>
      </c>
      <c r="F54" s="63">
        <f t="shared" si="17"/>
        <v>0</v>
      </c>
      <c r="G54" s="63">
        <f t="shared" si="17"/>
        <v>0</v>
      </c>
      <c r="H54" s="63">
        <f t="shared" ref="H54:H59" si="18">H21</f>
        <v>1</v>
      </c>
      <c r="I54" s="63">
        <f t="shared" si="17"/>
        <v>0</v>
      </c>
      <c r="J54" s="63">
        <f t="shared" ref="J54:L59" si="19">J21</f>
        <v>1</v>
      </c>
      <c r="K54" s="63">
        <f t="shared" si="19"/>
        <v>1</v>
      </c>
      <c r="L54" s="63">
        <f t="shared" si="19"/>
        <v>133</v>
      </c>
    </row>
    <row r="55" spans="2:12" x14ac:dyDescent="0.2">
      <c r="B55" s="66" t="str">
        <f t="shared" si="16"/>
        <v>T3</v>
      </c>
      <c r="C55" s="63">
        <f t="shared" si="16"/>
        <v>4</v>
      </c>
      <c r="D55" s="63">
        <f t="shared" ref="D55:G55" si="20">D22</f>
        <v>0</v>
      </c>
      <c r="E55" s="63">
        <f t="shared" si="20"/>
        <v>0</v>
      </c>
      <c r="F55" s="63">
        <f>F22</f>
        <v>4</v>
      </c>
      <c r="G55" s="63">
        <f t="shared" si="20"/>
        <v>0</v>
      </c>
      <c r="H55" s="63">
        <f t="shared" si="18"/>
        <v>1</v>
      </c>
      <c r="I55" s="63">
        <f>I22</f>
        <v>1</v>
      </c>
      <c r="J55" s="63">
        <f t="shared" si="19"/>
        <v>1</v>
      </c>
      <c r="K55" s="63">
        <f t="shared" si="19"/>
        <v>1</v>
      </c>
      <c r="L55" s="63">
        <f t="shared" si="19"/>
        <v>184</v>
      </c>
    </row>
    <row r="56" spans="2:12" x14ac:dyDescent="0.2">
      <c r="B56" s="66" t="str">
        <f t="shared" si="16"/>
        <v>T4</v>
      </c>
      <c r="C56" s="63">
        <f t="shared" si="16"/>
        <v>4</v>
      </c>
      <c r="D56" s="63">
        <f t="shared" ref="D56:F56" si="21">D23</f>
        <v>0</v>
      </c>
      <c r="E56" s="63">
        <f t="shared" si="21"/>
        <v>0</v>
      </c>
      <c r="F56" s="63">
        <f t="shared" si="21"/>
        <v>0</v>
      </c>
      <c r="G56" s="63">
        <f>G23</f>
        <v>4</v>
      </c>
      <c r="H56" s="63">
        <f t="shared" si="18"/>
        <v>1</v>
      </c>
      <c r="I56" s="63">
        <f>I23</f>
        <v>1</v>
      </c>
      <c r="J56" s="63">
        <f t="shared" si="19"/>
        <v>1</v>
      </c>
      <c r="K56" s="63">
        <f t="shared" si="19"/>
        <v>1</v>
      </c>
      <c r="L56" s="63">
        <f t="shared" si="19"/>
        <v>124</v>
      </c>
    </row>
    <row r="57" spans="2:12" x14ac:dyDescent="0.2">
      <c r="B57" s="66" t="str">
        <f t="shared" si="16"/>
        <v>B1</v>
      </c>
      <c r="C57" s="63">
        <f t="shared" si="16"/>
        <v>4</v>
      </c>
      <c r="D57" s="63">
        <f t="shared" ref="D57:F59" si="22">D24</f>
        <v>1</v>
      </c>
      <c r="E57" s="63">
        <f t="shared" si="22"/>
        <v>1</v>
      </c>
      <c r="F57" s="63">
        <f t="shared" si="22"/>
        <v>1</v>
      </c>
      <c r="G57" s="63">
        <f>G24</f>
        <v>1</v>
      </c>
      <c r="H57" s="63">
        <f t="shared" si="18"/>
        <v>4</v>
      </c>
      <c r="I57" s="63">
        <f t="shared" ref="I57" si="23">I24</f>
        <v>0</v>
      </c>
      <c r="J57" s="63">
        <f t="shared" si="19"/>
        <v>0</v>
      </c>
      <c r="K57" s="63">
        <f t="shared" si="19"/>
        <v>0</v>
      </c>
      <c r="L57" s="63">
        <f t="shared" si="19"/>
        <v>140</v>
      </c>
    </row>
    <row r="58" spans="2:12" x14ac:dyDescent="0.2">
      <c r="B58" s="66" t="str">
        <f t="shared" si="16"/>
        <v>B2</v>
      </c>
      <c r="C58" s="63">
        <f t="shared" si="16"/>
        <v>3</v>
      </c>
      <c r="D58" s="63">
        <f t="shared" si="22"/>
        <v>1</v>
      </c>
      <c r="E58" s="63">
        <f t="shared" si="22"/>
        <v>0</v>
      </c>
      <c r="F58" s="63">
        <f t="shared" si="22"/>
        <v>1</v>
      </c>
      <c r="G58" s="63">
        <f>G25</f>
        <v>1</v>
      </c>
      <c r="H58" s="63">
        <f t="shared" si="18"/>
        <v>0</v>
      </c>
      <c r="I58" s="63">
        <f>I25</f>
        <v>3</v>
      </c>
      <c r="J58" s="63">
        <f t="shared" si="19"/>
        <v>0</v>
      </c>
      <c r="K58" s="63">
        <f t="shared" si="19"/>
        <v>0</v>
      </c>
      <c r="L58" s="63">
        <f t="shared" si="19"/>
        <v>127</v>
      </c>
    </row>
    <row r="59" spans="2:12" x14ac:dyDescent="0.2">
      <c r="B59" s="66" t="str">
        <f t="shared" si="16"/>
        <v>B3</v>
      </c>
      <c r="C59" s="63">
        <f t="shared" si="16"/>
        <v>4</v>
      </c>
      <c r="D59" s="63">
        <f t="shared" si="22"/>
        <v>1</v>
      </c>
      <c r="E59" s="63">
        <f t="shared" si="22"/>
        <v>1</v>
      </c>
      <c r="F59" s="63">
        <f t="shared" si="22"/>
        <v>1</v>
      </c>
      <c r="G59" s="63">
        <f>G26</f>
        <v>1</v>
      </c>
      <c r="H59" s="63">
        <f t="shared" si="18"/>
        <v>0</v>
      </c>
      <c r="I59" s="63">
        <f>I26</f>
        <v>0</v>
      </c>
      <c r="J59" s="63">
        <f t="shared" si="19"/>
        <v>4</v>
      </c>
      <c r="K59" s="63">
        <f t="shared" si="19"/>
        <v>0</v>
      </c>
      <c r="L59" s="63">
        <f t="shared" si="19"/>
        <v>132</v>
      </c>
    </row>
    <row r="60" spans="2:12" x14ac:dyDescent="0.2">
      <c r="B60" s="66" t="str">
        <f t="shared" ref="B60:L60" si="24">B28</f>
        <v>Add</v>
      </c>
      <c r="C60" s="63">
        <f t="shared" si="24"/>
        <v>0</v>
      </c>
      <c r="D60" s="63">
        <f t="shared" si="24"/>
        <v>1</v>
      </c>
      <c r="E60" s="63">
        <f t="shared" si="24"/>
        <v>1</v>
      </c>
      <c r="F60" s="63">
        <f t="shared" si="24"/>
        <v>1</v>
      </c>
      <c r="G60" s="63">
        <f t="shared" si="24"/>
        <v>1</v>
      </c>
      <c r="H60" s="63">
        <f t="shared" si="24"/>
        <v>0</v>
      </c>
      <c r="I60" s="63">
        <f t="shared" si="24"/>
        <v>0</v>
      </c>
      <c r="J60" s="63">
        <f t="shared" si="24"/>
        <v>0</v>
      </c>
      <c r="K60" s="63">
        <f t="shared" si="24"/>
        <v>0</v>
      </c>
      <c r="L60" s="63">
        <f t="shared" si="24"/>
        <v>0</v>
      </c>
    </row>
    <row r="61" spans="2:12" x14ac:dyDescent="0.2">
      <c r="B61" s="67" t="str">
        <f t="shared" ref="B61:L61" si="25">B29</f>
        <v>Add</v>
      </c>
      <c r="C61" s="8">
        <f t="shared" si="25"/>
        <v>0</v>
      </c>
      <c r="D61" s="8">
        <f t="shared" si="25"/>
        <v>0</v>
      </c>
      <c r="E61" s="8">
        <f t="shared" si="25"/>
        <v>0</v>
      </c>
      <c r="F61" s="8">
        <f t="shared" si="25"/>
        <v>0</v>
      </c>
      <c r="G61" s="8">
        <f t="shared" si="25"/>
        <v>0</v>
      </c>
      <c r="H61" s="8">
        <f t="shared" si="25"/>
        <v>1</v>
      </c>
      <c r="I61" s="8">
        <f t="shared" si="25"/>
        <v>1</v>
      </c>
      <c r="J61" s="8">
        <f t="shared" si="25"/>
        <v>1</v>
      </c>
      <c r="K61" s="8">
        <f t="shared" si="25"/>
        <v>1</v>
      </c>
      <c r="L61" s="8">
        <f t="shared" si="25"/>
        <v>0</v>
      </c>
    </row>
    <row r="63" spans="2:12" ht="17" x14ac:dyDescent="0.2">
      <c r="B63" s="88" t="s">
        <v>128</v>
      </c>
      <c r="C63" s="56" t="s">
        <v>131</v>
      </c>
      <c r="D63" s="56" t="s">
        <v>132</v>
      </c>
      <c r="E63" s="56" t="s">
        <v>133</v>
      </c>
      <c r="F63" s="56" t="s">
        <v>134</v>
      </c>
      <c r="G63" s="56" t="s">
        <v>135</v>
      </c>
      <c r="H63" s="56" t="s">
        <v>136</v>
      </c>
      <c r="I63" s="56" t="s">
        <v>137</v>
      </c>
      <c r="J63" s="56" t="s">
        <v>104</v>
      </c>
      <c r="K63" s="56" t="s">
        <v>104</v>
      </c>
    </row>
    <row r="64" spans="2:12" x14ac:dyDescent="0.2">
      <c r="B64" s="56" t="s">
        <v>55</v>
      </c>
      <c r="C64" s="85" cm="1">
        <f t="array" ref="C64:K72">MINVERSE(C53:K61)</f>
        <v>5.5555555555555573E-2</v>
      </c>
      <c r="D64" s="85">
        <v>8.3333333333333343E-2</v>
      </c>
      <c r="E64" s="85">
        <v>5.5555555555555573E-2</v>
      </c>
      <c r="F64" s="85">
        <v>5.5555555555555573E-2</v>
      </c>
      <c r="G64" s="85">
        <v>-1.3877787807814457E-17</v>
      </c>
      <c r="H64" s="85">
        <v>2.7777777777777776E-2</v>
      </c>
      <c r="I64" s="85">
        <v>0</v>
      </c>
      <c r="J64" s="85">
        <v>-0.25</v>
      </c>
      <c r="K64" s="85">
        <v>-0.25</v>
      </c>
    </row>
    <row r="65" spans="2:11" x14ac:dyDescent="0.2">
      <c r="B65" s="56" t="s">
        <v>131</v>
      </c>
      <c r="C65" s="85">
        <v>0.19444444444444445</v>
      </c>
      <c r="D65" s="85">
        <v>-8.3333333333333315E-2</v>
      </c>
      <c r="E65" s="85">
        <v>-5.5555555555555552E-2</v>
      </c>
      <c r="F65" s="85">
        <v>-5.5555555555555552E-2</v>
      </c>
      <c r="G65" s="85">
        <v>-8.6736173798840355E-19</v>
      </c>
      <c r="H65" s="85">
        <v>-2.7777777777777776E-2</v>
      </c>
      <c r="I65" s="85">
        <v>0</v>
      </c>
      <c r="J65" s="85">
        <v>0.25</v>
      </c>
      <c r="K65" s="85">
        <v>-1.7347234759768071E-18</v>
      </c>
    </row>
    <row r="66" spans="2:11" x14ac:dyDescent="0.2">
      <c r="B66" s="56" t="s">
        <v>132</v>
      </c>
      <c r="C66" s="85">
        <v>-8.3333333333333329E-2</v>
      </c>
      <c r="D66" s="85">
        <v>0.25000000000000006</v>
      </c>
      <c r="E66" s="85">
        <v>-8.3333333333333315E-2</v>
      </c>
      <c r="F66" s="85">
        <v>-8.3333333333333329E-2</v>
      </c>
      <c r="G66" s="85">
        <v>2.3129646346357427E-18</v>
      </c>
      <c r="H66" s="85">
        <v>8.3333333333333329E-2</v>
      </c>
      <c r="I66" s="85">
        <v>0</v>
      </c>
      <c r="J66" s="85">
        <v>0.25</v>
      </c>
      <c r="K66" s="85">
        <v>0</v>
      </c>
    </row>
    <row r="67" spans="2:11" x14ac:dyDescent="0.2">
      <c r="B67" s="56" t="s">
        <v>133</v>
      </c>
      <c r="C67" s="85">
        <v>-5.5555555555555559E-2</v>
      </c>
      <c r="D67" s="85">
        <v>-8.3333333333333315E-2</v>
      </c>
      <c r="E67" s="85">
        <v>0.19444444444444445</v>
      </c>
      <c r="F67" s="85">
        <v>-5.5555555555555552E-2</v>
      </c>
      <c r="G67" s="85">
        <v>-8.6736173798840355E-19</v>
      </c>
      <c r="H67" s="85">
        <v>-2.7777777777777776E-2</v>
      </c>
      <c r="I67" s="85">
        <v>0</v>
      </c>
      <c r="J67" s="85">
        <v>0.25</v>
      </c>
      <c r="K67" s="85">
        <v>-1.7347234759768071E-18</v>
      </c>
    </row>
    <row r="68" spans="2:11" x14ac:dyDescent="0.2">
      <c r="B68" s="56" t="s">
        <v>134</v>
      </c>
      <c r="C68" s="85">
        <v>-5.5555555555555559E-2</v>
      </c>
      <c r="D68" s="85">
        <v>-8.3333333333333315E-2</v>
      </c>
      <c r="E68" s="85">
        <v>-5.5555555555555559E-2</v>
      </c>
      <c r="F68" s="85">
        <v>0.19444444444444445</v>
      </c>
      <c r="G68" s="85">
        <v>-8.6736173798840355E-19</v>
      </c>
      <c r="H68" s="85">
        <v>-2.7777777777777776E-2</v>
      </c>
      <c r="I68" s="85">
        <v>0</v>
      </c>
      <c r="J68" s="85">
        <v>0.25</v>
      </c>
      <c r="K68" s="85">
        <v>-1.7347234759768071E-18</v>
      </c>
    </row>
    <row r="69" spans="2:11" x14ac:dyDescent="0.2">
      <c r="B69" s="56" t="s">
        <v>135</v>
      </c>
      <c r="C69" s="85">
        <v>-5.5555555555555559E-2</v>
      </c>
      <c r="D69" s="85">
        <v>-8.3333333333333343E-2</v>
      </c>
      <c r="E69" s="85">
        <v>-5.5555555555555559E-2</v>
      </c>
      <c r="F69" s="85">
        <v>-5.5555555555555559E-2</v>
      </c>
      <c r="G69" s="85">
        <v>0.25000000000000006</v>
      </c>
      <c r="H69" s="85">
        <v>-2.7777777777777787E-2</v>
      </c>
      <c r="I69" s="85">
        <v>0</v>
      </c>
      <c r="J69" s="85">
        <v>0</v>
      </c>
      <c r="K69" s="85">
        <v>0.25</v>
      </c>
    </row>
    <row r="70" spans="2:11" x14ac:dyDescent="0.2">
      <c r="B70" s="56" t="s">
        <v>136</v>
      </c>
      <c r="C70" s="85">
        <v>-8.3333333333333356E-2</v>
      </c>
      <c r="D70" s="85">
        <v>-1.3492293702041834E-17</v>
      </c>
      <c r="E70" s="85">
        <v>-8.3333333333333356E-2</v>
      </c>
      <c r="F70" s="85">
        <v>-8.3333333333333356E-2</v>
      </c>
      <c r="G70" s="85">
        <v>2.6984587404083669E-17</v>
      </c>
      <c r="H70" s="85">
        <v>0.33333333333333337</v>
      </c>
      <c r="I70" s="85">
        <v>0</v>
      </c>
      <c r="J70" s="85">
        <v>0</v>
      </c>
      <c r="K70" s="85">
        <v>0.25</v>
      </c>
    </row>
    <row r="71" spans="2:11" x14ac:dyDescent="0.2">
      <c r="B71" s="56" t="s">
        <v>137</v>
      </c>
      <c r="C71" s="85">
        <v>-5.5555555555555552E-2</v>
      </c>
      <c r="D71" s="85">
        <v>-8.3333333333333343E-2</v>
      </c>
      <c r="E71" s="85">
        <v>-5.5555555555555552E-2</v>
      </c>
      <c r="F71" s="85">
        <v>-5.5555555555555552E-2</v>
      </c>
      <c r="G71" s="85">
        <v>0</v>
      </c>
      <c r="H71" s="85">
        <v>-2.777777777777779E-2</v>
      </c>
      <c r="I71" s="85">
        <v>0.25</v>
      </c>
      <c r="J71" s="85">
        <v>0</v>
      </c>
      <c r="K71" s="85">
        <v>0.25</v>
      </c>
    </row>
    <row r="72" spans="2:11" x14ac:dyDescent="0.2">
      <c r="B72" s="56" t="s">
        <v>138</v>
      </c>
      <c r="C72" s="85">
        <v>0.19444444444444445</v>
      </c>
      <c r="D72" s="85">
        <v>0.16666666666666666</v>
      </c>
      <c r="E72" s="85">
        <v>0.19444444444444445</v>
      </c>
      <c r="F72" s="85">
        <v>0.19444444444444445</v>
      </c>
      <c r="G72" s="85">
        <v>-0.25</v>
      </c>
      <c r="H72" s="85">
        <v>-0.27777777777777779</v>
      </c>
      <c r="I72" s="85">
        <v>-0.25</v>
      </c>
      <c r="J72" s="85">
        <v>0</v>
      </c>
      <c r="K72" s="85">
        <v>0.25</v>
      </c>
    </row>
    <row r="74" spans="2:11" x14ac:dyDescent="0.2">
      <c r="B74" s="88" t="s">
        <v>129</v>
      </c>
      <c r="C74" s="89" t="s">
        <v>55</v>
      </c>
      <c r="D74" s="90" t="s">
        <v>131</v>
      </c>
      <c r="E74" s="90" t="s">
        <v>132</v>
      </c>
      <c r="F74" s="90" t="s">
        <v>133</v>
      </c>
      <c r="G74" s="90" t="s">
        <v>134</v>
      </c>
      <c r="H74" s="90" t="s">
        <v>135</v>
      </c>
      <c r="I74" s="90" t="s">
        <v>136</v>
      </c>
      <c r="J74" s="90" t="s">
        <v>137</v>
      </c>
      <c r="K74" s="90" t="s">
        <v>138</v>
      </c>
    </row>
    <row r="75" spans="2:11" ht="17" x14ac:dyDescent="0.2">
      <c r="B75" s="91" t="s">
        <v>130</v>
      </c>
      <c r="C75" s="7" cm="1">
        <f t="array" ref="C75:K75">TRANSPOSE(MMULT(_xlfn.ANCHORARRAY(C64),L53:L61))</f>
        <v>40.277777777777786</v>
      </c>
      <c r="D75" s="7">
        <v>-1.7777777777777735</v>
      </c>
      <c r="E75" s="7">
        <v>5.3333333333333446</v>
      </c>
      <c r="F75" s="7">
        <v>5.7222222222222259</v>
      </c>
      <c r="G75" s="7">
        <v>-9.277777777777775</v>
      </c>
      <c r="H75" s="7">
        <v>-5.2777777777777715</v>
      </c>
      <c r="I75" s="7">
        <v>3.8333333333333286</v>
      </c>
      <c r="J75" s="7">
        <v>-7.2777777777777786</v>
      </c>
      <c r="K75" s="7">
        <v>8.7222222222222214</v>
      </c>
    </row>
    <row r="77" spans="2:11" x14ac:dyDescent="0.2">
      <c r="B77" s="20" t="s">
        <v>139</v>
      </c>
      <c r="C77" s="7" cm="1">
        <f t="array" ref="C77:K77">TRANSPOSE(L19:L27)</f>
        <v>595</v>
      </c>
      <c r="D77" s="7">
        <v>154</v>
      </c>
      <c r="E77" s="7">
        <v>133</v>
      </c>
      <c r="F77" s="7">
        <v>184</v>
      </c>
      <c r="G77" s="7">
        <v>124</v>
      </c>
      <c r="H77" s="7">
        <v>140</v>
      </c>
      <c r="I77" s="7">
        <v>127</v>
      </c>
      <c r="J77" s="7">
        <v>132</v>
      </c>
      <c r="K77" s="7">
        <v>196</v>
      </c>
    </row>
    <row r="79" spans="2:11" x14ac:dyDescent="0.2">
      <c r="C79" s="7" cm="1">
        <f t="array" ref="C79:K79">_xlfn.ANCHORARRAY(C75)*_xlfn.ANCHORARRAY(C77)</f>
        <v>23965.277777777781</v>
      </c>
      <c r="D79" s="7">
        <v>-273.77777777777709</v>
      </c>
      <c r="E79" s="7">
        <v>709.33333333333485</v>
      </c>
      <c r="F79" s="7">
        <v>1052.8888888888896</v>
      </c>
      <c r="G79" s="7">
        <v>-1150.4444444444441</v>
      </c>
      <c r="H79" s="7">
        <v>-738.888888888888</v>
      </c>
      <c r="I79" s="7">
        <v>486.83333333333275</v>
      </c>
      <c r="J79" s="7">
        <v>-960.66666666666674</v>
      </c>
      <c r="K79" s="7">
        <v>1709.5555555555554</v>
      </c>
    </row>
    <row r="82" spans="2:8" x14ac:dyDescent="0.2">
      <c r="B82" t="s">
        <v>3</v>
      </c>
      <c r="C82">
        <f>COUNT(C10:C13)</f>
        <v>4</v>
      </c>
    </row>
    <row r="83" spans="2:8" x14ac:dyDescent="0.2">
      <c r="B83" t="s">
        <v>6</v>
      </c>
      <c r="C83">
        <f>COUNT(D9:G9)</f>
        <v>4</v>
      </c>
    </row>
    <row r="85" spans="2:8" x14ac:dyDescent="0.2">
      <c r="B85" s="88" t="s">
        <v>142</v>
      </c>
      <c r="C85" s="86">
        <f>SUM(_xlfn.ANCHORARRAY(C79))</f>
        <v>24800.111111111117</v>
      </c>
    </row>
    <row r="86" spans="2:8" x14ac:dyDescent="0.2">
      <c r="B86" s="88" t="s">
        <v>143</v>
      </c>
      <c r="C86" s="86">
        <f>C82+C83-1</f>
        <v>7</v>
      </c>
      <c r="D86" s="98" t="s">
        <v>152</v>
      </c>
    </row>
    <row r="87" spans="2:8" x14ac:dyDescent="0.2">
      <c r="B87" s="88" t="s">
        <v>144</v>
      </c>
      <c r="C87" s="86">
        <f>O14-C85</f>
        <v>174.88888888888323</v>
      </c>
    </row>
    <row r="88" spans="2:8" x14ac:dyDescent="0.2">
      <c r="B88" s="88" t="s">
        <v>145</v>
      </c>
      <c r="C88" s="86">
        <f>COUNT(D10:G13)-C86</f>
        <v>8</v>
      </c>
      <c r="D88" s="98" t="s">
        <v>154</v>
      </c>
    </row>
    <row r="89" spans="2:8" x14ac:dyDescent="0.2">
      <c r="B89" s="88" t="s">
        <v>146</v>
      </c>
      <c r="C89" s="92">
        <f>C87/C88</f>
        <v>21.861111111110404</v>
      </c>
    </row>
    <row r="91" spans="2:8" x14ac:dyDescent="0.2">
      <c r="B91" s="86" t="s">
        <v>140</v>
      </c>
      <c r="C91" s="86"/>
    </row>
    <row r="93" spans="2:8" x14ac:dyDescent="0.2">
      <c r="C93" s="83" t="s">
        <v>55</v>
      </c>
      <c r="D93" s="84" t="s">
        <v>135</v>
      </c>
      <c r="E93" s="84" t="s">
        <v>136</v>
      </c>
      <c r="F93" s="84" t="s">
        <v>137</v>
      </c>
      <c r="G93" s="84" t="s">
        <v>138</v>
      </c>
      <c r="H93" s="82"/>
    </row>
    <row r="94" spans="2:8" x14ac:dyDescent="0.2">
      <c r="B94" s="62" t="s">
        <v>55</v>
      </c>
      <c r="C94" s="63">
        <v>15</v>
      </c>
      <c r="D94" s="63">
        <v>4</v>
      </c>
      <c r="E94" s="63">
        <v>3</v>
      </c>
      <c r="F94" s="63">
        <v>4</v>
      </c>
      <c r="G94" s="63">
        <v>4</v>
      </c>
      <c r="H94" s="63">
        <v>595</v>
      </c>
    </row>
    <row r="95" spans="2:8" x14ac:dyDescent="0.2">
      <c r="B95" s="66" t="s">
        <v>135</v>
      </c>
      <c r="C95" s="63">
        <v>4</v>
      </c>
      <c r="D95" s="63">
        <v>4</v>
      </c>
      <c r="E95" s="63">
        <v>0</v>
      </c>
      <c r="F95" s="63">
        <v>0</v>
      </c>
      <c r="G95" s="63">
        <v>0</v>
      </c>
      <c r="H95" s="63">
        <v>140</v>
      </c>
    </row>
    <row r="96" spans="2:8" x14ac:dyDescent="0.2">
      <c r="B96" s="66" t="s">
        <v>136</v>
      </c>
      <c r="C96" s="63">
        <v>3</v>
      </c>
      <c r="D96" s="63">
        <v>0</v>
      </c>
      <c r="E96" s="63">
        <v>3</v>
      </c>
      <c r="F96" s="63">
        <v>0</v>
      </c>
      <c r="G96" s="63">
        <v>0</v>
      </c>
      <c r="H96" s="63">
        <v>127</v>
      </c>
    </row>
    <row r="97" spans="2:8" x14ac:dyDescent="0.2">
      <c r="B97" s="66" t="s">
        <v>137</v>
      </c>
      <c r="C97" s="63">
        <v>4</v>
      </c>
      <c r="D97" s="63">
        <v>0</v>
      </c>
      <c r="E97" s="63">
        <v>0</v>
      </c>
      <c r="F97" s="63">
        <v>4</v>
      </c>
      <c r="G97" s="63">
        <v>0</v>
      </c>
      <c r="H97" s="63">
        <v>132</v>
      </c>
    </row>
    <row r="98" spans="2:8" x14ac:dyDescent="0.2">
      <c r="B98" s="66" t="s">
        <v>138</v>
      </c>
      <c r="C98" s="63">
        <v>4</v>
      </c>
      <c r="D98" s="63">
        <v>0</v>
      </c>
      <c r="E98" s="63">
        <v>0</v>
      </c>
      <c r="F98" s="63">
        <v>0</v>
      </c>
      <c r="G98" s="63">
        <v>4</v>
      </c>
      <c r="H98" s="63">
        <v>196</v>
      </c>
    </row>
    <row r="99" spans="2:8" x14ac:dyDescent="0.2">
      <c r="B99" s="67" t="s">
        <v>104</v>
      </c>
      <c r="C99" s="8">
        <v>0</v>
      </c>
      <c r="D99" s="8">
        <v>1</v>
      </c>
      <c r="E99" s="8">
        <v>1</v>
      </c>
      <c r="F99" s="8">
        <v>1</v>
      </c>
      <c r="G99" s="8">
        <v>1</v>
      </c>
      <c r="H99" s="8">
        <v>0</v>
      </c>
    </row>
    <row r="101" spans="2:8" ht="17" x14ac:dyDescent="0.2">
      <c r="B101" s="88" t="s">
        <v>128</v>
      </c>
    </row>
    <row r="102" spans="2:8" x14ac:dyDescent="0.2">
      <c r="C102" cm="1">
        <f t="array" ref="C102:G106">MINVERSE(C95:G99)</f>
        <v>6.25E-2</v>
      </c>
      <c r="D102">
        <v>8.3333333333333329E-2</v>
      </c>
      <c r="E102">
        <v>6.25E-2</v>
      </c>
      <c r="F102">
        <v>6.25E-2</v>
      </c>
      <c r="G102">
        <v>-0.25</v>
      </c>
    </row>
    <row r="103" spans="2:8" x14ac:dyDescent="0.2">
      <c r="C103">
        <v>0.1875</v>
      </c>
      <c r="D103">
        <v>-8.3333333333333329E-2</v>
      </c>
      <c r="E103">
        <v>-6.25E-2</v>
      </c>
      <c r="F103">
        <v>-6.25E-2</v>
      </c>
      <c r="G103">
        <v>0.25</v>
      </c>
    </row>
    <row r="104" spans="2:8" x14ac:dyDescent="0.2">
      <c r="C104">
        <v>-6.25E-2</v>
      </c>
      <c r="D104">
        <v>0.25</v>
      </c>
      <c r="E104">
        <v>-6.25E-2</v>
      </c>
      <c r="F104">
        <v>-6.25E-2</v>
      </c>
      <c r="G104">
        <v>0.25</v>
      </c>
    </row>
    <row r="105" spans="2:8" x14ac:dyDescent="0.2">
      <c r="C105">
        <v>-6.25E-2</v>
      </c>
      <c r="D105">
        <v>-8.3333333333333329E-2</v>
      </c>
      <c r="E105">
        <v>0.1875</v>
      </c>
      <c r="F105">
        <v>-6.25E-2</v>
      </c>
      <c r="G105">
        <v>0.25</v>
      </c>
    </row>
    <row r="106" spans="2:8" x14ac:dyDescent="0.2">
      <c r="C106">
        <v>-6.25E-2</v>
      </c>
      <c r="D106">
        <v>-8.3333333333333329E-2</v>
      </c>
      <c r="E106">
        <v>-6.25E-2</v>
      </c>
      <c r="F106">
        <v>0.1875</v>
      </c>
      <c r="G106">
        <v>0.25</v>
      </c>
    </row>
    <row r="108" spans="2:8" x14ac:dyDescent="0.2">
      <c r="B108" s="88" t="s">
        <v>129</v>
      </c>
      <c r="C108" s="89" t="s">
        <v>55</v>
      </c>
      <c r="D108" s="90" t="s">
        <v>135</v>
      </c>
      <c r="E108" s="90" t="s">
        <v>136</v>
      </c>
      <c r="F108" s="90" t="s">
        <v>137</v>
      </c>
      <c r="G108" s="90" t="s">
        <v>138</v>
      </c>
    </row>
    <row r="109" spans="2:8" ht="17" x14ac:dyDescent="0.2">
      <c r="B109" s="91" t="s">
        <v>130</v>
      </c>
      <c r="C109" s="7" cm="1">
        <f t="array" ref="C109:G109">TRANSPOSE(MMULT(_xlfn.ANCHORARRAY(C102),H95:H99))</f>
        <v>39.833333333333329</v>
      </c>
      <c r="D109" s="7">
        <v>-4.8333333333333321</v>
      </c>
      <c r="E109" s="7">
        <v>2.5</v>
      </c>
      <c r="F109" s="7">
        <v>-6.8333333333333321</v>
      </c>
      <c r="G109" s="7">
        <v>9.1666666666666679</v>
      </c>
    </row>
    <row r="111" spans="2:8" x14ac:dyDescent="0.2">
      <c r="B111" s="20" t="s">
        <v>141</v>
      </c>
      <c r="C111" s="7" cm="1">
        <f t="array" ref="C111:G111">TRANSPOSE(H94:H98)</f>
        <v>595</v>
      </c>
      <c r="D111" s="7">
        <v>140</v>
      </c>
      <c r="E111" s="7">
        <v>127</v>
      </c>
      <c r="F111" s="7">
        <v>132</v>
      </c>
      <c r="G111" s="7">
        <v>196</v>
      </c>
    </row>
    <row r="113" spans="2:7" x14ac:dyDescent="0.2">
      <c r="C113" s="7" cm="1">
        <f t="array" ref="C113:G113">_xlfn.ANCHORARRAY(C109)*_xlfn.ANCHORARRAY(C111)</f>
        <v>23700.833333333332</v>
      </c>
      <c r="D113" s="7">
        <v>-676.66666666666652</v>
      </c>
      <c r="E113" s="7">
        <v>317.5</v>
      </c>
      <c r="F113" s="7">
        <v>-901.99999999999989</v>
      </c>
      <c r="G113" s="7">
        <v>1796.666666666667</v>
      </c>
    </row>
    <row r="116" spans="2:7" x14ac:dyDescent="0.2">
      <c r="B116" s="88" t="s">
        <v>147</v>
      </c>
      <c r="C116">
        <f>SUM(_xlfn.ANCHORARRAY(C113))</f>
        <v>24236.333333333332</v>
      </c>
    </row>
    <row r="117" spans="2:7" x14ac:dyDescent="0.2">
      <c r="B117" s="88" t="s">
        <v>148</v>
      </c>
      <c r="C117">
        <f>C83</f>
        <v>4</v>
      </c>
    </row>
    <row r="118" spans="2:7" ht="17" x14ac:dyDescent="0.25">
      <c r="B118" s="88" t="s">
        <v>178</v>
      </c>
      <c r="C118">
        <f>C85-C116</f>
        <v>563.77777777778465</v>
      </c>
    </row>
    <row r="119" spans="2:7" x14ac:dyDescent="0.2">
      <c r="B119" s="88" t="s">
        <v>179</v>
      </c>
      <c r="C119">
        <f>C117-1</f>
        <v>3</v>
      </c>
    </row>
    <row r="120" spans="2:7" x14ac:dyDescent="0.2">
      <c r="B120" s="113" t="s">
        <v>180</v>
      </c>
      <c r="C120">
        <f>C118/C119</f>
        <v>187.92592592592823</v>
      </c>
    </row>
  </sheetData>
  <mergeCells count="6">
    <mergeCell ref="J8:J9"/>
    <mergeCell ref="K8:N8"/>
    <mergeCell ref="C1:C2"/>
    <mergeCell ref="D1:G1"/>
    <mergeCell ref="C8:C9"/>
    <mergeCell ref="D8:G8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8193" r:id="rId3">
          <objectPr defaultSize="0" autoPict="0" r:id="rId4">
            <anchor moveWithCells="1" sizeWithCells="1">
              <from>
                <xdr:col>10</xdr:col>
                <xdr:colOff>304800</xdr:colOff>
                <xdr:row>85</xdr:row>
                <xdr:rowOff>12700</xdr:rowOff>
              </from>
              <to>
                <xdr:col>12</xdr:col>
                <xdr:colOff>393700</xdr:colOff>
                <xdr:row>86</xdr:row>
                <xdr:rowOff>165100</xdr:rowOff>
              </to>
            </anchor>
          </objectPr>
        </oleObject>
      </mc:Choice>
      <mc:Fallback>
        <oleObject progId="Equation.DSMT4" shapeId="8193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38D07-9F23-6047-9961-8DADB58D9790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EEED9-B87F-4623-86A0-702AD8D828ED}">
  <dimension ref="A1:S93"/>
  <sheetViews>
    <sheetView showGridLines="0" topLeftCell="A73" zoomScale="80" zoomScaleNormal="80" workbookViewId="0">
      <selection activeCell="P77" sqref="P77"/>
    </sheetView>
  </sheetViews>
  <sheetFormatPr baseColWidth="10" defaultColWidth="8.83203125" defaultRowHeight="15" x14ac:dyDescent="0.2"/>
  <cols>
    <col min="3" max="3" width="11" bestFit="1" customWidth="1"/>
  </cols>
  <sheetData>
    <row r="1" spans="3:9" ht="36" thickTop="1" thickBot="1" x14ac:dyDescent="0.25">
      <c r="C1" s="25" t="s">
        <v>41</v>
      </c>
      <c r="D1" s="129" t="s">
        <v>38</v>
      </c>
      <c r="E1" s="128"/>
      <c r="F1" s="130"/>
    </row>
    <row r="2" spans="3:9" ht="18" thickBot="1" x14ac:dyDescent="0.25">
      <c r="C2" s="26" t="s">
        <v>42</v>
      </c>
      <c r="D2" s="1">
        <v>40</v>
      </c>
      <c r="E2" s="1">
        <v>60</v>
      </c>
      <c r="F2" s="46">
        <v>80</v>
      </c>
    </row>
    <row r="3" spans="3:9" ht="17" x14ac:dyDescent="0.2">
      <c r="C3" s="27">
        <v>50</v>
      </c>
      <c r="D3" s="3" t="s">
        <v>43</v>
      </c>
      <c r="E3" s="3" t="s">
        <v>46</v>
      </c>
      <c r="F3" s="47" t="s">
        <v>49</v>
      </c>
    </row>
    <row r="4" spans="3:9" ht="17" x14ac:dyDescent="0.2">
      <c r="C4" s="27">
        <v>75</v>
      </c>
      <c r="D4" s="3" t="s">
        <v>44</v>
      </c>
      <c r="E4" s="3" t="s">
        <v>47</v>
      </c>
      <c r="F4" s="47" t="s">
        <v>50</v>
      </c>
    </row>
    <row r="5" spans="3:9" ht="18" thickBot="1" x14ac:dyDescent="0.25">
      <c r="C5" s="28">
        <v>100</v>
      </c>
      <c r="D5" s="4" t="s">
        <v>45</v>
      </c>
      <c r="E5" s="4" t="s">
        <v>48</v>
      </c>
      <c r="F5" s="48" t="s">
        <v>51</v>
      </c>
    </row>
    <row r="6" spans="3:9" ht="17" thickTop="1" thickBot="1" x14ac:dyDescent="0.25"/>
    <row r="7" spans="3:9" ht="18" thickTop="1" thickBot="1" x14ac:dyDescent="0.25">
      <c r="C7" s="134" t="s">
        <v>53</v>
      </c>
      <c r="D7" s="132" t="s">
        <v>54</v>
      </c>
      <c r="E7" s="132"/>
      <c r="F7" s="132"/>
      <c r="G7" s="132"/>
      <c r="H7" s="132"/>
      <c r="I7" s="133"/>
    </row>
    <row r="8" spans="3:9" ht="16" thickBot="1" x14ac:dyDescent="0.25">
      <c r="C8" s="135"/>
      <c r="D8" s="114">
        <v>40</v>
      </c>
      <c r="E8" s="114"/>
      <c r="F8" s="114">
        <v>60</v>
      </c>
      <c r="G8" s="114"/>
      <c r="H8" s="114">
        <v>80</v>
      </c>
      <c r="I8" s="131"/>
    </row>
    <row r="9" spans="3:9" x14ac:dyDescent="0.2">
      <c r="C9" s="49">
        <v>50</v>
      </c>
      <c r="D9" s="23">
        <v>17</v>
      </c>
      <c r="E9" s="23"/>
      <c r="F9" s="23">
        <v>16</v>
      </c>
      <c r="G9" s="23"/>
      <c r="H9" s="23">
        <v>24</v>
      </c>
      <c r="I9" s="50">
        <v>22</v>
      </c>
    </row>
    <row r="10" spans="3:9" x14ac:dyDescent="0.2">
      <c r="C10" s="49">
        <v>75</v>
      </c>
      <c r="D10" s="23"/>
      <c r="E10" s="23"/>
      <c r="F10" s="23">
        <v>18</v>
      </c>
      <c r="G10" s="23">
        <v>13</v>
      </c>
      <c r="H10" s="23">
        <v>17</v>
      </c>
      <c r="I10" s="50">
        <v>12</v>
      </c>
    </row>
    <row r="11" spans="3:9" ht="16" thickBot="1" x14ac:dyDescent="0.25">
      <c r="C11" s="51">
        <v>100</v>
      </c>
      <c r="D11" s="52">
        <v>16</v>
      </c>
      <c r="E11" s="52">
        <v>12</v>
      </c>
      <c r="F11" s="52">
        <v>18</v>
      </c>
      <c r="G11" s="52">
        <v>21</v>
      </c>
      <c r="H11" s="52">
        <v>25</v>
      </c>
      <c r="I11" s="53"/>
    </row>
    <row r="12" spans="3:9" ht="17" thickTop="1" thickBot="1" x14ac:dyDescent="0.25"/>
    <row r="13" spans="3:9" ht="17" thickTop="1" thickBot="1" x14ac:dyDescent="0.25">
      <c r="C13" s="136" t="s">
        <v>52</v>
      </c>
      <c r="D13" s="138" t="s">
        <v>38</v>
      </c>
      <c r="E13" s="138"/>
      <c r="F13" s="139"/>
    </row>
    <row r="14" spans="3:9" ht="17" thickBot="1" x14ac:dyDescent="0.25">
      <c r="C14" s="137"/>
      <c r="D14" s="22">
        <v>40</v>
      </c>
      <c r="E14" s="22">
        <v>60</v>
      </c>
      <c r="F14" s="54">
        <v>80</v>
      </c>
      <c r="G14" t="s">
        <v>16</v>
      </c>
    </row>
    <row r="15" spans="3:9" x14ac:dyDescent="0.2">
      <c r="C15" s="49">
        <v>50</v>
      </c>
      <c r="D15" s="16">
        <f>SUM(D9:E9)</f>
        <v>17</v>
      </c>
      <c r="E15" s="16">
        <f>SUM(F9:G9)</f>
        <v>16</v>
      </c>
      <c r="F15" s="55">
        <f>SUM(H9:I9)</f>
        <v>46</v>
      </c>
      <c r="G15">
        <f>SUM(D15:F15)</f>
        <v>79</v>
      </c>
    </row>
    <row r="16" spans="3:9" x14ac:dyDescent="0.2">
      <c r="C16" s="49">
        <v>75</v>
      </c>
      <c r="D16" s="23"/>
      <c r="E16" s="23">
        <f t="shared" ref="E16:E17" si="0">SUM(F10:G10)</f>
        <v>31</v>
      </c>
      <c r="F16" s="50">
        <f t="shared" ref="F16:F17" si="1">SUM(H10:I10)</f>
        <v>29</v>
      </c>
      <c r="G16">
        <f t="shared" ref="G16:G17" si="2">SUM(D16:F16)</f>
        <v>60</v>
      </c>
    </row>
    <row r="17" spans="2:19" ht="16" thickBot="1" x14ac:dyDescent="0.25">
      <c r="C17" s="51">
        <v>100</v>
      </c>
      <c r="D17" s="52">
        <f t="shared" ref="D17" si="3">SUM(D11:E11)</f>
        <v>28</v>
      </c>
      <c r="E17" s="52">
        <f t="shared" si="0"/>
        <v>39</v>
      </c>
      <c r="F17" s="53">
        <f t="shared" si="1"/>
        <v>25</v>
      </c>
      <c r="G17">
        <f t="shared" si="2"/>
        <v>92</v>
      </c>
    </row>
    <row r="18" spans="2:19" ht="16" thickTop="1" x14ac:dyDescent="0.2">
      <c r="D18">
        <f>SUM(D15:D17)</f>
        <v>45</v>
      </c>
      <c r="E18">
        <f t="shared" ref="E18:F18" si="4">SUM(E15:E17)</f>
        <v>86</v>
      </c>
      <c r="F18">
        <f t="shared" si="4"/>
        <v>100</v>
      </c>
      <c r="G18">
        <f>SUM(D15:F17)</f>
        <v>231</v>
      </c>
    </row>
    <row r="20" spans="2:19" ht="17" x14ac:dyDescent="0.25">
      <c r="C20" s="64" t="s">
        <v>55</v>
      </c>
      <c r="D20" s="65" t="s">
        <v>74</v>
      </c>
      <c r="E20" s="65" t="s">
        <v>75</v>
      </c>
      <c r="F20" s="65" t="s">
        <v>76</v>
      </c>
      <c r="G20" s="65" t="s">
        <v>77</v>
      </c>
      <c r="H20" s="65" t="s">
        <v>78</v>
      </c>
      <c r="I20" s="65" t="s">
        <v>79</v>
      </c>
      <c r="J20" s="65" t="s">
        <v>65</v>
      </c>
      <c r="K20" s="65" t="s">
        <v>66</v>
      </c>
      <c r="L20" s="65" t="s">
        <v>67</v>
      </c>
      <c r="M20" s="65" t="s">
        <v>68</v>
      </c>
      <c r="N20" s="65" t="s">
        <v>69</v>
      </c>
      <c r="O20" s="65" t="s">
        <v>70</v>
      </c>
      <c r="P20" s="65" t="s">
        <v>71</v>
      </c>
      <c r="Q20" s="65" t="s">
        <v>72</v>
      </c>
      <c r="R20" s="65" t="s">
        <v>73</v>
      </c>
    </row>
    <row r="21" spans="2:19" x14ac:dyDescent="0.2">
      <c r="B21" s="62" t="s">
        <v>55</v>
      </c>
      <c r="C21" s="63">
        <f>COUNT(D9:I11)</f>
        <v>13</v>
      </c>
      <c r="D21" s="63">
        <f>COUNT(D9:I9)</f>
        <v>4</v>
      </c>
      <c r="E21" s="63">
        <f>COUNT(D10:I10)</f>
        <v>4</v>
      </c>
      <c r="F21" s="63">
        <f>COUNT(D11:I11)</f>
        <v>5</v>
      </c>
      <c r="G21" s="63">
        <f>COUNT(D9:E11)</f>
        <v>3</v>
      </c>
      <c r="H21" s="63">
        <f>COUNT(F9:G11)</f>
        <v>5</v>
      </c>
      <c r="I21" s="63">
        <f>COUNT(H9:I11)</f>
        <v>5</v>
      </c>
      <c r="J21" s="63">
        <f>COUNT(D9:E9)</f>
        <v>1</v>
      </c>
      <c r="K21" s="63">
        <f>COUNT(F9:G9)</f>
        <v>1</v>
      </c>
      <c r="L21" s="63">
        <f>COUNT(H9:I9)</f>
        <v>2</v>
      </c>
      <c r="M21" s="63">
        <f>COUNT(D10:E10)</f>
        <v>0</v>
      </c>
      <c r="N21" s="63">
        <f>COUNT(F10:G10)</f>
        <v>2</v>
      </c>
      <c r="O21" s="63">
        <f>COUNT(H10:I10)</f>
        <v>2</v>
      </c>
      <c r="P21" s="63">
        <f>COUNT(D11:E11)</f>
        <v>2</v>
      </c>
      <c r="Q21" s="63">
        <f>COUNT(F11:G11)</f>
        <v>2</v>
      </c>
      <c r="R21" s="63">
        <f>COUNT(H11:I11)</f>
        <v>1</v>
      </c>
      <c r="S21" s="110">
        <f>G18</f>
        <v>231</v>
      </c>
    </row>
    <row r="22" spans="2:19" ht="17" x14ac:dyDescent="0.25">
      <c r="B22" s="66" t="s">
        <v>74</v>
      </c>
      <c r="C22" s="63">
        <f>COUNT(D9:I9)</f>
        <v>4</v>
      </c>
      <c r="D22" s="63">
        <f>COUNT(D9:I9)</f>
        <v>4</v>
      </c>
      <c r="E22" s="63"/>
      <c r="F22" s="63"/>
      <c r="G22" s="63">
        <f>COUNT(D9:E9)</f>
        <v>1</v>
      </c>
      <c r="H22" s="63">
        <f>COUNT(F9:G9)</f>
        <v>1</v>
      </c>
      <c r="I22" s="63">
        <f>COUNT(H9:I9)</f>
        <v>2</v>
      </c>
      <c r="J22" s="63">
        <f>COUNT(D9:E9)</f>
        <v>1</v>
      </c>
      <c r="K22" s="63">
        <f>COUNT(F9:G9)</f>
        <v>1</v>
      </c>
      <c r="L22" s="63">
        <f>COUNT(H9:I9)</f>
        <v>2</v>
      </c>
      <c r="M22" s="63"/>
      <c r="N22" s="63"/>
      <c r="O22" s="63"/>
      <c r="P22" s="63"/>
      <c r="Q22" s="63"/>
      <c r="R22" s="63"/>
      <c r="S22" s="63">
        <f>G15</f>
        <v>79</v>
      </c>
    </row>
    <row r="23" spans="2:19" ht="17" x14ac:dyDescent="0.25">
      <c r="B23" s="66" t="s">
        <v>75</v>
      </c>
      <c r="C23" s="63">
        <f>COUNT(D10:I10)</f>
        <v>4</v>
      </c>
      <c r="D23" s="63"/>
      <c r="E23" s="63">
        <f>COUNT(D10:I10)</f>
        <v>4</v>
      </c>
      <c r="F23" s="63"/>
      <c r="G23" s="63">
        <f>COUNT(D10:E10)</f>
        <v>0</v>
      </c>
      <c r="H23" s="63">
        <f>COUNT(F10:G10)</f>
        <v>2</v>
      </c>
      <c r="I23" s="63">
        <f>COUNT(H10:I10)</f>
        <v>2</v>
      </c>
      <c r="J23" s="63"/>
      <c r="K23" s="63"/>
      <c r="L23" s="63"/>
      <c r="M23" s="63">
        <f>COUNT(D10:E10)</f>
        <v>0</v>
      </c>
      <c r="N23" s="63">
        <f>COUNT(F10:G10)</f>
        <v>2</v>
      </c>
      <c r="O23" s="63">
        <f>COUNT(H10:I10)</f>
        <v>2</v>
      </c>
      <c r="P23" s="63"/>
      <c r="Q23" s="63"/>
      <c r="R23" s="63"/>
      <c r="S23" s="63">
        <f>G16</f>
        <v>60</v>
      </c>
    </row>
    <row r="24" spans="2:19" ht="17" x14ac:dyDescent="0.25">
      <c r="B24" s="66" t="s">
        <v>76</v>
      </c>
      <c r="C24" s="63">
        <f>COUNT(D11:I11)</f>
        <v>5</v>
      </c>
      <c r="D24" s="63"/>
      <c r="E24" s="63"/>
      <c r="F24" s="63">
        <f>COUNT(D11:I11)</f>
        <v>5</v>
      </c>
      <c r="G24" s="63">
        <f>COUNT(D11:E11)</f>
        <v>2</v>
      </c>
      <c r="H24" s="63">
        <f>COUNT(F11:G11)</f>
        <v>2</v>
      </c>
      <c r="I24" s="63">
        <f>COUNT(H11:I11)</f>
        <v>1</v>
      </c>
      <c r="J24" s="63"/>
      <c r="K24" s="63"/>
      <c r="L24" s="63"/>
      <c r="M24" s="63"/>
      <c r="N24" s="63"/>
      <c r="O24" s="63"/>
      <c r="P24" s="63">
        <f>COUNT(D11:E11)</f>
        <v>2</v>
      </c>
      <c r="Q24" s="63">
        <f>COUNT(F11:G11)</f>
        <v>2</v>
      </c>
      <c r="R24" s="63">
        <f>COUNT(H11:I11)</f>
        <v>1</v>
      </c>
      <c r="S24" s="63">
        <f>G17</f>
        <v>92</v>
      </c>
    </row>
    <row r="25" spans="2:19" ht="17" x14ac:dyDescent="0.25">
      <c r="B25" s="66" t="s">
        <v>77</v>
      </c>
      <c r="C25" s="63">
        <f>COUNT(D9:E11)</f>
        <v>3</v>
      </c>
      <c r="D25" s="63">
        <f>COUNT(D9:E9)</f>
        <v>1</v>
      </c>
      <c r="E25" s="63">
        <f>COUNT(D10:E10)</f>
        <v>0</v>
      </c>
      <c r="F25" s="63">
        <f>COUNT(D11:E11)</f>
        <v>2</v>
      </c>
      <c r="G25" s="63">
        <f>COUNT(D9:E11)</f>
        <v>3</v>
      </c>
      <c r="H25" s="63"/>
      <c r="I25" s="63"/>
      <c r="J25" s="63">
        <f>COUNT(D9:E9)</f>
        <v>1</v>
      </c>
      <c r="K25" s="63"/>
      <c r="L25" s="63"/>
      <c r="M25" s="63">
        <f>COUNT(D10:E10)</f>
        <v>0</v>
      </c>
      <c r="N25" s="63"/>
      <c r="O25" s="63"/>
      <c r="P25" s="63">
        <f>COUNT(D11:E11)</f>
        <v>2</v>
      </c>
      <c r="Q25" s="63"/>
      <c r="R25" s="63"/>
      <c r="S25" s="63">
        <f>D18</f>
        <v>45</v>
      </c>
    </row>
    <row r="26" spans="2:19" ht="17" x14ac:dyDescent="0.25">
      <c r="B26" s="66" t="s">
        <v>78</v>
      </c>
      <c r="C26" s="63">
        <f>COUNT(F9:G11)</f>
        <v>5</v>
      </c>
      <c r="D26" s="63">
        <f>COUNT(F9:G9)</f>
        <v>1</v>
      </c>
      <c r="E26" s="63">
        <f>COUNT(F10:G10)</f>
        <v>2</v>
      </c>
      <c r="F26" s="63">
        <f>COUNT(F11:G11)</f>
        <v>2</v>
      </c>
      <c r="G26" s="63"/>
      <c r="H26" s="63">
        <f>COUNT(F9:G11)</f>
        <v>5</v>
      </c>
      <c r="I26" s="63"/>
      <c r="J26" s="63"/>
      <c r="K26" s="63">
        <f>COUNT(F9:G9)</f>
        <v>1</v>
      </c>
      <c r="L26" s="63"/>
      <c r="M26" s="63"/>
      <c r="N26" s="63">
        <f>COUNT(F10:G10)</f>
        <v>2</v>
      </c>
      <c r="O26" s="63"/>
      <c r="P26" s="63"/>
      <c r="Q26" s="63">
        <f>COUNT(F11:G11)</f>
        <v>2</v>
      </c>
      <c r="R26" s="63"/>
      <c r="S26" s="63">
        <f>E18</f>
        <v>86</v>
      </c>
    </row>
    <row r="27" spans="2:19" ht="17" x14ac:dyDescent="0.25">
      <c r="B27" s="66" t="s">
        <v>79</v>
      </c>
      <c r="C27" s="63">
        <f>COUNT(H9:I11)</f>
        <v>5</v>
      </c>
      <c r="D27" s="63">
        <f>COUNT(H9:I9)</f>
        <v>2</v>
      </c>
      <c r="E27" s="63">
        <f>COUNT(H10:I10)</f>
        <v>2</v>
      </c>
      <c r="F27" s="63">
        <f>COUNT(H11:I11)</f>
        <v>1</v>
      </c>
      <c r="G27" s="63"/>
      <c r="H27" s="63"/>
      <c r="I27" s="63">
        <f>COUNT(H9:I11)</f>
        <v>5</v>
      </c>
      <c r="J27" s="63"/>
      <c r="K27" s="63"/>
      <c r="L27" s="63">
        <f>COUNT(H9:I9)</f>
        <v>2</v>
      </c>
      <c r="M27" s="63"/>
      <c r="N27" s="63"/>
      <c r="O27" s="63">
        <f>COUNT(H10:I10)</f>
        <v>2</v>
      </c>
      <c r="P27" s="63"/>
      <c r="Q27" s="63"/>
      <c r="R27" s="63">
        <f>COUNT(H11:I11)</f>
        <v>1</v>
      </c>
      <c r="S27" s="63">
        <f>F18</f>
        <v>100</v>
      </c>
    </row>
    <row r="28" spans="2:19" ht="17" x14ac:dyDescent="0.25">
      <c r="B28" s="66" t="s">
        <v>65</v>
      </c>
      <c r="C28" s="63">
        <f>COUNT(D9:E9)</f>
        <v>1</v>
      </c>
      <c r="D28" s="63">
        <f>COUNT(D9:E9)</f>
        <v>1</v>
      </c>
      <c r="E28" s="63"/>
      <c r="F28" s="63"/>
      <c r="G28" s="63">
        <f>COUNT(D9:E9)</f>
        <v>1</v>
      </c>
      <c r="H28" s="63"/>
      <c r="I28" s="63"/>
      <c r="J28" s="63">
        <f>COUNT(D9:E9)</f>
        <v>1</v>
      </c>
      <c r="K28" s="63"/>
      <c r="L28" s="63"/>
      <c r="M28" s="63"/>
      <c r="N28" s="63"/>
      <c r="O28" s="63"/>
      <c r="P28" s="63"/>
      <c r="Q28" s="63"/>
      <c r="R28" s="63"/>
      <c r="S28" s="63">
        <f>D15</f>
        <v>17</v>
      </c>
    </row>
    <row r="29" spans="2:19" ht="17" x14ac:dyDescent="0.25">
      <c r="B29" s="66" t="s">
        <v>66</v>
      </c>
      <c r="C29" s="63">
        <f>COUNT(F9:G9)</f>
        <v>1</v>
      </c>
      <c r="D29" s="63">
        <f>COUNT(F9:G9)</f>
        <v>1</v>
      </c>
      <c r="E29" s="63"/>
      <c r="F29" s="63"/>
      <c r="G29" s="63"/>
      <c r="H29" s="63">
        <f>COUNT(F9:G9)</f>
        <v>1</v>
      </c>
      <c r="I29" s="63"/>
      <c r="J29" s="63"/>
      <c r="K29" s="63">
        <f>COUNT(F9:G9)</f>
        <v>1</v>
      </c>
      <c r="L29" s="63"/>
      <c r="M29" s="63"/>
      <c r="N29" s="63"/>
      <c r="O29" s="63"/>
      <c r="P29" s="63"/>
      <c r="Q29" s="63"/>
      <c r="R29" s="63"/>
      <c r="S29" s="63">
        <f>E15</f>
        <v>16</v>
      </c>
    </row>
    <row r="30" spans="2:19" ht="17" x14ac:dyDescent="0.25">
      <c r="B30" s="66" t="s">
        <v>67</v>
      </c>
      <c r="C30" s="63">
        <f>COUNT(H9:I9)</f>
        <v>2</v>
      </c>
      <c r="D30" s="63">
        <f>COUNT(H9:I9)</f>
        <v>2</v>
      </c>
      <c r="E30" s="63"/>
      <c r="F30" s="63"/>
      <c r="G30" s="63"/>
      <c r="H30" s="63"/>
      <c r="I30" s="63">
        <f>COUNT(H9:I9)</f>
        <v>2</v>
      </c>
      <c r="J30" s="63"/>
      <c r="K30" s="63"/>
      <c r="L30" s="63">
        <f>COUNT(H9:I9)</f>
        <v>2</v>
      </c>
      <c r="M30" s="63"/>
      <c r="N30" s="63"/>
      <c r="O30" s="63"/>
      <c r="P30" s="63"/>
      <c r="Q30" s="63"/>
      <c r="R30" s="63"/>
      <c r="S30" s="63">
        <f>F15</f>
        <v>46</v>
      </c>
    </row>
    <row r="31" spans="2:19" ht="17" x14ac:dyDescent="0.25">
      <c r="B31" s="66" t="s">
        <v>68</v>
      </c>
      <c r="C31" s="63">
        <f>COUNT(D10:E10)</f>
        <v>0</v>
      </c>
      <c r="D31" s="63"/>
      <c r="E31" s="63">
        <f>COUNT(D10:E10)</f>
        <v>0</v>
      </c>
      <c r="F31" s="63"/>
      <c r="G31" s="63">
        <f>COUNT(D10:E10)</f>
        <v>0</v>
      </c>
      <c r="H31" s="63"/>
      <c r="I31" s="63"/>
      <c r="J31" s="63"/>
      <c r="K31" s="63"/>
      <c r="L31" s="63"/>
      <c r="M31" s="63">
        <f>COUNT(D10:E10)</f>
        <v>0</v>
      </c>
      <c r="N31" s="63"/>
      <c r="O31" s="63"/>
      <c r="P31" s="63"/>
      <c r="Q31" s="63"/>
      <c r="R31" s="63"/>
      <c r="S31" s="63">
        <f>D16</f>
        <v>0</v>
      </c>
    </row>
    <row r="32" spans="2:19" ht="17" x14ac:dyDescent="0.25">
      <c r="B32" s="66" t="s">
        <v>69</v>
      </c>
      <c r="C32" s="63">
        <f>COUNT(F10:G10)</f>
        <v>2</v>
      </c>
      <c r="D32" s="63"/>
      <c r="E32" s="63">
        <f>COUNT(F10:G10)</f>
        <v>2</v>
      </c>
      <c r="F32" s="63"/>
      <c r="G32" s="63"/>
      <c r="H32" s="63">
        <f>COUNT(F10:G10)</f>
        <v>2</v>
      </c>
      <c r="I32" s="63"/>
      <c r="J32" s="63"/>
      <c r="K32" s="63"/>
      <c r="L32" s="63"/>
      <c r="M32" s="63"/>
      <c r="N32" s="63">
        <f>COUNT(F10:G10)</f>
        <v>2</v>
      </c>
      <c r="O32" s="63"/>
      <c r="P32" s="63"/>
      <c r="Q32" s="63"/>
      <c r="R32" s="63"/>
      <c r="S32" s="63">
        <f>E16</f>
        <v>31</v>
      </c>
    </row>
    <row r="33" spans="2:19" ht="17" x14ac:dyDescent="0.25">
      <c r="B33" s="66" t="s">
        <v>70</v>
      </c>
      <c r="C33" s="63">
        <f>COUNT(H10:I10)</f>
        <v>2</v>
      </c>
      <c r="D33" s="63"/>
      <c r="E33" s="63">
        <f>COUNT(H10:I10)</f>
        <v>2</v>
      </c>
      <c r="F33" s="63"/>
      <c r="G33" s="63"/>
      <c r="H33" s="63"/>
      <c r="I33" s="63">
        <f>COUNT(H10:I10)</f>
        <v>2</v>
      </c>
      <c r="J33" s="63"/>
      <c r="K33" s="63"/>
      <c r="L33" s="63"/>
      <c r="M33" s="63"/>
      <c r="N33" s="63"/>
      <c r="O33" s="63">
        <f>COUNT(H10:I10)</f>
        <v>2</v>
      </c>
      <c r="P33" s="63"/>
      <c r="Q33" s="63"/>
      <c r="R33" s="63"/>
      <c r="S33" s="63">
        <f>F16</f>
        <v>29</v>
      </c>
    </row>
    <row r="34" spans="2:19" ht="17" x14ac:dyDescent="0.25">
      <c r="B34" s="66" t="s">
        <v>71</v>
      </c>
      <c r="C34" s="63">
        <f>COUNT(D11:E11)</f>
        <v>2</v>
      </c>
      <c r="D34" s="63"/>
      <c r="E34" s="63"/>
      <c r="F34" s="63">
        <f>COUNT(D11:E11)</f>
        <v>2</v>
      </c>
      <c r="G34" s="63">
        <f>COUNT(D11:E11)</f>
        <v>2</v>
      </c>
      <c r="H34" s="63"/>
      <c r="I34" s="63"/>
      <c r="J34" s="63"/>
      <c r="K34" s="63"/>
      <c r="L34" s="63"/>
      <c r="M34" s="63"/>
      <c r="N34" s="63"/>
      <c r="O34" s="63"/>
      <c r="P34" s="63">
        <f>COUNT(D11:E11)</f>
        <v>2</v>
      </c>
      <c r="Q34" s="63"/>
      <c r="R34" s="63"/>
      <c r="S34" s="63">
        <f>D17</f>
        <v>28</v>
      </c>
    </row>
    <row r="35" spans="2:19" ht="17" x14ac:dyDescent="0.25">
      <c r="B35" s="66" t="s">
        <v>72</v>
      </c>
      <c r="C35" s="63">
        <f>COUNT(F11:G11)</f>
        <v>2</v>
      </c>
      <c r="D35" s="63"/>
      <c r="E35" s="63"/>
      <c r="F35" s="63">
        <f>COUNT(F11:G11)</f>
        <v>2</v>
      </c>
      <c r="G35" s="63"/>
      <c r="H35" s="63">
        <f>COUNT(F11:G11)</f>
        <v>2</v>
      </c>
      <c r="I35" s="63"/>
      <c r="J35" s="63"/>
      <c r="K35" s="63"/>
      <c r="L35" s="63"/>
      <c r="M35" s="63"/>
      <c r="N35" s="63"/>
      <c r="O35" s="63"/>
      <c r="P35" s="63"/>
      <c r="Q35" s="63">
        <f>COUNT(F11:G11)</f>
        <v>2</v>
      </c>
      <c r="R35" s="63"/>
      <c r="S35" s="63">
        <f>E17</f>
        <v>39</v>
      </c>
    </row>
    <row r="36" spans="2:19" ht="17" x14ac:dyDescent="0.25">
      <c r="B36" s="67" t="s">
        <v>73</v>
      </c>
      <c r="C36" s="8">
        <f>COUNT(H11:I11)</f>
        <v>1</v>
      </c>
      <c r="D36" s="8"/>
      <c r="E36" s="8"/>
      <c r="F36" s="8">
        <f>COUNT(H11:I11)</f>
        <v>1</v>
      </c>
      <c r="G36" s="8"/>
      <c r="H36" s="8"/>
      <c r="I36" s="8">
        <f>COUNT(H11:I11)</f>
        <v>1</v>
      </c>
      <c r="J36" s="8"/>
      <c r="K36" s="8"/>
      <c r="L36" s="8"/>
      <c r="M36" s="8"/>
      <c r="N36" s="8"/>
      <c r="O36" s="8"/>
      <c r="P36" s="8"/>
      <c r="Q36" s="8"/>
      <c r="R36" s="8">
        <f>COUNT(H11:I11)</f>
        <v>1</v>
      </c>
      <c r="S36" s="8">
        <f>F17</f>
        <v>25</v>
      </c>
    </row>
    <row r="37" spans="2:19" x14ac:dyDescent="0.2">
      <c r="B37" s="62" t="s">
        <v>104</v>
      </c>
      <c r="C37" s="110">
        <v>0</v>
      </c>
      <c r="D37" s="110">
        <v>1</v>
      </c>
      <c r="E37" s="110">
        <v>1</v>
      </c>
      <c r="F37" s="110">
        <v>1</v>
      </c>
      <c r="G37" s="110">
        <v>0</v>
      </c>
      <c r="H37" s="110">
        <v>0</v>
      </c>
      <c r="I37" s="110">
        <v>0</v>
      </c>
      <c r="J37" s="110">
        <v>0</v>
      </c>
      <c r="K37" s="110">
        <v>0</v>
      </c>
      <c r="L37" s="110">
        <v>0</v>
      </c>
      <c r="M37" s="110">
        <v>0</v>
      </c>
      <c r="N37" s="110">
        <v>0</v>
      </c>
      <c r="O37" s="110">
        <v>0</v>
      </c>
      <c r="P37" s="110">
        <v>0</v>
      </c>
      <c r="Q37" s="110">
        <v>0</v>
      </c>
      <c r="R37" s="110">
        <v>0</v>
      </c>
      <c r="S37" s="63">
        <v>0</v>
      </c>
    </row>
    <row r="38" spans="2:19" x14ac:dyDescent="0.2">
      <c r="B38" s="66" t="s">
        <v>104</v>
      </c>
      <c r="C38" s="63">
        <v>0</v>
      </c>
      <c r="D38" s="63">
        <v>0</v>
      </c>
      <c r="E38" s="63">
        <v>0</v>
      </c>
      <c r="F38" s="63">
        <v>0</v>
      </c>
      <c r="G38" s="63">
        <v>1</v>
      </c>
      <c r="H38" s="63">
        <v>1</v>
      </c>
      <c r="I38" s="63">
        <v>1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</row>
    <row r="39" spans="2:19" x14ac:dyDescent="0.2">
      <c r="B39" s="66" t="s">
        <v>104</v>
      </c>
      <c r="C39" s="63"/>
      <c r="D39" s="63"/>
      <c r="E39" s="63"/>
      <c r="F39" s="63"/>
      <c r="G39" s="63"/>
      <c r="H39" s="63"/>
      <c r="I39" s="63"/>
      <c r="J39" s="63">
        <v>1</v>
      </c>
      <c r="K39" s="63">
        <v>1</v>
      </c>
      <c r="L39" s="63">
        <v>1</v>
      </c>
      <c r="M39" s="63"/>
      <c r="N39" s="63"/>
      <c r="O39" s="63"/>
      <c r="P39" s="63"/>
      <c r="Q39" s="63"/>
      <c r="R39" s="63"/>
      <c r="S39" s="63">
        <v>0</v>
      </c>
    </row>
    <row r="40" spans="2:19" x14ac:dyDescent="0.2">
      <c r="B40" s="66" t="s">
        <v>104</v>
      </c>
      <c r="C40" s="63"/>
      <c r="D40" s="63">
        <v>1</v>
      </c>
      <c r="E40" s="63"/>
      <c r="F40" s="63"/>
      <c r="G40" s="63">
        <v>1</v>
      </c>
      <c r="H40" s="63"/>
      <c r="I40" s="63"/>
      <c r="J40" s="63">
        <v>1</v>
      </c>
      <c r="K40" s="63"/>
      <c r="L40" s="63"/>
      <c r="M40" s="63"/>
      <c r="N40" s="63"/>
      <c r="O40" s="63"/>
      <c r="P40" s="63"/>
      <c r="Q40" s="63"/>
      <c r="R40" s="63"/>
      <c r="S40" s="63">
        <v>0</v>
      </c>
    </row>
    <row r="41" spans="2:19" x14ac:dyDescent="0.2">
      <c r="B41" s="66" t="s">
        <v>104</v>
      </c>
      <c r="C41" s="63"/>
      <c r="D41" s="63"/>
      <c r="E41" s="63">
        <v>1</v>
      </c>
      <c r="F41" s="63"/>
      <c r="G41" s="63"/>
      <c r="H41" s="63">
        <v>1</v>
      </c>
      <c r="I41" s="63"/>
      <c r="J41" s="63"/>
      <c r="K41" s="63"/>
      <c r="L41" s="63"/>
      <c r="M41" s="63"/>
      <c r="N41" s="63">
        <v>1</v>
      </c>
      <c r="O41" s="63"/>
      <c r="P41" s="63"/>
      <c r="Q41" s="63"/>
      <c r="R41" s="63"/>
      <c r="S41" s="63">
        <v>0</v>
      </c>
    </row>
    <row r="42" spans="2:19" x14ac:dyDescent="0.2">
      <c r="B42" s="66" t="s">
        <v>104</v>
      </c>
      <c r="C42" s="63"/>
      <c r="D42" s="63"/>
      <c r="E42" s="63"/>
      <c r="F42" s="63">
        <v>1</v>
      </c>
      <c r="G42" s="63"/>
      <c r="H42" s="63"/>
      <c r="I42" s="63">
        <v>1</v>
      </c>
      <c r="J42" s="63"/>
      <c r="K42" s="63"/>
      <c r="L42" s="63"/>
      <c r="M42" s="63"/>
      <c r="N42" s="63"/>
      <c r="O42" s="63"/>
      <c r="P42" s="63"/>
      <c r="Q42" s="63"/>
      <c r="R42" s="63">
        <v>1</v>
      </c>
      <c r="S42" s="63">
        <v>0</v>
      </c>
    </row>
    <row r="43" spans="2:19" x14ac:dyDescent="0.2">
      <c r="B43" s="66" t="s">
        <v>104</v>
      </c>
      <c r="C43" s="63"/>
      <c r="D43" s="63">
        <v>1</v>
      </c>
      <c r="E43" s="63"/>
      <c r="F43" s="63"/>
      <c r="G43" s="63"/>
      <c r="H43" s="63">
        <v>1</v>
      </c>
      <c r="I43" s="63"/>
      <c r="J43" s="63"/>
      <c r="K43" s="63">
        <v>1</v>
      </c>
      <c r="L43" s="63"/>
      <c r="M43" s="63"/>
      <c r="N43" s="63"/>
      <c r="O43" s="63"/>
      <c r="P43" s="63"/>
      <c r="Q43" s="63"/>
      <c r="R43" s="63"/>
      <c r="S43" s="63">
        <v>0</v>
      </c>
    </row>
    <row r="44" spans="2:19" x14ac:dyDescent="0.2">
      <c r="B44" s="67" t="s">
        <v>104</v>
      </c>
      <c r="C44" s="8"/>
      <c r="D44" s="8"/>
      <c r="E44" s="8">
        <v>1</v>
      </c>
      <c r="F44" s="8"/>
      <c r="G44" s="8">
        <v>1</v>
      </c>
      <c r="H44" s="8"/>
      <c r="I44" s="8"/>
      <c r="J44" s="8"/>
      <c r="K44" s="8"/>
      <c r="L44" s="8"/>
      <c r="M44" s="8">
        <v>1</v>
      </c>
      <c r="N44" s="8"/>
      <c r="O44" s="8"/>
      <c r="P44" s="8"/>
      <c r="Q44" s="8"/>
      <c r="R44" s="8"/>
      <c r="S44" s="8">
        <v>0</v>
      </c>
    </row>
    <row r="47" spans="2:19" x14ac:dyDescent="0.2">
      <c r="B47" s="56" t="str">
        <f t="shared" ref="B47:B62" si="5">B21</f>
        <v>µ</v>
      </c>
      <c r="C47" t="str">
        <f t="shared" ref="C47:I56" si="6">IF(OR(ISBLANK(C21),C21=0),"",_xlfn.CONCAT(C21,C$20))</f>
        <v>13µ</v>
      </c>
      <c r="D47" t="str">
        <f t="shared" si="6"/>
        <v>4T1</v>
      </c>
      <c r="E47" t="str">
        <f t="shared" si="6"/>
        <v>4T2</v>
      </c>
      <c r="F47" t="str">
        <f t="shared" si="6"/>
        <v>5T3</v>
      </c>
      <c r="G47" t="str">
        <f t="shared" si="6"/>
        <v>3B1</v>
      </c>
      <c r="H47" t="str">
        <f t="shared" si="6"/>
        <v>5B2</v>
      </c>
      <c r="I47" t="str">
        <f t="shared" si="6"/>
        <v>5B3</v>
      </c>
      <c r="J47" t="str">
        <f t="shared" ref="J47:R47" si="7">IF(OR(ISBLANK(J21),J21=0),"",_xlfn.CONCAT(J21,"(",J$20,")"))</f>
        <v>1(TB11)</v>
      </c>
      <c r="K47" t="str">
        <f t="shared" si="7"/>
        <v>1(TB12)</v>
      </c>
      <c r="L47" t="str">
        <f t="shared" si="7"/>
        <v>2(TB13)</v>
      </c>
      <c r="M47" t="str">
        <f t="shared" si="7"/>
        <v/>
      </c>
      <c r="N47" t="str">
        <f t="shared" si="7"/>
        <v>2(TB22)</v>
      </c>
      <c r="O47" t="str">
        <f t="shared" si="7"/>
        <v>2(TB23)</v>
      </c>
      <c r="P47" t="str">
        <f t="shared" si="7"/>
        <v>2(TB31)</v>
      </c>
      <c r="Q47" t="str">
        <f t="shared" si="7"/>
        <v>2(TB32)</v>
      </c>
      <c r="R47" t="str">
        <f t="shared" si="7"/>
        <v>1(TB33)</v>
      </c>
      <c r="S47" t="str">
        <f>_xlfn.TEXTJOIN("+",TRUE,C47:R47)</f>
        <v>13µ+4T1+4T2+5T3+3B1+5B2+5B3+1(TB11)+1(TB12)+2(TB13)+2(TB22)+2(TB23)+2(TB31)+2(TB32)+1(TB33)</v>
      </c>
    </row>
    <row r="48" spans="2:19" x14ac:dyDescent="0.2">
      <c r="B48" s="56" t="str">
        <f t="shared" si="5"/>
        <v>T1</v>
      </c>
      <c r="C48" t="str">
        <f t="shared" si="6"/>
        <v>4µ</v>
      </c>
      <c r="D48" t="str">
        <f t="shared" si="6"/>
        <v>4T1</v>
      </c>
      <c r="E48" t="str">
        <f t="shared" si="6"/>
        <v/>
      </c>
      <c r="F48" t="str">
        <f t="shared" si="6"/>
        <v/>
      </c>
      <c r="G48" t="str">
        <f t="shared" si="6"/>
        <v>1B1</v>
      </c>
      <c r="H48" t="str">
        <f t="shared" si="6"/>
        <v>1B2</v>
      </c>
      <c r="I48" t="str">
        <f t="shared" si="6"/>
        <v>2B3</v>
      </c>
      <c r="J48" t="str">
        <f t="shared" ref="J48:R48" si="8">IF(OR(ISBLANK(J22),J22=0),"",_xlfn.CONCAT(J22,"(",J$20,")"))</f>
        <v>1(TB11)</v>
      </c>
      <c r="K48" t="str">
        <f t="shared" si="8"/>
        <v>1(TB12)</v>
      </c>
      <c r="L48" t="str">
        <f t="shared" si="8"/>
        <v>2(TB13)</v>
      </c>
      <c r="M48" t="str">
        <f t="shared" si="8"/>
        <v/>
      </c>
      <c r="N48" t="str">
        <f t="shared" si="8"/>
        <v/>
      </c>
      <c r="O48" t="str">
        <f t="shared" si="8"/>
        <v/>
      </c>
      <c r="P48" t="str">
        <f t="shared" si="8"/>
        <v/>
      </c>
      <c r="Q48" t="str">
        <f t="shared" si="8"/>
        <v/>
      </c>
      <c r="R48" t="str">
        <f t="shared" si="8"/>
        <v/>
      </c>
      <c r="S48" t="str">
        <f t="shared" ref="S48:S62" si="9">_xlfn.TEXTJOIN("+",TRUE,C48:R48)</f>
        <v>4µ+4T1+1B1+1B2+2B3+1(TB11)+1(TB12)+2(TB13)</v>
      </c>
    </row>
    <row r="49" spans="2:19" x14ac:dyDescent="0.2">
      <c r="B49" s="56" t="str">
        <f t="shared" si="5"/>
        <v>T2</v>
      </c>
      <c r="C49" t="str">
        <f t="shared" si="6"/>
        <v>4µ</v>
      </c>
      <c r="D49" t="str">
        <f t="shared" si="6"/>
        <v/>
      </c>
      <c r="E49" t="str">
        <f t="shared" si="6"/>
        <v>4T2</v>
      </c>
      <c r="F49" t="str">
        <f t="shared" si="6"/>
        <v/>
      </c>
      <c r="G49" t="str">
        <f t="shared" si="6"/>
        <v/>
      </c>
      <c r="H49" t="str">
        <f t="shared" si="6"/>
        <v>2B2</v>
      </c>
      <c r="I49" t="str">
        <f t="shared" si="6"/>
        <v>2B3</v>
      </c>
      <c r="J49" t="str">
        <f t="shared" ref="J49:R49" si="10">IF(OR(ISBLANK(J23),J23=0),"",_xlfn.CONCAT(J23,"(",J$20,")"))</f>
        <v/>
      </c>
      <c r="K49" t="str">
        <f t="shared" si="10"/>
        <v/>
      </c>
      <c r="L49" t="str">
        <f t="shared" si="10"/>
        <v/>
      </c>
      <c r="M49" t="str">
        <f t="shared" si="10"/>
        <v/>
      </c>
      <c r="N49" t="str">
        <f t="shared" si="10"/>
        <v>2(TB22)</v>
      </c>
      <c r="O49" t="str">
        <f t="shared" si="10"/>
        <v>2(TB23)</v>
      </c>
      <c r="P49" t="str">
        <f t="shared" si="10"/>
        <v/>
      </c>
      <c r="Q49" t="str">
        <f t="shared" si="10"/>
        <v/>
      </c>
      <c r="R49" t="str">
        <f t="shared" si="10"/>
        <v/>
      </c>
      <c r="S49" t="str">
        <f t="shared" si="9"/>
        <v>4µ+4T2+2B2+2B3+2(TB22)+2(TB23)</v>
      </c>
    </row>
    <row r="50" spans="2:19" x14ac:dyDescent="0.2">
      <c r="B50" s="56" t="str">
        <f t="shared" si="5"/>
        <v>T3</v>
      </c>
      <c r="C50" t="str">
        <f t="shared" si="6"/>
        <v>5µ</v>
      </c>
      <c r="D50" t="str">
        <f t="shared" si="6"/>
        <v/>
      </c>
      <c r="E50" t="str">
        <f t="shared" si="6"/>
        <v/>
      </c>
      <c r="F50" t="str">
        <f t="shared" si="6"/>
        <v>5T3</v>
      </c>
      <c r="G50" t="str">
        <f t="shared" si="6"/>
        <v>2B1</v>
      </c>
      <c r="H50" t="str">
        <f t="shared" si="6"/>
        <v>2B2</v>
      </c>
      <c r="I50" t="str">
        <f t="shared" si="6"/>
        <v>1B3</v>
      </c>
      <c r="J50" t="str">
        <f t="shared" ref="J50:R50" si="11">IF(OR(ISBLANK(J24),J24=0),"",_xlfn.CONCAT(J24,"(",J$20,")"))</f>
        <v/>
      </c>
      <c r="K50" t="str">
        <f t="shared" si="11"/>
        <v/>
      </c>
      <c r="L50" t="str">
        <f t="shared" si="11"/>
        <v/>
      </c>
      <c r="M50" t="str">
        <f t="shared" si="11"/>
        <v/>
      </c>
      <c r="N50" t="str">
        <f t="shared" si="11"/>
        <v/>
      </c>
      <c r="O50" t="str">
        <f t="shared" si="11"/>
        <v/>
      </c>
      <c r="P50" t="str">
        <f t="shared" si="11"/>
        <v>2(TB31)</v>
      </c>
      <c r="Q50" t="str">
        <f t="shared" si="11"/>
        <v>2(TB32)</v>
      </c>
      <c r="R50" t="str">
        <f t="shared" si="11"/>
        <v>1(TB33)</v>
      </c>
      <c r="S50" t="str">
        <f t="shared" si="9"/>
        <v>5µ+5T3+2B1+2B2+1B3+2(TB31)+2(TB32)+1(TB33)</v>
      </c>
    </row>
    <row r="51" spans="2:19" x14ac:dyDescent="0.2">
      <c r="B51" s="56" t="str">
        <f t="shared" si="5"/>
        <v>B1</v>
      </c>
      <c r="C51" t="str">
        <f t="shared" si="6"/>
        <v>3µ</v>
      </c>
      <c r="D51" t="str">
        <f t="shared" si="6"/>
        <v>1T1</v>
      </c>
      <c r="E51" t="str">
        <f t="shared" si="6"/>
        <v/>
      </c>
      <c r="F51" t="str">
        <f t="shared" si="6"/>
        <v>2T3</v>
      </c>
      <c r="G51" t="str">
        <f t="shared" si="6"/>
        <v>3B1</v>
      </c>
      <c r="H51" t="str">
        <f t="shared" si="6"/>
        <v/>
      </c>
      <c r="I51" t="str">
        <f t="shared" si="6"/>
        <v/>
      </c>
      <c r="J51" t="str">
        <f t="shared" ref="J51:R51" si="12">IF(OR(ISBLANK(J25),J25=0),"",_xlfn.CONCAT(J25,"(",J$20,")"))</f>
        <v>1(TB11)</v>
      </c>
      <c r="K51" t="str">
        <f t="shared" si="12"/>
        <v/>
      </c>
      <c r="L51" t="str">
        <f t="shared" si="12"/>
        <v/>
      </c>
      <c r="M51" t="str">
        <f t="shared" si="12"/>
        <v/>
      </c>
      <c r="N51" t="str">
        <f t="shared" si="12"/>
        <v/>
      </c>
      <c r="O51" t="str">
        <f t="shared" si="12"/>
        <v/>
      </c>
      <c r="P51" t="str">
        <f t="shared" si="12"/>
        <v>2(TB31)</v>
      </c>
      <c r="Q51" t="str">
        <f t="shared" si="12"/>
        <v/>
      </c>
      <c r="R51" t="str">
        <f t="shared" si="12"/>
        <v/>
      </c>
      <c r="S51" t="str">
        <f t="shared" si="9"/>
        <v>3µ+1T1+2T3+3B1+1(TB11)+2(TB31)</v>
      </c>
    </row>
    <row r="52" spans="2:19" x14ac:dyDescent="0.2">
      <c r="B52" s="56" t="str">
        <f t="shared" si="5"/>
        <v>B2</v>
      </c>
      <c r="C52" t="str">
        <f t="shared" si="6"/>
        <v>5µ</v>
      </c>
      <c r="D52" t="str">
        <f t="shared" si="6"/>
        <v>1T1</v>
      </c>
      <c r="E52" t="str">
        <f t="shared" si="6"/>
        <v>2T2</v>
      </c>
      <c r="F52" t="str">
        <f t="shared" si="6"/>
        <v>2T3</v>
      </c>
      <c r="G52" t="str">
        <f t="shared" si="6"/>
        <v/>
      </c>
      <c r="H52" t="str">
        <f t="shared" si="6"/>
        <v>5B2</v>
      </c>
      <c r="I52" t="str">
        <f t="shared" si="6"/>
        <v/>
      </c>
      <c r="J52" t="str">
        <f t="shared" ref="J52:R52" si="13">IF(OR(ISBLANK(J26),J26=0),"",_xlfn.CONCAT(J26,"(",J$20,")"))</f>
        <v/>
      </c>
      <c r="K52" t="str">
        <f t="shared" si="13"/>
        <v>1(TB12)</v>
      </c>
      <c r="L52" t="str">
        <f t="shared" si="13"/>
        <v/>
      </c>
      <c r="M52" t="str">
        <f t="shared" si="13"/>
        <v/>
      </c>
      <c r="N52" t="str">
        <f t="shared" si="13"/>
        <v>2(TB22)</v>
      </c>
      <c r="O52" t="str">
        <f t="shared" si="13"/>
        <v/>
      </c>
      <c r="P52" t="str">
        <f t="shared" si="13"/>
        <v/>
      </c>
      <c r="Q52" t="str">
        <f t="shared" si="13"/>
        <v>2(TB32)</v>
      </c>
      <c r="R52" t="str">
        <f t="shared" si="13"/>
        <v/>
      </c>
      <c r="S52" t="str">
        <f t="shared" si="9"/>
        <v>5µ+1T1+2T2+2T3+5B2+1(TB12)+2(TB22)+2(TB32)</v>
      </c>
    </row>
    <row r="53" spans="2:19" x14ac:dyDescent="0.2">
      <c r="B53" s="56" t="str">
        <f t="shared" si="5"/>
        <v>B3</v>
      </c>
      <c r="C53" t="str">
        <f t="shared" si="6"/>
        <v>5µ</v>
      </c>
      <c r="D53" t="str">
        <f t="shared" si="6"/>
        <v>2T1</v>
      </c>
      <c r="E53" t="str">
        <f t="shared" si="6"/>
        <v>2T2</v>
      </c>
      <c r="F53" t="str">
        <f t="shared" si="6"/>
        <v>1T3</v>
      </c>
      <c r="G53" t="str">
        <f t="shared" si="6"/>
        <v/>
      </c>
      <c r="H53" t="str">
        <f t="shared" si="6"/>
        <v/>
      </c>
      <c r="I53" t="str">
        <f t="shared" si="6"/>
        <v>5B3</v>
      </c>
      <c r="J53" t="str">
        <f t="shared" ref="J53:R53" si="14">IF(OR(ISBLANK(J27),J27=0),"",_xlfn.CONCAT(J27,"(",J$20,")"))</f>
        <v/>
      </c>
      <c r="K53" t="str">
        <f t="shared" si="14"/>
        <v/>
      </c>
      <c r="L53" t="str">
        <f t="shared" si="14"/>
        <v>2(TB13)</v>
      </c>
      <c r="M53" t="str">
        <f t="shared" si="14"/>
        <v/>
      </c>
      <c r="N53" t="str">
        <f t="shared" si="14"/>
        <v/>
      </c>
      <c r="O53" t="str">
        <f t="shared" si="14"/>
        <v>2(TB23)</v>
      </c>
      <c r="P53" t="str">
        <f t="shared" si="14"/>
        <v/>
      </c>
      <c r="Q53" t="str">
        <f t="shared" si="14"/>
        <v/>
      </c>
      <c r="R53" t="str">
        <f t="shared" si="14"/>
        <v>1(TB33)</v>
      </c>
      <c r="S53" t="str">
        <f t="shared" si="9"/>
        <v>5µ+2T1+2T2+1T3+5B3+2(TB13)+2(TB23)+1(TB33)</v>
      </c>
    </row>
    <row r="54" spans="2:19" x14ac:dyDescent="0.2">
      <c r="B54" s="56" t="str">
        <f t="shared" si="5"/>
        <v>TB11</v>
      </c>
      <c r="C54" t="str">
        <f t="shared" si="6"/>
        <v>1µ</v>
      </c>
      <c r="D54" t="str">
        <f t="shared" si="6"/>
        <v>1T1</v>
      </c>
      <c r="E54" t="str">
        <f t="shared" si="6"/>
        <v/>
      </c>
      <c r="F54" t="str">
        <f t="shared" si="6"/>
        <v/>
      </c>
      <c r="G54" t="str">
        <f t="shared" si="6"/>
        <v>1B1</v>
      </c>
      <c r="H54" t="str">
        <f t="shared" si="6"/>
        <v/>
      </c>
      <c r="I54" t="str">
        <f t="shared" si="6"/>
        <v/>
      </c>
      <c r="J54" t="str">
        <f t="shared" ref="J54:R54" si="15">IF(OR(ISBLANK(J28),J28=0),"",_xlfn.CONCAT(J28,"(",J$20,")"))</f>
        <v>1(TB11)</v>
      </c>
      <c r="K54" t="str">
        <f t="shared" si="15"/>
        <v/>
      </c>
      <c r="L54" t="str">
        <f t="shared" si="15"/>
        <v/>
      </c>
      <c r="M54" t="str">
        <f t="shared" si="15"/>
        <v/>
      </c>
      <c r="N54" t="str">
        <f t="shared" si="15"/>
        <v/>
      </c>
      <c r="O54" t="str">
        <f t="shared" si="15"/>
        <v/>
      </c>
      <c r="P54" t="str">
        <f t="shared" si="15"/>
        <v/>
      </c>
      <c r="Q54" t="str">
        <f t="shared" si="15"/>
        <v/>
      </c>
      <c r="R54" t="str">
        <f t="shared" si="15"/>
        <v/>
      </c>
      <c r="S54" t="str">
        <f t="shared" si="9"/>
        <v>1µ+1T1+1B1+1(TB11)</v>
      </c>
    </row>
    <row r="55" spans="2:19" x14ac:dyDescent="0.2">
      <c r="B55" s="56" t="str">
        <f t="shared" si="5"/>
        <v>TB12</v>
      </c>
      <c r="C55" t="str">
        <f t="shared" si="6"/>
        <v>1µ</v>
      </c>
      <c r="D55" t="str">
        <f t="shared" si="6"/>
        <v>1T1</v>
      </c>
      <c r="E55" t="str">
        <f t="shared" si="6"/>
        <v/>
      </c>
      <c r="F55" t="str">
        <f t="shared" si="6"/>
        <v/>
      </c>
      <c r="G55" t="str">
        <f t="shared" si="6"/>
        <v/>
      </c>
      <c r="H55" t="str">
        <f t="shared" si="6"/>
        <v>1B2</v>
      </c>
      <c r="I55" t="str">
        <f t="shared" si="6"/>
        <v/>
      </c>
      <c r="J55" t="str">
        <f t="shared" ref="J55:R55" si="16">IF(OR(ISBLANK(J29),J29=0),"",_xlfn.CONCAT(J29,"(",J$20,")"))</f>
        <v/>
      </c>
      <c r="K55" t="str">
        <f t="shared" si="16"/>
        <v>1(TB12)</v>
      </c>
      <c r="L55" t="str">
        <f t="shared" si="16"/>
        <v/>
      </c>
      <c r="M55" t="str">
        <f t="shared" si="16"/>
        <v/>
      </c>
      <c r="N55" t="str">
        <f t="shared" si="16"/>
        <v/>
      </c>
      <c r="O55" t="str">
        <f t="shared" si="16"/>
        <v/>
      </c>
      <c r="P55" t="str">
        <f t="shared" si="16"/>
        <v/>
      </c>
      <c r="Q55" t="str">
        <f t="shared" si="16"/>
        <v/>
      </c>
      <c r="R55" t="str">
        <f t="shared" si="16"/>
        <v/>
      </c>
      <c r="S55" t="str">
        <f t="shared" si="9"/>
        <v>1µ+1T1+1B2+1(TB12)</v>
      </c>
    </row>
    <row r="56" spans="2:19" x14ac:dyDescent="0.2">
      <c r="B56" s="56" t="str">
        <f t="shared" si="5"/>
        <v>TB13</v>
      </c>
      <c r="C56" t="str">
        <f t="shared" si="6"/>
        <v>2µ</v>
      </c>
      <c r="D56" t="str">
        <f t="shared" si="6"/>
        <v>2T1</v>
      </c>
      <c r="E56" t="str">
        <f t="shared" si="6"/>
        <v/>
      </c>
      <c r="F56" t="str">
        <f t="shared" si="6"/>
        <v/>
      </c>
      <c r="G56" t="str">
        <f t="shared" si="6"/>
        <v/>
      </c>
      <c r="H56" t="str">
        <f t="shared" si="6"/>
        <v/>
      </c>
      <c r="I56" t="str">
        <f t="shared" si="6"/>
        <v>2B3</v>
      </c>
      <c r="J56" t="str">
        <f t="shared" ref="J56:R56" si="17">IF(OR(ISBLANK(J30),J30=0),"",_xlfn.CONCAT(J30,"(",J$20,")"))</f>
        <v/>
      </c>
      <c r="K56" t="str">
        <f t="shared" si="17"/>
        <v/>
      </c>
      <c r="L56" t="str">
        <f t="shared" si="17"/>
        <v>2(TB13)</v>
      </c>
      <c r="M56" t="str">
        <f t="shared" si="17"/>
        <v/>
      </c>
      <c r="N56" t="str">
        <f t="shared" si="17"/>
        <v/>
      </c>
      <c r="O56" t="str">
        <f t="shared" si="17"/>
        <v/>
      </c>
      <c r="P56" t="str">
        <f t="shared" si="17"/>
        <v/>
      </c>
      <c r="Q56" t="str">
        <f t="shared" si="17"/>
        <v/>
      </c>
      <c r="R56" t="str">
        <f t="shared" si="17"/>
        <v/>
      </c>
      <c r="S56" t="str">
        <f t="shared" si="9"/>
        <v>2µ+2T1+2B3+2(TB13)</v>
      </c>
    </row>
    <row r="57" spans="2:19" x14ac:dyDescent="0.2">
      <c r="B57" s="56" t="str">
        <f t="shared" si="5"/>
        <v>TB21</v>
      </c>
      <c r="C57" t="str">
        <f t="shared" ref="C57:I62" si="18">IF(OR(ISBLANK(C31),C31=0),"",_xlfn.CONCAT(C31,C$20))</f>
        <v/>
      </c>
      <c r="D57" t="str">
        <f t="shared" si="18"/>
        <v/>
      </c>
      <c r="E57" t="str">
        <f t="shared" si="18"/>
        <v/>
      </c>
      <c r="F57" t="str">
        <f t="shared" si="18"/>
        <v/>
      </c>
      <c r="G57" t="str">
        <f t="shared" si="18"/>
        <v/>
      </c>
      <c r="H57" t="str">
        <f t="shared" si="18"/>
        <v/>
      </c>
      <c r="I57" t="str">
        <f t="shared" si="18"/>
        <v/>
      </c>
      <c r="J57" t="str">
        <f t="shared" ref="J57:R57" si="19">IF(OR(ISBLANK(J31),J31=0),"",_xlfn.CONCAT(J31,"(",J$20,")"))</f>
        <v/>
      </c>
      <c r="K57" t="str">
        <f t="shared" si="19"/>
        <v/>
      </c>
      <c r="L57" t="str">
        <f t="shared" si="19"/>
        <v/>
      </c>
      <c r="M57" t="str">
        <f t="shared" si="19"/>
        <v/>
      </c>
      <c r="N57" t="str">
        <f t="shared" si="19"/>
        <v/>
      </c>
      <c r="O57" t="str">
        <f t="shared" si="19"/>
        <v/>
      </c>
      <c r="P57" t="str">
        <f t="shared" si="19"/>
        <v/>
      </c>
      <c r="Q57" t="str">
        <f t="shared" si="19"/>
        <v/>
      </c>
      <c r="R57" t="str">
        <f t="shared" si="19"/>
        <v/>
      </c>
      <c r="S57" t="str">
        <f t="shared" si="9"/>
        <v/>
      </c>
    </row>
    <row r="58" spans="2:19" x14ac:dyDescent="0.2">
      <c r="B58" s="56" t="str">
        <f t="shared" si="5"/>
        <v>TB22</v>
      </c>
      <c r="C58" t="str">
        <f t="shared" si="18"/>
        <v>2µ</v>
      </c>
      <c r="D58" t="str">
        <f t="shared" si="18"/>
        <v/>
      </c>
      <c r="E58" t="str">
        <f t="shared" si="18"/>
        <v>2T2</v>
      </c>
      <c r="F58" t="str">
        <f t="shared" si="18"/>
        <v/>
      </c>
      <c r="G58" t="str">
        <f t="shared" si="18"/>
        <v/>
      </c>
      <c r="H58" t="str">
        <f t="shared" si="18"/>
        <v>2B2</v>
      </c>
      <c r="I58" t="str">
        <f t="shared" si="18"/>
        <v/>
      </c>
      <c r="J58" t="str">
        <f t="shared" ref="J58:R58" si="20">IF(OR(ISBLANK(J32),J32=0),"",_xlfn.CONCAT(J32,"(",J$20,")"))</f>
        <v/>
      </c>
      <c r="K58" t="str">
        <f t="shared" si="20"/>
        <v/>
      </c>
      <c r="L58" t="str">
        <f t="shared" si="20"/>
        <v/>
      </c>
      <c r="M58" t="str">
        <f t="shared" si="20"/>
        <v/>
      </c>
      <c r="N58" t="str">
        <f t="shared" si="20"/>
        <v>2(TB22)</v>
      </c>
      <c r="O58" t="str">
        <f t="shared" si="20"/>
        <v/>
      </c>
      <c r="P58" t="str">
        <f t="shared" si="20"/>
        <v/>
      </c>
      <c r="Q58" t="str">
        <f t="shared" si="20"/>
        <v/>
      </c>
      <c r="R58" t="str">
        <f t="shared" si="20"/>
        <v/>
      </c>
      <c r="S58" t="str">
        <f t="shared" si="9"/>
        <v>2µ+2T2+2B2+2(TB22)</v>
      </c>
    </row>
    <row r="59" spans="2:19" x14ac:dyDescent="0.2">
      <c r="B59" s="56" t="str">
        <f t="shared" si="5"/>
        <v>TB23</v>
      </c>
      <c r="C59" t="str">
        <f t="shared" si="18"/>
        <v>2µ</v>
      </c>
      <c r="D59" t="str">
        <f t="shared" si="18"/>
        <v/>
      </c>
      <c r="E59" t="str">
        <f t="shared" si="18"/>
        <v>2T2</v>
      </c>
      <c r="F59" t="str">
        <f t="shared" si="18"/>
        <v/>
      </c>
      <c r="G59" t="str">
        <f t="shared" si="18"/>
        <v/>
      </c>
      <c r="H59" t="str">
        <f t="shared" si="18"/>
        <v/>
      </c>
      <c r="I59" t="str">
        <f t="shared" si="18"/>
        <v>2B3</v>
      </c>
      <c r="J59" t="str">
        <f t="shared" ref="J59:R59" si="21">IF(OR(ISBLANK(J33),J33=0),"",_xlfn.CONCAT(J33,"(",J$20,")"))</f>
        <v/>
      </c>
      <c r="K59" t="str">
        <f t="shared" si="21"/>
        <v/>
      </c>
      <c r="L59" t="str">
        <f t="shared" si="21"/>
        <v/>
      </c>
      <c r="M59" t="str">
        <f t="shared" si="21"/>
        <v/>
      </c>
      <c r="N59" t="str">
        <f t="shared" si="21"/>
        <v/>
      </c>
      <c r="O59" t="str">
        <f t="shared" si="21"/>
        <v>2(TB23)</v>
      </c>
      <c r="P59" t="str">
        <f t="shared" si="21"/>
        <v/>
      </c>
      <c r="Q59" t="str">
        <f t="shared" si="21"/>
        <v/>
      </c>
      <c r="R59" t="str">
        <f t="shared" si="21"/>
        <v/>
      </c>
      <c r="S59" t="str">
        <f t="shared" si="9"/>
        <v>2µ+2T2+2B3+2(TB23)</v>
      </c>
    </row>
    <row r="60" spans="2:19" x14ac:dyDescent="0.2">
      <c r="B60" s="56" t="str">
        <f t="shared" si="5"/>
        <v>TB31</v>
      </c>
      <c r="C60" t="str">
        <f t="shared" si="18"/>
        <v>2µ</v>
      </c>
      <c r="D60" t="str">
        <f t="shared" si="18"/>
        <v/>
      </c>
      <c r="E60" t="str">
        <f t="shared" si="18"/>
        <v/>
      </c>
      <c r="F60" t="str">
        <f t="shared" si="18"/>
        <v>2T3</v>
      </c>
      <c r="G60" t="str">
        <f t="shared" si="18"/>
        <v>2B1</v>
      </c>
      <c r="H60" t="str">
        <f t="shared" si="18"/>
        <v/>
      </c>
      <c r="I60" t="str">
        <f t="shared" si="18"/>
        <v/>
      </c>
      <c r="J60" t="str">
        <f t="shared" ref="J60:R60" si="22">IF(OR(ISBLANK(J34),J34=0),"",_xlfn.CONCAT(J34,"(",J$20,")"))</f>
        <v/>
      </c>
      <c r="K60" t="str">
        <f t="shared" si="22"/>
        <v/>
      </c>
      <c r="L60" t="str">
        <f t="shared" si="22"/>
        <v/>
      </c>
      <c r="M60" t="str">
        <f t="shared" si="22"/>
        <v/>
      </c>
      <c r="N60" t="str">
        <f t="shared" si="22"/>
        <v/>
      </c>
      <c r="O60" t="str">
        <f t="shared" si="22"/>
        <v/>
      </c>
      <c r="P60" t="str">
        <f t="shared" si="22"/>
        <v>2(TB31)</v>
      </c>
      <c r="Q60" t="str">
        <f t="shared" si="22"/>
        <v/>
      </c>
      <c r="R60" t="str">
        <f t="shared" si="22"/>
        <v/>
      </c>
      <c r="S60" t="str">
        <f t="shared" si="9"/>
        <v>2µ+2T3+2B1+2(TB31)</v>
      </c>
    </row>
    <row r="61" spans="2:19" x14ac:dyDescent="0.2">
      <c r="B61" s="56" t="str">
        <f t="shared" si="5"/>
        <v>TB32</v>
      </c>
      <c r="C61" t="str">
        <f t="shared" si="18"/>
        <v>2µ</v>
      </c>
      <c r="D61" t="str">
        <f t="shared" si="18"/>
        <v/>
      </c>
      <c r="E61" t="str">
        <f t="shared" si="18"/>
        <v/>
      </c>
      <c r="F61" t="str">
        <f t="shared" si="18"/>
        <v>2T3</v>
      </c>
      <c r="G61" t="str">
        <f t="shared" si="18"/>
        <v/>
      </c>
      <c r="H61" t="str">
        <f t="shared" si="18"/>
        <v>2B2</v>
      </c>
      <c r="I61" t="str">
        <f t="shared" si="18"/>
        <v/>
      </c>
      <c r="J61" t="str">
        <f t="shared" ref="J61:R61" si="23">IF(OR(ISBLANK(J35),J35=0),"",_xlfn.CONCAT(J35,"(",J$20,")"))</f>
        <v/>
      </c>
      <c r="K61" t="str">
        <f t="shared" si="23"/>
        <v/>
      </c>
      <c r="L61" t="str">
        <f t="shared" si="23"/>
        <v/>
      </c>
      <c r="M61" t="str">
        <f t="shared" si="23"/>
        <v/>
      </c>
      <c r="N61" t="str">
        <f t="shared" si="23"/>
        <v/>
      </c>
      <c r="O61" t="str">
        <f t="shared" si="23"/>
        <v/>
      </c>
      <c r="P61" t="str">
        <f t="shared" si="23"/>
        <v/>
      </c>
      <c r="Q61" t="str">
        <f t="shared" si="23"/>
        <v>2(TB32)</v>
      </c>
      <c r="R61" t="str">
        <f t="shared" si="23"/>
        <v/>
      </c>
      <c r="S61" t="str">
        <f t="shared" si="9"/>
        <v>2µ+2T3+2B2+2(TB32)</v>
      </c>
    </row>
    <row r="62" spans="2:19" x14ac:dyDescent="0.2">
      <c r="B62" s="56" t="str">
        <f t="shared" si="5"/>
        <v>TB33</v>
      </c>
      <c r="C62" t="str">
        <f t="shared" si="18"/>
        <v>1µ</v>
      </c>
      <c r="D62" t="str">
        <f t="shared" si="18"/>
        <v/>
      </c>
      <c r="E62" t="str">
        <f t="shared" si="18"/>
        <v/>
      </c>
      <c r="F62" t="str">
        <f t="shared" si="18"/>
        <v>1T3</v>
      </c>
      <c r="G62" t="str">
        <f t="shared" si="18"/>
        <v/>
      </c>
      <c r="H62" t="str">
        <f t="shared" si="18"/>
        <v/>
      </c>
      <c r="I62" t="str">
        <f t="shared" si="18"/>
        <v>1B3</v>
      </c>
      <c r="J62" t="str">
        <f t="shared" ref="J62:R62" si="24">IF(OR(ISBLANK(J36),J36=0),"",_xlfn.CONCAT(J36,"(",J$20,")"))</f>
        <v/>
      </c>
      <c r="K62" t="str">
        <f t="shared" si="24"/>
        <v/>
      </c>
      <c r="L62" t="str">
        <f t="shared" si="24"/>
        <v/>
      </c>
      <c r="M62" t="str">
        <f t="shared" si="24"/>
        <v/>
      </c>
      <c r="N62" t="str">
        <f t="shared" si="24"/>
        <v/>
      </c>
      <c r="O62" t="str">
        <f t="shared" si="24"/>
        <v/>
      </c>
      <c r="P62" t="str">
        <f t="shared" si="24"/>
        <v/>
      </c>
      <c r="Q62" t="str">
        <f t="shared" si="24"/>
        <v/>
      </c>
      <c r="R62" t="str">
        <f t="shared" si="24"/>
        <v>1(TB33)</v>
      </c>
      <c r="S62" t="str">
        <f t="shared" si="9"/>
        <v>1µ+1T3+1B3+1(TB33)</v>
      </c>
    </row>
    <row r="63" spans="2:19" x14ac:dyDescent="0.2">
      <c r="B63" s="56"/>
    </row>
    <row r="65" spans="2:2" x14ac:dyDescent="0.2">
      <c r="B65" t="str">
        <f>_xlfn.CONCAT(B47," : ",S47," = ",S21)</f>
        <v>µ : 13µ+4T1+4T2+5T3+3B1+5B2+5B3+1(TB11)+1(TB12)+2(TB13)+2(TB22)+2(TB23)+2(TB31)+2(TB32)+1(TB33) = 231</v>
      </c>
    </row>
    <row r="66" spans="2:2" x14ac:dyDescent="0.2">
      <c r="B66" t="str">
        <f t="shared" ref="B66:B80" si="25">_xlfn.CONCAT(B48," : ",S48," = ",S22)</f>
        <v>T1 : 4µ+4T1+1B1+1B2+2B3+1(TB11)+1(TB12)+2(TB13) = 79</v>
      </c>
    </row>
    <row r="67" spans="2:2" x14ac:dyDescent="0.2">
      <c r="B67" t="str">
        <f t="shared" si="25"/>
        <v>T2 : 4µ+4T2+2B2+2B3+2(TB22)+2(TB23) = 60</v>
      </c>
    </row>
    <row r="68" spans="2:2" x14ac:dyDescent="0.2">
      <c r="B68" t="str">
        <f t="shared" si="25"/>
        <v>T3 : 5µ+5T3+2B1+2B2+1B3+2(TB31)+2(TB32)+1(TB33) = 92</v>
      </c>
    </row>
    <row r="69" spans="2:2" x14ac:dyDescent="0.2">
      <c r="B69" t="str">
        <f t="shared" si="25"/>
        <v>B1 : 3µ+1T1+2T3+3B1+1(TB11)+2(TB31) = 45</v>
      </c>
    </row>
    <row r="70" spans="2:2" x14ac:dyDescent="0.2">
      <c r="B70" t="str">
        <f t="shared" si="25"/>
        <v>B2 : 5µ+1T1+2T2+2T3+5B2+1(TB12)+2(TB22)+2(TB32) = 86</v>
      </c>
    </row>
    <row r="71" spans="2:2" x14ac:dyDescent="0.2">
      <c r="B71" t="str">
        <f t="shared" si="25"/>
        <v>B3 : 5µ+2T1+2T2+1T3+5B3+2(TB13)+2(TB23)+1(TB33) = 100</v>
      </c>
    </row>
    <row r="72" spans="2:2" x14ac:dyDescent="0.2">
      <c r="B72" t="str">
        <f t="shared" si="25"/>
        <v>TB11 : 1µ+1T1+1B1+1(TB11) = 17</v>
      </c>
    </row>
    <row r="73" spans="2:2" x14ac:dyDescent="0.2">
      <c r="B73" t="str">
        <f t="shared" si="25"/>
        <v>TB12 : 1µ+1T1+1B2+1(TB12) = 16</v>
      </c>
    </row>
    <row r="74" spans="2:2" x14ac:dyDescent="0.2">
      <c r="B74" t="str">
        <f t="shared" si="25"/>
        <v>TB13 : 2µ+2T1+2B3+2(TB13) = 46</v>
      </c>
    </row>
    <row r="75" spans="2:2" x14ac:dyDescent="0.2">
      <c r="B75" t="str">
        <f t="shared" si="25"/>
        <v>TB21 :  = 0</v>
      </c>
    </row>
    <row r="76" spans="2:2" x14ac:dyDescent="0.2">
      <c r="B76" t="str">
        <f t="shared" si="25"/>
        <v>TB22 : 2µ+2T2+2B2+2(TB22) = 31</v>
      </c>
    </row>
    <row r="77" spans="2:2" x14ac:dyDescent="0.2">
      <c r="B77" t="str">
        <f t="shared" si="25"/>
        <v>TB23 : 2µ+2T2+2B3+2(TB23) = 29</v>
      </c>
    </row>
    <row r="78" spans="2:2" x14ac:dyDescent="0.2">
      <c r="B78" t="str">
        <f t="shared" si="25"/>
        <v>TB31 : 2µ+2T3+2B1+2(TB31) = 28</v>
      </c>
    </row>
    <row r="79" spans="2:2" x14ac:dyDescent="0.2">
      <c r="B79" t="str">
        <f t="shared" si="25"/>
        <v>TB32 : 2µ+2T3+2B2+2(TB32) = 39</v>
      </c>
    </row>
    <row r="80" spans="2:2" x14ac:dyDescent="0.2">
      <c r="B80" t="str">
        <f t="shared" si="25"/>
        <v>TB33 : 1µ+1T3+1B3+1(TB33) = 25</v>
      </c>
    </row>
    <row r="82" spans="1:2" ht="16" x14ac:dyDescent="0.2">
      <c r="B82" s="111"/>
    </row>
    <row r="85" spans="1:2" x14ac:dyDescent="0.2">
      <c r="A85" t="s">
        <v>6</v>
      </c>
    </row>
    <row r="86" spans="1:2" x14ac:dyDescent="0.2">
      <c r="B86" t="s">
        <v>168</v>
      </c>
    </row>
    <row r="87" spans="1:2" x14ac:dyDescent="0.2">
      <c r="B87" t="s">
        <v>169</v>
      </c>
    </row>
    <row r="91" spans="1:2" x14ac:dyDescent="0.2">
      <c r="B91" t="s">
        <v>170</v>
      </c>
    </row>
    <row r="92" spans="1:2" x14ac:dyDescent="0.2">
      <c r="B92" t="s">
        <v>171</v>
      </c>
    </row>
    <row r="93" spans="1:2" x14ac:dyDescent="0.2">
      <c r="B93" t="s">
        <v>172</v>
      </c>
    </row>
  </sheetData>
  <mergeCells count="8">
    <mergeCell ref="C7:C8"/>
    <mergeCell ref="C13:C14"/>
    <mergeCell ref="D13:F13"/>
    <mergeCell ref="D1:F1"/>
    <mergeCell ref="D8:E8"/>
    <mergeCell ref="F8:G8"/>
    <mergeCell ref="H8:I8"/>
    <mergeCell ref="D7:I7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6145" r:id="rId3">
          <objectPr defaultSize="0" autoPict="0" r:id="rId4">
            <anchor moveWithCells="1" siz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215900</xdr:colOff>
                <xdr:row>1</xdr:row>
                <xdr:rowOff>190500</xdr:rowOff>
              </to>
            </anchor>
          </objectPr>
        </oleObject>
      </mc:Choice>
      <mc:Fallback>
        <oleObject progId="Equation.DSMT4" shapeId="6145" r:id="rId3"/>
      </mc:Fallback>
    </mc:AlternateContent>
    <mc:AlternateContent xmlns:mc="http://schemas.openxmlformats.org/markup-compatibility/2006">
      <mc:Choice Requires="x14">
        <oleObject progId="Equation.DSMT4" shapeId="6149" r:id="rId5">
          <objectPr defaultSize="0" autoPict="0" r:id="rId6">
            <anchor moveWithCells="1" sizeWithCells="1">
              <from>
                <xdr:col>1</xdr:col>
                <xdr:colOff>25400</xdr:colOff>
                <xdr:row>80</xdr:row>
                <xdr:rowOff>114300</xdr:rowOff>
              </from>
              <to>
                <xdr:col>1</xdr:col>
                <xdr:colOff>596900</xdr:colOff>
                <xdr:row>82</xdr:row>
                <xdr:rowOff>165100</xdr:rowOff>
              </to>
            </anchor>
          </objectPr>
        </oleObject>
      </mc:Choice>
      <mc:Fallback>
        <oleObject progId="Equation.DSMT4" shapeId="6149" r:id="rId5"/>
      </mc:Fallback>
    </mc:AlternateContent>
    <mc:AlternateContent xmlns:mc="http://schemas.openxmlformats.org/markup-compatibility/2006">
      <mc:Choice Requires="x14">
        <oleObject progId="Equation.DSMT4" shapeId="6148" r:id="rId7">
          <objectPr defaultSize="0" autoPict="0" r:id="rId8">
            <anchor moveWithCells="1" sizeWithCells="1">
              <from>
                <xdr:col>2</xdr:col>
                <xdr:colOff>25400</xdr:colOff>
                <xdr:row>80</xdr:row>
                <xdr:rowOff>88900</xdr:rowOff>
              </from>
              <to>
                <xdr:col>2</xdr:col>
                <xdr:colOff>635000</xdr:colOff>
                <xdr:row>82</xdr:row>
                <xdr:rowOff>152400</xdr:rowOff>
              </to>
            </anchor>
          </objectPr>
        </oleObject>
      </mc:Choice>
      <mc:Fallback>
        <oleObject progId="Equation.DSMT4" shapeId="6148" r:id="rId7"/>
      </mc:Fallback>
    </mc:AlternateContent>
    <mc:AlternateContent xmlns:mc="http://schemas.openxmlformats.org/markup-compatibility/2006">
      <mc:Choice Requires="x14">
        <oleObject progId="Equation.DSMT4" shapeId="6147" r:id="rId9">
          <objectPr defaultSize="0" autoPict="0" r:id="rId10">
            <anchor moveWithCells="1" sizeWithCells="1">
              <from>
                <xdr:col>5</xdr:col>
                <xdr:colOff>76200</xdr:colOff>
                <xdr:row>80</xdr:row>
                <xdr:rowOff>127000</xdr:rowOff>
              </from>
              <to>
                <xdr:col>7</xdr:col>
                <xdr:colOff>266700</xdr:colOff>
                <xdr:row>82</xdr:row>
                <xdr:rowOff>177800</xdr:rowOff>
              </to>
            </anchor>
          </objectPr>
        </oleObject>
      </mc:Choice>
      <mc:Fallback>
        <oleObject progId="Equation.DSMT4" shapeId="6147" r:id="rId9"/>
      </mc:Fallback>
    </mc:AlternateContent>
    <mc:AlternateContent xmlns:mc="http://schemas.openxmlformats.org/markup-compatibility/2006">
      <mc:Choice Requires="x14">
        <oleObject progId="Equation.DSMT4" shapeId="6146" r:id="rId11">
          <objectPr defaultSize="0" autoPict="0" r:id="rId12">
            <anchor moveWithCells="1" sizeWithCells="1">
              <from>
                <xdr:col>2</xdr:col>
                <xdr:colOff>660400</xdr:colOff>
                <xdr:row>80</xdr:row>
                <xdr:rowOff>101600</xdr:rowOff>
              </from>
              <to>
                <xdr:col>5</xdr:col>
                <xdr:colOff>25400</xdr:colOff>
                <xdr:row>82</xdr:row>
                <xdr:rowOff>177800</xdr:rowOff>
              </to>
            </anchor>
          </objectPr>
        </oleObject>
      </mc:Choice>
      <mc:Fallback>
        <oleObject progId="Equation.DSMT4" shapeId="6146" r:id="rId11"/>
      </mc:Fallback>
    </mc:AlternateContent>
    <mc:AlternateContent xmlns:mc="http://schemas.openxmlformats.org/markup-compatibility/2006">
      <mc:Choice Requires="x14">
        <oleObject progId="Equation.DSMT4" shapeId="6156" r:id="rId13">
          <objectPr defaultSize="0" autoPict="0" r:id="rId6">
            <anchor moveWithCells="1" sizeWithCells="1">
              <from>
                <xdr:col>0</xdr:col>
                <xdr:colOff>609600</xdr:colOff>
                <xdr:row>86</xdr:row>
                <xdr:rowOff>127000</xdr:rowOff>
              </from>
              <to>
                <xdr:col>1</xdr:col>
                <xdr:colOff>520700</xdr:colOff>
                <xdr:row>89</xdr:row>
                <xdr:rowOff>12700</xdr:rowOff>
              </to>
            </anchor>
          </objectPr>
        </oleObject>
      </mc:Choice>
      <mc:Fallback>
        <oleObject progId="Equation.DSMT4" shapeId="6156" r:id="rId13"/>
      </mc:Fallback>
    </mc:AlternateContent>
    <mc:AlternateContent xmlns:mc="http://schemas.openxmlformats.org/markup-compatibility/2006">
      <mc:Choice Requires="x14">
        <oleObject progId="Equation.DSMT4" shapeId="6157" r:id="rId14">
          <objectPr defaultSize="0" autoPict="0" r:id="rId8">
            <anchor moveWithCells="1" sizeWithCells="1">
              <from>
                <xdr:col>1</xdr:col>
                <xdr:colOff>609600</xdr:colOff>
                <xdr:row>86</xdr:row>
                <xdr:rowOff>101600</xdr:rowOff>
              </from>
              <to>
                <xdr:col>2</xdr:col>
                <xdr:colOff>558800</xdr:colOff>
                <xdr:row>89</xdr:row>
                <xdr:rowOff>0</xdr:rowOff>
              </to>
            </anchor>
          </objectPr>
        </oleObject>
      </mc:Choice>
      <mc:Fallback>
        <oleObject progId="Equation.DSMT4" shapeId="6157" r:id="rId14"/>
      </mc:Fallback>
    </mc:AlternateContent>
    <mc:AlternateContent xmlns:mc="http://schemas.openxmlformats.org/markup-compatibility/2006">
      <mc:Choice Requires="x14">
        <oleObject progId="Equation.DSMT4" shapeId="6158" r:id="rId15">
          <objectPr defaultSize="0" autoPict="0" r:id="rId10">
            <anchor moveWithCells="1" sizeWithCells="1">
              <from>
                <xdr:col>5</xdr:col>
                <xdr:colOff>12700</xdr:colOff>
                <xdr:row>86</xdr:row>
                <xdr:rowOff>139700</xdr:rowOff>
              </from>
              <to>
                <xdr:col>7</xdr:col>
                <xdr:colOff>203200</xdr:colOff>
                <xdr:row>89</xdr:row>
                <xdr:rowOff>25400</xdr:rowOff>
              </to>
            </anchor>
          </objectPr>
        </oleObject>
      </mc:Choice>
      <mc:Fallback>
        <oleObject progId="Equation.DSMT4" shapeId="6158" r:id="rId15"/>
      </mc:Fallback>
    </mc:AlternateContent>
    <mc:AlternateContent xmlns:mc="http://schemas.openxmlformats.org/markup-compatibility/2006">
      <mc:Choice Requires="x14">
        <oleObject progId="Equation.DSMT4" shapeId="6159" r:id="rId16">
          <objectPr defaultSize="0" autoPict="0" r:id="rId12">
            <anchor moveWithCells="1" sizeWithCells="1">
              <from>
                <xdr:col>2</xdr:col>
                <xdr:colOff>596900</xdr:colOff>
                <xdr:row>86</xdr:row>
                <xdr:rowOff>114300</xdr:rowOff>
              </from>
              <to>
                <xdr:col>4</xdr:col>
                <xdr:colOff>609600</xdr:colOff>
                <xdr:row>89</xdr:row>
                <xdr:rowOff>25400</xdr:rowOff>
              </to>
            </anchor>
          </objectPr>
        </oleObject>
      </mc:Choice>
      <mc:Fallback>
        <oleObject progId="Equation.DSMT4" shapeId="6159" r:id="rId16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1AD9-D82C-4933-B88D-AA145803F9DA}">
  <dimension ref="B1:O117"/>
  <sheetViews>
    <sheetView showGridLines="0" topLeftCell="A79" zoomScale="110" zoomScaleNormal="110" workbookViewId="0">
      <selection activeCell="C61" sqref="C61"/>
    </sheetView>
  </sheetViews>
  <sheetFormatPr baseColWidth="10" defaultColWidth="8.83203125" defaultRowHeight="15" x14ac:dyDescent="0.2"/>
  <cols>
    <col min="2" max="2" width="12" customWidth="1"/>
    <col min="3" max="3" width="11" bestFit="1" customWidth="1"/>
    <col min="4" max="11" width="9.83203125" bestFit="1" customWidth="1"/>
  </cols>
  <sheetData>
    <row r="1" spans="3:15" ht="30.75" customHeight="1" thickTop="1" thickBot="1" x14ac:dyDescent="0.25">
      <c r="C1" s="126" t="s">
        <v>129</v>
      </c>
      <c r="D1" s="128" t="s">
        <v>176</v>
      </c>
      <c r="E1" s="128"/>
      <c r="F1" s="128"/>
      <c r="G1" s="128"/>
    </row>
    <row r="2" spans="3:15" ht="17" thickBot="1" x14ac:dyDescent="0.25">
      <c r="C2" s="127"/>
      <c r="D2" s="69">
        <v>1</v>
      </c>
      <c r="E2" s="70">
        <v>2</v>
      </c>
      <c r="F2" s="70">
        <v>3</v>
      </c>
      <c r="G2" s="70">
        <v>4</v>
      </c>
    </row>
    <row r="3" spans="3:15" ht="18" thickTop="1" x14ac:dyDescent="0.2">
      <c r="C3" s="68">
        <v>1</v>
      </c>
      <c r="D3" s="2">
        <v>13</v>
      </c>
      <c r="E3" s="2">
        <v>22</v>
      </c>
      <c r="F3" s="2">
        <v>18</v>
      </c>
      <c r="G3" s="2" t="s">
        <v>177</v>
      </c>
    </row>
    <row r="4" spans="3:15" ht="16" x14ac:dyDescent="0.2">
      <c r="C4" s="68">
        <v>2</v>
      </c>
      <c r="D4" s="2">
        <v>16</v>
      </c>
      <c r="E4" s="2">
        <v>24</v>
      </c>
      <c r="F4" s="2">
        <v>17</v>
      </c>
      <c r="G4" s="2">
        <v>44</v>
      </c>
    </row>
    <row r="5" spans="3:15" ht="17" x14ac:dyDescent="0.2">
      <c r="C5" s="68">
        <v>3</v>
      </c>
      <c r="D5" s="2">
        <v>5</v>
      </c>
      <c r="E5" s="2" t="s">
        <v>177</v>
      </c>
      <c r="F5" s="2">
        <v>1</v>
      </c>
      <c r="G5" s="2">
        <v>22</v>
      </c>
    </row>
    <row r="6" spans="3:15" ht="17" thickBot="1" x14ac:dyDescent="0.25">
      <c r="C6" s="69"/>
      <c r="D6" s="5"/>
      <c r="E6" s="5"/>
      <c r="F6" s="5"/>
      <c r="G6" s="5"/>
    </row>
    <row r="7" spans="3:15" ht="17" thickTop="1" thickBot="1" x14ac:dyDescent="0.25"/>
    <row r="8" spans="3:15" ht="18" thickTop="1" thickBot="1" x14ac:dyDescent="0.25">
      <c r="C8" s="126" t="str">
        <f>C1</f>
        <v>Solution</v>
      </c>
      <c r="D8" s="128" t="str">
        <f>D1</f>
        <v>Day</v>
      </c>
      <c r="E8" s="128"/>
      <c r="F8" s="128"/>
      <c r="G8" s="128"/>
      <c r="J8" s="126" t="s">
        <v>8</v>
      </c>
      <c r="K8" s="128" t="str">
        <f>D1</f>
        <v>Day</v>
      </c>
      <c r="L8" s="128"/>
      <c r="M8" s="128"/>
      <c r="N8" s="128"/>
    </row>
    <row r="9" spans="3:15" ht="17" thickBot="1" x14ac:dyDescent="0.25">
      <c r="C9" s="127"/>
      <c r="D9" s="69">
        <f t="shared" ref="D9:G9" si="0">D2</f>
        <v>1</v>
      </c>
      <c r="E9" s="70">
        <f t="shared" si="0"/>
        <v>2</v>
      </c>
      <c r="F9" s="70">
        <f t="shared" si="0"/>
        <v>3</v>
      </c>
      <c r="G9" s="70">
        <f t="shared" si="0"/>
        <v>4</v>
      </c>
      <c r="J9" s="127"/>
      <c r="K9" s="69">
        <f t="shared" ref="K9:N9" si="1">D2</f>
        <v>1</v>
      </c>
      <c r="L9" s="70">
        <f t="shared" si="1"/>
        <v>2</v>
      </c>
      <c r="M9" s="70">
        <f t="shared" si="1"/>
        <v>3</v>
      </c>
      <c r="N9" s="70">
        <f t="shared" si="1"/>
        <v>4</v>
      </c>
    </row>
    <row r="10" spans="3:15" ht="17" thickTop="1" x14ac:dyDescent="0.2">
      <c r="C10" s="68">
        <v>1</v>
      </c>
      <c r="D10" s="2">
        <v>13</v>
      </c>
      <c r="E10" s="2">
        <v>22</v>
      </c>
      <c r="F10" s="2">
        <v>18</v>
      </c>
      <c r="G10" s="2"/>
      <c r="H10">
        <f>SUM(D10:G10)</f>
        <v>53</v>
      </c>
      <c r="J10" s="68">
        <v>1</v>
      </c>
      <c r="K10" s="2" cm="1">
        <f t="array" ref="K10:N13">D10:G13^2</f>
        <v>169</v>
      </c>
      <c r="L10" s="2">
        <v>484</v>
      </c>
      <c r="M10" s="2">
        <v>324</v>
      </c>
      <c r="N10" s="2">
        <v>0</v>
      </c>
    </row>
    <row r="11" spans="3:15" ht="16" x14ac:dyDescent="0.2">
      <c r="C11" s="68">
        <v>2</v>
      </c>
      <c r="D11" s="2">
        <v>16</v>
      </c>
      <c r="E11" s="2">
        <v>24</v>
      </c>
      <c r="F11" s="2">
        <v>17</v>
      </c>
      <c r="G11" s="2">
        <v>44</v>
      </c>
      <c r="H11">
        <f>SUM(D11:G11)</f>
        <v>101</v>
      </c>
      <c r="J11" s="68">
        <v>2</v>
      </c>
      <c r="K11" s="2">
        <v>256</v>
      </c>
      <c r="L11" s="2">
        <v>576</v>
      </c>
      <c r="M11" s="2">
        <v>289</v>
      </c>
      <c r="N11" s="2">
        <v>1936</v>
      </c>
    </row>
    <row r="12" spans="3:15" ht="16" x14ac:dyDescent="0.2">
      <c r="C12" s="68">
        <v>3</v>
      </c>
      <c r="D12" s="2">
        <v>5</v>
      </c>
      <c r="E12" s="2"/>
      <c r="F12" s="2">
        <v>1</v>
      </c>
      <c r="G12" s="2">
        <v>22</v>
      </c>
      <c r="H12">
        <f>SUM(D12:G12)</f>
        <v>28</v>
      </c>
      <c r="J12" s="68">
        <v>3</v>
      </c>
      <c r="K12" s="2">
        <v>25</v>
      </c>
      <c r="L12" s="2">
        <v>0</v>
      </c>
      <c r="M12" s="2">
        <v>1</v>
      </c>
      <c r="N12" s="2">
        <v>484</v>
      </c>
    </row>
    <row r="13" spans="3:15" ht="17" thickBot="1" x14ac:dyDescent="0.25">
      <c r="C13" s="69"/>
      <c r="D13" s="5"/>
      <c r="E13" s="5"/>
      <c r="F13" s="5"/>
      <c r="G13" s="5"/>
      <c r="J13" s="69"/>
      <c r="K13" s="5">
        <v>0</v>
      </c>
      <c r="L13" s="5">
        <v>0</v>
      </c>
      <c r="M13" s="5">
        <v>0</v>
      </c>
      <c r="N13" s="5">
        <v>0</v>
      </c>
    </row>
    <row r="14" spans="3:15" ht="16" thickTop="1" x14ac:dyDescent="0.2">
      <c r="D14">
        <f>SUM(D10:D13)</f>
        <v>34</v>
      </c>
      <c r="E14">
        <f t="shared" ref="E14:G14" si="2">SUM(E10:E13)</f>
        <v>46</v>
      </c>
      <c r="F14">
        <f t="shared" si="2"/>
        <v>36</v>
      </c>
      <c r="G14">
        <f t="shared" si="2"/>
        <v>66</v>
      </c>
      <c r="H14">
        <f>SUM(D10:G13)</f>
        <v>182</v>
      </c>
      <c r="O14">
        <f>SUM(_xlfn.ANCHORARRAY(K10))</f>
        <v>4544</v>
      </c>
    </row>
    <row r="15" spans="3:15" x14ac:dyDescent="0.2">
      <c r="C15" s="98" t="s">
        <v>153</v>
      </c>
      <c r="D15">
        <f>COUNT(D10:G13)</f>
        <v>10</v>
      </c>
    </row>
    <row r="17" spans="2:13" x14ac:dyDescent="0.2">
      <c r="B17" s="88" t="s">
        <v>126</v>
      </c>
      <c r="C17" s="86"/>
      <c r="D17" s="86"/>
    </row>
    <row r="18" spans="2:13" ht="17" x14ac:dyDescent="0.25">
      <c r="C18" s="83" t="s">
        <v>55</v>
      </c>
      <c r="D18" s="84" t="s">
        <v>74</v>
      </c>
      <c r="E18" s="84" t="s">
        <v>75</v>
      </c>
      <c r="F18" s="84" t="s">
        <v>76</v>
      </c>
      <c r="G18" s="84" t="s">
        <v>85</v>
      </c>
      <c r="H18" s="84" t="s">
        <v>77</v>
      </c>
      <c r="I18" s="84" t="s">
        <v>78</v>
      </c>
      <c r="J18" s="84" t="s">
        <v>79</v>
      </c>
      <c r="K18" s="84" t="s">
        <v>86</v>
      </c>
      <c r="L18" s="82"/>
    </row>
    <row r="19" spans="2:13" x14ac:dyDescent="0.2">
      <c r="B19" s="62" t="s">
        <v>55</v>
      </c>
      <c r="C19" s="63">
        <f>COUNT(D10:G13)</f>
        <v>10</v>
      </c>
      <c r="D19" s="63">
        <f>COUNT(D10:G10)</f>
        <v>3</v>
      </c>
      <c r="E19" s="63">
        <f>COUNT(D11:G11)</f>
        <v>4</v>
      </c>
      <c r="F19" s="63">
        <f>COUNT(D12:G12)</f>
        <v>3</v>
      </c>
      <c r="G19" s="63">
        <f>COUNT(D13:G13)</f>
        <v>0</v>
      </c>
      <c r="H19" s="63">
        <f>COUNT(D10:D13)</f>
        <v>3</v>
      </c>
      <c r="I19" s="63">
        <f>COUNT(E10:E13)</f>
        <v>2</v>
      </c>
      <c r="J19" s="63">
        <f>COUNT(F10:F13)</f>
        <v>3</v>
      </c>
      <c r="K19" s="63">
        <f>COUNT(G10:G13)</f>
        <v>2</v>
      </c>
      <c r="L19" s="63">
        <f>H14</f>
        <v>182</v>
      </c>
    </row>
    <row r="20" spans="2:13" ht="17" x14ac:dyDescent="0.25">
      <c r="B20" s="66" t="s">
        <v>74</v>
      </c>
      <c r="C20" s="63">
        <f>COUNT(D10:G10)</f>
        <v>3</v>
      </c>
      <c r="D20" s="63">
        <f>COUNT(D10:G10)</f>
        <v>3</v>
      </c>
      <c r="E20" s="63"/>
      <c r="F20" s="63"/>
      <c r="G20" s="63"/>
      <c r="H20" s="63">
        <f t="shared" ref="H20:K22" si="3">COUNT(D10)</f>
        <v>1</v>
      </c>
      <c r="I20" s="63">
        <f t="shared" si="3"/>
        <v>1</v>
      </c>
      <c r="J20" s="63">
        <f t="shared" si="3"/>
        <v>1</v>
      </c>
      <c r="K20" s="63">
        <f t="shared" si="3"/>
        <v>0</v>
      </c>
      <c r="L20" s="63">
        <f>H10</f>
        <v>53</v>
      </c>
    </row>
    <row r="21" spans="2:13" ht="17" x14ac:dyDescent="0.25">
      <c r="B21" s="66" t="s">
        <v>75</v>
      </c>
      <c r="C21" s="63">
        <f>COUNT(D11:G11)</f>
        <v>4</v>
      </c>
      <c r="D21" s="63"/>
      <c r="E21" s="63">
        <f>COUNT(D11:G11)</f>
        <v>4</v>
      </c>
      <c r="F21" s="63"/>
      <c r="G21" s="63"/>
      <c r="H21" s="63">
        <f t="shared" si="3"/>
        <v>1</v>
      </c>
      <c r="I21" s="63">
        <f t="shared" si="3"/>
        <v>1</v>
      </c>
      <c r="J21" s="63">
        <f t="shared" si="3"/>
        <v>1</v>
      </c>
      <c r="K21" s="63">
        <f t="shared" si="3"/>
        <v>1</v>
      </c>
      <c r="L21" s="63">
        <f>H11</f>
        <v>101</v>
      </c>
    </row>
    <row r="22" spans="2:13" ht="17" x14ac:dyDescent="0.25">
      <c r="B22" s="66" t="s">
        <v>76</v>
      </c>
      <c r="C22" s="63">
        <f>COUNT(D12:G12)</f>
        <v>3</v>
      </c>
      <c r="D22" s="63"/>
      <c r="E22" s="63"/>
      <c r="F22" s="63">
        <f>COUNT(D12:G12)</f>
        <v>3</v>
      </c>
      <c r="G22" s="63"/>
      <c r="H22" s="63">
        <f t="shared" si="3"/>
        <v>1</v>
      </c>
      <c r="I22" s="63">
        <f t="shared" si="3"/>
        <v>0</v>
      </c>
      <c r="J22" s="63">
        <f t="shared" si="3"/>
        <v>1</v>
      </c>
      <c r="K22" s="63">
        <f t="shared" si="3"/>
        <v>1</v>
      </c>
      <c r="L22" s="63">
        <f>H12</f>
        <v>28</v>
      </c>
    </row>
    <row r="23" spans="2:13" ht="17" x14ac:dyDescent="0.25">
      <c r="B23" s="66" t="s">
        <v>77</v>
      </c>
      <c r="C23" s="63">
        <f>COUNT(D10:D13)</f>
        <v>3</v>
      </c>
      <c r="D23" s="63">
        <f>COUNT(D10)</f>
        <v>1</v>
      </c>
      <c r="E23" s="63">
        <f>COUNT(D11)</f>
        <v>1</v>
      </c>
      <c r="F23" s="63">
        <f>COUNT(D12)</f>
        <v>1</v>
      </c>
      <c r="G23" s="63">
        <f>COUNT(D13)</f>
        <v>0</v>
      </c>
      <c r="H23" s="63">
        <f>COUNT(D10:D13)</f>
        <v>3</v>
      </c>
      <c r="I23" s="63"/>
      <c r="J23" s="63"/>
      <c r="K23" s="63"/>
      <c r="L23" s="63">
        <f>D14</f>
        <v>34</v>
      </c>
    </row>
    <row r="24" spans="2:13" ht="17" x14ac:dyDescent="0.25">
      <c r="B24" s="66" t="s">
        <v>78</v>
      </c>
      <c r="C24" s="63">
        <f>COUNT(E10:E13)</f>
        <v>2</v>
      </c>
      <c r="D24" s="63">
        <f>COUNT(E10)</f>
        <v>1</v>
      </c>
      <c r="E24" s="63">
        <f>COUNT(E11)</f>
        <v>1</v>
      </c>
      <c r="F24" s="63">
        <f>COUNT(E12)</f>
        <v>0</v>
      </c>
      <c r="G24" s="63">
        <f>COUNT(E13)</f>
        <v>0</v>
      </c>
      <c r="H24" s="63"/>
      <c r="I24" s="63">
        <f>COUNT(E10:E13)</f>
        <v>2</v>
      </c>
      <c r="J24" s="63"/>
      <c r="K24" s="63"/>
      <c r="L24" s="63">
        <f>E14</f>
        <v>46</v>
      </c>
    </row>
    <row r="25" spans="2:13" ht="17" x14ac:dyDescent="0.25">
      <c r="B25" s="66" t="s">
        <v>79</v>
      </c>
      <c r="C25" s="63">
        <f>COUNT(F10:F13)</f>
        <v>3</v>
      </c>
      <c r="D25" s="63">
        <f>COUNT(F10)</f>
        <v>1</v>
      </c>
      <c r="E25" s="63">
        <f>COUNT(F11)</f>
        <v>1</v>
      </c>
      <c r="F25" s="63">
        <f>COUNT(F12)</f>
        <v>1</v>
      </c>
      <c r="G25" s="63">
        <f>COUNT(F13)</f>
        <v>0</v>
      </c>
      <c r="H25" s="63"/>
      <c r="I25" s="63"/>
      <c r="J25" s="63">
        <f>COUNT(F10:F13)</f>
        <v>3</v>
      </c>
      <c r="K25" s="63"/>
      <c r="L25" s="63">
        <f>F14</f>
        <v>36</v>
      </c>
    </row>
    <row r="26" spans="2:13" ht="17" x14ac:dyDescent="0.25">
      <c r="B26" s="66" t="s">
        <v>86</v>
      </c>
      <c r="C26" s="63">
        <f>COUNT(G10:G13)</f>
        <v>2</v>
      </c>
      <c r="D26" s="63">
        <f>COUNT(G10)</f>
        <v>0</v>
      </c>
      <c r="E26" s="63">
        <f>COUNT(G11)</f>
        <v>1</v>
      </c>
      <c r="F26" s="63">
        <f>COUNT(G12)</f>
        <v>1</v>
      </c>
      <c r="G26" s="63">
        <f>COUNT(G13)</f>
        <v>0</v>
      </c>
      <c r="H26" s="63"/>
      <c r="I26" s="63"/>
      <c r="J26" s="63"/>
      <c r="K26" s="63">
        <f>COUNT(G10:G13)</f>
        <v>2</v>
      </c>
      <c r="L26" s="63">
        <f>G14</f>
        <v>66</v>
      </c>
    </row>
    <row r="27" spans="2:13" x14ac:dyDescent="0.2">
      <c r="B27" s="66" t="s">
        <v>104</v>
      </c>
      <c r="C27" s="63">
        <v>0</v>
      </c>
      <c r="D27" s="63">
        <v>1</v>
      </c>
      <c r="E27" s="63">
        <v>1</v>
      </c>
      <c r="F27" s="63">
        <v>1</v>
      </c>
      <c r="G27" s="63">
        <v>1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</row>
    <row r="28" spans="2:13" x14ac:dyDescent="0.2">
      <c r="B28" s="67" t="s">
        <v>104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1</v>
      </c>
      <c r="I28" s="8">
        <v>1</v>
      </c>
      <c r="J28" s="8">
        <v>1</v>
      </c>
      <c r="K28" s="8">
        <v>1</v>
      </c>
      <c r="L28" s="8">
        <v>0</v>
      </c>
    </row>
    <row r="29" spans="2:13" x14ac:dyDescent="0.2">
      <c r="B29" s="56"/>
    </row>
    <row r="30" spans="2:13" x14ac:dyDescent="0.2">
      <c r="B30" s="56" t="str">
        <f t="shared" ref="B30:B37" si="4">B19</f>
        <v>µ</v>
      </c>
      <c r="C30" s="56" t="str">
        <f t="shared" ref="C30:K30" si="5">IF(OR(ISBLANK(C19),C19=0),"",_xlfn.CONCAT(C19,C$18))</f>
        <v>10µ</v>
      </c>
      <c r="D30" s="56" t="str">
        <f t="shared" si="5"/>
        <v>3T1</v>
      </c>
      <c r="E30" s="56" t="str">
        <f t="shared" si="5"/>
        <v>4T2</v>
      </c>
      <c r="F30" s="56" t="str">
        <f t="shared" si="5"/>
        <v>3T3</v>
      </c>
      <c r="G30" s="56" t="str">
        <f t="shared" si="5"/>
        <v/>
      </c>
      <c r="H30" s="56" t="str">
        <f t="shared" si="5"/>
        <v>3B1</v>
      </c>
      <c r="I30" s="56" t="str">
        <f t="shared" si="5"/>
        <v>2B2</v>
      </c>
      <c r="J30" s="56" t="str">
        <f t="shared" si="5"/>
        <v>3B3</v>
      </c>
      <c r="K30" s="56" t="str">
        <f t="shared" si="5"/>
        <v>2B4</v>
      </c>
      <c r="M30" t="str">
        <f t="shared" ref="M30:M37" si="6">_xlfn.TEXTJOIN("+",TRUE,C30:K30)</f>
        <v>10µ+3T1+4T2+3T3+3B1+2B2+3B3+2B4</v>
      </c>
    </row>
    <row r="31" spans="2:13" x14ac:dyDescent="0.2">
      <c r="B31" s="56" t="str">
        <f t="shared" si="4"/>
        <v>T1</v>
      </c>
      <c r="C31" s="56" t="str">
        <f t="shared" ref="C31:K31" si="7">IF(OR(ISBLANK(C20),C20=0),"",_xlfn.CONCAT(C20,C$18))</f>
        <v>3µ</v>
      </c>
      <c r="D31" s="56" t="str">
        <f t="shared" si="7"/>
        <v>3T1</v>
      </c>
      <c r="E31" s="56" t="str">
        <f t="shared" si="7"/>
        <v/>
      </c>
      <c r="F31" s="56" t="str">
        <f t="shared" si="7"/>
        <v/>
      </c>
      <c r="G31" s="56" t="str">
        <f t="shared" si="7"/>
        <v/>
      </c>
      <c r="H31" s="56" t="str">
        <f t="shared" si="7"/>
        <v>1B1</v>
      </c>
      <c r="I31" s="56" t="str">
        <f t="shared" si="7"/>
        <v>1B2</v>
      </c>
      <c r="J31" s="56" t="str">
        <f t="shared" si="7"/>
        <v>1B3</v>
      </c>
      <c r="K31" s="56" t="str">
        <f t="shared" si="7"/>
        <v/>
      </c>
      <c r="M31" t="str">
        <f t="shared" si="6"/>
        <v>3µ+3T1+1B1+1B2+1B3</v>
      </c>
    </row>
    <row r="32" spans="2:13" x14ac:dyDescent="0.2">
      <c r="B32" s="56" t="str">
        <f t="shared" si="4"/>
        <v>T2</v>
      </c>
      <c r="C32" s="56" t="str">
        <f t="shared" ref="C32:K32" si="8">IF(OR(ISBLANK(C21),C21=0),"",_xlfn.CONCAT(C21,C$18))</f>
        <v>4µ</v>
      </c>
      <c r="D32" s="56" t="str">
        <f t="shared" si="8"/>
        <v/>
      </c>
      <c r="E32" s="56" t="str">
        <f t="shared" si="8"/>
        <v>4T2</v>
      </c>
      <c r="F32" s="56" t="str">
        <f t="shared" si="8"/>
        <v/>
      </c>
      <c r="G32" s="56" t="str">
        <f t="shared" si="8"/>
        <v/>
      </c>
      <c r="H32" s="56" t="str">
        <f t="shared" si="8"/>
        <v>1B1</v>
      </c>
      <c r="I32" s="56" t="str">
        <f t="shared" si="8"/>
        <v>1B2</v>
      </c>
      <c r="J32" s="56" t="str">
        <f t="shared" si="8"/>
        <v>1B3</v>
      </c>
      <c r="K32" s="56" t="str">
        <f t="shared" si="8"/>
        <v>1B4</v>
      </c>
      <c r="M32" t="str">
        <f t="shared" si="6"/>
        <v>4µ+4T2+1B1+1B2+1B3+1B4</v>
      </c>
    </row>
    <row r="33" spans="2:13" x14ac:dyDescent="0.2">
      <c r="B33" s="56" t="str">
        <f t="shared" si="4"/>
        <v>T3</v>
      </c>
      <c r="C33" s="56" t="str">
        <f t="shared" ref="C33:K33" si="9">IF(OR(ISBLANK(C22),C22=0),"",_xlfn.CONCAT(C22,C$18))</f>
        <v>3µ</v>
      </c>
      <c r="D33" s="56" t="str">
        <f t="shared" si="9"/>
        <v/>
      </c>
      <c r="E33" s="56" t="str">
        <f t="shared" si="9"/>
        <v/>
      </c>
      <c r="F33" s="56" t="str">
        <f t="shared" si="9"/>
        <v>3T3</v>
      </c>
      <c r="G33" s="56" t="str">
        <f t="shared" si="9"/>
        <v/>
      </c>
      <c r="H33" s="56" t="str">
        <f t="shared" si="9"/>
        <v>1B1</v>
      </c>
      <c r="I33" s="56" t="str">
        <f t="shared" si="9"/>
        <v/>
      </c>
      <c r="J33" s="56" t="str">
        <f t="shared" si="9"/>
        <v>1B3</v>
      </c>
      <c r="K33" s="56" t="str">
        <f t="shared" si="9"/>
        <v>1B4</v>
      </c>
      <c r="M33" t="str">
        <f t="shared" si="6"/>
        <v>3µ+3T3+1B1+1B3+1B4</v>
      </c>
    </row>
    <row r="34" spans="2:13" x14ac:dyDescent="0.2">
      <c r="B34" s="56" t="str">
        <f t="shared" si="4"/>
        <v>B1</v>
      </c>
      <c r="C34" s="56" t="str">
        <f t="shared" ref="C34:K34" si="10">IF(OR(ISBLANK(C23),C23=0),"",_xlfn.CONCAT(C23,C$18))</f>
        <v>3µ</v>
      </c>
      <c r="D34" s="56" t="str">
        <f t="shared" si="10"/>
        <v>1T1</v>
      </c>
      <c r="E34" s="56" t="str">
        <f t="shared" si="10"/>
        <v>1T2</v>
      </c>
      <c r="F34" s="56" t="str">
        <f t="shared" si="10"/>
        <v>1T3</v>
      </c>
      <c r="G34" s="56" t="str">
        <f t="shared" si="10"/>
        <v/>
      </c>
      <c r="H34" s="56" t="str">
        <f t="shared" si="10"/>
        <v>3B1</v>
      </c>
      <c r="I34" s="56" t="str">
        <f t="shared" si="10"/>
        <v/>
      </c>
      <c r="J34" s="56" t="str">
        <f t="shared" si="10"/>
        <v/>
      </c>
      <c r="K34" s="56" t="str">
        <f t="shared" si="10"/>
        <v/>
      </c>
      <c r="M34" t="str">
        <f t="shared" si="6"/>
        <v>3µ+1T1+1T2+1T3+3B1</v>
      </c>
    </row>
    <row r="35" spans="2:13" x14ac:dyDescent="0.2">
      <c r="B35" s="56" t="str">
        <f t="shared" si="4"/>
        <v>B2</v>
      </c>
      <c r="C35" s="56" t="str">
        <f t="shared" ref="C35:K35" si="11">IF(OR(ISBLANK(C24),C24=0),"",_xlfn.CONCAT(C24,C$18))</f>
        <v>2µ</v>
      </c>
      <c r="D35" s="56" t="str">
        <f t="shared" si="11"/>
        <v>1T1</v>
      </c>
      <c r="E35" s="56" t="str">
        <f t="shared" si="11"/>
        <v>1T2</v>
      </c>
      <c r="F35" s="56" t="str">
        <f t="shared" si="11"/>
        <v/>
      </c>
      <c r="G35" s="56" t="str">
        <f t="shared" si="11"/>
        <v/>
      </c>
      <c r="H35" s="56" t="str">
        <f t="shared" si="11"/>
        <v/>
      </c>
      <c r="I35" s="56" t="str">
        <f t="shared" si="11"/>
        <v>2B2</v>
      </c>
      <c r="J35" s="56" t="str">
        <f t="shared" si="11"/>
        <v/>
      </c>
      <c r="K35" s="56" t="str">
        <f t="shared" si="11"/>
        <v/>
      </c>
      <c r="M35" t="str">
        <f t="shared" si="6"/>
        <v>2µ+1T1+1T2+2B2</v>
      </c>
    </row>
    <row r="36" spans="2:13" x14ac:dyDescent="0.2">
      <c r="B36" s="56" t="str">
        <f t="shared" si="4"/>
        <v>B3</v>
      </c>
      <c r="C36" s="56" t="str">
        <f t="shared" ref="C36:K36" si="12">IF(OR(ISBLANK(C25),C25=0),"",_xlfn.CONCAT(C25,C$18))</f>
        <v>3µ</v>
      </c>
      <c r="D36" s="56" t="str">
        <f t="shared" si="12"/>
        <v>1T1</v>
      </c>
      <c r="E36" s="56" t="str">
        <f t="shared" si="12"/>
        <v>1T2</v>
      </c>
      <c r="F36" s="56" t="str">
        <f t="shared" si="12"/>
        <v>1T3</v>
      </c>
      <c r="G36" s="56" t="str">
        <f t="shared" si="12"/>
        <v/>
      </c>
      <c r="H36" s="56" t="str">
        <f t="shared" si="12"/>
        <v/>
      </c>
      <c r="I36" s="56" t="str">
        <f t="shared" si="12"/>
        <v/>
      </c>
      <c r="J36" s="56" t="str">
        <f t="shared" si="12"/>
        <v>3B3</v>
      </c>
      <c r="K36" s="56" t="str">
        <f t="shared" si="12"/>
        <v/>
      </c>
      <c r="M36" t="str">
        <f t="shared" si="6"/>
        <v>3µ+1T1+1T2+1T3+3B3</v>
      </c>
    </row>
    <row r="37" spans="2:13" x14ac:dyDescent="0.2">
      <c r="B37" s="56" t="str">
        <f t="shared" si="4"/>
        <v>B4</v>
      </c>
      <c r="C37" s="56" t="str">
        <f t="shared" ref="C37:K37" si="13">IF(OR(ISBLANK(C26),C26=0),"",_xlfn.CONCAT(C26,C$18))</f>
        <v>2µ</v>
      </c>
      <c r="D37" s="56" t="str">
        <f t="shared" si="13"/>
        <v/>
      </c>
      <c r="E37" s="56" t="str">
        <f t="shared" si="13"/>
        <v>1T2</v>
      </c>
      <c r="F37" s="56" t="str">
        <f t="shared" si="13"/>
        <v>1T3</v>
      </c>
      <c r="G37" s="56" t="str">
        <f t="shared" si="13"/>
        <v/>
      </c>
      <c r="H37" s="56" t="str">
        <f t="shared" si="13"/>
        <v/>
      </c>
      <c r="I37" s="56" t="str">
        <f t="shared" si="13"/>
        <v/>
      </c>
      <c r="J37" s="56" t="str">
        <f t="shared" si="13"/>
        <v/>
      </c>
      <c r="K37" s="56" t="str">
        <f t="shared" si="13"/>
        <v>2B4</v>
      </c>
      <c r="M37" t="str">
        <f t="shared" si="6"/>
        <v>2µ+1T2+1T3+2B4</v>
      </c>
    </row>
    <row r="38" spans="2:13" x14ac:dyDescent="0.2">
      <c r="B38" s="56"/>
    </row>
    <row r="39" spans="2:13" x14ac:dyDescent="0.2">
      <c r="B39" s="109" t="str">
        <f>_xlfn.CONCAT(B30," : ",M30," = ",L19)</f>
        <v>µ : 10µ+3T1+4T2+3T3+3B1+2B2+3B3+2B4 = 182</v>
      </c>
    </row>
    <row r="40" spans="2:13" x14ac:dyDescent="0.2">
      <c r="B40" s="109" t="str">
        <f>_xlfn.CONCAT(B31," : ",M31," = ",L20)</f>
        <v>T1 : 3µ+3T1+1B1+1B2+1B3 = 53</v>
      </c>
    </row>
    <row r="41" spans="2:13" x14ac:dyDescent="0.2">
      <c r="B41" s="109" t="str">
        <f>_xlfn.CONCAT(B32," : ",M32," = ",L21)</f>
        <v>T2 : 4µ+4T2+1B1+1B2+1B3+1B4 = 101</v>
      </c>
    </row>
    <row r="42" spans="2:13" x14ac:dyDescent="0.2">
      <c r="B42" s="109" t="str">
        <f>_xlfn.CONCAT(B33," : ",M33," = ",L22)</f>
        <v>T3 : 3µ+3T3+1B1+1B3+1B4 = 28</v>
      </c>
    </row>
    <row r="43" spans="2:13" x14ac:dyDescent="0.2">
      <c r="B43" s="109" t="e">
        <f>_xlfn.CONCAT(#REF!," : ",#REF!," = ",#REF!)</f>
        <v>#REF!</v>
      </c>
    </row>
    <row r="44" spans="2:13" x14ac:dyDescent="0.2">
      <c r="B44" s="109" t="str">
        <f>_xlfn.CONCAT(B34," : ",M34," = ",L23)</f>
        <v>B1 : 3µ+1T1+1T2+1T3+3B1 = 34</v>
      </c>
    </row>
    <row r="45" spans="2:13" x14ac:dyDescent="0.2">
      <c r="B45" s="109" t="str">
        <f>_xlfn.CONCAT(B35," : ",M35," = ",L24)</f>
        <v>B2 : 2µ+1T1+1T2+2B2 = 46</v>
      </c>
    </row>
    <row r="46" spans="2:13" x14ac:dyDescent="0.2">
      <c r="B46" s="109" t="str">
        <f>_xlfn.CONCAT(B36," : ",M36," = ",L25)</f>
        <v>B3 : 3µ+1T1+1T2+1T3+3B3 = 36</v>
      </c>
    </row>
    <row r="47" spans="2:13" x14ac:dyDescent="0.2">
      <c r="B47" s="109" t="str">
        <f>_xlfn.CONCAT(B37," : ",M37," = ",L26)</f>
        <v>B4 : 2µ+1T2+1T3+2B4 = 66</v>
      </c>
    </row>
    <row r="49" spans="2:12" x14ac:dyDescent="0.2">
      <c r="B49" s="87" t="s">
        <v>127</v>
      </c>
      <c r="C49" s="86"/>
      <c r="D49" s="86"/>
    </row>
    <row r="50" spans="2:12" x14ac:dyDescent="0.2">
      <c r="C50" s="83" t="str">
        <f t="shared" ref="C50:K50" si="14">C18</f>
        <v>µ</v>
      </c>
      <c r="D50" s="84" t="str">
        <f t="shared" si="14"/>
        <v>T1</v>
      </c>
      <c r="E50" s="84" t="str">
        <f t="shared" si="14"/>
        <v>T2</v>
      </c>
      <c r="F50" s="84" t="str">
        <f t="shared" si="14"/>
        <v>T3</v>
      </c>
      <c r="G50" s="84" t="str">
        <f t="shared" si="14"/>
        <v>T4</v>
      </c>
      <c r="H50" s="84" t="str">
        <f t="shared" si="14"/>
        <v>B1</v>
      </c>
      <c r="I50" s="84" t="str">
        <f t="shared" si="14"/>
        <v>B2</v>
      </c>
      <c r="J50" s="84" t="str">
        <f t="shared" si="14"/>
        <v>B3</v>
      </c>
      <c r="K50" s="84" t="str">
        <f t="shared" si="14"/>
        <v>B4</v>
      </c>
      <c r="L50" s="82"/>
    </row>
    <row r="51" spans="2:12" x14ac:dyDescent="0.2">
      <c r="B51" s="62" t="str">
        <f t="shared" ref="B51:L51" si="15">B20</f>
        <v>T1</v>
      </c>
      <c r="C51" s="63">
        <f t="shared" si="15"/>
        <v>3</v>
      </c>
      <c r="D51" s="63">
        <f t="shared" si="15"/>
        <v>3</v>
      </c>
      <c r="E51" s="63">
        <f t="shared" si="15"/>
        <v>0</v>
      </c>
      <c r="F51" s="63">
        <f t="shared" si="15"/>
        <v>0</v>
      </c>
      <c r="G51" s="63">
        <f t="shared" si="15"/>
        <v>0</v>
      </c>
      <c r="H51" s="63">
        <f t="shared" si="15"/>
        <v>1</v>
      </c>
      <c r="I51" s="63">
        <f t="shared" si="15"/>
        <v>1</v>
      </c>
      <c r="J51" s="63">
        <f t="shared" si="15"/>
        <v>1</v>
      </c>
      <c r="K51" s="63">
        <f t="shared" si="15"/>
        <v>0</v>
      </c>
      <c r="L51" s="63">
        <f t="shared" si="15"/>
        <v>53</v>
      </c>
    </row>
    <row r="52" spans="2:12" x14ac:dyDescent="0.2">
      <c r="B52" s="66" t="str">
        <f t="shared" ref="B52:L52" si="16">B21</f>
        <v>T2</v>
      </c>
      <c r="C52" s="63">
        <f t="shared" si="16"/>
        <v>4</v>
      </c>
      <c r="D52" s="63">
        <f t="shared" si="16"/>
        <v>0</v>
      </c>
      <c r="E52" s="63">
        <f t="shared" si="16"/>
        <v>4</v>
      </c>
      <c r="F52" s="63">
        <f t="shared" si="16"/>
        <v>0</v>
      </c>
      <c r="G52" s="63">
        <f t="shared" si="16"/>
        <v>0</v>
      </c>
      <c r="H52" s="63">
        <f t="shared" si="16"/>
        <v>1</v>
      </c>
      <c r="I52" s="63">
        <f t="shared" si="16"/>
        <v>1</v>
      </c>
      <c r="J52" s="63">
        <f t="shared" si="16"/>
        <v>1</v>
      </c>
      <c r="K52" s="63">
        <f t="shared" si="16"/>
        <v>1</v>
      </c>
      <c r="L52" s="63">
        <f t="shared" si="16"/>
        <v>101</v>
      </c>
    </row>
    <row r="53" spans="2:12" x14ac:dyDescent="0.2">
      <c r="B53" s="66" t="str">
        <f t="shared" ref="B53:L53" si="17">B22</f>
        <v>T3</v>
      </c>
      <c r="C53" s="63">
        <f t="shared" si="17"/>
        <v>3</v>
      </c>
      <c r="D53" s="63">
        <f t="shared" si="17"/>
        <v>0</v>
      </c>
      <c r="E53" s="63">
        <f t="shared" si="17"/>
        <v>0</v>
      </c>
      <c r="F53" s="63">
        <f t="shared" si="17"/>
        <v>3</v>
      </c>
      <c r="G53" s="63">
        <f t="shared" si="17"/>
        <v>0</v>
      </c>
      <c r="H53" s="63">
        <f t="shared" si="17"/>
        <v>1</v>
      </c>
      <c r="I53" s="63">
        <f t="shared" si="17"/>
        <v>0</v>
      </c>
      <c r="J53" s="63">
        <f t="shared" si="17"/>
        <v>1</v>
      </c>
      <c r="K53" s="63">
        <f t="shared" si="17"/>
        <v>1</v>
      </c>
      <c r="L53" s="63">
        <f t="shared" si="17"/>
        <v>28</v>
      </c>
    </row>
    <row r="54" spans="2:12" x14ac:dyDescent="0.2">
      <c r="B54" s="66" t="str">
        <f t="shared" ref="B54:L56" si="18">B23</f>
        <v>B1</v>
      </c>
      <c r="C54" s="63">
        <f t="shared" si="18"/>
        <v>3</v>
      </c>
      <c r="D54" s="63">
        <f t="shared" si="18"/>
        <v>1</v>
      </c>
      <c r="E54" s="63">
        <f t="shared" si="18"/>
        <v>1</v>
      </c>
      <c r="F54" s="63">
        <f t="shared" si="18"/>
        <v>1</v>
      </c>
      <c r="G54" s="63">
        <f>G23</f>
        <v>0</v>
      </c>
      <c r="H54" s="63">
        <f t="shared" si="18"/>
        <v>3</v>
      </c>
      <c r="I54" s="63">
        <f t="shared" si="18"/>
        <v>0</v>
      </c>
      <c r="J54" s="63">
        <f t="shared" si="18"/>
        <v>0</v>
      </c>
      <c r="K54" s="63">
        <f t="shared" si="18"/>
        <v>0</v>
      </c>
      <c r="L54" s="63">
        <f t="shared" si="18"/>
        <v>34</v>
      </c>
    </row>
    <row r="55" spans="2:12" x14ac:dyDescent="0.2">
      <c r="B55" s="66" t="str">
        <f t="shared" si="18"/>
        <v>B2</v>
      </c>
      <c r="C55" s="63">
        <f t="shared" si="18"/>
        <v>2</v>
      </c>
      <c r="D55" s="63">
        <f t="shared" si="18"/>
        <v>1</v>
      </c>
      <c r="E55" s="63">
        <f t="shared" si="18"/>
        <v>1</v>
      </c>
      <c r="F55" s="63">
        <f t="shared" si="18"/>
        <v>0</v>
      </c>
      <c r="G55" s="63">
        <f>G24</f>
        <v>0</v>
      </c>
      <c r="H55" s="63">
        <f t="shared" si="18"/>
        <v>0</v>
      </c>
      <c r="I55" s="63">
        <f>I24</f>
        <v>2</v>
      </c>
      <c r="J55" s="63">
        <f t="shared" si="18"/>
        <v>0</v>
      </c>
      <c r="K55" s="63">
        <f t="shared" si="18"/>
        <v>0</v>
      </c>
      <c r="L55" s="63">
        <f t="shared" si="18"/>
        <v>46</v>
      </c>
    </row>
    <row r="56" spans="2:12" x14ac:dyDescent="0.2">
      <c r="B56" s="66" t="str">
        <f t="shared" si="18"/>
        <v>B3</v>
      </c>
      <c r="C56" s="63">
        <f t="shared" si="18"/>
        <v>3</v>
      </c>
      <c r="D56" s="63">
        <f t="shared" si="18"/>
        <v>1</v>
      </c>
      <c r="E56" s="63">
        <f t="shared" si="18"/>
        <v>1</v>
      </c>
      <c r="F56" s="63">
        <f t="shared" si="18"/>
        <v>1</v>
      </c>
      <c r="G56" s="63">
        <f>G25</f>
        <v>0</v>
      </c>
      <c r="H56" s="63">
        <f t="shared" si="18"/>
        <v>0</v>
      </c>
      <c r="I56" s="63">
        <f>I25</f>
        <v>0</v>
      </c>
      <c r="J56" s="63">
        <f t="shared" si="18"/>
        <v>3</v>
      </c>
      <c r="K56" s="63">
        <f t="shared" si="18"/>
        <v>0</v>
      </c>
      <c r="L56" s="63">
        <f t="shared" si="18"/>
        <v>36</v>
      </c>
    </row>
    <row r="57" spans="2:12" x14ac:dyDescent="0.2">
      <c r="B57" s="66" t="str">
        <f t="shared" ref="B57:L58" si="19">B27</f>
        <v>Add</v>
      </c>
      <c r="C57" s="63">
        <f t="shared" si="19"/>
        <v>0</v>
      </c>
      <c r="D57" s="63">
        <f t="shared" si="19"/>
        <v>1</v>
      </c>
      <c r="E57" s="63">
        <f t="shared" si="19"/>
        <v>1</v>
      </c>
      <c r="F57" s="63">
        <f t="shared" si="19"/>
        <v>1</v>
      </c>
      <c r="G57" s="63">
        <f t="shared" si="19"/>
        <v>1</v>
      </c>
      <c r="H57" s="63">
        <f t="shared" si="19"/>
        <v>0</v>
      </c>
      <c r="I57" s="63">
        <f t="shared" si="19"/>
        <v>0</v>
      </c>
      <c r="J57" s="63">
        <f t="shared" si="19"/>
        <v>0</v>
      </c>
      <c r="K57" s="63">
        <f t="shared" si="19"/>
        <v>0</v>
      </c>
      <c r="L57" s="63">
        <f t="shared" si="19"/>
        <v>0</v>
      </c>
    </row>
    <row r="58" spans="2:12" x14ac:dyDescent="0.2">
      <c r="B58" s="67" t="str">
        <f t="shared" si="19"/>
        <v>Add</v>
      </c>
      <c r="C58" s="8">
        <f t="shared" si="19"/>
        <v>0</v>
      </c>
      <c r="D58" s="8">
        <f t="shared" si="19"/>
        <v>0</v>
      </c>
      <c r="E58" s="8">
        <f t="shared" si="19"/>
        <v>0</v>
      </c>
      <c r="F58" s="8">
        <f t="shared" si="19"/>
        <v>0</v>
      </c>
      <c r="G58" s="8">
        <f t="shared" si="19"/>
        <v>0</v>
      </c>
      <c r="H58" s="8">
        <f t="shared" si="19"/>
        <v>1</v>
      </c>
      <c r="I58" s="8">
        <f t="shared" si="19"/>
        <v>1</v>
      </c>
      <c r="J58" s="8">
        <f t="shared" si="19"/>
        <v>1</v>
      </c>
      <c r="K58" s="8">
        <f t="shared" si="19"/>
        <v>1</v>
      </c>
      <c r="L58" s="8">
        <f t="shared" si="19"/>
        <v>0</v>
      </c>
    </row>
    <row r="60" spans="2:12" ht="17" x14ac:dyDescent="0.2">
      <c r="B60" s="88" t="s">
        <v>128</v>
      </c>
      <c r="C60" s="56" t="s">
        <v>131</v>
      </c>
      <c r="D60" s="56" t="s">
        <v>132</v>
      </c>
      <c r="E60" s="56" t="s">
        <v>133</v>
      </c>
      <c r="F60" s="56" t="s">
        <v>134</v>
      </c>
      <c r="G60" s="56" t="s">
        <v>135</v>
      </c>
      <c r="H60" s="56" t="s">
        <v>136</v>
      </c>
      <c r="I60" s="56" t="s">
        <v>137</v>
      </c>
      <c r="J60" s="56" t="s">
        <v>104</v>
      </c>
      <c r="K60" s="56" t="s">
        <v>104</v>
      </c>
    </row>
    <row r="61" spans="2:12" x14ac:dyDescent="0.2">
      <c r="B61" s="56" t="s">
        <v>55</v>
      </c>
      <c r="C61" s="85" t="e" cm="1">
        <f t="array" ref="C61">MINVERSE(C51:K58)</f>
        <v>#VALUE!</v>
      </c>
      <c r="D61" s="85"/>
      <c r="E61" s="85"/>
      <c r="F61" s="85"/>
      <c r="G61" s="85"/>
      <c r="H61" s="85"/>
      <c r="I61" s="85"/>
      <c r="J61" s="85"/>
      <c r="K61" s="85"/>
    </row>
    <row r="62" spans="2:12" x14ac:dyDescent="0.2">
      <c r="B62" s="56" t="s">
        <v>131</v>
      </c>
      <c r="C62" s="85"/>
      <c r="D62" s="85"/>
      <c r="E62" s="85"/>
      <c r="F62" s="85"/>
      <c r="G62" s="85"/>
      <c r="H62" s="85"/>
      <c r="I62" s="85"/>
      <c r="J62" s="85"/>
      <c r="K62" s="85"/>
    </row>
    <row r="63" spans="2:12" x14ac:dyDescent="0.2">
      <c r="B63" s="56" t="s">
        <v>132</v>
      </c>
      <c r="C63" s="85"/>
      <c r="D63" s="85"/>
      <c r="E63" s="85"/>
      <c r="F63" s="85"/>
      <c r="G63" s="85"/>
      <c r="H63" s="85"/>
      <c r="I63" s="85"/>
      <c r="J63" s="85"/>
      <c r="K63" s="85"/>
    </row>
    <row r="64" spans="2:12" x14ac:dyDescent="0.2">
      <c r="B64" s="56" t="s">
        <v>133</v>
      </c>
      <c r="C64" s="85"/>
      <c r="D64" s="85"/>
      <c r="E64" s="85"/>
      <c r="F64" s="85"/>
      <c r="G64" s="85"/>
      <c r="H64" s="85"/>
      <c r="I64" s="85"/>
      <c r="J64" s="85"/>
      <c r="K64" s="85"/>
    </row>
    <row r="65" spans="2:11" x14ac:dyDescent="0.2">
      <c r="B65" s="56" t="s">
        <v>134</v>
      </c>
      <c r="C65" s="85"/>
      <c r="D65" s="85"/>
      <c r="E65" s="85"/>
      <c r="F65" s="85"/>
      <c r="G65" s="85"/>
      <c r="H65" s="85"/>
      <c r="I65" s="85"/>
      <c r="J65" s="85"/>
      <c r="K65" s="85"/>
    </row>
    <row r="66" spans="2:11" x14ac:dyDescent="0.2">
      <c r="B66" s="56" t="s">
        <v>135</v>
      </c>
      <c r="C66" s="85"/>
      <c r="D66" s="85"/>
      <c r="E66" s="85"/>
      <c r="F66" s="85"/>
      <c r="G66" s="85"/>
      <c r="H66" s="85"/>
      <c r="I66" s="85"/>
      <c r="J66" s="85"/>
      <c r="K66" s="85"/>
    </row>
    <row r="67" spans="2:11" x14ac:dyDescent="0.2">
      <c r="B67" s="56" t="s">
        <v>136</v>
      </c>
      <c r="C67" s="85"/>
      <c r="D67" s="85"/>
      <c r="E67" s="85"/>
      <c r="F67" s="85"/>
      <c r="G67" s="85"/>
      <c r="H67" s="85"/>
      <c r="I67" s="85"/>
      <c r="J67" s="85"/>
      <c r="K67" s="85"/>
    </row>
    <row r="68" spans="2:11" x14ac:dyDescent="0.2">
      <c r="B68" s="56" t="s">
        <v>137</v>
      </c>
      <c r="C68" s="85"/>
      <c r="D68" s="85"/>
      <c r="E68" s="85"/>
      <c r="F68" s="85"/>
      <c r="G68" s="85"/>
      <c r="H68" s="85"/>
      <c r="I68" s="85"/>
      <c r="J68" s="85"/>
      <c r="K68" s="85"/>
    </row>
    <row r="69" spans="2:11" x14ac:dyDescent="0.2">
      <c r="B69" s="56" t="s">
        <v>138</v>
      </c>
      <c r="C69" s="85"/>
      <c r="D69" s="85"/>
      <c r="E69" s="85"/>
      <c r="F69" s="85"/>
      <c r="G69" s="85"/>
      <c r="H69" s="85"/>
      <c r="I69" s="85"/>
      <c r="J69" s="85"/>
      <c r="K69" s="85"/>
    </row>
    <row r="71" spans="2:11" x14ac:dyDescent="0.2">
      <c r="B71" s="88" t="s">
        <v>129</v>
      </c>
      <c r="C71" s="89" t="s">
        <v>55</v>
      </c>
      <c r="D71" s="90" t="s">
        <v>131</v>
      </c>
      <c r="E71" s="90" t="s">
        <v>132</v>
      </c>
      <c r="F71" s="90" t="s">
        <v>133</v>
      </c>
      <c r="G71" s="90" t="s">
        <v>134</v>
      </c>
      <c r="H71" s="90" t="s">
        <v>135</v>
      </c>
      <c r="I71" s="90" t="s">
        <v>136</v>
      </c>
      <c r="J71" s="90" t="s">
        <v>137</v>
      </c>
      <c r="K71" s="90" t="s">
        <v>138</v>
      </c>
    </row>
    <row r="72" spans="2:11" ht="17" x14ac:dyDescent="0.2">
      <c r="B72" s="91" t="s">
        <v>130</v>
      </c>
      <c r="C72" s="7" t="e" cm="1">
        <f t="array" ref="C72">TRANSPOSE(MMULT(_xlfn.ANCHORARRAY(C61),L51:L58))</f>
        <v>#VALUE!</v>
      </c>
      <c r="D72" s="7"/>
      <c r="E72" s="7"/>
      <c r="F72" s="7"/>
      <c r="G72" s="7"/>
      <c r="H72" s="7"/>
      <c r="I72" s="7"/>
      <c r="J72" s="7"/>
      <c r="K72" s="7"/>
    </row>
    <row r="74" spans="2:11" x14ac:dyDescent="0.2">
      <c r="B74" s="20" t="s">
        <v>139</v>
      </c>
      <c r="C74" s="7" cm="1">
        <f t="array" ref="C74:J74">TRANSPOSE(L19:L26)</f>
        <v>182</v>
      </c>
      <c r="D74" s="7">
        <v>53</v>
      </c>
      <c r="E74" s="7">
        <v>101</v>
      </c>
      <c r="F74" s="7">
        <v>28</v>
      </c>
      <c r="G74" s="7">
        <v>34</v>
      </c>
      <c r="H74" s="7">
        <v>46</v>
      </c>
      <c r="I74" s="7">
        <v>36</v>
      </c>
      <c r="J74" s="7">
        <v>66</v>
      </c>
      <c r="K74" s="7"/>
    </row>
    <row r="76" spans="2:11" x14ac:dyDescent="0.2">
      <c r="C76" s="7" t="e" cm="1">
        <f t="array" ref="C76:J76">_xlfn.ANCHORARRAY(C72)*_xlfn.ANCHORARRAY(C74)</f>
        <v>#VALUE!</v>
      </c>
      <c r="D76" s="7" t="e">
        <v>#VALUE!</v>
      </c>
      <c r="E76" s="7" t="e">
        <v>#VALUE!</v>
      </c>
      <c r="F76" s="7" t="e">
        <v>#VALUE!</v>
      </c>
      <c r="G76" s="7" t="e">
        <v>#VALUE!</v>
      </c>
      <c r="H76" s="7" t="e">
        <v>#VALUE!</v>
      </c>
      <c r="I76" s="7" t="e">
        <v>#VALUE!</v>
      </c>
      <c r="J76" s="7" t="e">
        <v>#VALUE!</v>
      </c>
      <c r="K76" s="7"/>
    </row>
    <row r="79" spans="2:11" x14ac:dyDescent="0.2">
      <c r="B79" t="s">
        <v>3</v>
      </c>
      <c r="C79">
        <f>COUNT(C10:C13)</f>
        <v>3</v>
      </c>
    </row>
    <row r="80" spans="2:11" x14ac:dyDescent="0.2">
      <c r="B80" t="s">
        <v>6</v>
      </c>
      <c r="C80">
        <f>COUNT(D9:G9)</f>
        <v>4</v>
      </c>
    </row>
    <row r="82" spans="2:8" x14ac:dyDescent="0.2">
      <c r="B82" s="88" t="s">
        <v>142</v>
      </c>
      <c r="C82" s="86" t="e">
        <f>SUM(_xlfn.ANCHORARRAY(C76))</f>
        <v>#VALUE!</v>
      </c>
    </row>
    <row r="83" spans="2:8" x14ac:dyDescent="0.2">
      <c r="B83" s="88" t="s">
        <v>143</v>
      </c>
      <c r="C83" s="86">
        <f>C79+C80-1</f>
        <v>6</v>
      </c>
      <c r="D83" s="98" t="s">
        <v>152</v>
      </c>
    </row>
    <row r="84" spans="2:8" x14ac:dyDescent="0.2">
      <c r="B84" s="88" t="s">
        <v>144</v>
      </c>
      <c r="C84" s="86" t="e">
        <f>O14-C82</f>
        <v>#VALUE!</v>
      </c>
    </row>
    <row r="85" spans="2:8" x14ac:dyDescent="0.2">
      <c r="B85" s="88" t="s">
        <v>145</v>
      </c>
      <c r="C85" s="86">
        <f>COUNT(D10:G13)-C83</f>
        <v>4</v>
      </c>
      <c r="D85" s="98" t="s">
        <v>154</v>
      </c>
    </row>
    <row r="86" spans="2:8" x14ac:dyDescent="0.2">
      <c r="B86" s="88" t="s">
        <v>146</v>
      </c>
      <c r="C86" s="92" t="e">
        <f>C84/C85</f>
        <v>#VALUE!</v>
      </c>
    </row>
    <row r="88" spans="2:8" x14ac:dyDescent="0.2">
      <c r="B88" s="86" t="s">
        <v>140</v>
      </c>
      <c r="C88" s="86"/>
    </row>
    <row r="90" spans="2:8" x14ac:dyDescent="0.2">
      <c r="C90" s="83" t="s">
        <v>55</v>
      </c>
      <c r="D90" s="84" t="s">
        <v>135</v>
      </c>
      <c r="E90" s="84" t="s">
        <v>136</v>
      </c>
      <c r="F90" s="84" t="s">
        <v>137</v>
      </c>
      <c r="G90" s="84" t="s">
        <v>138</v>
      </c>
      <c r="H90" s="82"/>
    </row>
    <row r="91" spans="2:8" x14ac:dyDescent="0.2">
      <c r="B91" s="62" t="s">
        <v>55</v>
      </c>
      <c r="C91" s="63">
        <v>15</v>
      </c>
      <c r="D91" s="63">
        <v>4</v>
      </c>
      <c r="E91" s="63">
        <v>3</v>
      </c>
      <c r="F91" s="63">
        <v>4</v>
      </c>
      <c r="G91" s="63">
        <v>4</v>
      </c>
      <c r="H91" s="63">
        <v>595</v>
      </c>
    </row>
    <row r="92" spans="2:8" x14ac:dyDescent="0.2">
      <c r="B92" s="66" t="s">
        <v>135</v>
      </c>
      <c r="C92" s="63">
        <v>4</v>
      </c>
      <c r="D92" s="63">
        <v>4</v>
      </c>
      <c r="E92" s="63">
        <v>0</v>
      </c>
      <c r="F92" s="63">
        <v>0</v>
      </c>
      <c r="G92" s="63">
        <v>0</v>
      </c>
      <c r="H92" s="63">
        <v>140</v>
      </c>
    </row>
    <row r="93" spans="2:8" x14ac:dyDescent="0.2">
      <c r="B93" s="66" t="s">
        <v>136</v>
      </c>
      <c r="C93" s="63">
        <v>3</v>
      </c>
      <c r="D93" s="63">
        <v>0</v>
      </c>
      <c r="E93" s="63">
        <v>3</v>
      </c>
      <c r="F93" s="63">
        <v>0</v>
      </c>
      <c r="G93" s="63">
        <v>0</v>
      </c>
      <c r="H93" s="63">
        <v>127</v>
      </c>
    </row>
    <row r="94" spans="2:8" x14ac:dyDescent="0.2">
      <c r="B94" s="66" t="s">
        <v>137</v>
      </c>
      <c r="C94" s="63">
        <v>4</v>
      </c>
      <c r="D94" s="63">
        <v>0</v>
      </c>
      <c r="E94" s="63">
        <v>0</v>
      </c>
      <c r="F94" s="63">
        <v>4</v>
      </c>
      <c r="G94" s="63">
        <v>0</v>
      </c>
      <c r="H94" s="63">
        <v>132</v>
      </c>
    </row>
    <row r="95" spans="2:8" x14ac:dyDescent="0.2">
      <c r="B95" s="66" t="s">
        <v>138</v>
      </c>
      <c r="C95" s="63">
        <v>4</v>
      </c>
      <c r="D95" s="63">
        <v>0</v>
      </c>
      <c r="E95" s="63">
        <v>0</v>
      </c>
      <c r="F95" s="63">
        <v>0</v>
      </c>
      <c r="G95" s="63">
        <v>4</v>
      </c>
      <c r="H95" s="63">
        <v>196</v>
      </c>
    </row>
    <row r="96" spans="2:8" x14ac:dyDescent="0.2">
      <c r="B96" s="67" t="s">
        <v>104</v>
      </c>
      <c r="C96" s="8">
        <v>0</v>
      </c>
      <c r="D96" s="8">
        <v>1</v>
      </c>
      <c r="E96" s="8">
        <v>1</v>
      </c>
      <c r="F96" s="8">
        <v>1</v>
      </c>
      <c r="G96" s="8">
        <v>1</v>
      </c>
      <c r="H96" s="8">
        <v>0</v>
      </c>
    </row>
    <row r="98" spans="2:7" ht="17" x14ac:dyDescent="0.2">
      <c r="B98" s="88" t="s">
        <v>128</v>
      </c>
    </row>
    <row r="99" spans="2:7" x14ac:dyDescent="0.2">
      <c r="C99" cm="1">
        <f t="array" ref="C99:G103">MINVERSE(C92:G96)</f>
        <v>6.25E-2</v>
      </c>
      <c r="D99">
        <v>8.3333333333333329E-2</v>
      </c>
      <c r="E99">
        <v>6.25E-2</v>
      </c>
      <c r="F99">
        <v>6.25E-2</v>
      </c>
      <c r="G99">
        <v>-0.25</v>
      </c>
    </row>
    <row r="100" spans="2:7" x14ac:dyDescent="0.2">
      <c r="C100">
        <v>0.1875</v>
      </c>
      <c r="D100">
        <v>-8.3333333333333329E-2</v>
      </c>
      <c r="E100">
        <v>-6.25E-2</v>
      </c>
      <c r="F100">
        <v>-6.25E-2</v>
      </c>
      <c r="G100">
        <v>0.25</v>
      </c>
    </row>
    <row r="101" spans="2:7" x14ac:dyDescent="0.2">
      <c r="C101">
        <v>-6.25E-2</v>
      </c>
      <c r="D101">
        <v>0.25</v>
      </c>
      <c r="E101">
        <v>-6.25E-2</v>
      </c>
      <c r="F101">
        <v>-6.25E-2</v>
      </c>
      <c r="G101">
        <v>0.25</v>
      </c>
    </row>
    <row r="102" spans="2:7" x14ac:dyDescent="0.2">
      <c r="C102">
        <v>-6.25E-2</v>
      </c>
      <c r="D102">
        <v>-8.3333333333333329E-2</v>
      </c>
      <c r="E102">
        <v>0.1875</v>
      </c>
      <c r="F102">
        <v>-6.25E-2</v>
      </c>
      <c r="G102">
        <v>0.25</v>
      </c>
    </row>
    <row r="103" spans="2:7" x14ac:dyDescent="0.2">
      <c r="C103">
        <v>-6.25E-2</v>
      </c>
      <c r="D103">
        <v>-8.3333333333333329E-2</v>
      </c>
      <c r="E103">
        <v>-6.25E-2</v>
      </c>
      <c r="F103">
        <v>0.1875</v>
      </c>
      <c r="G103">
        <v>0.25</v>
      </c>
    </row>
    <row r="105" spans="2:7" x14ac:dyDescent="0.2">
      <c r="B105" s="88" t="s">
        <v>129</v>
      </c>
      <c r="C105" s="89" t="s">
        <v>55</v>
      </c>
      <c r="D105" s="90" t="s">
        <v>135</v>
      </c>
      <c r="E105" s="90" t="s">
        <v>136</v>
      </c>
      <c r="F105" s="90" t="s">
        <v>137</v>
      </c>
      <c r="G105" s="90" t="s">
        <v>138</v>
      </c>
    </row>
    <row r="106" spans="2:7" ht="17" x14ac:dyDescent="0.2">
      <c r="B106" s="91" t="s">
        <v>130</v>
      </c>
      <c r="C106" s="7" cm="1">
        <f t="array" ref="C106:G106">TRANSPOSE(MMULT(_xlfn.ANCHORARRAY(C99),H92:H96))</f>
        <v>39.833333333333329</v>
      </c>
      <c r="D106" s="7">
        <v>-4.8333333333333321</v>
      </c>
      <c r="E106" s="7">
        <v>2.5</v>
      </c>
      <c r="F106" s="7">
        <v>-6.8333333333333321</v>
      </c>
      <c r="G106" s="7">
        <v>9.1666666666666679</v>
      </c>
    </row>
    <row r="108" spans="2:7" x14ac:dyDescent="0.2">
      <c r="B108" s="20" t="s">
        <v>141</v>
      </c>
      <c r="C108" s="7" cm="1">
        <f t="array" ref="C108:G108">TRANSPOSE(H91:H95)</f>
        <v>595</v>
      </c>
      <c r="D108" s="7">
        <v>140</v>
      </c>
      <c r="E108" s="7">
        <v>127</v>
      </c>
      <c r="F108" s="7">
        <v>132</v>
      </c>
      <c r="G108" s="7">
        <v>196</v>
      </c>
    </row>
    <row r="110" spans="2:7" x14ac:dyDescent="0.2">
      <c r="C110" s="7" cm="1">
        <f t="array" ref="C110:G110">_xlfn.ANCHORARRAY(C106)*_xlfn.ANCHORARRAY(C108)</f>
        <v>23700.833333333332</v>
      </c>
      <c r="D110" s="7">
        <v>-676.66666666666652</v>
      </c>
      <c r="E110" s="7">
        <v>317.5</v>
      </c>
      <c r="F110" s="7">
        <v>-901.99999999999989</v>
      </c>
      <c r="G110" s="7">
        <v>1796.666666666667</v>
      </c>
    </row>
    <row r="113" spans="2:3" x14ac:dyDescent="0.2">
      <c r="B113" s="88" t="s">
        <v>147</v>
      </c>
      <c r="C113">
        <f>SUM(_xlfn.ANCHORARRAY(C110))</f>
        <v>24236.333333333332</v>
      </c>
    </row>
    <row r="114" spans="2:3" x14ac:dyDescent="0.2">
      <c r="B114" s="88" t="s">
        <v>148</v>
      </c>
      <c r="C114">
        <f>C80</f>
        <v>4</v>
      </c>
    </row>
    <row r="115" spans="2:3" x14ac:dyDescent="0.2">
      <c r="B115" s="88" t="s">
        <v>144</v>
      </c>
      <c r="C115" t="e">
        <f>C82-C113</f>
        <v>#VALUE!</v>
      </c>
    </row>
    <row r="116" spans="2:3" x14ac:dyDescent="0.2">
      <c r="B116" s="88" t="s">
        <v>145</v>
      </c>
      <c r="C116">
        <f>C114-1</f>
        <v>3</v>
      </c>
    </row>
    <row r="117" spans="2:3" x14ac:dyDescent="0.2">
      <c r="B117" s="88" t="s">
        <v>146</v>
      </c>
      <c r="C117" t="e">
        <f>C115/C116</f>
        <v>#VALUE!</v>
      </c>
    </row>
  </sheetData>
  <mergeCells count="6">
    <mergeCell ref="K8:N8"/>
    <mergeCell ref="C1:C2"/>
    <mergeCell ref="D1:G1"/>
    <mergeCell ref="C8:C9"/>
    <mergeCell ref="D8:G8"/>
    <mergeCell ref="J8:J9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15361" r:id="rId3">
          <objectPr defaultSize="0" autoPict="0" r:id="rId4">
            <anchor moveWithCells="1" sizeWithCells="1">
              <from>
                <xdr:col>10</xdr:col>
                <xdr:colOff>304800</xdr:colOff>
                <xdr:row>82</xdr:row>
                <xdr:rowOff>12700</xdr:rowOff>
              </from>
              <to>
                <xdr:col>12</xdr:col>
                <xdr:colOff>393700</xdr:colOff>
                <xdr:row>83</xdr:row>
                <xdr:rowOff>165100</xdr:rowOff>
              </to>
            </anchor>
          </objectPr>
        </oleObject>
      </mc:Choice>
      <mc:Fallback>
        <oleObject progId="Equation.DSMT4" shapeId="15361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77A0A-580E-49B3-BC8B-62ABA579B9C0}">
  <dimension ref="A1:P68"/>
  <sheetViews>
    <sheetView showGridLines="0" topLeftCell="A38" workbookViewId="0">
      <selection activeCell="M106" sqref="M106"/>
    </sheetView>
  </sheetViews>
  <sheetFormatPr baseColWidth="10" defaultColWidth="8.83203125" defaultRowHeight="15" x14ac:dyDescent="0.2"/>
  <cols>
    <col min="2" max="2" width="19.6640625" bestFit="1" customWidth="1"/>
    <col min="5" max="5" width="10.6640625" bestFit="1" customWidth="1"/>
    <col min="14" max="14" width="15.83203125" bestFit="1" customWidth="1"/>
  </cols>
  <sheetData>
    <row r="1" spans="2:16" ht="16" thickBot="1" x14ac:dyDescent="0.25"/>
    <row r="2" spans="2:16" ht="35" thickBot="1" x14ac:dyDescent="0.25">
      <c r="B2" s="22" t="s">
        <v>87</v>
      </c>
      <c r="C2" s="57">
        <v>-1</v>
      </c>
      <c r="D2" s="71" t="s">
        <v>3</v>
      </c>
      <c r="E2" s="71" t="s">
        <v>6</v>
      </c>
      <c r="F2" s="71" t="s">
        <v>88</v>
      </c>
      <c r="G2" s="71" t="s">
        <v>89</v>
      </c>
      <c r="H2" s="71" t="s">
        <v>90</v>
      </c>
      <c r="I2" s="71" t="s">
        <v>91</v>
      </c>
      <c r="J2" s="71" t="s">
        <v>92</v>
      </c>
    </row>
    <row r="3" spans="2:16" ht="18" thickBot="1" x14ac:dyDescent="0.25">
      <c r="B3" s="13" t="s">
        <v>93</v>
      </c>
      <c r="C3" s="1">
        <v>196.6</v>
      </c>
      <c r="D3" s="1">
        <v>197.5</v>
      </c>
      <c r="E3" s="1">
        <v>197.7</v>
      </c>
      <c r="F3" s="1">
        <v>195.6</v>
      </c>
      <c r="G3" s="1">
        <v>198.4</v>
      </c>
      <c r="H3" s="1">
        <v>197.6</v>
      </c>
      <c r="I3" s="1">
        <v>199.6</v>
      </c>
      <c r="J3" s="1">
        <v>197</v>
      </c>
    </row>
    <row r="4" spans="2:16" ht="18" thickBot="1" x14ac:dyDescent="0.25">
      <c r="B4" s="13" t="s">
        <v>94</v>
      </c>
      <c r="C4" s="1">
        <v>196</v>
      </c>
      <c r="D4" s="1">
        <v>196.6</v>
      </c>
      <c r="E4" s="1">
        <v>196</v>
      </c>
      <c r="F4" s="1">
        <v>196.2</v>
      </c>
      <c r="G4" s="1">
        <v>198.6</v>
      </c>
      <c r="H4" s="1">
        <v>198.4</v>
      </c>
      <c r="I4" s="1">
        <v>200.4</v>
      </c>
      <c r="J4" s="1">
        <v>197.8</v>
      </c>
    </row>
    <row r="6" spans="2:16" x14ac:dyDescent="0.2">
      <c r="B6" t="str" cm="1">
        <f t="array" ref="B6:D14">TRANSPOSE(B2:J4)</f>
        <v>Treatment Combination</v>
      </c>
      <c r="C6" t="str">
        <v>Replicate I</v>
      </c>
      <c r="D6" t="str">
        <v>Replicate II</v>
      </c>
      <c r="E6" s="74" t="s">
        <v>16</v>
      </c>
      <c r="F6" s="75" t="s">
        <v>95</v>
      </c>
      <c r="G6" s="75" t="s">
        <v>96</v>
      </c>
      <c r="H6" s="75" t="s">
        <v>97</v>
      </c>
      <c r="I6" s="75" t="s">
        <v>98</v>
      </c>
      <c r="J6" s="75" t="s">
        <v>99</v>
      </c>
      <c r="K6" s="75" t="s">
        <v>100</v>
      </c>
      <c r="L6" s="75" t="s">
        <v>101</v>
      </c>
      <c r="N6" t="s">
        <v>110</v>
      </c>
      <c r="O6">
        <v>3</v>
      </c>
      <c r="P6" t="s">
        <v>155</v>
      </c>
    </row>
    <row r="7" spans="2:16" x14ac:dyDescent="0.2">
      <c r="B7" s="56">
        <v>-1</v>
      </c>
      <c r="C7">
        <v>196.6</v>
      </c>
      <c r="D7">
        <v>196</v>
      </c>
      <c r="E7">
        <f>C7+D7</f>
        <v>392.6</v>
      </c>
      <c r="F7">
        <f>IF($B7=-1,-1,IF($B7="a",1,IF($B7="ab",1,IF($B7="ac",1,IF($B7="abc",1,-1)))))</f>
        <v>-1</v>
      </c>
      <c r="G7">
        <f>IF($B7=-1,-1,IF($B7="b",1,IF($B7="ab",1,IF($B7="bc",1,IF($B7="abc",1,-1)))))</f>
        <v>-1</v>
      </c>
      <c r="H7">
        <f>IF($B7=-1,-1,IF($B7="c",1,IF($B7="ac",1,IF($B7="bc",1,IF($B7="abc",1,-1)))))</f>
        <v>-1</v>
      </c>
      <c r="I7">
        <f>F7*G7</f>
        <v>1</v>
      </c>
      <c r="J7">
        <f>F7*H7</f>
        <v>1</v>
      </c>
      <c r="K7">
        <f>G7*H7</f>
        <v>1</v>
      </c>
      <c r="L7">
        <f>F7*G7*H7</f>
        <v>-1</v>
      </c>
      <c r="N7" t="s">
        <v>103</v>
      </c>
      <c r="O7">
        <f>2^O6</f>
        <v>8</v>
      </c>
    </row>
    <row r="8" spans="2:16" x14ac:dyDescent="0.2">
      <c r="B8" s="56" t="str">
        <v>a</v>
      </c>
      <c r="C8">
        <v>197.5</v>
      </c>
      <c r="D8">
        <v>196.6</v>
      </c>
      <c r="E8">
        <f t="shared" ref="E8:E14" si="0">C8+D8</f>
        <v>394.1</v>
      </c>
      <c r="F8">
        <f t="shared" ref="F8:F14" si="1">IF($B8=-1,-1,IF($B8="a",1,IF($B8="ab",1,IF($B8="ac",1,IF($B8="abc",1,-1)))))</f>
        <v>1</v>
      </c>
      <c r="G8">
        <f t="shared" ref="G8:G14" si="2">IF($B8=-1,-1,IF($B8="b",1,IF($B8="ab",1,IF($B8="bc",1,IF($B8="abc",1,-1)))))</f>
        <v>-1</v>
      </c>
      <c r="H8">
        <f t="shared" ref="H8:H14" si="3">IF($B8=-1,-1,IF($B8="c",1,IF($B8="ac",1,IF($B8="bc",1,IF($B8="abc",1,-1)))))</f>
        <v>-1</v>
      </c>
      <c r="I8">
        <f t="shared" ref="I8:I14" si="4">F8*G8</f>
        <v>-1</v>
      </c>
      <c r="J8">
        <f t="shared" ref="J8:J14" si="5">F8*H8</f>
        <v>-1</v>
      </c>
      <c r="K8">
        <f t="shared" ref="K8:K14" si="6">G8*H8</f>
        <v>1</v>
      </c>
      <c r="L8">
        <f t="shared" ref="L8:L14" si="7">F8*G8*H8</f>
        <v>1</v>
      </c>
      <c r="N8" t="s">
        <v>106</v>
      </c>
      <c r="O8">
        <v>2</v>
      </c>
    </row>
    <row r="9" spans="2:16" x14ac:dyDescent="0.2">
      <c r="B9" s="56" t="str">
        <v>b</v>
      </c>
      <c r="C9">
        <v>197.7</v>
      </c>
      <c r="D9">
        <v>196</v>
      </c>
      <c r="E9">
        <f t="shared" si="0"/>
        <v>393.7</v>
      </c>
      <c r="F9">
        <f t="shared" si="1"/>
        <v>-1</v>
      </c>
      <c r="G9">
        <f t="shared" si="2"/>
        <v>1</v>
      </c>
      <c r="H9">
        <f t="shared" si="3"/>
        <v>-1</v>
      </c>
      <c r="I9">
        <f t="shared" si="4"/>
        <v>-1</v>
      </c>
      <c r="J9">
        <f t="shared" si="5"/>
        <v>1</v>
      </c>
      <c r="K9">
        <f t="shared" si="6"/>
        <v>-1</v>
      </c>
      <c r="L9">
        <f t="shared" si="7"/>
        <v>1</v>
      </c>
      <c r="N9" t="s">
        <v>16</v>
      </c>
      <c r="O9">
        <f>O7*O8</f>
        <v>16</v>
      </c>
    </row>
    <row r="10" spans="2:16" x14ac:dyDescent="0.2">
      <c r="B10" s="56" t="str">
        <v>ab</v>
      </c>
      <c r="C10">
        <v>195.6</v>
      </c>
      <c r="D10">
        <v>196.2</v>
      </c>
      <c r="E10">
        <f t="shared" si="0"/>
        <v>391.79999999999995</v>
      </c>
      <c r="F10">
        <f t="shared" si="1"/>
        <v>1</v>
      </c>
      <c r="G10">
        <f t="shared" si="2"/>
        <v>1</v>
      </c>
      <c r="H10">
        <f t="shared" si="3"/>
        <v>-1</v>
      </c>
      <c r="I10">
        <f t="shared" si="4"/>
        <v>1</v>
      </c>
      <c r="J10">
        <f t="shared" si="5"/>
        <v>-1</v>
      </c>
      <c r="K10">
        <f t="shared" si="6"/>
        <v>-1</v>
      </c>
      <c r="L10">
        <f t="shared" si="7"/>
        <v>-1</v>
      </c>
      <c r="N10" t="s">
        <v>111</v>
      </c>
      <c r="O10">
        <f>(2^(O6-1))*O8</f>
        <v>8</v>
      </c>
      <c r="P10" t="s">
        <v>109</v>
      </c>
    </row>
    <row r="11" spans="2:16" x14ac:dyDescent="0.2">
      <c r="B11" s="56" t="str">
        <v>c</v>
      </c>
      <c r="C11">
        <v>198.4</v>
      </c>
      <c r="D11">
        <v>198.6</v>
      </c>
      <c r="E11">
        <f t="shared" si="0"/>
        <v>397</v>
      </c>
      <c r="F11">
        <f t="shared" si="1"/>
        <v>-1</v>
      </c>
      <c r="G11">
        <f t="shared" si="2"/>
        <v>-1</v>
      </c>
      <c r="H11">
        <f t="shared" si="3"/>
        <v>1</v>
      </c>
      <c r="I11">
        <f t="shared" si="4"/>
        <v>1</v>
      </c>
      <c r="J11">
        <f t="shared" si="5"/>
        <v>-1</v>
      </c>
      <c r="K11">
        <f t="shared" si="6"/>
        <v>-1</v>
      </c>
      <c r="L11">
        <f t="shared" si="7"/>
        <v>1</v>
      </c>
      <c r="N11" t="s">
        <v>112</v>
      </c>
      <c r="O11">
        <f>(2^O6)*O8</f>
        <v>16</v>
      </c>
      <c r="P11" t="s">
        <v>113</v>
      </c>
    </row>
    <row r="12" spans="2:16" x14ac:dyDescent="0.2">
      <c r="B12" s="56" t="str">
        <v>ac</v>
      </c>
      <c r="C12">
        <v>197.6</v>
      </c>
      <c r="D12">
        <v>198.4</v>
      </c>
      <c r="E12">
        <f t="shared" si="0"/>
        <v>396</v>
      </c>
      <c r="F12">
        <f t="shared" si="1"/>
        <v>1</v>
      </c>
      <c r="G12">
        <f t="shared" si="2"/>
        <v>-1</v>
      </c>
      <c r="H12">
        <f t="shared" si="3"/>
        <v>1</v>
      </c>
      <c r="I12">
        <f t="shared" si="4"/>
        <v>-1</v>
      </c>
      <c r="J12">
        <f t="shared" si="5"/>
        <v>1</v>
      </c>
      <c r="K12">
        <f t="shared" si="6"/>
        <v>-1</v>
      </c>
      <c r="L12">
        <f t="shared" si="7"/>
        <v>-1</v>
      </c>
    </row>
    <row r="13" spans="2:16" x14ac:dyDescent="0.2">
      <c r="B13" s="56" t="str">
        <v>bc</v>
      </c>
      <c r="C13">
        <v>199.6</v>
      </c>
      <c r="D13">
        <v>200.4</v>
      </c>
      <c r="E13">
        <f t="shared" si="0"/>
        <v>400</v>
      </c>
      <c r="F13">
        <f t="shared" si="1"/>
        <v>-1</v>
      </c>
      <c r="G13">
        <f t="shared" si="2"/>
        <v>1</v>
      </c>
      <c r="H13">
        <f t="shared" si="3"/>
        <v>1</v>
      </c>
      <c r="I13">
        <f t="shared" si="4"/>
        <v>-1</v>
      </c>
      <c r="J13">
        <f t="shared" si="5"/>
        <v>-1</v>
      </c>
      <c r="K13">
        <f t="shared" si="6"/>
        <v>1</v>
      </c>
      <c r="L13">
        <f t="shared" si="7"/>
        <v>-1</v>
      </c>
    </row>
    <row r="14" spans="2:16" x14ac:dyDescent="0.2">
      <c r="B14" s="56" t="str">
        <v>abc</v>
      </c>
      <c r="C14">
        <v>197</v>
      </c>
      <c r="D14">
        <v>197.8</v>
      </c>
      <c r="E14">
        <f t="shared" si="0"/>
        <v>394.8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1</v>
      </c>
      <c r="L14">
        <f t="shared" si="7"/>
        <v>1</v>
      </c>
    </row>
    <row r="15" spans="2:16" x14ac:dyDescent="0.2">
      <c r="D15" t="s">
        <v>117</v>
      </c>
      <c r="E15">
        <f>SUM(E7:E14)</f>
        <v>3160</v>
      </c>
    </row>
    <row r="16" spans="2:16" x14ac:dyDescent="0.2">
      <c r="D16" t="s">
        <v>118</v>
      </c>
      <c r="E16">
        <f>E15^2</f>
        <v>9985600</v>
      </c>
    </row>
    <row r="18" spans="2:5" x14ac:dyDescent="0.2">
      <c r="B18" s="74" t="s">
        <v>119</v>
      </c>
      <c r="C18" cm="1">
        <f t="array" ref="C18:C25">C7:C14^2</f>
        <v>38651.56</v>
      </c>
      <c r="D18" cm="1">
        <f t="array" ref="D18:D25">D7:D14^2</f>
        <v>38416</v>
      </c>
    </row>
    <row r="19" spans="2:5" x14ac:dyDescent="0.2">
      <c r="C19">
        <v>39006.25</v>
      </c>
      <c r="D19">
        <v>38651.56</v>
      </c>
    </row>
    <row r="20" spans="2:5" x14ac:dyDescent="0.2">
      <c r="C20">
        <v>39085.289999999994</v>
      </c>
      <c r="D20">
        <v>38416</v>
      </c>
    </row>
    <row r="21" spans="2:5" x14ac:dyDescent="0.2">
      <c r="C21">
        <v>38259.360000000001</v>
      </c>
      <c r="D21">
        <v>38494.439999999995</v>
      </c>
    </row>
    <row r="22" spans="2:5" x14ac:dyDescent="0.2">
      <c r="C22">
        <v>39362.560000000005</v>
      </c>
      <c r="D22">
        <v>39441.96</v>
      </c>
    </row>
    <row r="23" spans="2:5" x14ac:dyDescent="0.2">
      <c r="C23">
        <v>39045.759999999995</v>
      </c>
      <c r="D23">
        <v>39362.560000000005</v>
      </c>
    </row>
    <row r="24" spans="2:5" x14ac:dyDescent="0.2">
      <c r="C24">
        <v>39840.159999999996</v>
      </c>
      <c r="D24">
        <v>40160.160000000003</v>
      </c>
    </row>
    <row r="25" spans="2:5" x14ac:dyDescent="0.2">
      <c r="C25">
        <v>38809</v>
      </c>
      <c r="D25">
        <v>39124.840000000004</v>
      </c>
    </row>
    <row r="26" spans="2:5" x14ac:dyDescent="0.2">
      <c r="B26" t="s">
        <v>16</v>
      </c>
      <c r="C26">
        <f>SUM(_xlfn.ANCHORARRAY(C18))</f>
        <v>312059.93999999994</v>
      </c>
      <c r="D26">
        <f>SUM(_xlfn.ANCHORARRAY(D18))</f>
        <v>312067.52</v>
      </c>
      <c r="E26">
        <f>C26+D26</f>
        <v>624127.46</v>
      </c>
    </row>
    <row r="27" spans="2:5" ht="17" x14ac:dyDescent="0.25">
      <c r="B27" t="s">
        <v>9</v>
      </c>
      <c r="E27">
        <f>E26-(E16/O11)</f>
        <v>27.459999999962747</v>
      </c>
    </row>
    <row r="30" spans="2:5" x14ac:dyDescent="0.2">
      <c r="B30" s="74" t="s">
        <v>114</v>
      </c>
      <c r="C30" s="77"/>
      <c r="D30" s="78"/>
      <c r="E30" s="77"/>
    </row>
    <row r="31" spans="2:5" x14ac:dyDescent="0.2">
      <c r="B31" s="76" t="s">
        <v>10</v>
      </c>
      <c r="C31" s="76" t="s">
        <v>102</v>
      </c>
      <c r="D31" s="76" t="s">
        <v>107</v>
      </c>
      <c r="E31" s="76" t="s">
        <v>108</v>
      </c>
    </row>
    <row r="32" spans="2:5" x14ac:dyDescent="0.2">
      <c r="B32" s="66" t="str">
        <f>F6</f>
        <v>A</v>
      </c>
      <c r="C32" s="63" cm="1">
        <f t="array" ref="C32">SUM($C$7:$C$14*F7:F14)+SUM($D$7:$D$14*F7:F14)</f>
        <v>-6.5999999999999943</v>
      </c>
      <c r="D32" s="63">
        <f t="shared" ref="D32:D38" si="8">C32/$O$10</f>
        <v>-0.82499999999999929</v>
      </c>
      <c r="E32" s="63">
        <f t="shared" ref="E32:E38" si="9">(C32^2)/$O$11</f>
        <v>2.7224999999999953</v>
      </c>
    </row>
    <row r="33" spans="2:6" x14ac:dyDescent="0.2">
      <c r="B33" s="66" t="str">
        <f>G6</f>
        <v>B</v>
      </c>
      <c r="C33" s="63" cm="1">
        <f t="array" ref="C33">SUM($C$7:$C$14*G7:G14)+SUM($D$7:$D$14*G7:G14)</f>
        <v>0.59999999999990905</v>
      </c>
      <c r="D33" s="63">
        <f t="shared" si="8"/>
        <v>7.4999999999988631E-2</v>
      </c>
      <c r="E33" s="63">
        <f t="shared" si="9"/>
        <v>2.2499999999993178E-2</v>
      </c>
    </row>
    <row r="34" spans="2:6" x14ac:dyDescent="0.2">
      <c r="B34" s="66" t="str">
        <f>H6</f>
        <v>C</v>
      </c>
      <c r="C34" s="63" cm="1">
        <f t="array" ref="C34">SUM($C$7:$C$14*H7:H14)+SUM($D$7:$D$14*H7:H14)</f>
        <v>15.60000000000008</v>
      </c>
      <c r="D34" s="63">
        <f t="shared" si="8"/>
        <v>1.9500000000000099</v>
      </c>
      <c r="E34" s="63">
        <f t="shared" si="9"/>
        <v>15.210000000000155</v>
      </c>
    </row>
    <row r="35" spans="2:6" x14ac:dyDescent="0.2">
      <c r="B35" s="66" t="str">
        <f>I6</f>
        <v>AB</v>
      </c>
      <c r="C35" s="63" cm="1">
        <f t="array" ref="C35">SUM($C$7:$C$14*I7:I14)+SUM($D$7:$D$14*I7:I14)</f>
        <v>-7.5999999999999943</v>
      </c>
      <c r="D35" s="63">
        <f t="shared" si="8"/>
        <v>-0.94999999999999929</v>
      </c>
      <c r="E35" s="63">
        <f t="shared" si="9"/>
        <v>3.6099999999999945</v>
      </c>
    </row>
    <row r="36" spans="2:6" x14ac:dyDescent="0.2">
      <c r="B36" s="66" t="str">
        <f>J6</f>
        <v>AC</v>
      </c>
      <c r="C36" s="63" cm="1">
        <f t="array" ref="C36">SUM($C$7:$C$14*J7:J14)+SUM($D$7:$D$14*J7:J14)</f>
        <v>-5.7999999999999829</v>
      </c>
      <c r="D36" s="63">
        <f t="shared" si="8"/>
        <v>-0.72499999999999787</v>
      </c>
      <c r="E36" s="63">
        <f t="shared" si="9"/>
        <v>2.1024999999999876</v>
      </c>
    </row>
    <row r="37" spans="2:6" x14ac:dyDescent="0.2">
      <c r="B37" s="66" t="str">
        <f>K6</f>
        <v>BC</v>
      </c>
      <c r="C37" s="63" cm="1">
        <f t="array" ref="C37">SUM($C$7:$C$14*K7:K14)+SUM($D$7:$D$14*K7:K14)</f>
        <v>3.0000000000001137</v>
      </c>
      <c r="D37" s="63">
        <f t="shared" si="8"/>
        <v>0.37500000000001421</v>
      </c>
      <c r="E37" s="63">
        <f t="shared" si="9"/>
        <v>0.56250000000004263</v>
      </c>
    </row>
    <row r="38" spans="2:6" x14ac:dyDescent="0.2">
      <c r="B38" s="67" t="str">
        <f>L6</f>
        <v>ABC</v>
      </c>
      <c r="C38" s="8" cm="1">
        <f t="array" ref="C38">SUM($C$7:$C$14*L7:L14)+SUM($D$7:$D$14*L7:L14)</f>
        <v>-0.79999999999998295</v>
      </c>
      <c r="D38" s="8">
        <f t="shared" si="8"/>
        <v>-9.9999999999997868E-2</v>
      </c>
      <c r="E38" s="8">
        <f t="shared" si="9"/>
        <v>3.9999999999998294E-2</v>
      </c>
    </row>
    <row r="40" spans="2:6" x14ac:dyDescent="0.2">
      <c r="B40" s="74" t="s">
        <v>115</v>
      </c>
      <c r="C40" s="77"/>
      <c r="D40" s="77"/>
      <c r="E40" s="77"/>
      <c r="F40" s="77"/>
    </row>
    <row r="41" spans="2:6" x14ac:dyDescent="0.2">
      <c r="B41" s="79" t="str">
        <f t="shared" ref="B41:B48" si="10">B31</f>
        <v>Source of Variation</v>
      </c>
      <c r="C41" s="79" t="str">
        <f t="shared" ref="C41:C48" si="11">E31</f>
        <v>SS</v>
      </c>
      <c r="D41" s="79" t="s">
        <v>116</v>
      </c>
      <c r="E41" s="79" t="s">
        <v>13</v>
      </c>
      <c r="F41" s="79" t="s">
        <v>120</v>
      </c>
    </row>
    <row r="42" spans="2:6" x14ac:dyDescent="0.2">
      <c r="B42" s="66" t="str">
        <f t="shared" si="10"/>
        <v>A</v>
      </c>
      <c r="C42" s="63">
        <f t="shared" si="11"/>
        <v>2.7224999999999953</v>
      </c>
      <c r="D42" s="63">
        <v>1</v>
      </c>
      <c r="E42" s="63">
        <f>C42/D42</f>
        <v>2.7224999999999953</v>
      </c>
      <c r="F42" s="80">
        <f>E42/$E$49</f>
        <v>6.8275862069766369</v>
      </c>
    </row>
    <row r="43" spans="2:6" x14ac:dyDescent="0.2">
      <c r="B43" s="66" t="str">
        <f t="shared" si="10"/>
        <v>B</v>
      </c>
      <c r="C43" s="63">
        <f t="shared" si="11"/>
        <v>2.2499999999993178E-2</v>
      </c>
      <c r="D43" s="63">
        <v>1</v>
      </c>
      <c r="E43" s="63">
        <f t="shared" ref="E43:E49" si="12">C43/D43</f>
        <v>2.2499999999993178E-2</v>
      </c>
      <c r="F43" s="80">
        <f t="shared" ref="F43:F48" si="13">E43/$E$49</f>
        <v>5.6426332289046102E-2</v>
      </c>
    </row>
    <row r="44" spans="2:6" x14ac:dyDescent="0.2">
      <c r="B44" s="66" t="str">
        <f t="shared" si="10"/>
        <v>C</v>
      </c>
      <c r="C44" s="63">
        <f t="shared" si="11"/>
        <v>15.210000000000155</v>
      </c>
      <c r="D44" s="63">
        <v>1</v>
      </c>
      <c r="E44" s="63">
        <f t="shared" si="12"/>
        <v>15.210000000000155</v>
      </c>
      <c r="F44" s="80">
        <f t="shared" si="13"/>
        <v>38.144200627407123</v>
      </c>
    </row>
    <row r="45" spans="2:6" x14ac:dyDescent="0.2">
      <c r="B45" s="66" t="str">
        <f t="shared" si="10"/>
        <v>AB</v>
      </c>
      <c r="C45" s="63">
        <f t="shared" si="11"/>
        <v>3.6099999999999945</v>
      </c>
      <c r="D45" s="63">
        <v>1</v>
      </c>
      <c r="E45" s="63">
        <f t="shared" si="12"/>
        <v>3.6099999999999945</v>
      </c>
      <c r="F45" s="80">
        <f t="shared" si="13"/>
        <v>9.0532915361563511</v>
      </c>
    </row>
    <row r="46" spans="2:6" x14ac:dyDescent="0.2">
      <c r="B46" s="66" t="str">
        <f t="shared" si="10"/>
        <v>AC</v>
      </c>
      <c r="C46" s="63">
        <f t="shared" si="11"/>
        <v>2.1024999999999876</v>
      </c>
      <c r="D46" s="63">
        <v>1</v>
      </c>
      <c r="E46" s="63">
        <f t="shared" si="12"/>
        <v>2.1024999999999876</v>
      </c>
      <c r="F46" s="80">
        <f t="shared" si="13"/>
        <v>5.2727272727890977</v>
      </c>
    </row>
    <row r="47" spans="2:6" x14ac:dyDescent="0.2">
      <c r="B47" s="66" t="str">
        <f t="shared" si="10"/>
        <v>BC</v>
      </c>
      <c r="C47" s="63">
        <f t="shared" si="11"/>
        <v>0.56250000000004263</v>
      </c>
      <c r="D47" s="63">
        <v>1</v>
      </c>
      <c r="E47" s="63">
        <f t="shared" si="12"/>
        <v>0.56250000000004263</v>
      </c>
      <c r="F47" s="80">
        <f t="shared" si="13"/>
        <v>1.4106583072266872</v>
      </c>
    </row>
    <row r="48" spans="2:6" x14ac:dyDescent="0.2">
      <c r="B48" s="66" t="str">
        <f t="shared" si="10"/>
        <v>ABC</v>
      </c>
      <c r="C48" s="63">
        <f t="shared" si="11"/>
        <v>3.9999999999998294E-2</v>
      </c>
      <c r="D48" s="63">
        <v>1</v>
      </c>
      <c r="E48" s="63">
        <f t="shared" si="12"/>
        <v>3.9999999999998294E-2</v>
      </c>
      <c r="F48" s="80">
        <f t="shared" si="13"/>
        <v>0.10031347962499698</v>
      </c>
    </row>
    <row r="49" spans="1:12" x14ac:dyDescent="0.2">
      <c r="B49" s="66" t="s">
        <v>15</v>
      </c>
      <c r="C49" s="63">
        <f>C50-SUM(C42:C48)</f>
        <v>3.189999999962577</v>
      </c>
      <c r="D49" s="63">
        <f>D50-SUM(D42:D48)</f>
        <v>8</v>
      </c>
      <c r="E49" s="63">
        <f t="shared" si="12"/>
        <v>0.39874999999532212</v>
      </c>
      <c r="F49" s="63"/>
    </row>
    <row r="50" spans="1:12" x14ac:dyDescent="0.2">
      <c r="B50" s="67" t="s">
        <v>16</v>
      </c>
      <c r="C50" s="8">
        <f>E27</f>
        <v>27.459999999962747</v>
      </c>
      <c r="D50" s="8">
        <f>O11-1</f>
        <v>15</v>
      </c>
      <c r="E50" s="8"/>
      <c r="F50" s="8"/>
    </row>
    <row r="52" spans="1:12" x14ac:dyDescent="0.2">
      <c r="A52" t="s">
        <v>121</v>
      </c>
      <c r="C52">
        <v>-1</v>
      </c>
      <c r="D52">
        <v>1</v>
      </c>
      <c r="G52">
        <v>-1</v>
      </c>
      <c r="H52">
        <v>1</v>
      </c>
      <c r="K52">
        <v>-1</v>
      </c>
      <c r="L52">
        <v>1</v>
      </c>
    </row>
    <row r="53" spans="1:12" x14ac:dyDescent="0.2">
      <c r="B53" t="s">
        <v>95</v>
      </c>
      <c r="C53">
        <f>SUMIF(F7:F14,"&lt;0",$E$7:$E$14)/$O$10</f>
        <v>197.91249999999999</v>
      </c>
      <c r="D53">
        <f>SUMIF(F7:F14,"&gt;0",$E$7:$E$14)/$O$10</f>
        <v>197.08750000000001</v>
      </c>
      <c r="F53" t="s">
        <v>96</v>
      </c>
      <c r="G53">
        <f>SUMIF(G7:G14,"&lt;0",$E$7:$E$14)/$O$10</f>
        <v>197.46250000000001</v>
      </c>
      <c r="H53">
        <f>SUMIF(G7:G14,"&gt;0",$E$7:$E$14)/$O$10</f>
        <v>197.53749999999999</v>
      </c>
      <c r="J53" t="s">
        <v>97</v>
      </c>
      <c r="K53">
        <f>SUMIF(H7:H14,"&lt;0",$E$7:$E$14)/$O$10</f>
        <v>196.52500000000001</v>
      </c>
      <c r="L53">
        <f>SUMIF(H7:H14,"&gt;0",$E$7:$E$14)/$O$10</f>
        <v>198.47499999999999</v>
      </c>
    </row>
    <row r="66" spans="1:14" x14ac:dyDescent="0.2">
      <c r="A66" t="s">
        <v>96</v>
      </c>
      <c r="C66" s="56">
        <v>-1</v>
      </c>
      <c r="D66" s="56">
        <v>1</v>
      </c>
      <c r="F66" t="s">
        <v>97</v>
      </c>
      <c r="H66" s="56">
        <v>-1</v>
      </c>
      <c r="I66" s="56">
        <v>1</v>
      </c>
      <c r="K66" t="s">
        <v>97</v>
      </c>
      <c r="M66" s="56">
        <v>-1</v>
      </c>
      <c r="N66" s="56">
        <v>1</v>
      </c>
    </row>
    <row r="67" spans="1:14" x14ac:dyDescent="0.2">
      <c r="A67" t="s">
        <v>95</v>
      </c>
      <c r="B67" t="s">
        <v>122</v>
      </c>
      <c r="C67" s="81">
        <f>(E7+E11)/4</f>
        <v>197.4</v>
      </c>
      <c r="D67" s="72">
        <f>(E9+E13)/4</f>
        <v>198.42500000000001</v>
      </c>
      <c r="F67" t="s">
        <v>95</v>
      </c>
      <c r="G67" t="s">
        <v>122</v>
      </c>
      <c r="H67" s="93">
        <f>(E7+E9)/4</f>
        <v>196.57499999999999</v>
      </c>
      <c r="I67" s="93">
        <f>(E11+E13)/4</f>
        <v>199.25</v>
      </c>
      <c r="K67" t="s">
        <v>96</v>
      </c>
      <c r="L67" t="s">
        <v>124</v>
      </c>
      <c r="M67">
        <f>(E7+E8)/4</f>
        <v>196.67500000000001</v>
      </c>
      <c r="N67">
        <f>(E11+E12)/4</f>
        <v>198.25</v>
      </c>
    </row>
    <row r="68" spans="1:14" x14ac:dyDescent="0.2">
      <c r="B68" t="s">
        <v>123</v>
      </c>
      <c r="C68" s="81">
        <f>(E8+E12)/4</f>
        <v>197.52500000000001</v>
      </c>
      <c r="D68" s="72">
        <f>(E10+E14)/4</f>
        <v>196.64999999999998</v>
      </c>
      <c r="G68" t="s">
        <v>123</v>
      </c>
      <c r="H68" s="93">
        <f>(E8+E10)/4</f>
        <v>196.47499999999999</v>
      </c>
      <c r="I68" s="93">
        <f>(E12+E14)/4</f>
        <v>197.7</v>
      </c>
      <c r="L68" t="s">
        <v>125</v>
      </c>
      <c r="M68">
        <f>(E9+E10)/4</f>
        <v>196.375</v>
      </c>
      <c r="N68">
        <f>(E13+E14)/4</f>
        <v>198.7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0DB90-1642-4DA8-9560-AEE19E3CEA8B}">
  <dimension ref="A1:P68"/>
  <sheetViews>
    <sheetView showGridLines="0" topLeftCell="A48" zoomScale="125" workbookViewId="0">
      <selection activeCell="C35" sqref="C35"/>
    </sheetView>
  </sheetViews>
  <sheetFormatPr baseColWidth="10" defaultColWidth="8.83203125" defaultRowHeight="15" x14ac:dyDescent="0.2"/>
  <cols>
    <col min="2" max="2" width="19.6640625" bestFit="1" customWidth="1"/>
    <col min="5" max="5" width="10.6640625" bestFit="1" customWidth="1"/>
    <col min="14" max="14" width="15.83203125" bestFit="1" customWidth="1"/>
  </cols>
  <sheetData>
    <row r="1" spans="2:16" ht="16" thickBot="1" x14ac:dyDescent="0.25"/>
    <row r="2" spans="2:16" ht="35" thickBot="1" x14ac:dyDescent="0.25">
      <c r="B2" s="22" t="s">
        <v>87</v>
      </c>
      <c r="C2" s="57">
        <v>-1</v>
      </c>
      <c r="D2" s="71" t="s">
        <v>3</v>
      </c>
      <c r="E2" s="71" t="s">
        <v>6</v>
      </c>
      <c r="F2" s="71" t="s">
        <v>88</v>
      </c>
      <c r="G2" s="71" t="s">
        <v>89</v>
      </c>
      <c r="H2" s="71" t="s">
        <v>90</v>
      </c>
      <c r="I2" s="71" t="s">
        <v>91</v>
      </c>
      <c r="J2" s="71" t="s">
        <v>92</v>
      </c>
    </row>
    <row r="3" spans="2:16" ht="18" thickBot="1" x14ac:dyDescent="0.25">
      <c r="B3" s="13" t="s">
        <v>93</v>
      </c>
      <c r="C3" s="22">
        <v>8.5609999999999999</v>
      </c>
      <c r="D3" s="57">
        <v>16.867000000000001</v>
      </c>
      <c r="E3" s="57">
        <v>13.875999999999999</v>
      </c>
      <c r="F3" s="57">
        <v>19.824000000000002</v>
      </c>
      <c r="G3" s="57">
        <v>11.846</v>
      </c>
      <c r="H3" s="57">
        <v>6.125</v>
      </c>
      <c r="I3" s="57">
        <v>11.19</v>
      </c>
      <c r="J3" s="57">
        <v>15.653</v>
      </c>
    </row>
    <row r="4" spans="2:16" ht="18" thickBot="1" x14ac:dyDescent="0.25">
      <c r="B4" s="13" t="s">
        <v>94</v>
      </c>
      <c r="C4" s="13">
        <v>8.9510000000000005</v>
      </c>
      <c r="D4" s="1">
        <v>17.052</v>
      </c>
      <c r="E4" s="1">
        <v>13.657999999999999</v>
      </c>
      <c r="F4" s="1">
        <v>19.638999999999999</v>
      </c>
      <c r="G4" s="1">
        <v>12.337</v>
      </c>
      <c r="H4" s="1">
        <v>5.9039999999999999</v>
      </c>
      <c r="I4" s="1">
        <v>10.935</v>
      </c>
      <c r="J4" s="1">
        <v>15.053000000000001</v>
      </c>
    </row>
    <row r="6" spans="2:16" x14ac:dyDescent="0.2">
      <c r="B6" t="str" cm="1">
        <f t="array" ref="B6:D14">TRANSPOSE(B2:J4)</f>
        <v>Treatment Combination</v>
      </c>
      <c r="C6" t="str">
        <v>Replicate I</v>
      </c>
      <c r="D6" t="str">
        <v>Replicate II</v>
      </c>
      <c r="E6" s="74" t="s">
        <v>16</v>
      </c>
      <c r="F6" s="75" t="s">
        <v>95</v>
      </c>
      <c r="G6" s="75" t="s">
        <v>96</v>
      </c>
      <c r="H6" s="75" t="s">
        <v>97</v>
      </c>
      <c r="I6" s="75" t="s">
        <v>98</v>
      </c>
      <c r="J6" s="75" t="s">
        <v>99</v>
      </c>
      <c r="K6" s="75" t="s">
        <v>100</v>
      </c>
      <c r="L6" s="75" t="s">
        <v>101</v>
      </c>
      <c r="N6" t="s">
        <v>110</v>
      </c>
      <c r="O6" s="94">
        <v>3</v>
      </c>
      <c r="P6" t="s">
        <v>155</v>
      </c>
    </row>
    <row r="7" spans="2:16" x14ac:dyDescent="0.2">
      <c r="B7" s="56">
        <v>-1</v>
      </c>
      <c r="C7">
        <v>8.5609999999999999</v>
      </c>
      <c r="D7">
        <v>8.9510000000000005</v>
      </c>
      <c r="E7">
        <f>C7+D7</f>
        <v>17.512</v>
      </c>
      <c r="F7">
        <f>IF($B7=-1,-1,IF($B7="a",1,IF($B7="ab",1,IF($B7="ac",1,IF($B7="abc",1,-1)))))</f>
        <v>-1</v>
      </c>
      <c r="G7">
        <f>IF($B7=-1,-1,IF($B7="b",1,IF($B7="ab",1,IF($B7="bc",1,IF($B7="abc",1,-1)))))</f>
        <v>-1</v>
      </c>
      <c r="H7">
        <f>IF($B7=-1,-1,IF($B7="c",1,IF($B7="ac",1,IF($B7="bc",1,IF($B7="abc",1,-1)))))</f>
        <v>-1</v>
      </c>
      <c r="I7">
        <f>F7*G7</f>
        <v>1</v>
      </c>
      <c r="J7">
        <f>F7*H7</f>
        <v>1</v>
      </c>
      <c r="K7">
        <f>G7*H7</f>
        <v>1</v>
      </c>
      <c r="L7">
        <f>F7*G7*H7</f>
        <v>-1</v>
      </c>
      <c r="N7" t="s">
        <v>103</v>
      </c>
      <c r="O7">
        <f>2^O6</f>
        <v>8</v>
      </c>
    </row>
    <row r="8" spans="2:16" x14ac:dyDescent="0.2">
      <c r="B8" s="56" t="str">
        <v>a</v>
      </c>
      <c r="C8">
        <v>16.867000000000001</v>
      </c>
      <c r="D8">
        <v>17.052</v>
      </c>
      <c r="E8">
        <f t="shared" ref="E8:E14" si="0">C8+D8</f>
        <v>33.918999999999997</v>
      </c>
      <c r="F8">
        <f t="shared" ref="F8:F14" si="1">IF($B8=-1,-1,IF($B8="a",1,IF($B8="ab",1,IF($B8="ac",1,IF($B8="abc",1,-1)))))</f>
        <v>1</v>
      </c>
      <c r="G8">
        <f t="shared" ref="G8:G14" si="2">IF($B8=-1,-1,IF($B8="b",1,IF($B8="ab",1,IF($B8="bc",1,IF($B8="abc",1,-1)))))</f>
        <v>-1</v>
      </c>
      <c r="H8">
        <f t="shared" ref="H8:H14" si="3">IF($B8=-1,-1,IF($B8="c",1,IF($B8="ac",1,IF($B8="bc",1,IF($B8="abc",1,-1)))))</f>
        <v>-1</v>
      </c>
      <c r="I8">
        <f t="shared" ref="I8:I14" si="4">F8*G8</f>
        <v>-1</v>
      </c>
      <c r="J8">
        <f t="shared" ref="J8:J14" si="5">F8*H8</f>
        <v>-1</v>
      </c>
      <c r="K8">
        <f t="shared" ref="K8:K14" si="6">G8*H8</f>
        <v>1</v>
      </c>
      <c r="L8">
        <f t="shared" ref="L8:L14" si="7">F8*G8*H8</f>
        <v>1</v>
      </c>
      <c r="N8" t="s">
        <v>106</v>
      </c>
      <c r="O8">
        <v>2</v>
      </c>
    </row>
    <row r="9" spans="2:16" x14ac:dyDescent="0.2">
      <c r="B9" s="56" t="str">
        <v>b</v>
      </c>
      <c r="C9">
        <v>13.875999999999999</v>
      </c>
      <c r="D9">
        <v>13.657999999999999</v>
      </c>
      <c r="E9">
        <f t="shared" si="0"/>
        <v>27.533999999999999</v>
      </c>
      <c r="F9">
        <f t="shared" si="1"/>
        <v>-1</v>
      </c>
      <c r="G9">
        <f t="shared" si="2"/>
        <v>1</v>
      </c>
      <c r="H9">
        <f t="shared" si="3"/>
        <v>-1</v>
      </c>
      <c r="I9">
        <f t="shared" si="4"/>
        <v>-1</v>
      </c>
      <c r="J9">
        <f t="shared" si="5"/>
        <v>1</v>
      </c>
      <c r="K9">
        <f t="shared" si="6"/>
        <v>-1</v>
      </c>
      <c r="L9">
        <f t="shared" si="7"/>
        <v>1</v>
      </c>
      <c r="N9" t="s">
        <v>16</v>
      </c>
      <c r="O9">
        <f>O7*O8</f>
        <v>16</v>
      </c>
    </row>
    <row r="10" spans="2:16" x14ac:dyDescent="0.2">
      <c r="B10" s="56" t="str">
        <v>ab</v>
      </c>
      <c r="C10">
        <v>19.824000000000002</v>
      </c>
      <c r="D10">
        <v>19.638999999999999</v>
      </c>
      <c r="E10">
        <f t="shared" si="0"/>
        <v>39.463000000000001</v>
      </c>
      <c r="F10">
        <f t="shared" si="1"/>
        <v>1</v>
      </c>
      <c r="G10">
        <f t="shared" si="2"/>
        <v>1</v>
      </c>
      <c r="H10">
        <f t="shared" si="3"/>
        <v>-1</v>
      </c>
      <c r="I10">
        <f t="shared" si="4"/>
        <v>1</v>
      </c>
      <c r="J10">
        <f t="shared" si="5"/>
        <v>-1</v>
      </c>
      <c r="K10">
        <f t="shared" si="6"/>
        <v>-1</v>
      </c>
      <c r="L10">
        <f t="shared" si="7"/>
        <v>-1</v>
      </c>
      <c r="N10" t="s">
        <v>111</v>
      </c>
      <c r="O10">
        <f>(2^(O6-1))*O8</f>
        <v>8</v>
      </c>
      <c r="P10" t="s">
        <v>109</v>
      </c>
    </row>
    <row r="11" spans="2:16" x14ac:dyDescent="0.2">
      <c r="B11" s="56" t="str">
        <v>c</v>
      </c>
      <c r="C11">
        <v>11.846</v>
      </c>
      <c r="D11">
        <v>12.337</v>
      </c>
      <c r="E11">
        <f t="shared" si="0"/>
        <v>24.183</v>
      </c>
      <c r="F11">
        <f t="shared" si="1"/>
        <v>-1</v>
      </c>
      <c r="G11">
        <f t="shared" si="2"/>
        <v>-1</v>
      </c>
      <c r="H11">
        <f t="shared" si="3"/>
        <v>1</v>
      </c>
      <c r="I11">
        <f t="shared" si="4"/>
        <v>1</v>
      </c>
      <c r="J11">
        <f t="shared" si="5"/>
        <v>-1</v>
      </c>
      <c r="K11">
        <f t="shared" si="6"/>
        <v>-1</v>
      </c>
      <c r="L11">
        <f t="shared" si="7"/>
        <v>1</v>
      </c>
      <c r="N11" t="s">
        <v>112</v>
      </c>
      <c r="O11">
        <f>(2^O6)*O8</f>
        <v>16</v>
      </c>
      <c r="P11" t="s">
        <v>113</v>
      </c>
    </row>
    <row r="12" spans="2:16" x14ac:dyDescent="0.2">
      <c r="B12" s="56" t="str">
        <v>ac</v>
      </c>
      <c r="C12">
        <v>6.125</v>
      </c>
      <c r="D12">
        <v>5.9039999999999999</v>
      </c>
      <c r="E12">
        <f t="shared" si="0"/>
        <v>12.029</v>
      </c>
      <c r="F12">
        <f t="shared" si="1"/>
        <v>1</v>
      </c>
      <c r="G12">
        <f t="shared" si="2"/>
        <v>-1</v>
      </c>
      <c r="H12">
        <f t="shared" si="3"/>
        <v>1</v>
      </c>
      <c r="I12">
        <f t="shared" si="4"/>
        <v>-1</v>
      </c>
      <c r="J12">
        <f t="shared" si="5"/>
        <v>1</v>
      </c>
      <c r="K12">
        <f t="shared" si="6"/>
        <v>-1</v>
      </c>
      <c r="L12">
        <f t="shared" si="7"/>
        <v>-1</v>
      </c>
    </row>
    <row r="13" spans="2:16" x14ac:dyDescent="0.2">
      <c r="B13" s="56" t="str">
        <v>bc</v>
      </c>
      <c r="C13">
        <v>11.19</v>
      </c>
      <c r="D13">
        <v>10.935</v>
      </c>
      <c r="E13">
        <f t="shared" si="0"/>
        <v>22.125</v>
      </c>
      <c r="F13">
        <f t="shared" si="1"/>
        <v>-1</v>
      </c>
      <c r="G13">
        <f t="shared" si="2"/>
        <v>1</v>
      </c>
      <c r="H13">
        <f t="shared" si="3"/>
        <v>1</v>
      </c>
      <c r="I13">
        <f t="shared" si="4"/>
        <v>-1</v>
      </c>
      <c r="J13">
        <f t="shared" si="5"/>
        <v>-1</v>
      </c>
      <c r="K13">
        <f t="shared" si="6"/>
        <v>1</v>
      </c>
      <c r="L13">
        <f t="shared" si="7"/>
        <v>-1</v>
      </c>
    </row>
    <row r="14" spans="2:16" x14ac:dyDescent="0.2">
      <c r="B14" s="56" t="str">
        <v>abc</v>
      </c>
      <c r="C14">
        <v>15.653</v>
      </c>
      <c r="D14">
        <v>15.053000000000001</v>
      </c>
      <c r="E14">
        <f t="shared" si="0"/>
        <v>30.706000000000003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1</v>
      </c>
      <c r="L14">
        <f t="shared" si="7"/>
        <v>1</v>
      </c>
    </row>
    <row r="15" spans="2:16" x14ac:dyDescent="0.2">
      <c r="D15" t="s">
        <v>117</v>
      </c>
      <c r="E15">
        <f>SUM(E7:E14)</f>
        <v>207.471</v>
      </c>
    </row>
    <row r="16" spans="2:16" x14ac:dyDescent="0.2">
      <c r="D16" t="s">
        <v>118</v>
      </c>
      <c r="E16">
        <f>E15^2</f>
        <v>43044.215841000005</v>
      </c>
    </row>
    <row r="18" spans="2:5" x14ac:dyDescent="0.2">
      <c r="B18" s="74" t="s">
        <v>119</v>
      </c>
      <c r="C18" cm="1">
        <f t="array" ref="C18:C25">C7:C14^2</f>
        <v>73.290721000000005</v>
      </c>
      <c r="D18" cm="1">
        <f t="array" ref="D18:D25">D7:D14^2</f>
        <v>80.120401000000015</v>
      </c>
    </row>
    <row r="19" spans="2:5" x14ac:dyDescent="0.2">
      <c r="C19">
        <v>284.49568900000003</v>
      </c>
      <c r="D19">
        <v>290.77070399999997</v>
      </c>
    </row>
    <row r="20" spans="2:5" x14ac:dyDescent="0.2">
      <c r="C20">
        <v>192.54337599999999</v>
      </c>
      <c r="D20">
        <v>186.54096399999997</v>
      </c>
    </row>
    <row r="21" spans="2:5" x14ac:dyDescent="0.2">
      <c r="C21">
        <v>392.99097600000005</v>
      </c>
      <c r="D21">
        <v>385.69032099999998</v>
      </c>
    </row>
    <row r="22" spans="2:5" x14ac:dyDescent="0.2">
      <c r="C22">
        <v>140.32771600000001</v>
      </c>
      <c r="D22">
        <v>152.20156900000001</v>
      </c>
    </row>
    <row r="23" spans="2:5" x14ac:dyDescent="0.2">
      <c r="C23">
        <v>37.515625</v>
      </c>
      <c r="D23">
        <v>34.857216000000001</v>
      </c>
    </row>
    <row r="24" spans="2:5" x14ac:dyDescent="0.2">
      <c r="C24">
        <v>125.21609999999998</v>
      </c>
      <c r="D24">
        <v>119.57422500000001</v>
      </c>
    </row>
    <row r="25" spans="2:5" x14ac:dyDescent="0.2">
      <c r="C25">
        <v>245.01640900000001</v>
      </c>
      <c r="D25">
        <v>226.59280900000002</v>
      </c>
    </row>
    <row r="26" spans="2:5" x14ac:dyDescent="0.2">
      <c r="B26" t="s">
        <v>16</v>
      </c>
      <c r="C26">
        <f>SUM(_xlfn.ANCHORARRAY(C18))</f>
        <v>1491.3966120000002</v>
      </c>
      <c r="D26">
        <f>SUM(_xlfn.ANCHORARRAY(D18))</f>
        <v>1476.3482090000002</v>
      </c>
      <c r="E26">
        <f>C26+D26</f>
        <v>2967.7448210000002</v>
      </c>
    </row>
    <row r="27" spans="2:5" ht="17" x14ac:dyDescent="0.25">
      <c r="B27" t="s">
        <v>9</v>
      </c>
      <c r="E27">
        <f>E26-(E16/O11)</f>
        <v>277.48133093749993</v>
      </c>
    </row>
    <row r="30" spans="2:5" x14ac:dyDescent="0.2">
      <c r="B30" s="74" t="s">
        <v>114</v>
      </c>
      <c r="C30" s="77"/>
      <c r="D30" s="78"/>
      <c r="E30" s="77"/>
    </row>
    <row r="31" spans="2:5" x14ac:dyDescent="0.2">
      <c r="B31" s="76" t="s">
        <v>10</v>
      </c>
      <c r="C31" s="76" t="s">
        <v>102</v>
      </c>
      <c r="D31" s="76" t="s">
        <v>107</v>
      </c>
      <c r="E31" s="76" t="s">
        <v>108</v>
      </c>
    </row>
    <row r="32" spans="2:5" x14ac:dyDescent="0.2">
      <c r="B32" s="66" t="str">
        <f>F6</f>
        <v>A</v>
      </c>
      <c r="C32" s="80" cm="1">
        <f t="array" ref="C32">SUM($C$7:$C$14*F7:F14)+SUM($D$7:$D$14*F7:F14)</f>
        <v>24.763000000000005</v>
      </c>
      <c r="D32" s="80">
        <f t="shared" ref="D32:D38" si="8">C32/$O$10</f>
        <v>3.0953750000000007</v>
      </c>
      <c r="E32" s="80">
        <f t="shared" ref="E32:E38" si="9">(C32^2)/$O$11</f>
        <v>38.325385562500017</v>
      </c>
    </row>
    <row r="33" spans="2:6" x14ac:dyDescent="0.2">
      <c r="B33" s="66" t="str">
        <f>G6</f>
        <v>B</v>
      </c>
      <c r="C33" s="80" cm="1">
        <f t="array" ref="C33">SUM($C$7:$C$14*G7:G14)+SUM($D$7:$D$14*G7:G14)</f>
        <v>32.185000000000002</v>
      </c>
      <c r="D33" s="80">
        <f t="shared" si="8"/>
        <v>4.0231250000000003</v>
      </c>
      <c r="E33" s="80">
        <f t="shared" si="9"/>
        <v>64.742139062500016</v>
      </c>
    </row>
    <row r="34" spans="2:6" x14ac:dyDescent="0.2">
      <c r="B34" s="66" t="str">
        <f>H6</f>
        <v>C</v>
      </c>
      <c r="C34" s="80" cm="1">
        <f t="array" ref="C34">SUM($C$7:$C$14*H7:H14)+SUM($D$7:$D$14*H7:H14)</f>
        <v>-29.384999999999991</v>
      </c>
      <c r="D34" s="80">
        <f t="shared" si="8"/>
        <v>-3.6731249999999989</v>
      </c>
      <c r="E34" s="80">
        <f t="shared" si="9"/>
        <v>53.967389062499969</v>
      </c>
    </row>
    <row r="35" spans="2:6" x14ac:dyDescent="0.2">
      <c r="B35" s="66" t="str">
        <f>I6</f>
        <v>AB</v>
      </c>
      <c r="C35" s="80" cm="1">
        <f t="array" ref="C35">SUM($C$7:$C$14*I7:I14)+SUM($D$7:$D$14*I7:I14)</f>
        <v>16.256999999999998</v>
      </c>
      <c r="D35" s="80">
        <f t="shared" si="8"/>
        <v>2.0321249999999997</v>
      </c>
      <c r="E35" s="80">
        <f t="shared" si="9"/>
        <v>16.518128062499997</v>
      </c>
    </row>
    <row r="36" spans="2:6" x14ac:dyDescent="0.2">
      <c r="B36" s="66" t="str">
        <f>J6</f>
        <v>AC</v>
      </c>
      <c r="C36" s="80" cm="1">
        <f t="array" ref="C36">SUM($C$7:$C$14*J7:J14)+SUM($D$7:$D$14*J7:J14)</f>
        <v>-31.908999999999992</v>
      </c>
      <c r="D36" s="80">
        <f t="shared" si="8"/>
        <v>-3.988624999999999</v>
      </c>
      <c r="E36" s="80">
        <f t="shared" si="9"/>
        <v>63.636517562499968</v>
      </c>
    </row>
    <row r="37" spans="2:6" x14ac:dyDescent="0.2">
      <c r="B37" s="66" t="str">
        <f>K6</f>
        <v>BC</v>
      </c>
      <c r="C37" s="80" cm="1">
        <f t="array" ref="C37">SUM($C$7:$C$14*K7:K14)+SUM($D$7:$D$14*K7:K14)</f>
        <v>1.052999999999999</v>
      </c>
      <c r="D37" s="80">
        <f t="shared" si="8"/>
        <v>0.13162499999999988</v>
      </c>
      <c r="E37" s="80">
        <f t="shared" si="9"/>
        <v>6.9300562499999871E-2</v>
      </c>
    </row>
    <row r="38" spans="2:6" x14ac:dyDescent="0.2">
      <c r="B38" s="67" t="str">
        <f>L6</f>
        <v>ABC</v>
      </c>
      <c r="C38" s="95" cm="1">
        <f t="array" ref="C38">SUM($C$7:$C$14*L7:L14)+SUM($D$7:$D$14*L7:L14)</f>
        <v>25.213000000000001</v>
      </c>
      <c r="D38" s="95">
        <f t="shared" si="8"/>
        <v>3.1516250000000001</v>
      </c>
      <c r="E38" s="95">
        <f t="shared" si="9"/>
        <v>39.730960562500002</v>
      </c>
    </row>
    <row r="40" spans="2:6" x14ac:dyDescent="0.2">
      <c r="B40" s="74" t="s">
        <v>115</v>
      </c>
      <c r="C40" s="77"/>
      <c r="D40" s="77"/>
      <c r="E40" s="77"/>
      <c r="F40" s="77"/>
    </row>
    <row r="41" spans="2:6" x14ac:dyDescent="0.2">
      <c r="B41" s="79" t="str">
        <f t="shared" ref="B41:B48" si="10">B31</f>
        <v>Source of Variation</v>
      </c>
      <c r="C41" s="79" t="str">
        <f t="shared" ref="C41:C48" si="11">E31</f>
        <v>SS</v>
      </c>
      <c r="D41" s="79" t="s">
        <v>116</v>
      </c>
      <c r="E41" s="79" t="s">
        <v>13</v>
      </c>
      <c r="F41" s="79" t="s">
        <v>120</v>
      </c>
    </row>
    <row r="42" spans="2:6" x14ac:dyDescent="0.2">
      <c r="B42" s="66" t="str">
        <f t="shared" si="10"/>
        <v>A</v>
      </c>
      <c r="C42" s="63">
        <f t="shared" si="11"/>
        <v>38.325385562500017</v>
      </c>
      <c r="D42" s="63">
        <v>1</v>
      </c>
      <c r="E42" s="63">
        <f>C42/D42</f>
        <v>38.325385562500017</v>
      </c>
      <c r="F42" s="80">
        <f>E42/$E$49</f>
        <v>623.79762894179817</v>
      </c>
    </row>
    <row r="43" spans="2:6" x14ac:dyDescent="0.2">
      <c r="B43" s="66" t="str">
        <f t="shared" si="10"/>
        <v>B</v>
      </c>
      <c r="C43" s="63">
        <f t="shared" si="11"/>
        <v>64.742139062500016</v>
      </c>
      <c r="D43" s="63">
        <v>1</v>
      </c>
      <c r="E43" s="63">
        <f t="shared" ref="E43:E49" si="12">C43/D43</f>
        <v>64.742139062500016</v>
      </c>
      <c r="F43" s="80">
        <f t="shared" ref="F43:F48" si="13">E43/$E$49</f>
        <v>1053.7661199506338</v>
      </c>
    </row>
    <row r="44" spans="2:6" x14ac:dyDescent="0.2">
      <c r="B44" s="66" t="str">
        <f t="shared" si="10"/>
        <v>C</v>
      </c>
      <c r="C44" s="63">
        <f t="shared" si="11"/>
        <v>53.967389062499969</v>
      </c>
      <c r="D44" s="63">
        <v>1</v>
      </c>
      <c r="E44" s="63">
        <f t="shared" si="12"/>
        <v>53.967389062499969</v>
      </c>
      <c r="F44" s="80">
        <f t="shared" si="13"/>
        <v>878.392450415599</v>
      </c>
    </row>
    <row r="45" spans="2:6" x14ac:dyDescent="0.2">
      <c r="B45" s="66" t="str">
        <f t="shared" si="10"/>
        <v>AB</v>
      </c>
      <c r="C45" s="63">
        <f t="shared" si="11"/>
        <v>16.518128062499997</v>
      </c>
      <c r="D45" s="63">
        <v>1</v>
      </c>
      <c r="E45" s="63">
        <f t="shared" si="12"/>
        <v>16.518128062499997</v>
      </c>
      <c r="F45" s="80">
        <f t="shared" si="13"/>
        <v>268.85493697489454</v>
      </c>
    </row>
    <row r="46" spans="2:6" x14ac:dyDescent="0.2">
      <c r="B46" s="66" t="str">
        <f t="shared" si="10"/>
        <v>AC</v>
      </c>
      <c r="C46" s="63">
        <f t="shared" si="11"/>
        <v>63.636517562499968</v>
      </c>
      <c r="D46" s="63">
        <v>1</v>
      </c>
      <c r="E46" s="63">
        <f t="shared" si="12"/>
        <v>63.636517562499968</v>
      </c>
      <c r="F46" s="80">
        <f t="shared" si="13"/>
        <v>1035.7706305358597</v>
      </c>
    </row>
    <row r="47" spans="2:6" x14ac:dyDescent="0.2">
      <c r="B47" s="66" t="str">
        <f t="shared" si="10"/>
        <v>BC</v>
      </c>
      <c r="C47" s="63">
        <f t="shared" si="11"/>
        <v>6.9300562499999871E-2</v>
      </c>
      <c r="D47" s="63">
        <v>1</v>
      </c>
      <c r="E47" s="63">
        <f t="shared" si="12"/>
        <v>6.9300562499999871E-2</v>
      </c>
      <c r="F47" s="80">
        <f t="shared" si="13"/>
        <v>1.1279606437705696</v>
      </c>
    </row>
    <row r="48" spans="2:6" x14ac:dyDescent="0.2">
      <c r="B48" s="66" t="str">
        <f t="shared" si="10"/>
        <v>ABC</v>
      </c>
      <c r="C48" s="63">
        <f t="shared" si="11"/>
        <v>39.730960562500002</v>
      </c>
      <c r="D48" s="63">
        <v>1</v>
      </c>
      <c r="E48" s="63">
        <f t="shared" si="12"/>
        <v>39.730960562500002</v>
      </c>
      <c r="F48" s="80">
        <f t="shared" si="13"/>
        <v>646.6752683818504</v>
      </c>
    </row>
    <row r="49" spans="1:12" x14ac:dyDescent="0.2">
      <c r="B49" s="66" t="s">
        <v>15</v>
      </c>
      <c r="C49" s="63">
        <f>C50-SUM(C42:C48)</f>
        <v>0.49151050000000396</v>
      </c>
      <c r="D49" s="63">
        <f>D50-SUM(D42:D48)</f>
        <v>8</v>
      </c>
      <c r="E49" s="63">
        <f t="shared" si="12"/>
        <v>6.1438812500000495E-2</v>
      </c>
      <c r="F49" s="63"/>
    </row>
    <row r="50" spans="1:12" x14ac:dyDescent="0.2">
      <c r="B50" s="67" t="s">
        <v>16</v>
      </c>
      <c r="C50" s="8">
        <f>E27</f>
        <v>277.48133093749993</v>
      </c>
      <c r="D50" s="8">
        <f>O11-1</f>
        <v>15</v>
      </c>
      <c r="E50" s="8"/>
      <c r="F50" s="8"/>
    </row>
    <row r="52" spans="1:12" x14ac:dyDescent="0.2">
      <c r="A52" t="s">
        <v>121</v>
      </c>
      <c r="C52">
        <v>-1</v>
      </c>
      <c r="D52">
        <v>1</v>
      </c>
      <c r="G52">
        <v>-1</v>
      </c>
      <c r="H52">
        <v>1</v>
      </c>
      <c r="K52">
        <v>-1</v>
      </c>
      <c r="L52">
        <v>1</v>
      </c>
    </row>
    <row r="53" spans="1:12" x14ac:dyDescent="0.2">
      <c r="B53" t="s">
        <v>95</v>
      </c>
      <c r="C53">
        <f>SUMIF(F7:F14,"&lt;0",$E$7:$E$14)/$O$10</f>
        <v>11.41925</v>
      </c>
      <c r="D53">
        <f>SUMIF(F7:F14,"&gt;0",$E$7:$E$14)/$O$10</f>
        <v>14.514625000000001</v>
      </c>
      <c r="F53" t="s">
        <v>96</v>
      </c>
      <c r="G53">
        <f>SUMIF(G7:G14,"&lt;0",$E$7:$E$14)/$O$10</f>
        <v>10.955375</v>
      </c>
      <c r="H53">
        <f>SUMIF(G7:G14,"&gt;0",$E$7:$E$14)/$O$10</f>
        <v>14.9785</v>
      </c>
      <c r="J53" t="s">
        <v>97</v>
      </c>
      <c r="K53">
        <f>SUMIF(H7:H14,"&lt;0",$E$7:$E$14)/$O$10</f>
        <v>14.8035</v>
      </c>
      <c r="L53">
        <f>SUMIF(H7:H14,"&gt;0",$E$7:$E$14)/$O$10</f>
        <v>11.130375000000001</v>
      </c>
    </row>
    <row r="66" spans="1:14" x14ac:dyDescent="0.2">
      <c r="A66" t="s">
        <v>96</v>
      </c>
      <c r="C66" s="56">
        <v>-1</v>
      </c>
      <c r="D66" s="56">
        <v>1</v>
      </c>
      <c r="F66" t="s">
        <v>97</v>
      </c>
      <c r="H66" s="56">
        <v>-1</v>
      </c>
      <c r="I66" s="56">
        <v>1</v>
      </c>
      <c r="K66" t="s">
        <v>97</v>
      </c>
      <c r="M66" s="56">
        <v>-1</v>
      </c>
      <c r="N66" s="56">
        <v>1</v>
      </c>
    </row>
    <row r="67" spans="1:14" x14ac:dyDescent="0.2">
      <c r="A67" t="s">
        <v>95</v>
      </c>
      <c r="B67" t="s">
        <v>122</v>
      </c>
      <c r="C67" s="81">
        <f>(E7+E11)/4</f>
        <v>10.42375</v>
      </c>
      <c r="D67" s="72">
        <f>(E9+E13)/4</f>
        <v>12.41475</v>
      </c>
      <c r="F67" t="s">
        <v>95</v>
      </c>
      <c r="G67" t="s">
        <v>122</v>
      </c>
      <c r="H67" s="93">
        <f>(E7+E9)/4</f>
        <v>11.2615</v>
      </c>
      <c r="I67" s="93">
        <f>(E11+E13)/4</f>
        <v>11.577</v>
      </c>
      <c r="K67" t="s">
        <v>96</v>
      </c>
      <c r="L67" t="s">
        <v>124</v>
      </c>
      <c r="M67">
        <f>(E7+E8)/4</f>
        <v>12.857749999999999</v>
      </c>
      <c r="N67">
        <f>(E11+E12)/4</f>
        <v>9.0530000000000008</v>
      </c>
    </row>
    <row r="68" spans="1:14" x14ac:dyDescent="0.2">
      <c r="B68" t="s">
        <v>123</v>
      </c>
      <c r="C68" s="81">
        <f>(E8+E12)/4</f>
        <v>11.486999999999998</v>
      </c>
      <c r="D68" s="72">
        <f>(E10+E14)/4</f>
        <v>17.542250000000003</v>
      </c>
      <c r="G68" t="s">
        <v>123</v>
      </c>
      <c r="H68" s="93">
        <f>(E8+E10)/4</f>
        <v>18.345500000000001</v>
      </c>
      <c r="I68" s="93">
        <f>(E12+E14)/4</f>
        <v>10.68375</v>
      </c>
      <c r="L68" t="s">
        <v>125</v>
      </c>
      <c r="M68">
        <f>(E9+E10)/4</f>
        <v>16.74925</v>
      </c>
      <c r="N68">
        <f>(E13+E14)/4</f>
        <v>13.207750000000001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0033E-E225-4DB4-98B5-4BEB3153ABC8}">
  <dimension ref="A1:P68"/>
  <sheetViews>
    <sheetView showGridLines="0" topLeftCell="A17" workbookViewId="0">
      <selection activeCell="P6" sqref="P6"/>
    </sheetView>
  </sheetViews>
  <sheetFormatPr baseColWidth="10" defaultColWidth="8.83203125" defaultRowHeight="15" x14ac:dyDescent="0.2"/>
  <cols>
    <col min="2" max="2" width="19.6640625" bestFit="1" customWidth="1"/>
    <col min="5" max="5" width="10.6640625" bestFit="1" customWidth="1"/>
    <col min="14" max="14" width="15.83203125" bestFit="1" customWidth="1"/>
  </cols>
  <sheetData>
    <row r="1" spans="2:16" ht="16" thickBot="1" x14ac:dyDescent="0.25"/>
    <row r="2" spans="2:16" ht="35" thickBot="1" x14ac:dyDescent="0.25">
      <c r="B2" s="22" t="s">
        <v>87</v>
      </c>
      <c r="C2" s="57">
        <v>-1</v>
      </c>
      <c r="D2" s="71" t="s">
        <v>3</v>
      </c>
      <c r="E2" s="71" t="s">
        <v>6</v>
      </c>
      <c r="F2" s="71" t="s">
        <v>88</v>
      </c>
      <c r="G2" s="71" t="s">
        <v>89</v>
      </c>
      <c r="H2" s="71" t="s">
        <v>90</v>
      </c>
      <c r="I2" s="71" t="s">
        <v>91</v>
      </c>
      <c r="J2" s="71" t="s">
        <v>92</v>
      </c>
    </row>
    <row r="3" spans="2:16" ht="18" thickBot="1" x14ac:dyDescent="0.25">
      <c r="B3" s="13" t="s">
        <v>93</v>
      </c>
      <c r="C3" s="22">
        <v>7.0369999999999999</v>
      </c>
      <c r="D3" s="57">
        <v>14.707000000000001</v>
      </c>
      <c r="E3" s="57">
        <v>11.635</v>
      </c>
      <c r="F3" s="57">
        <v>17.273</v>
      </c>
      <c r="G3" s="57">
        <v>10.403</v>
      </c>
      <c r="H3" s="57">
        <v>4.3680000000000003</v>
      </c>
      <c r="I3" s="57">
        <v>9.36</v>
      </c>
      <c r="J3" s="57">
        <v>13.44</v>
      </c>
    </row>
    <row r="4" spans="2:16" ht="18" thickBot="1" x14ac:dyDescent="0.25">
      <c r="B4" s="13" t="s">
        <v>94</v>
      </c>
      <c r="C4" s="13">
        <v>6.3760000000000003</v>
      </c>
      <c r="D4" s="1">
        <v>15.218999999999999</v>
      </c>
      <c r="E4" s="1">
        <v>12.089</v>
      </c>
      <c r="F4" s="1">
        <v>17.815000000000001</v>
      </c>
      <c r="G4" s="1">
        <v>10.151</v>
      </c>
      <c r="H4" s="1">
        <v>4.0979999999999999</v>
      </c>
      <c r="I4" s="1">
        <v>9.2530000000000001</v>
      </c>
      <c r="J4" s="1">
        <v>12.923</v>
      </c>
    </row>
    <row r="6" spans="2:16" x14ac:dyDescent="0.2">
      <c r="B6" t="str" cm="1">
        <f t="array" ref="B6:D14">TRANSPOSE(B2:J4)</f>
        <v>Treatment Combination</v>
      </c>
      <c r="C6" t="str">
        <v>Replicate I</v>
      </c>
      <c r="D6" t="str">
        <v>Replicate II</v>
      </c>
      <c r="E6" s="74" t="s">
        <v>16</v>
      </c>
      <c r="F6" s="75" t="s">
        <v>95</v>
      </c>
      <c r="G6" s="75" t="s">
        <v>96</v>
      </c>
      <c r="H6" s="75" t="s">
        <v>97</v>
      </c>
      <c r="I6" s="75" t="s">
        <v>98</v>
      </c>
      <c r="J6" s="75" t="s">
        <v>99</v>
      </c>
      <c r="K6" s="75" t="s">
        <v>100</v>
      </c>
      <c r="L6" s="75" t="s">
        <v>101</v>
      </c>
      <c r="N6" t="s">
        <v>110</v>
      </c>
      <c r="O6" s="94">
        <v>3</v>
      </c>
      <c r="P6" t="s">
        <v>155</v>
      </c>
    </row>
    <row r="7" spans="2:16" x14ac:dyDescent="0.2">
      <c r="B7" s="56">
        <v>-1</v>
      </c>
      <c r="C7">
        <v>7.0369999999999999</v>
      </c>
      <c r="D7">
        <v>6.3760000000000003</v>
      </c>
      <c r="E7">
        <f>C7+D7</f>
        <v>13.413</v>
      </c>
      <c r="F7">
        <f>IF($B7=-1,-1,IF($B7="a",1,IF($B7="ab",1,IF($B7="ac",1,IF($B7="abc",1,-1)))))</f>
        <v>-1</v>
      </c>
      <c r="G7">
        <f>IF($B7=-1,-1,IF($B7="b",1,IF($B7="ab",1,IF($B7="bc",1,IF($B7="abc",1,-1)))))</f>
        <v>-1</v>
      </c>
      <c r="H7">
        <f>IF($B7=-1,-1,IF($B7="c",1,IF($B7="ac",1,IF($B7="bc",1,IF($B7="abc",1,-1)))))</f>
        <v>-1</v>
      </c>
      <c r="I7">
        <f>F7*G7</f>
        <v>1</v>
      </c>
      <c r="J7">
        <f>F7*H7</f>
        <v>1</v>
      </c>
      <c r="K7">
        <f>G7*H7</f>
        <v>1</v>
      </c>
      <c r="L7">
        <f>F7*G7*H7</f>
        <v>-1</v>
      </c>
      <c r="N7" t="s">
        <v>103</v>
      </c>
      <c r="O7">
        <f>2^O6</f>
        <v>8</v>
      </c>
    </row>
    <row r="8" spans="2:16" x14ac:dyDescent="0.2">
      <c r="B8" s="56" t="str">
        <v>a</v>
      </c>
      <c r="C8">
        <v>14.707000000000001</v>
      </c>
      <c r="D8">
        <v>15.218999999999999</v>
      </c>
      <c r="E8">
        <f t="shared" ref="E8:E14" si="0">C8+D8</f>
        <v>29.926000000000002</v>
      </c>
      <c r="F8">
        <f t="shared" ref="F8:F14" si="1">IF($B8=-1,-1,IF($B8="a",1,IF($B8="ab",1,IF($B8="ac",1,IF($B8="abc",1,-1)))))</f>
        <v>1</v>
      </c>
      <c r="G8">
        <f t="shared" ref="G8:G14" si="2">IF($B8=-1,-1,IF($B8="b",1,IF($B8="ab",1,IF($B8="bc",1,IF($B8="abc",1,-1)))))</f>
        <v>-1</v>
      </c>
      <c r="H8">
        <f t="shared" ref="H8:H14" si="3">IF($B8=-1,-1,IF($B8="c",1,IF($B8="ac",1,IF($B8="bc",1,IF($B8="abc",1,-1)))))</f>
        <v>-1</v>
      </c>
      <c r="I8">
        <f t="shared" ref="I8:I14" si="4">F8*G8</f>
        <v>-1</v>
      </c>
      <c r="J8">
        <f t="shared" ref="J8:J14" si="5">F8*H8</f>
        <v>-1</v>
      </c>
      <c r="K8">
        <f t="shared" ref="K8:K14" si="6">G8*H8</f>
        <v>1</v>
      </c>
      <c r="L8">
        <f t="shared" ref="L8:L14" si="7">F8*G8*H8</f>
        <v>1</v>
      </c>
      <c r="N8" t="s">
        <v>106</v>
      </c>
      <c r="O8">
        <v>2</v>
      </c>
    </row>
    <row r="9" spans="2:16" x14ac:dyDescent="0.2">
      <c r="B9" s="56" t="str">
        <v>b</v>
      </c>
      <c r="C9">
        <v>11.635</v>
      </c>
      <c r="D9">
        <v>12.089</v>
      </c>
      <c r="E9">
        <f t="shared" si="0"/>
        <v>23.724</v>
      </c>
      <c r="F9">
        <f t="shared" si="1"/>
        <v>-1</v>
      </c>
      <c r="G9">
        <f t="shared" si="2"/>
        <v>1</v>
      </c>
      <c r="H9">
        <f t="shared" si="3"/>
        <v>-1</v>
      </c>
      <c r="I9">
        <f t="shared" si="4"/>
        <v>-1</v>
      </c>
      <c r="J9">
        <f t="shared" si="5"/>
        <v>1</v>
      </c>
      <c r="K9">
        <f t="shared" si="6"/>
        <v>-1</v>
      </c>
      <c r="L9">
        <f t="shared" si="7"/>
        <v>1</v>
      </c>
      <c r="N9" t="s">
        <v>16</v>
      </c>
      <c r="O9">
        <f>O7*O8</f>
        <v>16</v>
      </c>
    </row>
    <row r="10" spans="2:16" x14ac:dyDescent="0.2">
      <c r="B10" s="56" t="str">
        <v>ab</v>
      </c>
      <c r="C10">
        <v>17.273</v>
      </c>
      <c r="D10">
        <v>17.815000000000001</v>
      </c>
      <c r="E10">
        <f t="shared" si="0"/>
        <v>35.088000000000001</v>
      </c>
      <c r="F10">
        <f t="shared" si="1"/>
        <v>1</v>
      </c>
      <c r="G10">
        <f t="shared" si="2"/>
        <v>1</v>
      </c>
      <c r="H10">
        <f t="shared" si="3"/>
        <v>-1</v>
      </c>
      <c r="I10">
        <f t="shared" si="4"/>
        <v>1</v>
      </c>
      <c r="J10">
        <f t="shared" si="5"/>
        <v>-1</v>
      </c>
      <c r="K10">
        <f t="shared" si="6"/>
        <v>-1</v>
      </c>
      <c r="L10">
        <f t="shared" si="7"/>
        <v>-1</v>
      </c>
      <c r="N10" t="s">
        <v>111</v>
      </c>
      <c r="O10">
        <f>(2^(O6-1))*O8</f>
        <v>8</v>
      </c>
      <c r="P10" t="s">
        <v>109</v>
      </c>
    </row>
    <row r="11" spans="2:16" x14ac:dyDescent="0.2">
      <c r="B11" s="56" t="str">
        <v>c</v>
      </c>
      <c r="C11">
        <v>10.403</v>
      </c>
      <c r="D11">
        <v>10.151</v>
      </c>
      <c r="E11">
        <f t="shared" si="0"/>
        <v>20.554000000000002</v>
      </c>
      <c r="F11">
        <f t="shared" si="1"/>
        <v>-1</v>
      </c>
      <c r="G11">
        <f t="shared" si="2"/>
        <v>-1</v>
      </c>
      <c r="H11">
        <f t="shared" si="3"/>
        <v>1</v>
      </c>
      <c r="I11">
        <f t="shared" si="4"/>
        <v>1</v>
      </c>
      <c r="J11">
        <f t="shared" si="5"/>
        <v>-1</v>
      </c>
      <c r="K11">
        <f t="shared" si="6"/>
        <v>-1</v>
      </c>
      <c r="L11">
        <f t="shared" si="7"/>
        <v>1</v>
      </c>
      <c r="N11" t="s">
        <v>112</v>
      </c>
      <c r="O11">
        <f>(2^O6)*O8</f>
        <v>16</v>
      </c>
      <c r="P11" t="s">
        <v>113</v>
      </c>
    </row>
    <row r="12" spans="2:16" x14ac:dyDescent="0.2">
      <c r="B12" s="56" t="str">
        <v>ac</v>
      </c>
      <c r="C12">
        <v>4.3680000000000003</v>
      </c>
      <c r="D12">
        <v>4.0979999999999999</v>
      </c>
      <c r="E12">
        <f t="shared" si="0"/>
        <v>8.4660000000000011</v>
      </c>
      <c r="F12">
        <f t="shared" si="1"/>
        <v>1</v>
      </c>
      <c r="G12">
        <f t="shared" si="2"/>
        <v>-1</v>
      </c>
      <c r="H12">
        <f t="shared" si="3"/>
        <v>1</v>
      </c>
      <c r="I12">
        <f t="shared" si="4"/>
        <v>-1</v>
      </c>
      <c r="J12">
        <f t="shared" si="5"/>
        <v>1</v>
      </c>
      <c r="K12">
        <f t="shared" si="6"/>
        <v>-1</v>
      </c>
      <c r="L12">
        <f t="shared" si="7"/>
        <v>-1</v>
      </c>
    </row>
    <row r="13" spans="2:16" x14ac:dyDescent="0.2">
      <c r="B13" s="56" t="str">
        <v>bc</v>
      </c>
      <c r="C13">
        <v>9.36</v>
      </c>
      <c r="D13">
        <v>9.2530000000000001</v>
      </c>
      <c r="E13">
        <f t="shared" si="0"/>
        <v>18.613</v>
      </c>
      <c r="F13">
        <f t="shared" si="1"/>
        <v>-1</v>
      </c>
      <c r="G13">
        <f t="shared" si="2"/>
        <v>1</v>
      </c>
      <c r="H13">
        <f t="shared" si="3"/>
        <v>1</v>
      </c>
      <c r="I13">
        <f t="shared" si="4"/>
        <v>-1</v>
      </c>
      <c r="J13">
        <f t="shared" si="5"/>
        <v>-1</v>
      </c>
      <c r="K13">
        <f t="shared" si="6"/>
        <v>1</v>
      </c>
      <c r="L13">
        <f t="shared" si="7"/>
        <v>-1</v>
      </c>
    </row>
    <row r="14" spans="2:16" x14ac:dyDescent="0.2">
      <c r="B14" s="56" t="str">
        <v>abc</v>
      </c>
      <c r="C14">
        <v>13.44</v>
      </c>
      <c r="D14">
        <v>12.923</v>
      </c>
      <c r="E14">
        <f t="shared" si="0"/>
        <v>26.363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1</v>
      </c>
      <c r="L14">
        <f t="shared" si="7"/>
        <v>1</v>
      </c>
    </row>
    <row r="15" spans="2:16" x14ac:dyDescent="0.2">
      <c r="D15" t="s">
        <v>117</v>
      </c>
      <c r="E15">
        <f>SUM(E7:E14)</f>
        <v>176.14700000000002</v>
      </c>
    </row>
    <row r="16" spans="2:16" x14ac:dyDescent="0.2">
      <c r="D16" t="s">
        <v>118</v>
      </c>
      <c r="E16">
        <f>E15^2</f>
        <v>31027.765609000005</v>
      </c>
    </row>
    <row r="18" spans="2:8" x14ac:dyDescent="0.2">
      <c r="B18" s="74" t="s">
        <v>119</v>
      </c>
      <c r="C18" cm="1">
        <f t="array" ref="C18:C25">C7:C14^2</f>
        <v>49.519368999999998</v>
      </c>
      <c r="D18" cm="1">
        <f t="array" ref="D18:D25">D7:D14^2</f>
        <v>40.653376000000002</v>
      </c>
    </row>
    <row r="19" spans="2:8" x14ac:dyDescent="0.2">
      <c r="C19">
        <v>216.29584900000003</v>
      </c>
      <c r="D19">
        <v>231.61796099999998</v>
      </c>
    </row>
    <row r="20" spans="2:8" x14ac:dyDescent="0.2">
      <c r="C20">
        <v>135.37322499999999</v>
      </c>
      <c r="D20">
        <v>146.14392100000001</v>
      </c>
    </row>
    <row r="21" spans="2:8" x14ac:dyDescent="0.2">
      <c r="C21">
        <v>298.35652899999997</v>
      </c>
      <c r="D21">
        <v>317.37422500000002</v>
      </c>
    </row>
    <row r="22" spans="2:8" x14ac:dyDescent="0.2">
      <c r="C22">
        <v>108.22240900000001</v>
      </c>
      <c r="D22">
        <v>103.042801</v>
      </c>
    </row>
    <row r="23" spans="2:8" x14ac:dyDescent="0.2">
      <c r="C23">
        <v>19.079424000000003</v>
      </c>
      <c r="D23">
        <v>16.793603999999998</v>
      </c>
    </row>
    <row r="24" spans="2:8" x14ac:dyDescent="0.2">
      <c r="C24">
        <v>87.609599999999986</v>
      </c>
      <c r="D24">
        <v>85.618009000000001</v>
      </c>
    </row>
    <row r="25" spans="2:8" x14ac:dyDescent="0.2">
      <c r="C25">
        <v>180.63359999999997</v>
      </c>
      <c r="D25">
        <v>167.003929</v>
      </c>
    </row>
    <row r="26" spans="2:8" x14ac:dyDescent="0.2">
      <c r="B26" t="s">
        <v>16</v>
      </c>
      <c r="C26">
        <f>SUM(_xlfn.ANCHORARRAY(C18))</f>
        <v>1095.0900049999998</v>
      </c>
      <c r="D26">
        <f>SUM(_xlfn.ANCHORARRAY(D18))</f>
        <v>1108.247826</v>
      </c>
      <c r="E26">
        <f>C26+D26</f>
        <v>2203.3378309999998</v>
      </c>
    </row>
    <row r="27" spans="2:8" ht="17" x14ac:dyDescent="0.25">
      <c r="B27" t="s">
        <v>9</v>
      </c>
      <c r="E27">
        <f>E26-(E16/O11)</f>
        <v>264.10248043749948</v>
      </c>
    </row>
    <row r="30" spans="2:8" x14ac:dyDescent="0.2">
      <c r="B30" s="74" t="s">
        <v>114</v>
      </c>
      <c r="C30" s="77"/>
      <c r="D30" s="78"/>
      <c r="E30" s="77"/>
    </row>
    <row r="31" spans="2:8" x14ac:dyDescent="0.2">
      <c r="B31" s="76" t="s">
        <v>10</v>
      </c>
      <c r="C31" s="76" t="s">
        <v>102</v>
      </c>
      <c r="D31" s="76" t="s">
        <v>107</v>
      </c>
      <c r="E31" s="76" t="s">
        <v>108</v>
      </c>
    </row>
    <row r="32" spans="2:8" x14ac:dyDescent="0.2">
      <c r="B32" s="66" t="str">
        <f>F6</f>
        <v>A</v>
      </c>
      <c r="C32" s="80" cm="1">
        <f t="array" ref="C32">SUM($E$7:$E$14*F7:F14)</f>
        <v>23.539000000000001</v>
      </c>
      <c r="D32" s="80">
        <f t="shared" ref="D32:D38" si="8">C32/$O$10</f>
        <v>2.9423750000000002</v>
      </c>
      <c r="E32" s="80">
        <f t="shared" ref="E32:E38" si="9">(C32^2)/$O$11</f>
        <v>34.630282562500007</v>
      </c>
      <c r="H32" s="85"/>
    </row>
    <row r="33" spans="2:8" x14ac:dyDescent="0.2">
      <c r="B33" s="66" t="str">
        <f>G6</f>
        <v>B</v>
      </c>
      <c r="C33" s="80" cm="1">
        <f t="array" ref="C33">SUM($E$7:$E$14*G7:G14)</f>
        <v>31.428999999999998</v>
      </c>
      <c r="D33" s="80">
        <f t="shared" si="8"/>
        <v>3.9286249999999998</v>
      </c>
      <c r="E33" s="80">
        <f t="shared" si="9"/>
        <v>61.736377562499996</v>
      </c>
      <c r="H33" s="85"/>
    </row>
    <row r="34" spans="2:8" x14ac:dyDescent="0.2">
      <c r="B34" s="66" t="str">
        <f>H6</f>
        <v>C</v>
      </c>
      <c r="C34" s="80" cm="1">
        <f t="array" ref="C34">SUM($E$7:$E$14*H7:H14)</f>
        <v>-28.155000000000001</v>
      </c>
      <c r="D34" s="80">
        <f t="shared" si="8"/>
        <v>-3.5193750000000001</v>
      </c>
      <c r="E34" s="80">
        <f t="shared" si="9"/>
        <v>49.544001562500007</v>
      </c>
      <c r="H34" s="85"/>
    </row>
    <row r="35" spans="2:8" x14ac:dyDescent="0.2">
      <c r="B35" s="66" t="str">
        <f>I6</f>
        <v>AB</v>
      </c>
      <c r="C35" s="80" cm="1">
        <f t="array" ref="C35">SUM($E$7:$E$14*I7:I14)</f>
        <v>14.689</v>
      </c>
      <c r="D35" s="80">
        <f t="shared" si="8"/>
        <v>1.836125</v>
      </c>
      <c r="E35" s="80">
        <f t="shared" si="9"/>
        <v>13.485420062499999</v>
      </c>
      <c r="H35" s="85"/>
    </row>
    <row r="36" spans="2:8" x14ac:dyDescent="0.2">
      <c r="B36" s="66" t="str">
        <f>J6</f>
        <v>AC</v>
      </c>
      <c r="C36" s="80" cm="1">
        <f t="array" ref="C36">SUM($E$7:$E$14*J7:J14)</f>
        <v>-32.215000000000003</v>
      </c>
      <c r="D36" s="80">
        <f t="shared" si="8"/>
        <v>-4.0268750000000004</v>
      </c>
      <c r="E36" s="80">
        <f t="shared" si="9"/>
        <v>64.862889062500017</v>
      </c>
      <c r="H36" s="85"/>
    </row>
    <row r="37" spans="2:8" x14ac:dyDescent="0.2">
      <c r="B37" s="66" t="str">
        <f>K6</f>
        <v>BC</v>
      </c>
      <c r="C37" s="80" cm="1">
        <f t="array" ref="C37">SUM($E$7:$E$14*K7:K14)</f>
        <v>0.48299999999999699</v>
      </c>
      <c r="D37" s="80">
        <f t="shared" si="8"/>
        <v>6.0374999999999623E-2</v>
      </c>
      <c r="E37" s="80">
        <f t="shared" si="9"/>
        <v>1.4580562499999818E-2</v>
      </c>
      <c r="H37" s="85"/>
    </row>
    <row r="38" spans="2:8" x14ac:dyDescent="0.2">
      <c r="B38" s="67" t="str">
        <f>L6</f>
        <v>ABC</v>
      </c>
      <c r="C38" s="95" cm="1">
        <f t="array" ref="C38">SUM($E$7:$E$14*L7:L14)</f>
        <v>24.987000000000002</v>
      </c>
      <c r="D38" s="95">
        <f t="shared" si="8"/>
        <v>3.1233750000000002</v>
      </c>
      <c r="E38" s="95">
        <f t="shared" si="9"/>
        <v>39.021885562500003</v>
      </c>
      <c r="H38" s="85"/>
    </row>
    <row r="40" spans="2:8" x14ac:dyDescent="0.2">
      <c r="B40" s="74" t="s">
        <v>115</v>
      </c>
      <c r="C40" s="77"/>
      <c r="D40" s="77"/>
      <c r="E40" s="77"/>
      <c r="F40" s="77"/>
    </row>
    <row r="41" spans="2:8" x14ac:dyDescent="0.2">
      <c r="B41" s="79" t="str">
        <f t="shared" ref="B41:B48" si="10">B31</f>
        <v>Source of Variation</v>
      </c>
      <c r="C41" s="79" t="str">
        <f t="shared" ref="C41:C48" si="11">E31</f>
        <v>SS</v>
      </c>
      <c r="D41" s="79" t="s">
        <v>116</v>
      </c>
      <c r="E41" s="79" t="s">
        <v>13</v>
      </c>
      <c r="F41" s="79" t="s">
        <v>120</v>
      </c>
    </row>
    <row r="42" spans="2:8" x14ac:dyDescent="0.2">
      <c r="B42" s="66" t="str">
        <f t="shared" si="10"/>
        <v>A</v>
      </c>
      <c r="C42" s="63">
        <f t="shared" si="11"/>
        <v>34.630282562500007</v>
      </c>
      <c r="D42" s="63">
        <v>1</v>
      </c>
      <c r="E42" s="63">
        <f>C42/D42</f>
        <v>34.630282562500007</v>
      </c>
      <c r="F42" s="80">
        <f>E42/$E$49</f>
        <v>343.28045576253106</v>
      </c>
    </row>
    <row r="43" spans="2:8" x14ac:dyDescent="0.2">
      <c r="B43" s="66" t="str">
        <f t="shared" si="10"/>
        <v>B</v>
      </c>
      <c r="C43" s="63">
        <f t="shared" si="11"/>
        <v>61.736377562499996</v>
      </c>
      <c r="D43" s="63">
        <v>1</v>
      </c>
      <c r="E43" s="63">
        <f t="shared" ref="E43:E49" si="12">C43/D43</f>
        <v>61.736377562499996</v>
      </c>
      <c r="F43" s="80">
        <f t="shared" ref="F43:F48" si="13">E43/$E$49</f>
        <v>611.97571196637534</v>
      </c>
    </row>
    <row r="44" spans="2:8" x14ac:dyDescent="0.2">
      <c r="B44" s="66" t="str">
        <f t="shared" si="10"/>
        <v>C</v>
      </c>
      <c r="C44" s="63">
        <f t="shared" si="11"/>
        <v>49.544001562500007</v>
      </c>
      <c r="D44" s="63">
        <v>1</v>
      </c>
      <c r="E44" s="63">
        <f t="shared" si="12"/>
        <v>49.544001562500007</v>
      </c>
      <c r="F44" s="80">
        <f t="shared" si="13"/>
        <v>491.11604578968706</v>
      </c>
    </row>
    <row r="45" spans="2:8" x14ac:dyDescent="0.2">
      <c r="B45" s="66" t="str">
        <f t="shared" si="10"/>
        <v>AB</v>
      </c>
      <c r="C45" s="63">
        <f t="shared" si="11"/>
        <v>13.485420062499999</v>
      </c>
      <c r="D45" s="63">
        <v>1</v>
      </c>
      <c r="E45" s="63">
        <f t="shared" si="12"/>
        <v>13.485420062499999</v>
      </c>
      <c r="F45" s="80">
        <f t="shared" si="13"/>
        <v>133.67725593487003</v>
      </c>
    </row>
    <row r="46" spans="2:8" x14ac:dyDescent="0.2">
      <c r="B46" s="66" t="str">
        <f t="shared" si="10"/>
        <v>AC</v>
      </c>
      <c r="C46" s="63">
        <f t="shared" si="11"/>
        <v>64.862889062500017</v>
      </c>
      <c r="D46" s="63">
        <v>1</v>
      </c>
      <c r="E46" s="63">
        <f t="shared" si="12"/>
        <v>64.862889062500017</v>
      </c>
      <c r="F46" s="80">
        <f t="shared" si="13"/>
        <v>642.96795959617123</v>
      </c>
    </row>
    <row r="47" spans="2:8" x14ac:dyDescent="0.2">
      <c r="B47" s="66" t="str">
        <f t="shared" si="10"/>
        <v>BC</v>
      </c>
      <c r="C47" s="63">
        <f t="shared" si="11"/>
        <v>1.4580562499999818E-2</v>
      </c>
      <c r="D47" s="63">
        <v>1</v>
      </c>
      <c r="E47" s="63">
        <f t="shared" si="12"/>
        <v>1.4580562499999818E-2</v>
      </c>
      <c r="F47" s="80">
        <f t="shared" si="13"/>
        <v>0.14453310137567277</v>
      </c>
    </row>
    <row r="48" spans="2:8" x14ac:dyDescent="0.2">
      <c r="B48" s="66" t="str">
        <f t="shared" si="10"/>
        <v>ABC</v>
      </c>
      <c r="C48" s="63">
        <f t="shared" si="11"/>
        <v>39.021885562500003</v>
      </c>
      <c r="D48" s="63">
        <v>1</v>
      </c>
      <c r="E48" s="63">
        <f t="shared" si="12"/>
        <v>39.021885562500003</v>
      </c>
      <c r="F48" s="80">
        <f t="shared" si="13"/>
        <v>386.81320709504763</v>
      </c>
    </row>
    <row r="49" spans="1:12" x14ac:dyDescent="0.2">
      <c r="B49" s="66" t="s">
        <v>15</v>
      </c>
      <c r="C49" s="63">
        <f>C50-SUM(C42:C48)</f>
        <v>0.8070434999994518</v>
      </c>
      <c r="D49" s="63">
        <f>D50-SUM(D42:D48)</f>
        <v>8</v>
      </c>
      <c r="E49" s="63">
        <f t="shared" si="12"/>
        <v>0.10088043749993147</v>
      </c>
      <c r="F49" s="63"/>
    </row>
    <row r="50" spans="1:12" x14ac:dyDescent="0.2">
      <c r="B50" s="67" t="s">
        <v>16</v>
      </c>
      <c r="C50" s="8">
        <f>E27</f>
        <v>264.10248043749948</v>
      </c>
      <c r="D50" s="8">
        <f>O11-1</f>
        <v>15</v>
      </c>
      <c r="E50" s="8"/>
      <c r="F50" s="8"/>
    </row>
    <row r="52" spans="1:12" x14ac:dyDescent="0.2">
      <c r="A52" t="s">
        <v>121</v>
      </c>
      <c r="C52">
        <v>-1</v>
      </c>
      <c r="D52">
        <v>1</v>
      </c>
      <c r="G52">
        <v>-1</v>
      </c>
      <c r="H52">
        <v>1</v>
      </c>
      <c r="K52">
        <v>-1</v>
      </c>
      <c r="L52">
        <v>1</v>
      </c>
    </row>
    <row r="53" spans="1:12" x14ac:dyDescent="0.2">
      <c r="B53" t="s">
        <v>95</v>
      </c>
      <c r="C53">
        <f>SUMIF(F7:F14,"&lt;0",$E$7:$E$14)/$O$10</f>
        <v>9.5380000000000003</v>
      </c>
      <c r="D53">
        <f>SUMIF(F7:F14,"&gt;0",$E$7:$E$14)/$O$10</f>
        <v>12.480375000000002</v>
      </c>
      <c r="F53" t="s">
        <v>96</v>
      </c>
      <c r="G53">
        <f>SUMIF(G7:G14,"&lt;0",$E$7:$E$14)/$O$10</f>
        <v>9.0448750000000011</v>
      </c>
      <c r="H53">
        <f>SUMIF(G7:G14,"&gt;0",$E$7:$E$14)/$O$10</f>
        <v>12.9735</v>
      </c>
      <c r="J53" t="s">
        <v>97</v>
      </c>
      <c r="K53">
        <f>SUMIF(H7:H14,"&lt;0",$E$7:$E$14)/$O$10</f>
        <v>12.768875000000001</v>
      </c>
      <c r="L53">
        <f>SUMIF(H7:H14,"&gt;0",$E$7:$E$14)/$O$10</f>
        <v>9.2495000000000012</v>
      </c>
    </row>
    <row r="66" spans="1:14" x14ac:dyDescent="0.2">
      <c r="A66" t="s">
        <v>96</v>
      </c>
      <c r="C66" s="56">
        <v>-1</v>
      </c>
      <c r="D66" s="56">
        <v>1</v>
      </c>
      <c r="F66" t="s">
        <v>97</v>
      </c>
      <c r="H66" s="56">
        <v>-1</v>
      </c>
      <c r="I66" s="56">
        <v>1</v>
      </c>
      <c r="K66" t="s">
        <v>97</v>
      </c>
      <c r="M66" s="56">
        <v>-1</v>
      </c>
      <c r="N66" s="56">
        <v>1</v>
      </c>
    </row>
    <row r="67" spans="1:14" x14ac:dyDescent="0.2">
      <c r="A67" t="s">
        <v>95</v>
      </c>
      <c r="B67" t="s">
        <v>122</v>
      </c>
      <c r="C67" s="81">
        <f>(E7+E11)/4</f>
        <v>8.4917499999999997</v>
      </c>
      <c r="D67" s="72">
        <f>(E9+E13)/4</f>
        <v>10.584250000000001</v>
      </c>
      <c r="F67" t="s">
        <v>95</v>
      </c>
      <c r="G67" t="s">
        <v>122</v>
      </c>
      <c r="H67" s="93">
        <f>(E7+E9)/4</f>
        <v>9.2842500000000001</v>
      </c>
      <c r="I67" s="93">
        <f>(E11+E13)/4</f>
        <v>9.7917500000000004</v>
      </c>
      <c r="K67" t="s">
        <v>96</v>
      </c>
      <c r="L67" t="s">
        <v>124</v>
      </c>
      <c r="M67">
        <f>(E7+E8)/4</f>
        <v>10.83475</v>
      </c>
      <c r="N67">
        <f>(E11+E12)/4</f>
        <v>7.2550000000000008</v>
      </c>
    </row>
    <row r="68" spans="1:14" x14ac:dyDescent="0.2">
      <c r="B68" t="s">
        <v>123</v>
      </c>
      <c r="C68" s="81">
        <f>(E8+E12)/4</f>
        <v>9.5980000000000008</v>
      </c>
      <c r="D68" s="72">
        <f>(E10+E14)/4</f>
        <v>15.36275</v>
      </c>
      <c r="G68" t="s">
        <v>123</v>
      </c>
      <c r="H68" s="93">
        <f>(E8+E10)/4</f>
        <v>16.253500000000003</v>
      </c>
      <c r="I68" s="93">
        <f>(E12+E14)/4</f>
        <v>8.7072500000000002</v>
      </c>
      <c r="L68" t="s">
        <v>125</v>
      </c>
      <c r="M68">
        <f>(E9+E10)/4</f>
        <v>14.702999999999999</v>
      </c>
      <c r="N68">
        <f>(E13+E14)/4</f>
        <v>11.244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1ACAC-E990-4929-87CE-1B7286A12CFF}">
  <dimension ref="B2:P68"/>
  <sheetViews>
    <sheetView showGridLines="0" tabSelected="1" topLeftCell="A59" zoomScale="136" zoomScaleNormal="90" workbookViewId="0">
      <selection activeCell="J76" sqref="J76"/>
    </sheetView>
  </sheetViews>
  <sheetFormatPr baseColWidth="10" defaultColWidth="8.83203125" defaultRowHeight="15" x14ac:dyDescent="0.2"/>
  <cols>
    <col min="2" max="2" width="19.6640625" bestFit="1" customWidth="1"/>
    <col min="3" max="3" width="9.6640625" customWidth="1"/>
    <col min="4" max="4" width="11.33203125" customWidth="1"/>
    <col min="5" max="5" width="10.6640625" customWidth="1"/>
    <col min="11" max="11" width="6" bestFit="1" customWidth="1"/>
    <col min="14" max="14" width="18" bestFit="1" customWidth="1"/>
  </cols>
  <sheetData>
    <row r="2" spans="2:16" x14ac:dyDescent="0.2">
      <c r="B2" s="140" t="s">
        <v>93</v>
      </c>
      <c r="C2" s="140"/>
      <c r="D2" s="140"/>
      <c r="E2" s="140"/>
      <c r="F2" s="142" t="s">
        <v>94</v>
      </c>
      <c r="G2" s="143"/>
      <c r="H2" s="143"/>
      <c r="I2" s="144"/>
    </row>
    <row r="3" spans="2:16" ht="14.25" customHeight="1" x14ac:dyDescent="0.2">
      <c r="B3" s="141" t="s">
        <v>149</v>
      </c>
      <c r="C3" s="141"/>
      <c r="D3" s="141"/>
      <c r="E3" s="141"/>
      <c r="F3" s="145" t="s">
        <v>150</v>
      </c>
      <c r="G3" s="146"/>
      <c r="H3" s="146"/>
      <c r="I3" s="147"/>
    </row>
    <row r="4" spans="2:16" ht="16" x14ac:dyDescent="0.2">
      <c r="B4" s="101">
        <v>-1</v>
      </c>
      <c r="C4" s="103">
        <v>12</v>
      </c>
      <c r="D4" s="104" t="s">
        <v>3</v>
      </c>
      <c r="E4" s="103">
        <v>18</v>
      </c>
      <c r="F4" s="101">
        <v>-1</v>
      </c>
      <c r="G4" s="103">
        <v>10</v>
      </c>
      <c r="H4" s="102" t="s">
        <v>3</v>
      </c>
      <c r="I4" s="103">
        <v>25</v>
      </c>
    </row>
    <row r="5" spans="2:16" ht="16" x14ac:dyDescent="0.2">
      <c r="B5" s="104" t="s">
        <v>88</v>
      </c>
      <c r="C5" s="103">
        <v>16</v>
      </c>
      <c r="D5" s="104" t="s">
        <v>160</v>
      </c>
      <c r="E5" s="103">
        <v>13</v>
      </c>
      <c r="F5" s="104" t="s">
        <v>6</v>
      </c>
      <c r="G5" s="103">
        <v>13</v>
      </c>
      <c r="H5" s="102" t="s">
        <v>89</v>
      </c>
      <c r="I5" s="103">
        <v>19</v>
      </c>
    </row>
    <row r="6" spans="2:16" ht="16" x14ac:dyDescent="0.2">
      <c r="B6" s="104" t="s">
        <v>159</v>
      </c>
      <c r="C6" s="103">
        <v>15</v>
      </c>
      <c r="D6" s="104" t="s">
        <v>89</v>
      </c>
      <c r="E6" s="103">
        <v>17</v>
      </c>
      <c r="F6" s="104" t="s">
        <v>90</v>
      </c>
      <c r="G6" s="103">
        <v>21</v>
      </c>
      <c r="H6" s="102" t="s">
        <v>88</v>
      </c>
      <c r="I6" s="103">
        <v>24</v>
      </c>
    </row>
    <row r="7" spans="2:16" ht="16" x14ac:dyDescent="0.2">
      <c r="B7" s="105" t="s">
        <v>91</v>
      </c>
      <c r="C7" s="103">
        <v>20</v>
      </c>
      <c r="D7" s="105" t="s">
        <v>92</v>
      </c>
      <c r="E7" s="103">
        <v>15</v>
      </c>
      <c r="F7" s="105" t="s">
        <v>92</v>
      </c>
      <c r="G7" s="103">
        <v>23</v>
      </c>
      <c r="H7" s="106" t="s">
        <v>91</v>
      </c>
      <c r="I7" s="103">
        <v>17</v>
      </c>
    </row>
    <row r="8" spans="2:16" ht="16" thickBot="1" x14ac:dyDescent="0.25"/>
    <row r="9" spans="2:16" ht="35" thickBot="1" x14ac:dyDescent="0.25">
      <c r="B9" s="22" t="s">
        <v>87</v>
      </c>
      <c r="C9" s="57">
        <v>-1</v>
      </c>
      <c r="D9" s="71" t="s">
        <v>3</v>
      </c>
      <c r="E9" s="71" t="s">
        <v>6</v>
      </c>
      <c r="F9" s="71" t="s">
        <v>88</v>
      </c>
      <c r="G9" s="71" t="s">
        <v>89</v>
      </c>
      <c r="H9" s="71" t="s">
        <v>90</v>
      </c>
      <c r="I9" s="71" t="s">
        <v>91</v>
      </c>
      <c r="J9" s="71" t="s">
        <v>92</v>
      </c>
      <c r="K9" s="99" t="s">
        <v>16</v>
      </c>
    </row>
    <row r="10" spans="2:16" ht="18" thickBot="1" x14ac:dyDescent="0.25">
      <c r="B10" s="13" t="s">
        <v>93</v>
      </c>
      <c r="C10" s="22">
        <v>12</v>
      </c>
      <c r="D10" s="57">
        <v>18</v>
      </c>
      <c r="E10" s="57">
        <v>13</v>
      </c>
      <c r="F10" s="57">
        <v>16</v>
      </c>
      <c r="G10" s="57">
        <v>17</v>
      </c>
      <c r="H10" s="57">
        <v>15</v>
      </c>
      <c r="I10" s="57">
        <v>20</v>
      </c>
      <c r="J10" s="57">
        <v>15</v>
      </c>
      <c r="K10" s="100">
        <f>SUM(C10:J10)</f>
        <v>126</v>
      </c>
      <c r="L10" t="s">
        <v>149</v>
      </c>
    </row>
    <row r="11" spans="2:16" ht="18" thickBot="1" x14ac:dyDescent="0.25">
      <c r="B11" s="13" t="s">
        <v>94</v>
      </c>
      <c r="C11" s="13">
        <v>10</v>
      </c>
      <c r="D11" s="1">
        <v>25</v>
      </c>
      <c r="E11" s="1">
        <v>13</v>
      </c>
      <c r="F11" s="1">
        <v>24</v>
      </c>
      <c r="G11" s="1">
        <v>19</v>
      </c>
      <c r="H11" s="1">
        <v>21</v>
      </c>
      <c r="I11" s="1">
        <v>17</v>
      </c>
      <c r="J11" s="1">
        <v>23</v>
      </c>
      <c r="K11" s="100">
        <f>SUM(C11:J11)</f>
        <v>152</v>
      </c>
      <c r="L11" t="s">
        <v>150</v>
      </c>
    </row>
    <row r="13" spans="2:16" x14ac:dyDescent="0.2">
      <c r="B13" t="str" cm="1">
        <f t="array" ref="B13:D21">TRANSPOSE(B9:J11)</f>
        <v>Treatment Combination</v>
      </c>
      <c r="C13" t="str">
        <v>Replicate I</v>
      </c>
      <c r="D13" t="str">
        <v>Replicate II</v>
      </c>
      <c r="E13" s="96" t="s">
        <v>16</v>
      </c>
      <c r="F13" s="75" t="s">
        <v>95</v>
      </c>
      <c r="G13" s="75" t="s">
        <v>96</v>
      </c>
      <c r="H13" s="75" t="s">
        <v>97</v>
      </c>
      <c r="I13" s="75" t="s">
        <v>98</v>
      </c>
      <c r="J13" s="75" t="s">
        <v>99</v>
      </c>
      <c r="K13" s="75" t="s">
        <v>100</v>
      </c>
      <c r="L13" s="75" t="s">
        <v>101</v>
      </c>
      <c r="N13" t="s">
        <v>110</v>
      </c>
      <c r="O13" s="94">
        <v>3</v>
      </c>
      <c r="P13" t="s">
        <v>155</v>
      </c>
    </row>
    <row r="14" spans="2:16" x14ac:dyDescent="0.2">
      <c r="B14" s="56">
        <v>-1</v>
      </c>
      <c r="C14">
        <v>12</v>
      </c>
      <c r="D14">
        <v>10</v>
      </c>
      <c r="E14">
        <f>C14+D14</f>
        <v>22</v>
      </c>
      <c r="F14">
        <f>IF($B14=-1,-1,IF($B14="a",1,IF($B14="ab",1,IF($B14="ac",1,IF($B14="abc",1,-1)))))</f>
        <v>-1</v>
      </c>
      <c r="G14">
        <f>IF($B14=-1,-1,IF($B14="b",1,IF($B14="ab",1,IF($B14="bc",1,IF($B14="abc",1,-1)))))</f>
        <v>-1</v>
      </c>
      <c r="H14">
        <f>IF($B14=-1,-1,IF($B14="c",1,IF($B14="ac",1,IF($B14="bc",1,IF($B14="abc",1,-1)))))</f>
        <v>-1</v>
      </c>
      <c r="I14">
        <f>F14*G14</f>
        <v>1</v>
      </c>
      <c r="J14">
        <f>F14*H14</f>
        <v>1</v>
      </c>
      <c r="K14">
        <f>G14*H14</f>
        <v>1</v>
      </c>
      <c r="L14">
        <f>F14*G14*H14</f>
        <v>-1</v>
      </c>
      <c r="N14" t="s">
        <v>157</v>
      </c>
      <c r="O14">
        <f>2^O13</f>
        <v>8</v>
      </c>
    </row>
    <row r="15" spans="2:16" x14ac:dyDescent="0.2">
      <c r="B15" s="56" t="str">
        <v>a</v>
      </c>
      <c r="C15">
        <v>18</v>
      </c>
      <c r="D15">
        <v>25</v>
      </c>
      <c r="E15">
        <f t="shared" ref="E15:E21" si="0">C15+D15</f>
        <v>43</v>
      </c>
      <c r="F15">
        <f t="shared" ref="F15:F21" si="1">IF($B15=-1,-1,IF($B15="a",1,IF($B15="ab",1,IF($B15="ac",1,IF($B15="abc",1,-1)))))</f>
        <v>1</v>
      </c>
      <c r="G15">
        <f t="shared" ref="G15:G21" si="2">IF($B15=-1,-1,IF($B15="b",1,IF($B15="ab",1,IF($B15="bc",1,IF($B15="abc",1,-1)))))</f>
        <v>-1</v>
      </c>
      <c r="H15">
        <f t="shared" ref="H15:H21" si="3">IF($B15=-1,-1,IF($B15="c",1,IF($B15="ac",1,IF($B15="bc",1,IF($B15="abc",1,-1)))))</f>
        <v>-1</v>
      </c>
      <c r="I15">
        <f t="shared" ref="I15:I21" si="4">F15*G15</f>
        <v>-1</v>
      </c>
      <c r="J15">
        <f t="shared" ref="J15:J21" si="5">F15*H15</f>
        <v>-1</v>
      </c>
      <c r="K15">
        <f t="shared" ref="K15:K21" si="6">G15*H15</f>
        <v>1</v>
      </c>
      <c r="L15">
        <f t="shared" ref="L15:L21" si="7">F15*G15*H15</f>
        <v>1</v>
      </c>
      <c r="N15" t="s">
        <v>106</v>
      </c>
      <c r="O15">
        <v>2</v>
      </c>
    </row>
    <row r="16" spans="2:16" x14ac:dyDescent="0.2">
      <c r="B16" s="56" t="str">
        <v>b</v>
      </c>
      <c r="C16">
        <v>13</v>
      </c>
      <c r="D16">
        <v>13</v>
      </c>
      <c r="E16">
        <f t="shared" si="0"/>
        <v>26</v>
      </c>
      <c r="F16">
        <f t="shared" si="1"/>
        <v>-1</v>
      </c>
      <c r="G16">
        <f t="shared" si="2"/>
        <v>1</v>
      </c>
      <c r="H16">
        <f t="shared" si="3"/>
        <v>-1</v>
      </c>
      <c r="I16">
        <f t="shared" si="4"/>
        <v>-1</v>
      </c>
      <c r="J16">
        <f t="shared" si="5"/>
        <v>1</v>
      </c>
      <c r="K16">
        <f t="shared" si="6"/>
        <v>-1</v>
      </c>
      <c r="L16">
        <f t="shared" si="7"/>
        <v>1</v>
      </c>
      <c r="N16" t="s">
        <v>156</v>
      </c>
      <c r="O16">
        <f>O14*O15</f>
        <v>16</v>
      </c>
    </row>
    <row r="17" spans="2:16" x14ac:dyDescent="0.2">
      <c r="B17" s="56" t="str">
        <v>ab</v>
      </c>
      <c r="C17">
        <v>16</v>
      </c>
      <c r="D17">
        <v>24</v>
      </c>
      <c r="E17">
        <f t="shared" si="0"/>
        <v>40</v>
      </c>
      <c r="F17">
        <f t="shared" si="1"/>
        <v>1</v>
      </c>
      <c r="G17">
        <f t="shared" si="2"/>
        <v>1</v>
      </c>
      <c r="H17">
        <f t="shared" si="3"/>
        <v>-1</v>
      </c>
      <c r="I17">
        <f t="shared" si="4"/>
        <v>1</v>
      </c>
      <c r="J17">
        <f t="shared" si="5"/>
        <v>-1</v>
      </c>
      <c r="K17">
        <f t="shared" si="6"/>
        <v>-1</v>
      </c>
      <c r="L17">
        <f t="shared" si="7"/>
        <v>-1</v>
      </c>
      <c r="N17" t="s">
        <v>111</v>
      </c>
      <c r="O17">
        <f>(2^(O13-1))*O15</f>
        <v>8</v>
      </c>
      <c r="P17" t="s">
        <v>109</v>
      </c>
    </row>
    <row r="18" spans="2:16" x14ac:dyDescent="0.2">
      <c r="B18" s="56" t="str">
        <v>c</v>
      </c>
      <c r="C18">
        <v>17</v>
      </c>
      <c r="D18">
        <v>19</v>
      </c>
      <c r="E18">
        <f t="shared" si="0"/>
        <v>36</v>
      </c>
      <c r="F18">
        <f t="shared" si="1"/>
        <v>-1</v>
      </c>
      <c r="G18">
        <f t="shared" si="2"/>
        <v>-1</v>
      </c>
      <c r="H18">
        <f t="shared" si="3"/>
        <v>1</v>
      </c>
      <c r="I18">
        <f t="shared" si="4"/>
        <v>1</v>
      </c>
      <c r="J18">
        <f t="shared" si="5"/>
        <v>-1</v>
      </c>
      <c r="K18">
        <f t="shared" si="6"/>
        <v>-1</v>
      </c>
      <c r="L18">
        <f t="shared" si="7"/>
        <v>1</v>
      </c>
      <c r="N18" t="s">
        <v>112</v>
      </c>
      <c r="O18">
        <f>(2^O13)*O15</f>
        <v>16</v>
      </c>
      <c r="P18" t="s">
        <v>113</v>
      </c>
    </row>
    <row r="19" spans="2:16" x14ac:dyDescent="0.2">
      <c r="B19" s="56" t="str">
        <v>ac</v>
      </c>
      <c r="C19">
        <v>15</v>
      </c>
      <c r="D19">
        <v>21</v>
      </c>
      <c r="E19">
        <f t="shared" si="0"/>
        <v>36</v>
      </c>
      <c r="F19">
        <f t="shared" si="1"/>
        <v>1</v>
      </c>
      <c r="G19">
        <f t="shared" si="2"/>
        <v>-1</v>
      </c>
      <c r="H19">
        <f t="shared" si="3"/>
        <v>1</v>
      </c>
      <c r="I19">
        <f t="shared" si="4"/>
        <v>-1</v>
      </c>
      <c r="J19">
        <f t="shared" si="5"/>
        <v>1</v>
      </c>
      <c r="K19">
        <f t="shared" si="6"/>
        <v>-1</v>
      </c>
      <c r="L19">
        <f t="shared" si="7"/>
        <v>-1</v>
      </c>
      <c r="N19" t="s">
        <v>166</v>
      </c>
      <c r="O19">
        <v>0.05</v>
      </c>
    </row>
    <row r="20" spans="2:16" x14ac:dyDescent="0.2">
      <c r="B20" s="56" t="str">
        <v>bc</v>
      </c>
      <c r="C20">
        <v>20</v>
      </c>
      <c r="D20">
        <v>17</v>
      </c>
      <c r="E20">
        <f t="shared" si="0"/>
        <v>37</v>
      </c>
      <c r="F20">
        <f t="shared" si="1"/>
        <v>-1</v>
      </c>
      <c r="G20">
        <f t="shared" si="2"/>
        <v>1</v>
      </c>
      <c r="H20">
        <f t="shared" si="3"/>
        <v>1</v>
      </c>
      <c r="I20">
        <f t="shared" si="4"/>
        <v>-1</v>
      </c>
      <c r="J20">
        <f t="shared" si="5"/>
        <v>-1</v>
      </c>
      <c r="K20">
        <f t="shared" si="6"/>
        <v>1</v>
      </c>
      <c r="L20">
        <f t="shared" si="7"/>
        <v>-1</v>
      </c>
    </row>
    <row r="21" spans="2:16" x14ac:dyDescent="0.2">
      <c r="B21" s="56" t="str">
        <v>abc</v>
      </c>
      <c r="C21">
        <v>15</v>
      </c>
      <c r="D21">
        <v>23</v>
      </c>
      <c r="E21">
        <f t="shared" si="0"/>
        <v>38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1</v>
      </c>
      <c r="L21">
        <f t="shared" si="7"/>
        <v>1</v>
      </c>
    </row>
    <row r="22" spans="2:16" x14ac:dyDescent="0.2">
      <c r="D22" t="s">
        <v>117</v>
      </c>
      <c r="E22">
        <f>SUM(E14:E21)</f>
        <v>278</v>
      </c>
    </row>
    <row r="23" spans="2:16" x14ac:dyDescent="0.2">
      <c r="D23" t="s">
        <v>118</v>
      </c>
      <c r="E23">
        <f>E22^2</f>
        <v>77284</v>
      </c>
    </row>
    <row r="25" spans="2:16" x14ac:dyDescent="0.2">
      <c r="B25" s="74" t="s">
        <v>119</v>
      </c>
      <c r="C25" cm="1">
        <f t="array" ref="C25:C32">C14:C21^2</f>
        <v>144</v>
      </c>
      <c r="D25" cm="1">
        <f t="array" ref="D25:D32">D14:D21^2</f>
        <v>100</v>
      </c>
    </row>
    <row r="26" spans="2:16" x14ac:dyDescent="0.2">
      <c r="C26">
        <v>324</v>
      </c>
      <c r="D26">
        <v>625</v>
      </c>
    </row>
    <row r="27" spans="2:16" x14ac:dyDescent="0.2">
      <c r="C27">
        <v>169</v>
      </c>
      <c r="D27">
        <v>169</v>
      </c>
    </row>
    <row r="28" spans="2:16" x14ac:dyDescent="0.2">
      <c r="C28">
        <v>256</v>
      </c>
      <c r="D28">
        <v>576</v>
      </c>
    </row>
    <row r="29" spans="2:16" x14ac:dyDescent="0.2">
      <c r="C29">
        <v>289</v>
      </c>
      <c r="D29">
        <v>361</v>
      </c>
    </row>
    <row r="30" spans="2:16" x14ac:dyDescent="0.2">
      <c r="C30">
        <v>225</v>
      </c>
      <c r="D30">
        <v>441</v>
      </c>
    </row>
    <row r="31" spans="2:16" x14ac:dyDescent="0.2">
      <c r="C31">
        <v>400</v>
      </c>
      <c r="D31">
        <v>289</v>
      </c>
    </row>
    <row r="32" spans="2:16" x14ac:dyDescent="0.2">
      <c r="C32">
        <v>225</v>
      </c>
      <c r="D32">
        <v>529</v>
      </c>
    </row>
    <row r="33" spans="2:14" x14ac:dyDescent="0.2">
      <c r="B33" t="s">
        <v>16</v>
      </c>
      <c r="C33">
        <f>SUM(_xlfn.ANCHORARRAY(C25))</f>
        <v>2032</v>
      </c>
      <c r="D33">
        <f>SUM(_xlfn.ANCHORARRAY(D25))</f>
        <v>3090</v>
      </c>
      <c r="E33">
        <f>C33+D33</f>
        <v>5122</v>
      </c>
    </row>
    <row r="34" spans="2:14" ht="17" x14ac:dyDescent="0.25">
      <c r="B34" t="s">
        <v>9</v>
      </c>
      <c r="E34">
        <f>E33-(E23/O18)</f>
        <v>291.75</v>
      </c>
    </row>
    <row r="35" spans="2:14" x14ac:dyDescent="0.2">
      <c r="M35" t="s">
        <v>81</v>
      </c>
      <c r="N35" t="s">
        <v>81</v>
      </c>
    </row>
    <row r="36" spans="2:14" x14ac:dyDescent="0.2">
      <c r="B36" s="56"/>
      <c r="E36" s="56"/>
      <c r="F36" s="97" t="s">
        <v>95</v>
      </c>
      <c r="G36" s="97" t="s">
        <v>96</v>
      </c>
      <c r="H36" s="97" t="s">
        <v>97</v>
      </c>
      <c r="I36" s="97" t="s">
        <v>98</v>
      </c>
      <c r="J36" s="97" t="s">
        <v>162</v>
      </c>
      <c r="K36" s="97" t="s">
        <v>100</v>
      </c>
      <c r="L36" s="97" t="s">
        <v>161</v>
      </c>
      <c r="M36" s="97" t="s">
        <v>163</v>
      </c>
      <c r="N36" s="97" t="s">
        <v>164</v>
      </c>
    </row>
    <row r="37" spans="2:14" x14ac:dyDescent="0.2">
      <c r="E37" s="56" t="s">
        <v>102</v>
      </c>
      <c r="F37" cm="1">
        <f t="array" ref="F37">SUM($E$14:$E$21*F14:F21)</f>
        <v>36</v>
      </c>
      <c r="G37" cm="1">
        <f t="array" ref="G37">SUM($E$14:$E$21*G14:G21)</f>
        <v>4</v>
      </c>
      <c r="H37" cm="1">
        <f t="array" ref="H37">SUM($E$14:$E$21*H14:H21)</f>
        <v>16</v>
      </c>
      <c r="I37" cm="1">
        <f t="array" ref="I37">SUM($E$14:$E$21*I14:I21)</f>
        <v>-6</v>
      </c>
      <c r="J37" cm="1">
        <f t="array" ref="J37">SUM($C$14:$C$21*J14:J21)</f>
        <v>-16</v>
      </c>
      <c r="K37" cm="1">
        <f t="array" ref="K37">SUM($E$14:$E$21*K14:K21)</f>
        <v>2</v>
      </c>
      <c r="L37" cm="1">
        <f t="array" ref="L37">SUM($D$14:$D$21*L14:L21)</f>
        <v>8</v>
      </c>
      <c r="M37" cm="1">
        <f t="array" ref="M37">SUM($D$14:$D$21*J14:J21)</f>
        <v>-18</v>
      </c>
      <c r="N37" cm="1">
        <f t="array" ref="N37">SUM($C$14:$C$21*L14:L21)</f>
        <v>0</v>
      </c>
    </row>
    <row r="38" spans="2:14" x14ac:dyDescent="0.2">
      <c r="E38" s="56" t="s">
        <v>107</v>
      </c>
      <c r="F38">
        <f>F37/$O$14</f>
        <v>4.5</v>
      </c>
      <c r="G38">
        <f>G37/$O$14</f>
        <v>0.5</v>
      </c>
      <c r="H38">
        <f>H37/$O$14</f>
        <v>2</v>
      </c>
      <c r="I38">
        <f>I37/$O$14</f>
        <v>-0.75</v>
      </c>
      <c r="J38">
        <f>J37/($O$14/2)</f>
        <v>-4</v>
      </c>
      <c r="K38">
        <f>K37/$O$14</f>
        <v>0.25</v>
      </c>
      <c r="L38">
        <f>L37/($O$14/2)</f>
        <v>2</v>
      </c>
      <c r="M38">
        <f>M37/($O$14/2)</f>
        <v>-4.5</v>
      </c>
      <c r="N38">
        <f>N37/($O$14/2)</f>
        <v>0</v>
      </c>
    </row>
    <row r="39" spans="2:14" x14ac:dyDescent="0.2">
      <c r="E39" s="56" t="s">
        <v>108</v>
      </c>
      <c r="F39">
        <f>(F37^2)/$O$18</f>
        <v>81</v>
      </c>
      <c r="G39">
        <f t="shared" ref="G39:H39" si="8">(G37^2)/$O$18</f>
        <v>1</v>
      </c>
      <c r="H39">
        <f t="shared" si="8"/>
        <v>16</v>
      </c>
      <c r="I39">
        <f>(I37^2)/$O$18</f>
        <v>2.25</v>
      </c>
      <c r="J39">
        <f>(J37^2)/($O$18/2)</f>
        <v>32</v>
      </c>
      <c r="K39">
        <f>(K37^2)/$O$18</f>
        <v>0.25</v>
      </c>
      <c r="L39">
        <f>(L37^2)/($O$18/2)</f>
        <v>8</v>
      </c>
      <c r="M39">
        <f t="shared" ref="L39:N39" si="9">(M37^2)/($O$18/2)</f>
        <v>40.5</v>
      </c>
      <c r="N39">
        <f>(N37^2)/($O$18/2)</f>
        <v>0</v>
      </c>
    </row>
    <row r="40" spans="2:14" x14ac:dyDescent="0.2">
      <c r="B40" s="56"/>
    </row>
    <row r="42" spans="2:14" x14ac:dyDescent="0.2">
      <c r="B42" s="74" t="s">
        <v>114</v>
      </c>
      <c r="C42" s="77"/>
      <c r="D42" s="78"/>
      <c r="E42" s="77"/>
    </row>
    <row r="43" spans="2:14" x14ac:dyDescent="0.2">
      <c r="B43" s="76" t="s">
        <v>10</v>
      </c>
      <c r="C43" s="76" t="s">
        <v>102</v>
      </c>
      <c r="D43" s="76" t="s">
        <v>107</v>
      </c>
      <c r="E43" s="76" t="s">
        <v>108</v>
      </c>
    </row>
    <row r="44" spans="2:14" x14ac:dyDescent="0.2">
      <c r="B44" s="66" t="str">
        <f>F36</f>
        <v>A</v>
      </c>
      <c r="C44" s="80">
        <f t="shared" ref="C44:C52" si="10">INDEX($F$37:$N$39,MATCH($C$43,$E$37:$E$39,0),MATCH($B44,$F$36:$N$36,0))</f>
        <v>36</v>
      </c>
      <c r="D44" s="80">
        <f>INDEX($F$37:$N$39,MATCH($D$43,$E$37:$E$39,0),MATCH($B44,$F$36:$N$36,0))</f>
        <v>4.5</v>
      </c>
      <c r="E44" s="80">
        <f>INDEX($F$37:$N$39,MATCH($E$43,$E$37:$E$39,0),MATCH($B44,$F$36:$N$36,0))</f>
        <v>81</v>
      </c>
    </row>
    <row r="45" spans="2:14" x14ac:dyDescent="0.2">
      <c r="B45" s="66" t="str">
        <f>G36</f>
        <v>B</v>
      </c>
      <c r="C45" s="80">
        <f t="shared" si="10"/>
        <v>4</v>
      </c>
      <c r="D45" s="80">
        <f t="shared" ref="D45:D52" si="11">INDEX($F$37:$N$39,MATCH($D$43,$E$37:$E$39,0),MATCH($B45,$F$36:$N$36,0))</f>
        <v>0.5</v>
      </c>
      <c r="E45" s="80">
        <f t="shared" ref="E45:E52" si="12">INDEX($F$37:$N$39,MATCH($E$43,$E$37:$E$39,0),MATCH($B45,$F$36:$N$36,0))</f>
        <v>1</v>
      </c>
    </row>
    <row r="46" spans="2:14" x14ac:dyDescent="0.2">
      <c r="B46" s="66" t="str">
        <f>H36</f>
        <v>C</v>
      </c>
      <c r="C46" s="80">
        <f t="shared" si="10"/>
        <v>16</v>
      </c>
      <c r="D46" s="80">
        <f t="shared" si="11"/>
        <v>2</v>
      </c>
      <c r="E46" s="80">
        <f t="shared" si="12"/>
        <v>16</v>
      </c>
    </row>
    <row r="47" spans="2:14" x14ac:dyDescent="0.2">
      <c r="B47" s="66" t="str">
        <f>I36</f>
        <v>AB</v>
      </c>
      <c r="C47" s="80">
        <f t="shared" si="10"/>
        <v>-6</v>
      </c>
      <c r="D47" s="80">
        <f t="shared" si="11"/>
        <v>-0.75</v>
      </c>
      <c r="E47" s="80">
        <f t="shared" si="12"/>
        <v>2.25</v>
      </c>
    </row>
    <row r="48" spans="2:14" x14ac:dyDescent="0.2">
      <c r="B48" s="66" t="str">
        <f>J36</f>
        <v>AC-Rep-1</v>
      </c>
      <c r="C48" s="80">
        <f t="shared" si="10"/>
        <v>-16</v>
      </c>
      <c r="D48" s="80">
        <f t="shared" si="11"/>
        <v>-4</v>
      </c>
      <c r="E48" s="80">
        <f t="shared" si="12"/>
        <v>32</v>
      </c>
    </row>
    <row r="49" spans="2:8" x14ac:dyDescent="0.2">
      <c r="B49" s="66" t="str">
        <f>K36</f>
        <v>BC</v>
      </c>
      <c r="C49" s="80">
        <f t="shared" si="10"/>
        <v>2</v>
      </c>
      <c r="D49" s="80">
        <f t="shared" si="11"/>
        <v>0.25</v>
      </c>
      <c r="E49" s="80">
        <f t="shared" si="12"/>
        <v>0.25</v>
      </c>
    </row>
    <row r="50" spans="2:8" x14ac:dyDescent="0.2">
      <c r="B50" s="66" t="str">
        <f>L36</f>
        <v>ABC-Rep-2</v>
      </c>
      <c r="C50" s="80">
        <f t="shared" si="10"/>
        <v>8</v>
      </c>
      <c r="D50" s="80">
        <f t="shared" si="11"/>
        <v>2</v>
      </c>
      <c r="E50" s="80">
        <f t="shared" si="12"/>
        <v>8</v>
      </c>
    </row>
    <row r="51" spans="2:8" x14ac:dyDescent="0.2">
      <c r="B51" s="66" t="str">
        <f>M36</f>
        <v>AC-Block-2</v>
      </c>
      <c r="C51" s="80">
        <f t="shared" si="10"/>
        <v>-18</v>
      </c>
      <c r="D51" s="80">
        <f t="shared" si="11"/>
        <v>-4.5</v>
      </c>
      <c r="E51" s="80">
        <f t="shared" si="12"/>
        <v>40.5</v>
      </c>
    </row>
    <row r="52" spans="2:8" x14ac:dyDescent="0.2">
      <c r="B52" s="67" t="str">
        <f>N36</f>
        <v>ABC-Block-1</v>
      </c>
      <c r="C52" s="95">
        <f t="shared" si="10"/>
        <v>0</v>
      </c>
      <c r="D52" s="95">
        <f t="shared" si="11"/>
        <v>0</v>
      </c>
      <c r="E52" s="95">
        <f t="shared" si="12"/>
        <v>0</v>
      </c>
    </row>
    <row r="54" spans="2:8" x14ac:dyDescent="0.2">
      <c r="B54" s="74" t="s">
        <v>115</v>
      </c>
      <c r="C54" s="77"/>
      <c r="D54" s="77"/>
      <c r="E54" s="77"/>
      <c r="F54" s="77"/>
    </row>
    <row r="55" spans="2:8" x14ac:dyDescent="0.2">
      <c r="B55" s="79" t="str">
        <f>B43</f>
        <v>Source of Variation</v>
      </c>
      <c r="C55" s="79" t="str">
        <f>E43</f>
        <v>SS</v>
      </c>
      <c r="D55" s="79" t="s">
        <v>116</v>
      </c>
      <c r="E55" s="79" t="s">
        <v>13</v>
      </c>
      <c r="F55" s="79" t="s">
        <v>120</v>
      </c>
      <c r="G55" s="79" t="s">
        <v>40</v>
      </c>
      <c r="H55" s="108"/>
    </row>
    <row r="56" spans="2:8" x14ac:dyDescent="0.2">
      <c r="B56" s="66" t="s">
        <v>151</v>
      </c>
      <c r="C56" s="63">
        <f>(SUM((K10^2),(K11^2))/O14)-(E23/O16)</f>
        <v>42.25</v>
      </c>
      <c r="D56" s="63">
        <v>1</v>
      </c>
      <c r="E56" s="63">
        <f>C56/D56</f>
        <v>42.25</v>
      </c>
      <c r="F56" s="80"/>
      <c r="G56" s="80"/>
    </row>
    <row r="57" spans="2:8" ht="32" x14ac:dyDescent="0.2">
      <c r="B57" s="107" t="s">
        <v>165</v>
      </c>
      <c r="C57" s="63">
        <f>SUM(M39:N39)</f>
        <v>40.5</v>
      </c>
      <c r="D57" s="63">
        <v>2</v>
      </c>
      <c r="E57" s="63">
        <f>C57/D57</f>
        <v>20.25</v>
      </c>
      <c r="F57" s="80"/>
      <c r="G57" s="80"/>
    </row>
    <row r="58" spans="2:8" x14ac:dyDescent="0.2">
      <c r="B58" s="66" t="s">
        <v>95</v>
      </c>
      <c r="C58" s="63">
        <f>INDEX($E$44:$E$52,MATCH($B58,$B$44:$B$52,0),1)</f>
        <v>81</v>
      </c>
      <c r="D58" s="63">
        <v>1</v>
      </c>
      <c r="E58" s="63">
        <f t="shared" ref="E58:E65" si="13">C58/D58</f>
        <v>81</v>
      </c>
      <c r="F58" s="80">
        <f>E58/$E$65</f>
        <v>5.9124087591240881</v>
      </c>
      <c r="G58" s="80">
        <f>_xlfn.F.INV.RT($O$19,D58,$D$65)</f>
        <v>6.607890973703368</v>
      </c>
    </row>
    <row r="59" spans="2:8" x14ac:dyDescent="0.2">
      <c r="B59" s="66" t="s">
        <v>96</v>
      </c>
      <c r="C59" s="63">
        <f t="shared" ref="C59:C64" si="14">INDEX($E$44:$E$52,MATCH($B59,$B$44:$B$52,0),1)</f>
        <v>1</v>
      </c>
      <c r="D59" s="63">
        <v>1</v>
      </c>
      <c r="E59" s="63">
        <f t="shared" si="13"/>
        <v>1</v>
      </c>
      <c r="F59" s="80">
        <f t="shared" ref="F59:F64" si="15">E59/$E$65</f>
        <v>7.2992700729927015E-2</v>
      </c>
      <c r="G59" s="80">
        <f t="shared" ref="G59:G64" si="16">_xlfn.F.INV.RT($O$19,D59,$D$65)</f>
        <v>6.607890973703368</v>
      </c>
    </row>
    <row r="60" spans="2:8" x14ac:dyDescent="0.2">
      <c r="B60" s="66" t="s">
        <v>97</v>
      </c>
      <c r="C60" s="63">
        <f t="shared" si="14"/>
        <v>16</v>
      </c>
      <c r="D60" s="63">
        <v>1</v>
      </c>
      <c r="E60" s="63">
        <f t="shared" si="13"/>
        <v>16</v>
      </c>
      <c r="F60" s="80">
        <f t="shared" si="15"/>
        <v>1.1678832116788322</v>
      </c>
      <c r="G60" s="80">
        <f t="shared" si="16"/>
        <v>6.607890973703368</v>
      </c>
    </row>
    <row r="61" spans="2:8" x14ac:dyDescent="0.2">
      <c r="B61" s="66" t="s">
        <v>98</v>
      </c>
      <c r="C61" s="63">
        <f t="shared" si="14"/>
        <v>2.25</v>
      </c>
      <c r="D61" s="63">
        <v>1</v>
      </c>
      <c r="E61" s="63">
        <f t="shared" si="13"/>
        <v>2.25</v>
      </c>
      <c r="F61" s="80">
        <f t="shared" si="15"/>
        <v>0.16423357664233579</v>
      </c>
      <c r="G61" s="80">
        <f t="shared" si="16"/>
        <v>6.607890973703368</v>
      </c>
    </row>
    <row r="62" spans="2:8" x14ac:dyDescent="0.2">
      <c r="B62" s="66" t="s">
        <v>162</v>
      </c>
      <c r="C62" s="63">
        <f t="shared" si="14"/>
        <v>32</v>
      </c>
      <c r="D62" s="63">
        <v>1</v>
      </c>
      <c r="E62" s="63">
        <f t="shared" si="13"/>
        <v>32</v>
      </c>
      <c r="F62" s="80">
        <f t="shared" si="15"/>
        <v>2.3357664233576645</v>
      </c>
      <c r="G62" s="80">
        <f t="shared" si="16"/>
        <v>6.607890973703368</v>
      </c>
    </row>
    <row r="63" spans="2:8" x14ac:dyDescent="0.2">
      <c r="B63" s="66" t="s">
        <v>100</v>
      </c>
      <c r="C63" s="63">
        <f t="shared" si="14"/>
        <v>0.25</v>
      </c>
      <c r="D63" s="63">
        <v>1</v>
      </c>
      <c r="E63" s="63">
        <f t="shared" si="13"/>
        <v>0.25</v>
      </c>
      <c r="F63" s="80">
        <f t="shared" si="15"/>
        <v>1.8248175182481754E-2</v>
      </c>
      <c r="G63" s="80">
        <f t="shared" si="16"/>
        <v>6.607890973703368</v>
      </c>
    </row>
    <row r="64" spans="2:8" x14ac:dyDescent="0.2">
      <c r="B64" s="66" t="s">
        <v>161</v>
      </c>
      <c r="C64" s="63">
        <f t="shared" si="14"/>
        <v>8</v>
      </c>
      <c r="D64" s="63">
        <v>1</v>
      </c>
      <c r="E64" s="63">
        <f t="shared" si="13"/>
        <v>8</v>
      </c>
      <c r="F64" s="80">
        <f t="shared" si="15"/>
        <v>0.58394160583941612</v>
      </c>
      <c r="G64" s="80">
        <f t="shared" si="16"/>
        <v>6.607890973703368</v>
      </c>
    </row>
    <row r="65" spans="2:7" x14ac:dyDescent="0.2">
      <c r="B65" s="66" t="s">
        <v>15</v>
      </c>
      <c r="C65" s="63">
        <f>C66-SUM(C56:C64)</f>
        <v>68.5</v>
      </c>
      <c r="D65" s="63">
        <f>D66-SUM(D56:D64)</f>
        <v>5</v>
      </c>
      <c r="E65" s="63">
        <f t="shared" si="13"/>
        <v>13.7</v>
      </c>
      <c r="F65" s="63"/>
      <c r="G65" s="63"/>
    </row>
    <row r="66" spans="2:7" x14ac:dyDescent="0.2">
      <c r="B66" s="67" t="s">
        <v>16</v>
      </c>
      <c r="C66" s="8">
        <f>E34</f>
        <v>291.75</v>
      </c>
      <c r="D66" s="8">
        <f>O16-1</f>
        <v>15</v>
      </c>
      <c r="E66" s="8"/>
      <c r="F66" s="8"/>
      <c r="G66" s="8"/>
    </row>
    <row r="68" spans="2:7" x14ac:dyDescent="0.2">
      <c r="B68" s="109" t="s">
        <v>167</v>
      </c>
    </row>
  </sheetData>
  <mergeCells count="4">
    <mergeCell ref="B2:E2"/>
    <mergeCell ref="B3:E3"/>
    <mergeCell ref="F2:I2"/>
    <mergeCell ref="F3:I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1AECB-58DB-1142-9CF3-BF609962C827}">
  <dimension ref="A1"/>
  <sheetViews>
    <sheetView topLeftCell="A7" workbookViewId="0">
      <selection activeCell="O23" sqref="O23"/>
    </sheetView>
  </sheetViews>
  <sheetFormatPr baseColWidth="10" defaultRowHeight="15" x14ac:dyDescent="0.2"/>
  <sheetData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Q1-2022</vt:lpstr>
      <vt:lpstr>Q1-2021</vt:lpstr>
      <vt:lpstr>Q1-2020</vt:lpstr>
      <vt:lpstr>Q1-2019</vt:lpstr>
      <vt:lpstr>Q1-2015</vt:lpstr>
      <vt:lpstr>Q2-2022</vt:lpstr>
      <vt:lpstr>Sheet1</vt:lpstr>
      <vt:lpstr>Q2-2021</vt:lpstr>
      <vt:lpstr>Q2-2015</vt:lpstr>
      <vt:lpstr>Q3-2022</vt:lpstr>
      <vt:lpstr>Q3-2021</vt:lpstr>
      <vt:lpstr>Q3-2020</vt:lpstr>
      <vt:lpstr>Q4-2020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Wut Yee Aung</dc:creator>
  <cp:lastModifiedBy>Kyi Thin Nu</cp:lastModifiedBy>
  <dcterms:created xsi:type="dcterms:W3CDTF">2023-11-29T02:11:46Z</dcterms:created>
  <dcterms:modified xsi:type="dcterms:W3CDTF">2023-12-03T12:31:45Z</dcterms:modified>
</cp:coreProperties>
</file>