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Old Question Template/"/>
    </mc:Choice>
  </mc:AlternateContent>
  <xr:revisionPtr revIDLastSave="0" documentId="13_ncr:1_{75C6373D-7C0A-C44B-9914-02FCD054CC7B}" xr6:coauthVersionLast="47" xr6:coauthVersionMax="47" xr10:uidLastSave="{00000000-0000-0000-0000-000000000000}"/>
  <bookViews>
    <workbookView minimized="1" xWindow="0" yWindow="500" windowWidth="28800" windowHeight="16360" xr2:uid="{3692B6BD-AF73-C44F-BC03-D5773678042A}"/>
  </bookViews>
  <sheets>
    <sheet name="2020 Q 1" sheetId="1" r:id="rId1"/>
    <sheet name="2020 Q 2" sheetId="2" r:id="rId2"/>
    <sheet name="2020 Q3" sheetId="3" r:id="rId3"/>
    <sheet name="2020 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6" i="4" l="1"/>
  <c r="G45" i="4"/>
  <c r="G44" i="4"/>
  <c r="G43" i="4"/>
  <c r="G42" i="4"/>
  <c r="G41" i="4"/>
  <c r="G40" i="4"/>
  <c r="F46" i="4"/>
  <c r="F45" i="4"/>
  <c r="F44" i="4"/>
  <c r="F43" i="4"/>
  <c r="F42" i="4"/>
  <c r="F41" i="4"/>
  <c r="F40" i="4"/>
  <c r="E39" i="4"/>
  <c r="E40" i="4"/>
  <c r="E41" i="4"/>
  <c r="E42" i="4"/>
  <c r="E43" i="4"/>
  <c r="E44" i="4"/>
  <c r="E45" i="4"/>
  <c r="E46" i="4"/>
  <c r="E47" i="4"/>
  <c r="E38" i="4"/>
  <c r="D47" i="4"/>
  <c r="C47" i="4"/>
  <c r="C48" i="4"/>
  <c r="C46" i="4"/>
  <c r="C44" i="4"/>
  <c r="C45" i="4"/>
  <c r="C43" i="4"/>
  <c r="C42" i="4"/>
  <c r="C41" i="4"/>
  <c r="C40" i="4"/>
  <c r="C38" i="4"/>
  <c r="C39" i="4"/>
  <c r="C35" i="4"/>
  <c r="C28" i="4"/>
  <c r="C29" i="4"/>
  <c r="C30" i="4"/>
  <c r="C31" i="4"/>
  <c r="C32" i="4"/>
  <c r="C33" i="4"/>
  <c r="C34" i="4"/>
  <c r="C27" i="4"/>
  <c r="B28" i="4"/>
  <c r="B29" i="4"/>
  <c r="B30" i="4"/>
  <c r="B31" i="4"/>
  <c r="B32" i="4"/>
  <c r="B33" i="4"/>
  <c r="B34" i="4"/>
  <c r="B27" i="4"/>
  <c r="J25" i="4"/>
  <c r="J24" i="4"/>
  <c r="J23" i="4"/>
  <c r="J21" i="4"/>
  <c r="J20" i="4"/>
  <c r="J17" i="4" a="1"/>
  <c r="J17" i="4" s="1"/>
  <c r="I17" i="4" a="1"/>
  <c r="I17" i="4" s="1"/>
  <c r="G17" i="4" a="1"/>
  <c r="G17" i="4" s="1"/>
  <c r="H17" i="4" a="1"/>
  <c r="H17" i="4" s="1"/>
  <c r="F3" i="4" a="1"/>
  <c r="F3" i="4" s="1"/>
  <c r="F17" i="4" a="1"/>
  <c r="F17" i="4"/>
  <c r="E17" i="4" a="1"/>
  <c r="E17" i="4" s="1"/>
  <c r="D17" i="4" a="1"/>
  <c r="D17" i="4" s="1"/>
  <c r="C17" i="4" a="1"/>
  <c r="C17" i="4" s="1"/>
  <c r="B17" i="4" a="1"/>
  <c r="B17" i="4" s="1"/>
  <c r="K13" i="4"/>
  <c r="K12" i="4"/>
  <c r="K11" i="4"/>
  <c r="K4" i="4"/>
  <c r="K5" i="4"/>
  <c r="K6" i="4"/>
  <c r="K7" i="4"/>
  <c r="K8" i="4"/>
  <c r="K9" i="4"/>
  <c r="K10" i="4"/>
  <c r="K3" i="4"/>
  <c r="J11" i="4"/>
  <c r="I11" i="4"/>
  <c r="H3" i="4" a="1"/>
  <c r="H3" i="4" s="1"/>
  <c r="G3" i="4" a="1"/>
  <c r="G3" i="4" s="1"/>
  <c r="E3" i="4" a="1"/>
  <c r="E3" i="4" s="1"/>
  <c r="D88" i="3" l="1"/>
  <c r="C88" i="3"/>
  <c r="D87" i="3"/>
  <c r="C87" i="3"/>
  <c r="D86" i="3"/>
  <c r="C86" i="3"/>
  <c r="L67" i="3"/>
  <c r="K67" i="3"/>
  <c r="L66" i="3"/>
  <c r="K66" i="3"/>
  <c r="D67" i="3"/>
  <c r="D66" i="3"/>
  <c r="C67" i="3"/>
  <c r="C66" i="3"/>
  <c r="D65" i="3"/>
  <c r="C65" i="3"/>
  <c r="B67" i="3"/>
  <c r="B66" i="3"/>
  <c r="P45" i="3"/>
  <c r="O45" i="3"/>
  <c r="P44" i="3"/>
  <c r="O44" i="3"/>
  <c r="I45" i="3"/>
  <c r="H45" i="3"/>
  <c r="H44" i="3"/>
  <c r="C45" i="3"/>
  <c r="B45" i="3"/>
  <c r="C44" i="3"/>
  <c r="B44" i="3"/>
  <c r="G31" i="3"/>
  <c r="F37" i="3"/>
  <c r="F36" i="3"/>
  <c r="F35" i="3"/>
  <c r="F34" i="3"/>
  <c r="F33" i="3"/>
  <c r="F32" i="3"/>
  <c r="F31" i="3"/>
  <c r="E31" i="3" a="1"/>
  <c r="E31" i="3" s="1"/>
  <c r="D31" i="3" a="1"/>
  <c r="D31" i="3" s="1"/>
  <c r="C38" i="3"/>
  <c r="B38" i="3"/>
  <c r="B39" i="3"/>
  <c r="B31" i="3" a="1"/>
  <c r="B31" i="3" s="1"/>
  <c r="C28" i="3"/>
  <c r="C21" i="3"/>
  <c r="C22" i="3"/>
  <c r="C23" i="3"/>
  <c r="C24" i="3"/>
  <c r="C25" i="3"/>
  <c r="C26" i="3"/>
  <c r="C27" i="3"/>
  <c r="C20" i="3"/>
  <c r="B21" i="3"/>
  <c r="B22" i="3"/>
  <c r="B23" i="3"/>
  <c r="B24" i="3"/>
  <c r="B25" i="3"/>
  <c r="B26" i="3"/>
  <c r="B27" i="3"/>
  <c r="B20" i="3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K12" i="3"/>
  <c r="K11" i="3"/>
  <c r="K4" i="3"/>
  <c r="K5" i="3"/>
  <c r="K6" i="3"/>
  <c r="K7" i="3"/>
  <c r="K8" i="3"/>
  <c r="K9" i="3"/>
  <c r="K10" i="3"/>
  <c r="K3" i="3"/>
  <c r="H3" i="3" a="1"/>
  <c r="H3" i="3" s="1"/>
  <c r="G3" i="3" a="1"/>
  <c r="G3" i="3" s="1"/>
  <c r="F3" i="3" a="1"/>
  <c r="F3" i="3" s="1"/>
  <c r="E3" i="3" a="1"/>
  <c r="E3" i="3" s="1"/>
  <c r="R59" i="2"/>
  <c r="R58" i="2"/>
  <c r="R57" i="2"/>
  <c r="R56" i="2"/>
  <c r="R55" i="2"/>
  <c r="R54" i="2"/>
  <c r="R53" i="2"/>
  <c r="R52" i="2"/>
  <c r="R29" i="2"/>
  <c r="R27" i="2"/>
  <c r="R26" i="2"/>
  <c r="R49" i="2" s="1"/>
  <c r="R25" i="2"/>
  <c r="E12" i="2"/>
  <c r="E13" i="2"/>
  <c r="R32" i="2" s="1"/>
  <c r="E11" i="2"/>
  <c r="D12" i="2"/>
  <c r="R28" i="2" s="1"/>
  <c r="R50" i="2" s="1"/>
  <c r="D13" i="2"/>
  <c r="R31" i="2" s="1"/>
  <c r="D11" i="2"/>
  <c r="D14" i="2" s="1"/>
  <c r="R22" i="2" s="1"/>
  <c r="R47" i="2" s="1"/>
  <c r="C13" i="2"/>
  <c r="R30" i="2" s="1"/>
  <c r="R51" i="2" s="1"/>
  <c r="C11" i="2"/>
  <c r="R24" i="2" s="1"/>
  <c r="R48" i="2" s="1"/>
  <c r="B13" i="2"/>
  <c r="B12" i="2"/>
  <c r="B11" i="2"/>
  <c r="E10" i="2"/>
  <c r="D10" i="2"/>
  <c r="C10" i="2"/>
  <c r="D9" i="2"/>
  <c r="B10" i="2"/>
  <c r="B62" i="2" a="1"/>
  <c r="B62" i="2" s="1"/>
  <c r="F13" i="2"/>
  <c r="R20" i="2" s="1"/>
  <c r="N14" i="1"/>
  <c r="M14" i="1"/>
  <c r="J17" i="1"/>
  <c r="J18" i="1"/>
  <c r="J16" i="1"/>
  <c r="I17" i="1"/>
  <c r="G23" i="1" s="1"/>
  <c r="I18" i="1"/>
  <c r="I16" i="1"/>
  <c r="H17" i="1"/>
  <c r="H18" i="1"/>
  <c r="H16" i="1"/>
  <c r="F22" i="1" s="1"/>
  <c r="G17" i="1"/>
  <c r="G18" i="1"/>
  <c r="G16" i="1"/>
  <c r="F17" i="1"/>
  <c r="F18" i="1"/>
  <c r="F16" i="1"/>
  <c r="E17" i="1"/>
  <c r="E23" i="1" s="1"/>
  <c r="E18" i="1"/>
  <c r="E24" i="1" s="1"/>
  <c r="E16" i="1"/>
  <c r="D24" i="1"/>
  <c r="D18" i="1"/>
  <c r="D17" i="1"/>
  <c r="D23" i="1" s="1"/>
  <c r="D16" i="1"/>
  <c r="D22" i="1" s="1"/>
  <c r="G21" i="1"/>
  <c r="F21" i="1"/>
  <c r="E21" i="1"/>
  <c r="J15" i="1"/>
  <c r="H15" i="1"/>
  <c r="F15" i="1"/>
  <c r="F20" i="1"/>
  <c r="H14" i="1"/>
  <c r="D21" i="1"/>
  <c r="D14" i="1"/>
  <c r="F42" i="1"/>
  <c r="I39" i="1" s="1"/>
  <c r="I41" i="1"/>
  <c r="I37" i="1"/>
  <c r="G24" i="1"/>
  <c r="F24" i="1"/>
  <c r="F23" i="1"/>
  <c r="G22" i="1"/>
  <c r="N15" i="1"/>
  <c r="N16" i="1" s="1"/>
  <c r="M15" i="1"/>
  <c r="M16" i="1" s="1"/>
  <c r="E9" i="1" a="1"/>
  <c r="E9" i="1" s="1"/>
  <c r="L11" i="1" s="1"/>
  <c r="O6" i="1"/>
  <c r="H49" i="1" l="1"/>
  <c r="I38" i="1"/>
  <c r="F11" i="2"/>
  <c r="R18" i="2" s="1"/>
  <c r="R44" i="2" s="1"/>
  <c r="F12" i="2"/>
  <c r="R19" i="2" s="1"/>
  <c r="R45" i="2" s="1"/>
  <c r="C14" i="2"/>
  <c r="R21" i="2" s="1"/>
  <c r="R46" i="2" s="1"/>
  <c r="E14" i="2"/>
  <c r="R23" i="2" s="1"/>
  <c r="F14" i="2"/>
  <c r="R17" i="2" s="1"/>
  <c r="G25" i="1"/>
  <c r="H24" i="1"/>
  <c r="G49" i="1"/>
  <c r="E22" i="1"/>
  <c r="E25" i="1" s="1"/>
  <c r="N17" i="1"/>
  <c r="F25" i="1"/>
  <c r="H23" i="1"/>
  <c r="J25" i="1" l="1"/>
  <c r="J26" i="1" s="1"/>
  <c r="E43" i="1" s="1"/>
  <c r="H22" i="1"/>
  <c r="E28" i="1" a="1"/>
  <c r="E28" i="1" s="1"/>
  <c r="I28" i="1" s="1"/>
  <c r="E38" i="1" s="1"/>
  <c r="G38" i="1" s="1"/>
  <c r="F49" i="1"/>
  <c r="E30" i="1" a="1"/>
  <c r="E30" i="1" s="1"/>
  <c r="I32" i="1" s="1"/>
  <c r="E40" i="1" s="1"/>
  <c r="E41" i="1"/>
  <c r="G41" i="1" s="1"/>
  <c r="E27" i="1" a="1"/>
  <c r="E27" i="1" s="1"/>
  <c r="I27" i="1" s="1"/>
  <c r="E37" i="1" s="1"/>
  <c r="G37" i="1" s="1"/>
  <c r="E39" i="1" l="1"/>
  <c r="G39" i="1" s="1"/>
  <c r="E42" i="1" l="1"/>
  <c r="G42" i="1" s="1"/>
  <c r="H39" i="1" s="1"/>
  <c r="H38" i="1" l="1"/>
  <c r="H41" i="1"/>
  <c r="H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<sst xmlns="http://schemas.openxmlformats.org/spreadsheetml/2006/main" count="212" uniqueCount="104">
  <si>
    <t>Day 1</t>
  </si>
  <si>
    <t>Day 2</t>
  </si>
  <si>
    <t>a=</t>
  </si>
  <si>
    <t xml:space="preserve">b= </t>
  </si>
  <si>
    <t>n=</t>
  </si>
  <si>
    <t>abn=</t>
  </si>
  <si>
    <t>Sum=</t>
  </si>
  <si>
    <t>Block Total</t>
  </si>
  <si>
    <t>Block total^2</t>
  </si>
  <si>
    <t>Yi..</t>
  </si>
  <si>
    <t>Y.j.</t>
  </si>
  <si>
    <t>Y…=</t>
  </si>
  <si>
    <t>Y…^2=</t>
  </si>
  <si>
    <t>Yi..^2=</t>
  </si>
  <si>
    <t>sum=</t>
  </si>
  <si>
    <t>Y.j.^2=</t>
  </si>
  <si>
    <t>Sourse of Variation</t>
  </si>
  <si>
    <t>Sum of Square</t>
  </si>
  <si>
    <t>DF</t>
  </si>
  <si>
    <t>Mean Square</t>
  </si>
  <si>
    <t>F0</t>
  </si>
  <si>
    <t>F_critical</t>
  </si>
  <si>
    <t>SS A</t>
  </si>
  <si>
    <t>SS B</t>
  </si>
  <si>
    <t>SS AB</t>
  </si>
  <si>
    <t>SS Sub</t>
  </si>
  <si>
    <t>SS Block</t>
  </si>
  <si>
    <t>SSE</t>
  </si>
  <si>
    <t>SST</t>
  </si>
  <si>
    <t>B.</t>
  </si>
  <si>
    <t>Treatment average:</t>
  </si>
  <si>
    <t>Collum average(B)</t>
  </si>
  <si>
    <t>Temperature℃</t>
  </si>
  <si>
    <t>Position</t>
  </si>
  <si>
    <t xml:space="preserve">Only the temperature, i.e., B is significant, the block effect seems to exit. </t>
  </si>
  <si>
    <t>So, fire Temperature should be kept at 825℃, any position can be used.</t>
  </si>
  <si>
    <t>Temp ℃</t>
  </si>
  <si>
    <t>µ</t>
  </si>
  <si>
    <t>T1</t>
  </si>
  <si>
    <t>T2</t>
  </si>
  <si>
    <t>T3</t>
  </si>
  <si>
    <t>B1</t>
  </si>
  <si>
    <t>B2</t>
  </si>
  <si>
    <t>B3</t>
  </si>
  <si>
    <t>TB11</t>
  </si>
  <si>
    <t>TB12</t>
  </si>
  <si>
    <t>TB13</t>
  </si>
  <si>
    <t>TB21</t>
  </si>
  <si>
    <t>TB22</t>
  </si>
  <si>
    <t>TB23</t>
  </si>
  <si>
    <t>TB31</t>
  </si>
  <si>
    <t>TB32</t>
  </si>
  <si>
    <t>TB33</t>
  </si>
  <si>
    <t>Add Eq;</t>
  </si>
  <si>
    <t>A^-1</t>
  </si>
  <si>
    <t>Pressure (psig)</t>
  </si>
  <si>
    <t>Treatment Combination</t>
  </si>
  <si>
    <t>A</t>
  </si>
  <si>
    <t>B</t>
  </si>
  <si>
    <t>C</t>
  </si>
  <si>
    <t>AB</t>
  </si>
  <si>
    <t>AC</t>
  </si>
  <si>
    <t>BC</t>
  </si>
  <si>
    <t>ABC</t>
  </si>
  <si>
    <t>a</t>
  </si>
  <si>
    <t>b</t>
  </si>
  <si>
    <t>ab</t>
  </si>
  <si>
    <t>c</t>
  </si>
  <si>
    <t>ac</t>
  </si>
  <si>
    <t>bc</t>
  </si>
  <si>
    <t>abc</t>
  </si>
  <si>
    <t>(1)=</t>
  </si>
  <si>
    <t>Replicate 1</t>
  </si>
  <si>
    <t>Replicate 2</t>
  </si>
  <si>
    <t>Total</t>
  </si>
  <si>
    <t>Contract</t>
  </si>
  <si>
    <t xml:space="preserve">Yijk^2= </t>
  </si>
  <si>
    <t>Source of Variation</t>
  </si>
  <si>
    <t>SS</t>
  </si>
  <si>
    <t>Estimate</t>
  </si>
  <si>
    <t>ERROR</t>
  </si>
  <si>
    <t>TOTAL</t>
  </si>
  <si>
    <t>MS</t>
  </si>
  <si>
    <t xml:space="preserve">Graph </t>
  </si>
  <si>
    <t>B=-1</t>
  </si>
  <si>
    <t>B=1</t>
  </si>
  <si>
    <t>REPLICATE 1</t>
  </si>
  <si>
    <t>REPLICATE 2</t>
  </si>
  <si>
    <t>R_h</t>
  </si>
  <si>
    <t>ABC IN BLOCK -1</t>
  </si>
  <si>
    <t>AC IN BLOCK -2</t>
  </si>
  <si>
    <t>ABC REP 2</t>
  </si>
  <si>
    <t>AC REP 1</t>
  </si>
  <si>
    <t>SS_ABC REP-2</t>
  </si>
  <si>
    <t>SS_AC REP-1</t>
  </si>
  <si>
    <t>SS_ABC BLOCK 1</t>
  </si>
  <si>
    <t>SS_AC BLOCK 2</t>
  </si>
  <si>
    <t>SUM(ABC+AC)=</t>
  </si>
  <si>
    <t>Yijk^2=</t>
  </si>
  <si>
    <t>Replicate</t>
  </si>
  <si>
    <t>Sum(ABC+AC)</t>
  </si>
  <si>
    <t>AC (REP 1)</t>
  </si>
  <si>
    <t>ABC (REP 2)</t>
  </si>
  <si>
    <t>All effect are not 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</si>
</sst>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4" borderId="0" xfId="0" applyFill="1" applyAlignment="1">
      <alignment horizontal="right"/>
    </xf>
    <xf numFmtId="0" fontId="0" fillId="17" borderId="0" xfId="0" applyFill="1"/>
    <xf numFmtId="0" fontId="0" fillId="17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 for crack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'2020 Q3'!$B$44:$C$44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Q3'!$B$45:$C$45</c:f>
              <c:numCache>
                <c:formatCode>General</c:formatCode>
                <c:ptCount val="2"/>
                <c:pt idx="0">
                  <c:v>9.5380000000000003</c:v>
                </c:pt>
                <c:pt idx="1">
                  <c:v>12.480375000000002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5-384B-A492-DAD86FB2F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48832"/>
        <c:axId val="880450480"/>
      </c:lineChart>
      <c:catAx>
        <c:axId val="88044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80450480"/>
        <c:crosses val="autoZero"/>
        <c:auto val="1"/>
        <c:lblAlgn val="ctr"/>
        <c:lblOffset val="100"/>
        <c:noMultiLvlLbl val="0"/>
      </c:catAx>
      <c:valAx>
        <c:axId val="880450480"/>
        <c:scaling>
          <c:orientation val="minMax"/>
          <c:max val="12.5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880448832"/>
        <c:crosses val="autoZero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 for Crack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Titanium Content 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'2020 Q3'!$H$44:$I$44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Q3'!$H$45:$I$45</c:f>
              <c:numCache>
                <c:formatCode>General</c:formatCode>
                <c:ptCount val="2"/>
                <c:pt idx="0">
                  <c:v>9.0448750000000011</c:v>
                </c:pt>
                <c:pt idx="1">
                  <c:v>12.9735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274B-9FF8-CBC920E7C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869040"/>
        <c:axId val="1918789216"/>
      </c:lineChart>
      <c:catAx>
        <c:axId val="19188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918789216"/>
        <c:crosses val="autoZero"/>
        <c:auto val="1"/>
        <c:lblAlgn val="ctr"/>
        <c:lblOffset val="100"/>
        <c:noMultiLvlLbl val="0"/>
      </c:catAx>
      <c:valAx>
        <c:axId val="1918789216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91886904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 For Crack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Heat Treatment Method 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'2020 Q3'!$O$44:$P$44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Q3'!$O$45:$P$45</c:f>
              <c:numCache>
                <c:formatCode>General</c:formatCode>
                <c:ptCount val="2"/>
                <c:pt idx="0">
                  <c:v>12.768875000000001</c:v>
                </c:pt>
                <c:pt idx="1">
                  <c:v>9.2495000000000012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C-1D4A-8D12-A5806A143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975504"/>
        <c:axId val="1971977152"/>
      </c:lineChart>
      <c:catAx>
        <c:axId val="19719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971977152"/>
        <c:crosses val="autoZero"/>
        <c:auto val="1"/>
        <c:lblAlgn val="ctr"/>
        <c:lblOffset val="100"/>
        <c:noMultiLvlLbl val="0"/>
      </c:catAx>
      <c:valAx>
        <c:axId val="1971977152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9719755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plot</a:t>
            </a:r>
            <a:r>
              <a:rPr lang="en-US" baseline="0"/>
              <a:t> For Crack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'2020 Q3'!$C$65:$D$65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Q3'!$C$66:$D$66</c:f>
              <c:numCache>
                <c:formatCode>General</c:formatCode>
                <c:ptCount val="2"/>
                <c:pt idx="0">
                  <c:v>8.4917499999999997</c:v>
                </c:pt>
                <c:pt idx="1">
                  <c:v>10.584250000000001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0-A64D-879F-925A43CD8136}"/>
            </c:ext>
          </c:extLst>
        </c:ser>
        <c:ser>
          <c:idx val="1"/>
          <c:order val="1"/>
          <c:tx>
            <c:v>A=-1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'2020 Q3'!$C$65:$D$65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Q3'!$C$67:$D$67</c:f>
              <c:numCache>
                <c:formatCode>General</c:formatCode>
                <c:ptCount val="2"/>
                <c:pt idx="0">
                  <c:v>9.5980000000000008</c:v>
                </c:pt>
                <c:pt idx="1">
                  <c:v>15.36275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0-A64D-879F-925A43CD8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190527"/>
        <c:axId val="1915367648"/>
      </c:lineChart>
      <c:catAx>
        <c:axId val="55519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1915367648"/>
        <c:crosses val="autoZero"/>
        <c:auto val="1"/>
        <c:lblAlgn val="ctr"/>
        <c:lblOffset val="100"/>
        <c:noMultiLvlLbl val="0"/>
      </c:catAx>
      <c:valAx>
        <c:axId val="1915367648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5519052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Plot for crack</a:t>
            </a:r>
            <a:r>
              <a:rPr lang="en-US" baseline="0"/>
              <a:t>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A=-1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'2020 Q3'!$K$65:$L$65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Q3'!$K$66:$L$66</c:f>
              <c:numCache>
                <c:formatCode>General</c:formatCode>
                <c:ptCount val="2"/>
                <c:pt idx="0">
                  <c:v>9.2842500000000001</c:v>
                </c:pt>
                <c:pt idx="1">
                  <c:v>9.7917500000000004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F-5545-BA08-9C53E1C05679}"/>
            </c:ext>
          </c:extLst>
        </c:ser>
        <c:ser>
          <c:idx val="1"/>
          <c:order val="1"/>
          <c:tx>
            <c:v>A=1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'2020 Q3'!$K$65:$L$65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Q3'!$K$67:$L$67</c:f>
              <c:numCache>
                <c:formatCode>General</c:formatCode>
                <c:ptCount val="2"/>
                <c:pt idx="0">
                  <c:v>16.253500000000003</c:v>
                </c:pt>
                <c:pt idx="1">
                  <c:v>8.7072500000000002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F-5545-BA08-9C53E1C05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883391"/>
        <c:axId val="728936111"/>
      </c:lineChart>
      <c:catAx>
        <c:axId val="72888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728936111"/>
        <c:crosses val="autoZero"/>
        <c:auto val="1"/>
        <c:lblAlgn val="ctr"/>
        <c:lblOffset val="100"/>
        <c:noMultiLvlLbl val="0"/>
      </c:catAx>
      <c:valAx>
        <c:axId val="728936111"/>
        <c:scaling>
          <c:orientation val="minMax"/>
          <c:max val="17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72888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Plot For Crack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 Q3'!$B$87</c:f>
              <c:strCache>
                <c:ptCount val="1"/>
                <c:pt idx="0">
                  <c:v>B=-1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'2020 Q3'!$C$86:$D$86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Q3'!$C$87:$D$87</c:f>
              <c:numCache>
                <c:formatCode>General</c:formatCode>
                <c:ptCount val="2"/>
                <c:pt idx="0">
                  <c:v>10.83475</c:v>
                </c:pt>
                <c:pt idx="1">
                  <c:v>7.2550000000000008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4-544C-91EF-2D4ABDFFBABD}"/>
            </c:ext>
          </c:extLst>
        </c:ser>
        <c:ser>
          <c:idx val="1"/>
          <c:order val="1"/>
          <c:tx>
            <c:strRef>
              <c:f>'2020 Q3'!$B$88</c:f>
              <c:strCache>
                <c:ptCount val="1"/>
                <c:pt idx="0">
                  <c:v>B=1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'2020 Q3'!$C$86:$D$86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'2020 Q3'!$C$88:$D$88</c:f>
              <c:numCache>
                <c:formatCode>General</c:formatCode>
                <c:ptCount val="2"/>
                <c:pt idx="0">
                  <c:v>14.702999999999999</c:v>
                </c:pt>
                <c:pt idx="1">
                  <c:v>11.244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4-544C-91EF-2D4ABDFFB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989951"/>
        <c:axId val="989991599"/>
      </c:lineChart>
      <c:catAx>
        <c:axId val="9899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89991599"/>
        <c:crosses val="autoZero"/>
        <c:auto val="1"/>
        <c:lblAlgn val="ctr"/>
        <c:lblOffset val="100"/>
        <c:noMultiLvlLbl val="0"/>
      </c:catAx>
      <c:valAx>
        <c:axId val="989991599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8998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46</xdr:row>
      <xdr:rowOff>0</xdr:rowOff>
    </xdr:from>
    <xdr:to>
      <xdr:col>4</xdr:col>
      <xdr:colOff>552450</xdr:colOff>
      <xdr:row>59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7E99BA-0194-6D69-6614-58EC672F6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46</xdr:row>
      <xdr:rowOff>25400</xdr:rowOff>
    </xdr:from>
    <xdr:to>
      <xdr:col>9</xdr:col>
      <xdr:colOff>1054100</xdr:colOff>
      <xdr:row>59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FE9DFE-664F-5BA6-A83B-06FD615B4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177800</xdr:colOff>
      <xdr:row>45</xdr:row>
      <xdr:rowOff>177800</xdr:rowOff>
    </xdr:from>
    <xdr:to>
      <xdr:col>17</xdr:col>
      <xdr:colOff>622300</xdr:colOff>
      <xdr:row>59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DA1A51-E67C-1F08-A4C3-245D19A21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1257300</xdr:colOff>
      <xdr:row>68</xdr:row>
      <xdr:rowOff>114300</xdr:rowOff>
    </xdr:from>
    <xdr:to>
      <xdr:col>6</xdr:col>
      <xdr:colOff>88900</xdr:colOff>
      <xdr:row>82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FC7899-D42F-B577-0F99-0566C7B43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1066800</xdr:colOff>
      <xdr:row>68</xdr:row>
      <xdr:rowOff>0</xdr:rowOff>
    </xdr:from>
    <xdr:to>
      <xdr:col>13</xdr:col>
      <xdr:colOff>609600</xdr:colOff>
      <xdr:row>81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D4461F-DD31-0CE8-54E5-69D8589F6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825500</xdr:colOff>
      <xdr:row>88</xdr:row>
      <xdr:rowOff>177800</xdr:rowOff>
    </xdr:from>
    <xdr:to>
      <xdr:col>5</xdr:col>
      <xdr:colOff>482600</xdr:colOff>
      <xdr:row>102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BCDB5B-9E8D-9036-2249-BC3E42B46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35DC-A758-5943-A916-93750ED2A666}">
  <dimension ref="D1:O52"/>
  <sheetViews>
    <sheetView tabSelected="1" topLeftCell="A32" workbookViewId="0">
      <selection activeCell="D62" sqref="D62"/>
    </sheetView>
  </sheetViews>
  <sheetFormatPr baseColWidth="10" defaultRowHeight="16" x14ac:dyDescent="0.2"/>
  <cols>
    <col min="2" max="2" width="8.33203125" customWidth="1"/>
    <col min="4" max="4" width="21.5" customWidth="1"/>
    <col min="5" max="5" width="15.33203125" customWidth="1"/>
    <col min="6" max="6" width="13.5" customWidth="1"/>
    <col min="9" max="9" width="13.33203125" customWidth="1"/>
  </cols>
  <sheetData>
    <row r="1" spans="4:15" x14ac:dyDescent="0.2">
      <c r="F1" s="1" t="s">
        <v>0</v>
      </c>
      <c r="I1" t="s">
        <v>1</v>
      </c>
    </row>
    <row r="2" spans="4:15" x14ac:dyDescent="0.2">
      <c r="D2" t="s">
        <v>33</v>
      </c>
      <c r="F2" t="s">
        <v>32</v>
      </c>
      <c r="I2" t="s">
        <v>32</v>
      </c>
    </row>
    <row r="3" spans="4:15" x14ac:dyDescent="0.2">
      <c r="E3" s="2">
        <v>800</v>
      </c>
      <c r="F3" s="2">
        <v>825</v>
      </c>
      <c r="G3" s="2">
        <v>850</v>
      </c>
      <c r="H3" s="2">
        <v>800</v>
      </c>
      <c r="I3" s="2">
        <v>825</v>
      </c>
      <c r="J3" s="2">
        <v>850</v>
      </c>
      <c r="K3" t="s">
        <v>2</v>
      </c>
      <c r="L3">
        <v>3</v>
      </c>
    </row>
    <row r="4" spans="4:15" x14ac:dyDescent="0.2">
      <c r="D4">
        <v>1</v>
      </c>
      <c r="E4">
        <v>570</v>
      </c>
      <c r="F4">
        <v>1063</v>
      </c>
      <c r="G4">
        <v>565</v>
      </c>
      <c r="H4">
        <v>565</v>
      </c>
      <c r="I4">
        <v>1080</v>
      </c>
      <c r="J4">
        <v>510</v>
      </c>
      <c r="K4" t="s">
        <v>3</v>
      </c>
      <c r="L4">
        <v>3</v>
      </c>
    </row>
    <row r="5" spans="4:15" x14ac:dyDescent="0.2">
      <c r="D5">
        <v>2</v>
      </c>
      <c r="E5">
        <v>583</v>
      </c>
      <c r="F5">
        <v>1043</v>
      </c>
      <c r="G5">
        <v>590</v>
      </c>
      <c r="H5">
        <v>528</v>
      </c>
      <c r="I5">
        <v>988</v>
      </c>
      <c r="J5">
        <v>526</v>
      </c>
      <c r="K5" t="s">
        <v>4</v>
      </c>
      <c r="L5">
        <v>2</v>
      </c>
    </row>
    <row r="6" spans="4:15" x14ac:dyDescent="0.2">
      <c r="D6">
        <v>3</v>
      </c>
      <c r="E6">
        <v>547</v>
      </c>
      <c r="F6">
        <v>1026</v>
      </c>
      <c r="G6">
        <v>538</v>
      </c>
      <c r="H6">
        <v>521</v>
      </c>
      <c r="I6">
        <v>1004</v>
      </c>
      <c r="J6">
        <v>532</v>
      </c>
      <c r="N6" s="3" t="s">
        <v>5</v>
      </c>
      <c r="O6" s="3">
        <f>L3*L4*L5</f>
        <v>18</v>
      </c>
    </row>
    <row r="9" spans="4:15" x14ac:dyDescent="0.2">
      <c r="E9" cm="1">
        <f t="array" ref="E9:J11">E4:J6^2</f>
        <v>324900</v>
      </c>
      <c r="F9">
        <v>1129969</v>
      </c>
      <c r="G9">
        <v>319225</v>
      </c>
      <c r="H9">
        <v>319225</v>
      </c>
      <c r="I9">
        <v>1166400</v>
      </c>
      <c r="J9">
        <v>260100</v>
      </c>
    </row>
    <row r="10" spans="4:15" x14ac:dyDescent="0.2">
      <c r="E10">
        <v>339889</v>
      </c>
      <c r="F10">
        <v>1087849</v>
      </c>
      <c r="G10">
        <v>348100</v>
      </c>
      <c r="H10">
        <v>278784</v>
      </c>
      <c r="I10">
        <v>976144</v>
      </c>
      <c r="J10">
        <v>276676</v>
      </c>
    </row>
    <row r="11" spans="4:15" x14ac:dyDescent="0.2">
      <c r="E11">
        <v>299209</v>
      </c>
      <c r="F11">
        <v>1052676</v>
      </c>
      <c r="G11">
        <v>289444</v>
      </c>
      <c r="H11">
        <v>271441</v>
      </c>
      <c r="I11">
        <v>1008016</v>
      </c>
      <c r="J11">
        <v>283024</v>
      </c>
      <c r="K11" s="4" t="s">
        <v>6</v>
      </c>
      <c r="L11" s="4">
        <f>SUM(_xlfn.ANCHORARRAY(E9))</f>
        <v>10031071</v>
      </c>
    </row>
    <row r="14" spans="4:15" x14ac:dyDescent="0.2">
      <c r="D14" t="str">
        <f>D2</f>
        <v>Position</v>
      </c>
      <c r="H14" t="str">
        <f>F2</f>
        <v>Temperature℃</v>
      </c>
      <c r="M14" t="str">
        <f>F1</f>
        <v>Day 1</v>
      </c>
      <c r="N14" t="str">
        <f>I1</f>
        <v>Day 2</v>
      </c>
    </row>
    <row r="15" spans="4:15" x14ac:dyDescent="0.2">
      <c r="E15" s="5"/>
      <c r="F15" s="5">
        <f>E3</f>
        <v>800</v>
      </c>
      <c r="G15" s="5"/>
      <c r="H15" s="5">
        <f>F3</f>
        <v>825</v>
      </c>
      <c r="I15" s="5"/>
      <c r="J15" s="5">
        <f>G3</f>
        <v>850</v>
      </c>
      <c r="L15" t="s">
        <v>7</v>
      </c>
      <c r="M15">
        <f>SUM(E4:G6)</f>
        <v>6525</v>
      </c>
      <c r="N15">
        <f>SUM(H4:J6)</f>
        <v>6254</v>
      </c>
    </row>
    <row r="16" spans="4:15" x14ac:dyDescent="0.2">
      <c r="D16">
        <f>D4</f>
        <v>1</v>
      </c>
      <c r="E16">
        <f>E4</f>
        <v>570</v>
      </c>
      <c r="F16">
        <f>H4</f>
        <v>565</v>
      </c>
      <c r="G16">
        <f>F4</f>
        <v>1063</v>
      </c>
      <c r="H16">
        <f>I4</f>
        <v>1080</v>
      </c>
      <c r="I16">
        <f>G4</f>
        <v>565</v>
      </c>
      <c r="J16">
        <f>J4</f>
        <v>510</v>
      </c>
      <c r="L16" t="s">
        <v>8</v>
      </c>
      <c r="M16">
        <f>M15^2</f>
        <v>42575625</v>
      </c>
      <c r="N16">
        <f>N15^2</f>
        <v>39112516</v>
      </c>
    </row>
    <row r="17" spans="4:14" x14ac:dyDescent="0.2">
      <c r="D17">
        <f>D5</f>
        <v>2</v>
      </c>
      <c r="E17">
        <f t="shared" ref="E17:E18" si="0">E5</f>
        <v>583</v>
      </c>
      <c r="F17">
        <f t="shared" ref="F17:F18" si="1">H5</f>
        <v>528</v>
      </c>
      <c r="G17">
        <f t="shared" ref="G17:G18" si="2">F5</f>
        <v>1043</v>
      </c>
      <c r="H17">
        <f t="shared" ref="H17:H18" si="3">I5</f>
        <v>988</v>
      </c>
      <c r="I17">
        <f t="shared" ref="I17:I18" si="4">G5</f>
        <v>590</v>
      </c>
      <c r="J17">
        <f t="shared" ref="J17:J18" si="5">J5</f>
        <v>526</v>
      </c>
      <c r="M17" s="6" t="s">
        <v>6</v>
      </c>
      <c r="N17" s="6">
        <f>SUM(M16:N16)</f>
        <v>81688141</v>
      </c>
    </row>
    <row r="18" spans="4:14" x14ac:dyDescent="0.2">
      <c r="D18">
        <f>D6</f>
        <v>3</v>
      </c>
      <c r="E18">
        <f t="shared" si="0"/>
        <v>547</v>
      </c>
      <c r="F18">
        <f t="shared" si="1"/>
        <v>521</v>
      </c>
      <c r="G18">
        <f t="shared" si="2"/>
        <v>1026</v>
      </c>
      <c r="H18">
        <f t="shared" si="3"/>
        <v>1004</v>
      </c>
      <c r="I18">
        <f t="shared" si="4"/>
        <v>538</v>
      </c>
      <c r="J18">
        <f t="shared" si="5"/>
        <v>532</v>
      </c>
    </row>
    <row r="20" spans="4:14" x14ac:dyDescent="0.2">
      <c r="F20" t="str">
        <f>F2</f>
        <v>Temperature℃</v>
      </c>
    </row>
    <row r="21" spans="4:14" x14ac:dyDescent="0.2">
      <c r="D21" s="6" t="str">
        <f>D2</f>
        <v>Position</v>
      </c>
      <c r="E21" s="6">
        <f>E3</f>
        <v>800</v>
      </c>
      <c r="F21" s="6">
        <f>F3</f>
        <v>825</v>
      </c>
      <c r="G21" s="6">
        <f>G3</f>
        <v>850</v>
      </c>
      <c r="H21" s="6" t="s">
        <v>9</v>
      </c>
    </row>
    <row r="22" spans="4:14" x14ac:dyDescent="0.2">
      <c r="D22">
        <f>D16</f>
        <v>1</v>
      </c>
      <c r="E22">
        <f>SUM(E16:F16)</f>
        <v>1135</v>
      </c>
      <c r="F22">
        <f>SUM(G16:H16)</f>
        <v>2143</v>
      </c>
      <c r="G22">
        <f>SUM(I16:J16)</f>
        <v>1075</v>
      </c>
      <c r="H22">
        <f>SUM(E22:G22)</f>
        <v>4353</v>
      </c>
    </row>
    <row r="23" spans="4:14" x14ac:dyDescent="0.2">
      <c r="D23">
        <f>D17</f>
        <v>2</v>
      </c>
      <c r="E23">
        <f t="shared" ref="E23:E24" si="6">SUM(E17:F17)</f>
        <v>1111</v>
      </c>
      <c r="F23">
        <f t="shared" ref="F23:F24" si="7">SUM(G17:H17)</f>
        <v>2031</v>
      </c>
      <c r="G23">
        <f t="shared" ref="G23:G24" si="8">SUM(I17:J17)</f>
        <v>1116</v>
      </c>
      <c r="H23">
        <f t="shared" ref="H23:H24" si="9">SUM(E23:G23)</f>
        <v>4258</v>
      </c>
    </row>
    <row r="24" spans="4:14" x14ac:dyDescent="0.2">
      <c r="D24">
        <f>D18</f>
        <v>3</v>
      </c>
      <c r="E24">
        <f t="shared" si="6"/>
        <v>1068</v>
      </c>
      <c r="F24">
        <f t="shared" si="7"/>
        <v>2030</v>
      </c>
      <c r="G24">
        <f t="shared" si="8"/>
        <v>1070</v>
      </c>
      <c r="H24">
        <f t="shared" si="9"/>
        <v>4168</v>
      </c>
    </row>
    <row r="25" spans="4:14" x14ac:dyDescent="0.2">
      <c r="D25" t="s">
        <v>10</v>
      </c>
      <c r="E25">
        <f>SUM(E22:E24)</f>
        <v>3314</v>
      </c>
      <c r="F25">
        <f t="shared" ref="F25:G25" si="10">SUM(F22:F24)</f>
        <v>6204</v>
      </c>
      <c r="G25">
        <f t="shared" si="10"/>
        <v>3261</v>
      </c>
      <c r="I25" s="2" t="s">
        <v>11</v>
      </c>
      <c r="J25" s="2">
        <f>SUM(E25:G25)</f>
        <v>12779</v>
      </c>
    </row>
    <row r="26" spans="4:14" x14ac:dyDescent="0.2">
      <c r="I26" s="2" t="s">
        <v>12</v>
      </c>
      <c r="J26" s="2">
        <f>J25^2</f>
        <v>163302841</v>
      </c>
    </row>
    <row r="27" spans="4:14" x14ac:dyDescent="0.2">
      <c r="D27" t="s">
        <v>13</v>
      </c>
      <c r="E27" cm="1">
        <f t="array" ref="E27:G27">TRANSPOSE(H22:H24^2)</f>
        <v>18948609</v>
      </c>
      <c r="F27">
        <v>18130564</v>
      </c>
      <c r="G27">
        <v>17372224</v>
      </c>
      <c r="H27" s="4" t="s">
        <v>14</v>
      </c>
      <c r="I27" s="4">
        <f>SUM(_xlfn.ANCHORARRAY(E27))</f>
        <v>54451397</v>
      </c>
    </row>
    <row r="28" spans="4:14" x14ac:dyDescent="0.2">
      <c r="D28" t="s">
        <v>15</v>
      </c>
      <c r="E28" cm="1">
        <f t="array" ref="E28:G28">E25:G25^2</f>
        <v>10982596</v>
      </c>
      <c r="F28">
        <v>38489616</v>
      </c>
      <c r="G28">
        <v>10634121</v>
      </c>
      <c r="H28" s="7" t="s">
        <v>14</v>
      </c>
      <c r="I28" s="7">
        <f>SUM(_xlfn.ANCHORARRAY(E28))</f>
        <v>60106333</v>
      </c>
    </row>
    <row r="30" spans="4:14" x14ac:dyDescent="0.2">
      <c r="E30" cm="1">
        <f t="array" ref="E30:G32">E22:G24^2</f>
        <v>1288225</v>
      </c>
      <c r="F30">
        <v>4592449</v>
      </c>
      <c r="G30">
        <v>1155625</v>
      </c>
    </row>
    <row r="31" spans="4:14" x14ac:dyDescent="0.2">
      <c r="E31">
        <v>1234321</v>
      </c>
      <c r="F31">
        <v>4124961</v>
      </c>
      <c r="G31">
        <v>1245456</v>
      </c>
    </row>
    <row r="32" spans="4:14" x14ac:dyDescent="0.2">
      <c r="E32">
        <v>1140624</v>
      </c>
      <c r="F32">
        <v>4120900</v>
      </c>
      <c r="G32">
        <v>1144900</v>
      </c>
      <c r="H32" s="8" t="s">
        <v>6</v>
      </c>
      <c r="I32" s="8">
        <f>SUM(_xlfn.ANCHORARRAY(E30))</f>
        <v>20047461</v>
      </c>
    </row>
    <row r="36" spans="4:9" x14ac:dyDescent="0.2"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8" t="s">
        <v>21</v>
      </c>
    </row>
    <row r="37" spans="4:9" x14ac:dyDescent="0.2">
      <c r="D37" t="s">
        <v>22</v>
      </c>
      <c r="E37">
        <f>I27/(L4*L5)-J26/O6</f>
        <v>2852.7777777779847</v>
      </c>
      <c r="F37">
        <v>2</v>
      </c>
      <c r="G37">
        <f>E37/F37</f>
        <v>1426.3888888889924</v>
      </c>
      <c r="H37">
        <f>G37/G42</f>
        <v>3.4998636859330863</v>
      </c>
      <c r="I37">
        <f>_xlfn.F.INV.RT(0.05,F37,F42)</f>
        <v>4.4589701075245118</v>
      </c>
    </row>
    <row r="38" spans="4:9" x14ac:dyDescent="0.2">
      <c r="D38" t="s">
        <v>23</v>
      </c>
      <c r="E38">
        <f>I28/(L3*L5)-J26/O6</f>
        <v>945342.11111111008</v>
      </c>
      <c r="F38">
        <v>2</v>
      </c>
      <c r="G38">
        <f>E38/F38</f>
        <v>472671.05555555504</v>
      </c>
      <c r="H38">
        <f>G38/G42</f>
        <v>1159.7708560524907</v>
      </c>
      <c r="I38">
        <f>_xlfn.F.INV.RT(0.05,F38,F42)</f>
        <v>4.4589701075245118</v>
      </c>
    </row>
    <row r="39" spans="4:9" x14ac:dyDescent="0.2">
      <c r="D39" t="s">
        <v>24</v>
      </c>
      <c r="E39">
        <f>E40-E37-E38</f>
        <v>3155.5555555559695</v>
      </c>
      <c r="F39">
        <v>4</v>
      </c>
      <c r="G39">
        <f>E39/F39</f>
        <v>788.88888888899237</v>
      </c>
      <c r="H39">
        <f>G39/G42</f>
        <v>1.9356597600877405</v>
      </c>
      <c r="I39">
        <f>_xlfn.F.INV.RT(0.05,F39,F42)</f>
        <v>3.8378533545558975</v>
      </c>
    </row>
    <row r="40" spans="4:9" x14ac:dyDescent="0.2">
      <c r="D40" t="s">
        <v>25</v>
      </c>
      <c r="E40">
        <f>I32/L5-J26/O6</f>
        <v>951350.44444444403</v>
      </c>
    </row>
    <row r="41" spans="4:9" x14ac:dyDescent="0.2">
      <c r="D41" t="s">
        <v>26</v>
      </c>
      <c r="E41">
        <f>N17/(L3*L4)-J26/O6</f>
        <v>4080.0555555559695</v>
      </c>
      <c r="F41">
        <v>1</v>
      </c>
      <c r="G41">
        <f>E41/F41</f>
        <v>4080.0555555559695</v>
      </c>
      <c r="H41">
        <f>G41/G42</f>
        <v>10.011041439478841</v>
      </c>
      <c r="I41">
        <f>_xlfn.F.INV.RT(0.05,F41,F42)</f>
        <v>5.3176550715787174</v>
      </c>
    </row>
    <row r="42" spans="4:9" x14ac:dyDescent="0.2">
      <c r="D42" t="s">
        <v>27</v>
      </c>
      <c r="E42">
        <f>E43-E37-E38-E39-E41</f>
        <v>3260.4444444440305</v>
      </c>
      <c r="F42">
        <f>F43-F37-F38-F39-F41</f>
        <v>8</v>
      </c>
      <c r="G42">
        <f>E42/F42</f>
        <v>407.55555555550382</v>
      </c>
    </row>
    <row r="43" spans="4:9" x14ac:dyDescent="0.2">
      <c r="D43" t="s">
        <v>28</v>
      </c>
      <c r="E43">
        <f>L11-J26/O6</f>
        <v>958690.94444444403</v>
      </c>
      <c r="F43">
        <v>17</v>
      </c>
    </row>
    <row r="45" spans="4:9" x14ac:dyDescent="0.2">
      <c r="D45" t="s">
        <v>34</v>
      </c>
    </row>
    <row r="47" spans="4:9" x14ac:dyDescent="0.2">
      <c r="D47" t="s">
        <v>29</v>
      </c>
      <c r="E47" t="s">
        <v>30</v>
      </c>
    </row>
    <row r="48" spans="4:9" x14ac:dyDescent="0.2">
      <c r="F48" s="9"/>
    </row>
    <row r="49" spans="5:8" x14ac:dyDescent="0.2">
      <c r="E49" t="s">
        <v>31</v>
      </c>
      <c r="F49">
        <f>SUM(E22:E24)/6</f>
        <v>552.33333333333337</v>
      </c>
      <c r="G49" s="10">
        <f>SUM(F22:F24)/6</f>
        <v>1034</v>
      </c>
      <c r="H49" s="9">
        <f>SUM(G22:G24)/6</f>
        <v>543.5</v>
      </c>
    </row>
    <row r="52" spans="5:8" x14ac:dyDescent="0.2">
      <c r="E5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4425-CDA8-624E-B154-4A73515B9F49}">
  <dimension ref="A3:R62"/>
  <sheetViews>
    <sheetView topLeftCell="A41" workbookViewId="0">
      <selection activeCell="R60" sqref="R60"/>
    </sheetView>
  </sheetViews>
  <sheetFormatPr baseColWidth="10" defaultRowHeight="16" x14ac:dyDescent="0.2"/>
  <sheetData>
    <row r="3" spans="1:17" x14ac:dyDescent="0.2">
      <c r="D3" t="s">
        <v>55</v>
      </c>
    </row>
    <row r="4" spans="1:17" x14ac:dyDescent="0.2">
      <c r="B4" s="3" t="s">
        <v>36</v>
      </c>
      <c r="C4" s="3"/>
      <c r="D4" s="3">
        <v>200</v>
      </c>
      <c r="E4" s="3"/>
      <c r="F4" s="3">
        <v>215</v>
      </c>
      <c r="G4" s="3"/>
      <c r="H4" s="3">
        <v>230</v>
      </c>
    </row>
    <row r="5" spans="1:17" x14ac:dyDescent="0.2">
      <c r="B5" s="6">
        <v>150</v>
      </c>
      <c r="C5" s="11">
        <v>90.4</v>
      </c>
      <c r="D5" s="11"/>
      <c r="E5" s="12">
        <v>90.7</v>
      </c>
      <c r="F5" s="12"/>
      <c r="G5" s="13">
        <v>90.2</v>
      </c>
      <c r="H5" s="13">
        <v>90.4</v>
      </c>
    </row>
    <row r="6" spans="1:17" x14ac:dyDescent="0.2">
      <c r="B6" s="6">
        <v>160</v>
      </c>
      <c r="C6" s="11"/>
      <c r="D6" s="11"/>
      <c r="E6" s="12">
        <v>90.5</v>
      </c>
      <c r="F6" s="12">
        <v>90.6</v>
      </c>
      <c r="G6" s="13">
        <v>89.9</v>
      </c>
      <c r="H6" s="13">
        <v>90.1</v>
      </c>
    </row>
    <row r="7" spans="1:17" x14ac:dyDescent="0.2">
      <c r="B7" s="6">
        <v>170</v>
      </c>
      <c r="C7" s="11">
        <v>90.5</v>
      </c>
      <c r="D7" s="11">
        <v>90.7</v>
      </c>
      <c r="E7" s="12">
        <v>90.8</v>
      </c>
      <c r="F7" s="12">
        <v>90.9</v>
      </c>
      <c r="G7" s="13">
        <v>90.4</v>
      </c>
      <c r="H7" s="13"/>
    </row>
    <row r="9" spans="1:17" x14ac:dyDescent="0.2">
      <c r="D9" t="str">
        <f>D3</f>
        <v>Pressure (psig)</v>
      </c>
    </row>
    <row r="10" spans="1:17" x14ac:dyDescent="0.2">
      <c r="B10" s="14" t="str">
        <f>B4</f>
        <v>Temp ℃</v>
      </c>
      <c r="C10" s="14">
        <f>D4</f>
        <v>200</v>
      </c>
      <c r="D10" s="14">
        <f>F4</f>
        <v>215</v>
      </c>
      <c r="E10" s="14">
        <f>H4</f>
        <v>230</v>
      </c>
      <c r="F10" s="14"/>
    </row>
    <row r="11" spans="1:17" x14ac:dyDescent="0.2">
      <c r="B11" s="15">
        <f>B5</f>
        <v>150</v>
      </c>
      <c r="C11" s="16">
        <f>SUM(C5:D5)</f>
        <v>90.4</v>
      </c>
      <c r="D11" s="16">
        <f>SUM(E5:F5)</f>
        <v>90.7</v>
      </c>
      <c r="E11" s="16">
        <f>SUM(G5:H5)</f>
        <v>180.60000000000002</v>
      </c>
      <c r="F11" s="16">
        <f>SUM(C11:E11)</f>
        <v>361.70000000000005</v>
      </c>
    </row>
    <row r="12" spans="1:17" x14ac:dyDescent="0.2">
      <c r="B12" s="17">
        <f>B6</f>
        <v>160</v>
      </c>
      <c r="C12" s="16"/>
      <c r="D12" s="16">
        <f t="shared" ref="D12:D13" si="0">SUM(E6:F6)</f>
        <v>181.1</v>
      </c>
      <c r="E12" s="16">
        <f t="shared" ref="E12:E13" si="1">SUM(G6:H6)</f>
        <v>180</v>
      </c>
      <c r="F12" s="17">
        <f t="shared" ref="F12:F13" si="2">SUM(C12:E12)</f>
        <v>361.1</v>
      </c>
    </row>
    <row r="13" spans="1:17" x14ac:dyDescent="0.2">
      <c r="B13" s="15">
        <f>B7</f>
        <v>170</v>
      </c>
      <c r="C13" s="16">
        <f t="shared" ref="C13" si="3">SUM(C7:D7)</f>
        <v>181.2</v>
      </c>
      <c r="D13" s="16">
        <f t="shared" si="0"/>
        <v>181.7</v>
      </c>
      <c r="E13" s="16">
        <f t="shared" si="1"/>
        <v>90.4</v>
      </c>
      <c r="F13" s="5">
        <f t="shared" si="2"/>
        <v>453.29999999999995</v>
      </c>
    </row>
    <row r="14" spans="1:17" x14ac:dyDescent="0.2">
      <c r="C14">
        <f>SUM(C11:C13)</f>
        <v>271.60000000000002</v>
      </c>
      <c r="D14">
        <f t="shared" ref="D14:E14" si="4">SUM(D11:D13)</f>
        <v>453.5</v>
      </c>
      <c r="E14">
        <f t="shared" si="4"/>
        <v>451</v>
      </c>
      <c r="F14" s="4">
        <f>SUM(F11:F13)</f>
        <v>1176.0999999999999</v>
      </c>
    </row>
    <row r="16" spans="1:17" x14ac:dyDescent="0.2">
      <c r="A16" s="1"/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52</v>
      </c>
    </row>
    <row r="17" spans="1:18" x14ac:dyDescent="0.2">
      <c r="A17" s="1" t="s">
        <v>37</v>
      </c>
      <c r="B17" s="18">
        <v>13</v>
      </c>
      <c r="C17" s="18">
        <v>4</v>
      </c>
      <c r="D17" s="18">
        <v>4</v>
      </c>
      <c r="E17" s="18">
        <v>5</v>
      </c>
      <c r="F17" s="18">
        <v>3</v>
      </c>
      <c r="G17" s="18">
        <v>5</v>
      </c>
      <c r="H17" s="18">
        <v>5</v>
      </c>
      <c r="I17" s="18">
        <v>1</v>
      </c>
      <c r="J17" s="18">
        <v>1</v>
      </c>
      <c r="K17" s="18">
        <v>2</v>
      </c>
      <c r="L17" s="18">
        <v>0</v>
      </c>
      <c r="M17" s="18">
        <v>2</v>
      </c>
      <c r="N17" s="18">
        <v>2</v>
      </c>
      <c r="O17" s="18">
        <v>2</v>
      </c>
      <c r="P17" s="18">
        <v>2</v>
      </c>
      <c r="Q17" s="18">
        <v>1</v>
      </c>
      <c r="R17" s="18">
        <f>F14</f>
        <v>1176.0999999999999</v>
      </c>
    </row>
    <row r="18" spans="1:18" x14ac:dyDescent="0.2">
      <c r="A18" s="1" t="s">
        <v>38</v>
      </c>
      <c r="B18">
        <v>4</v>
      </c>
      <c r="C18">
        <v>4</v>
      </c>
      <c r="D18">
        <v>0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>F11</f>
        <v>361.70000000000005</v>
      </c>
    </row>
    <row r="19" spans="1:18" x14ac:dyDescent="0.2">
      <c r="A19" s="1" t="s">
        <v>39</v>
      </c>
      <c r="B19">
        <v>4</v>
      </c>
      <c r="C19">
        <v>0</v>
      </c>
      <c r="D19">
        <v>4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f>F12</f>
        <v>361.1</v>
      </c>
    </row>
    <row r="20" spans="1:18" x14ac:dyDescent="0.2">
      <c r="A20" s="1" t="s">
        <v>40</v>
      </c>
      <c r="B20" s="4">
        <v>5</v>
      </c>
      <c r="C20" s="4">
        <v>0</v>
      </c>
      <c r="D20" s="4">
        <v>0</v>
      </c>
      <c r="E20" s="4">
        <v>5</v>
      </c>
      <c r="F20" s="4">
        <v>2</v>
      </c>
      <c r="G20" s="4">
        <v>2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2</v>
      </c>
      <c r="Q20" s="4">
        <v>1</v>
      </c>
      <c r="R20" s="4">
        <f>F13</f>
        <v>453.29999999999995</v>
      </c>
    </row>
    <row r="21" spans="1:18" x14ac:dyDescent="0.2">
      <c r="A21" s="1" t="s">
        <v>41</v>
      </c>
      <c r="B21">
        <v>3</v>
      </c>
      <c r="C21">
        <v>1</v>
      </c>
      <c r="D21">
        <v>0</v>
      </c>
      <c r="E21">
        <v>2</v>
      </c>
      <c r="F21">
        <v>3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f>C14</f>
        <v>271.60000000000002</v>
      </c>
    </row>
    <row r="22" spans="1:18" x14ac:dyDescent="0.2">
      <c r="A22" s="1" t="s">
        <v>42</v>
      </c>
      <c r="B22">
        <v>5</v>
      </c>
      <c r="C22">
        <v>1</v>
      </c>
      <c r="D22">
        <v>2</v>
      </c>
      <c r="E22">
        <v>2</v>
      </c>
      <c r="F22">
        <v>0</v>
      </c>
      <c r="G22">
        <v>5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f>D14</f>
        <v>453.5</v>
      </c>
    </row>
    <row r="23" spans="1:18" x14ac:dyDescent="0.2">
      <c r="A23" s="1" t="s">
        <v>43</v>
      </c>
      <c r="B23" s="4">
        <v>5</v>
      </c>
      <c r="C23" s="4">
        <v>2</v>
      </c>
      <c r="D23" s="4">
        <v>2</v>
      </c>
      <c r="E23" s="4">
        <v>1</v>
      </c>
      <c r="F23" s="4">
        <v>0</v>
      </c>
      <c r="G23" s="4">
        <v>0</v>
      </c>
      <c r="H23" s="4">
        <v>5</v>
      </c>
      <c r="I23" s="4">
        <v>0</v>
      </c>
      <c r="J23" s="4">
        <v>0</v>
      </c>
      <c r="K23" s="4">
        <v>2</v>
      </c>
      <c r="L23" s="4">
        <v>0</v>
      </c>
      <c r="M23" s="4">
        <v>0</v>
      </c>
      <c r="N23" s="4">
        <v>2</v>
      </c>
      <c r="O23" s="4">
        <v>0</v>
      </c>
      <c r="P23" s="4">
        <v>0</v>
      </c>
      <c r="Q23" s="4">
        <v>1</v>
      </c>
      <c r="R23" s="4">
        <f>E14</f>
        <v>451</v>
      </c>
    </row>
    <row r="24" spans="1:18" x14ac:dyDescent="0.2">
      <c r="A24" s="1" t="s">
        <v>44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>C11</f>
        <v>90.4</v>
      </c>
    </row>
    <row r="25" spans="1:18" x14ac:dyDescent="0.2">
      <c r="A25" s="1" t="s">
        <v>45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f>D11</f>
        <v>90.7</v>
      </c>
    </row>
    <row r="26" spans="1:18" x14ac:dyDescent="0.2">
      <c r="A26" s="1" t="s">
        <v>46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>E11</f>
        <v>180.60000000000002</v>
      </c>
    </row>
    <row r="27" spans="1:18" x14ac:dyDescent="0.2">
      <c r="A27" s="1" t="s">
        <v>47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f>C12</f>
        <v>0</v>
      </c>
    </row>
    <row r="28" spans="1:18" x14ac:dyDescent="0.2">
      <c r="A28" s="1" t="s">
        <v>48</v>
      </c>
      <c r="B28">
        <v>2</v>
      </c>
      <c r="C28">
        <v>0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f>D12</f>
        <v>181.1</v>
      </c>
    </row>
    <row r="29" spans="1:18" x14ac:dyDescent="0.2">
      <c r="A29" s="1" t="s">
        <v>49</v>
      </c>
      <c r="B29" s="4">
        <v>2</v>
      </c>
      <c r="C29" s="4">
        <v>0</v>
      </c>
      <c r="D29" s="4">
        <v>2</v>
      </c>
      <c r="E29" s="4">
        <v>0</v>
      </c>
      <c r="F29" s="4">
        <v>0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0</v>
      </c>
      <c r="P29" s="4">
        <v>0</v>
      </c>
      <c r="Q29" s="4">
        <v>0</v>
      </c>
      <c r="R29" s="4">
        <f>E12</f>
        <v>180</v>
      </c>
    </row>
    <row r="30" spans="1:18" x14ac:dyDescent="0.2">
      <c r="A30" s="1" t="s">
        <v>50</v>
      </c>
      <c r="B30">
        <v>2</v>
      </c>
      <c r="C30">
        <v>0</v>
      </c>
      <c r="D30">
        <v>0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f>C13</f>
        <v>181.2</v>
      </c>
    </row>
    <row r="31" spans="1:18" x14ac:dyDescent="0.2">
      <c r="A31" s="1" t="s">
        <v>51</v>
      </c>
      <c r="B31" s="4">
        <v>2</v>
      </c>
      <c r="C31" s="4">
        <v>0</v>
      </c>
      <c r="D31" s="4">
        <v>0</v>
      </c>
      <c r="E31" s="4">
        <v>2</v>
      </c>
      <c r="F31" s="4">
        <v>0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4">
        <v>0</v>
      </c>
      <c r="R31" s="4">
        <f>D13</f>
        <v>181.7</v>
      </c>
    </row>
    <row r="32" spans="1:18" x14ac:dyDescent="0.2">
      <c r="A32" s="1" t="s">
        <v>52</v>
      </c>
      <c r="B32" s="4">
        <v>1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f>E13</f>
        <v>90.4</v>
      </c>
    </row>
    <row r="33" spans="1:18" x14ac:dyDescent="0.2">
      <c r="A33" s="1" t="s">
        <v>53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1" t="s">
        <v>53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 t="s">
        <v>53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 t="s">
        <v>53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 t="s">
        <v>53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1" t="s">
        <v>53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2">
      <c r="A40" s="1" t="s">
        <v>53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4" spans="1:18" x14ac:dyDescent="0.2">
      <c r="A44" s="1" t="s">
        <v>38</v>
      </c>
      <c r="B44">
        <v>4</v>
      </c>
      <c r="C44">
        <v>4</v>
      </c>
      <c r="D44">
        <v>0</v>
      </c>
      <c r="E44">
        <v>0</v>
      </c>
      <c r="F44">
        <v>1</v>
      </c>
      <c r="G44">
        <v>1</v>
      </c>
      <c r="H44">
        <v>2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f>R18</f>
        <v>361.70000000000005</v>
      </c>
    </row>
    <row r="45" spans="1:18" x14ac:dyDescent="0.2">
      <c r="A45" s="1" t="s">
        <v>39</v>
      </c>
      <c r="B45">
        <v>4</v>
      </c>
      <c r="C45">
        <v>0</v>
      </c>
      <c r="D45">
        <v>4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0</v>
      </c>
      <c r="Q45">
        <v>0</v>
      </c>
      <c r="R45" s="13">
        <f>R19</f>
        <v>361.1</v>
      </c>
    </row>
    <row r="46" spans="1:18" x14ac:dyDescent="0.2">
      <c r="A46" s="1" t="s">
        <v>41</v>
      </c>
      <c r="B46">
        <v>3</v>
      </c>
      <c r="C46">
        <v>1</v>
      </c>
      <c r="D46">
        <v>0</v>
      </c>
      <c r="E46">
        <v>2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 s="13">
        <f>R21</f>
        <v>271.60000000000002</v>
      </c>
    </row>
    <row r="47" spans="1:18" x14ac:dyDescent="0.2">
      <c r="A47" s="1" t="s">
        <v>42</v>
      </c>
      <c r="B47">
        <v>5</v>
      </c>
      <c r="C47">
        <v>1</v>
      </c>
      <c r="D47">
        <v>2</v>
      </c>
      <c r="E47">
        <v>2</v>
      </c>
      <c r="F47">
        <v>0</v>
      </c>
      <c r="G47">
        <v>5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 s="13">
        <f>R22</f>
        <v>453.5</v>
      </c>
    </row>
    <row r="48" spans="1:18" x14ac:dyDescent="0.2">
      <c r="A48" s="1" t="s">
        <v>44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13">
        <f>R24</f>
        <v>90.4</v>
      </c>
    </row>
    <row r="49" spans="1:18" x14ac:dyDescent="0.2">
      <c r="A49" s="1" t="s">
        <v>46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3">
        <f>R26</f>
        <v>180.60000000000002</v>
      </c>
    </row>
    <row r="50" spans="1:18" x14ac:dyDescent="0.2">
      <c r="A50" s="1" t="s">
        <v>48</v>
      </c>
      <c r="B50">
        <v>2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 s="13">
        <f>R28</f>
        <v>181.1</v>
      </c>
    </row>
    <row r="51" spans="1:18" x14ac:dyDescent="0.2">
      <c r="A51" s="1" t="s">
        <v>50</v>
      </c>
      <c r="B51">
        <v>2</v>
      </c>
      <c r="C51">
        <v>0</v>
      </c>
      <c r="D51">
        <v>0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 s="13">
        <f>R30</f>
        <v>181.2</v>
      </c>
    </row>
    <row r="52" spans="1:18" x14ac:dyDescent="0.2">
      <c r="A52" s="1" t="s">
        <v>53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3">
        <f t="shared" ref="R52:R59" si="5">R33</f>
        <v>0</v>
      </c>
    </row>
    <row r="53" spans="1:18" x14ac:dyDescent="0.2">
      <c r="A53" s="1" t="s">
        <v>53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3">
        <f t="shared" si="5"/>
        <v>0</v>
      </c>
    </row>
    <row r="54" spans="1:18" x14ac:dyDescent="0.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3">
        <f t="shared" si="5"/>
        <v>0</v>
      </c>
    </row>
    <row r="55" spans="1:18" x14ac:dyDescent="0.2">
      <c r="A55" s="1" t="s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3">
        <f t="shared" si="5"/>
        <v>0</v>
      </c>
    </row>
    <row r="56" spans="1:18" x14ac:dyDescent="0.2">
      <c r="A56" s="1" t="s">
        <v>53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s="13">
        <f t="shared" si="5"/>
        <v>0</v>
      </c>
    </row>
    <row r="57" spans="1:18" x14ac:dyDescent="0.2">
      <c r="A57" s="1" t="s">
        <v>53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13">
        <f t="shared" si="5"/>
        <v>0</v>
      </c>
    </row>
    <row r="58" spans="1:18" x14ac:dyDescent="0.2">
      <c r="A58" s="1" t="s">
        <v>53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s="13">
        <f t="shared" si="5"/>
        <v>0</v>
      </c>
    </row>
    <row r="59" spans="1:18" x14ac:dyDescent="0.2">
      <c r="A59" s="1" t="s">
        <v>53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s="13">
        <f t="shared" si="5"/>
        <v>0</v>
      </c>
    </row>
    <row r="62" spans="1:18" x14ac:dyDescent="0.2">
      <c r="A62" s="1" t="s">
        <v>54</v>
      </c>
      <c r="B62" t="e" cm="1">
        <f t="array" ref="B62">MINVERSE(B44:Q59)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0003-8E42-0443-B2FC-65F0B5985C29}">
  <dimension ref="A2:P88"/>
  <sheetViews>
    <sheetView topLeftCell="A44" workbookViewId="0">
      <selection activeCell="H95" sqref="A1:XFD1048576"/>
    </sheetView>
  </sheetViews>
  <sheetFormatPr baseColWidth="10" defaultRowHeight="16" x14ac:dyDescent="0.2"/>
  <cols>
    <col min="1" max="1" width="21.1640625" customWidth="1"/>
    <col min="9" max="9" width="16.1640625" customWidth="1"/>
    <col min="10" max="10" width="17.33203125" customWidth="1"/>
  </cols>
  <sheetData>
    <row r="2" spans="1:11" x14ac:dyDescent="0.2">
      <c r="A2" s="19" t="s">
        <v>56</v>
      </c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72</v>
      </c>
      <c r="J2" s="20" t="s">
        <v>73</v>
      </c>
      <c r="K2" s="20" t="s">
        <v>74</v>
      </c>
    </row>
    <row r="3" spans="1:11" x14ac:dyDescent="0.2">
      <c r="A3" s="20" t="s">
        <v>71</v>
      </c>
      <c r="B3">
        <v>-1</v>
      </c>
      <c r="C3">
        <v>-1</v>
      </c>
      <c r="D3">
        <v>-1</v>
      </c>
      <c r="E3" cm="1">
        <f t="array" ref="E3:E10">B3:B10*C3:C10</f>
        <v>1</v>
      </c>
      <c r="F3" cm="1">
        <f t="array" ref="F3:F10">B3:B10*D3:D10</f>
        <v>1</v>
      </c>
      <c r="G3" cm="1">
        <f t="array" ref="G3:G10">C3:C10*D3:D10</f>
        <v>1</v>
      </c>
      <c r="H3" cm="1">
        <f t="array" ref="H3:H10">B3:B10*C3:C10*D3:D10</f>
        <v>-1</v>
      </c>
      <c r="I3">
        <v>7.0369999999999999</v>
      </c>
      <c r="J3">
        <v>6.3760000000000003</v>
      </c>
      <c r="K3">
        <f>SUM(I3:J3)</f>
        <v>13.413</v>
      </c>
    </row>
    <row r="4" spans="1:11" x14ac:dyDescent="0.2">
      <c r="A4" s="20" t="s">
        <v>64</v>
      </c>
      <c r="B4">
        <v>1</v>
      </c>
      <c r="C4">
        <v>-1</v>
      </c>
      <c r="D4">
        <v>-1</v>
      </c>
      <c r="E4">
        <v>-1</v>
      </c>
      <c r="F4">
        <v>-1</v>
      </c>
      <c r="G4">
        <v>1</v>
      </c>
      <c r="H4">
        <v>1</v>
      </c>
      <c r="I4">
        <v>14.707000000000001</v>
      </c>
      <c r="J4">
        <v>15.218999999999999</v>
      </c>
      <c r="K4">
        <f t="shared" ref="K4:K10" si="0">SUM(I4:J4)</f>
        <v>29.926000000000002</v>
      </c>
    </row>
    <row r="5" spans="1:11" x14ac:dyDescent="0.2">
      <c r="A5" s="20" t="s">
        <v>65</v>
      </c>
      <c r="B5">
        <v>-1</v>
      </c>
      <c r="C5">
        <v>1</v>
      </c>
      <c r="D5">
        <v>-1</v>
      </c>
      <c r="E5">
        <v>-1</v>
      </c>
      <c r="F5">
        <v>1</v>
      </c>
      <c r="G5">
        <v>-1</v>
      </c>
      <c r="H5">
        <v>1</v>
      </c>
      <c r="I5">
        <v>11.635</v>
      </c>
      <c r="J5">
        <v>12.089</v>
      </c>
      <c r="K5">
        <f t="shared" si="0"/>
        <v>23.724</v>
      </c>
    </row>
    <row r="6" spans="1:11" x14ac:dyDescent="0.2">
      <c r="A6" s="20" t="s">
        <v>66</v>
      </c>
      <c r="B6">
        <v>1</v>
      </c>
      <c r="C6">
        <v>1</v>
      </c>
      <c r="D6">
        <v>-1</v>
      </c>
      <c r="E6">
        <v>1</v>
      </c>
      <c r="F6">
        <v>-1</v>
      </c>
      <c r="G6">
        <v>-1</v>
      </c>
      <c r="H6">
        <v>-1</v>
      </c>
      <c r="I6">
        <v>17.273</v>
      </c>
      <c r="J6">
        <v>17.815000000000001</v>
      </c>
      <c r="K6">
        <f t="shared" si="0"/>
        <v>35.088000000000001</v>
      </c>
    </row>
    <row r="7" spans="1:11" x14ac:dyDescent="0.2">
      <c r="A7" s="20" t="s">
        <v>67</v>
      </c>
      <c r="B7">
        <v>-1</v>
      </c>
      <c r="C7">
        <v>-1</v>
      </c>
      <c r="D7">
        <v>1</v>
      </c>
      <c r="E7">
        <v>1</v>
      </c>
      <c r="F7">
        <v>-1</v>
      </c>
      <c r="G7">
        <v>-1</v>
      </c>
      <c r="H7">
        <v>1</v>
      </c>
      <c r="I7">
        <v>10.403</v>
      </c>
      <c r="J7">
        <v>10.151</v>
      </c>
      <c r="K7">
        <f t="shared" si="0"/>
        <v>20.554000000000002</v>
      </c>
    </row>
    <row r="8" spans="1:11" x14ac:dyDescent="0.2">
      <c r="A8" s="20" t="s">
        <v>68</v>
      </c>
      <c r="B8">
        <v>1</v>
      </c>
      <c r="C8">
        <v>-1</v>
      </c>
      <c r="D8">
        <v>1</v>
      </c>
      <c r="E8">
        <v>-1</v>
      </c>
      <c r="F8">
        <v>1</v>
      </c>
      <c r="G8">
        <v>-1</v>
      </c>
      <c r="H8">
        <v>-1</v>
      </c>
      <c r="I8">
        <v>4.3680000000000003</v>
      </c>
      <c r="J8">
        <v>4.0979999999999999</v>
      </c>
      <c r="K8">
        <f t="shared" si="0"/>
        <v>8.4660000000000011</v>
      </c>
    </row>
    <row r="9" spans="1:11" x14ac:dyDescent="0.2">
      <c r="A9" s="20" t="s">
        <v>69</v>
      </c>
      <c r="B9">
        <v>-1</v>
      </c>
      <c r="C9">
        <v>1</v>
      </c>
      <c r="D9">
        <v>1</v>
      </c>
      <c r="E9">
        <v>-1</v>
      </c>
      <c r="F9">
        <v>-1</v>
      </c>
      <c r="G9">
        <v>1</v>
      </c>
      <c r="H9">
        <v>-1</v>
      </c>
      <c r="I9">
        <v>9.36</v>
      </c>
      <c r="J9">
        <v>9.2530000000000001</v>
      </c>
      <c r="K9">
        <f t="shared" si="0"/>
        <v>18.613</v>
      </c>
    </row>
    <row r="10" spans="1:11" x14ac:dyDescent="0.2">
      <c r="A10" s="20" t="s">
        <v>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13.44</v>
      </c>
      <c r="J10">
        <v>12.923</v>
      </c>
      <c r="K10">
        <f t="shared" si="0"/>
        <v>26.363</v>
      </c>
    </row>
    <row r="11" spans="1:11" x14ac:dyDescent="0.2">
      <c r="J11" s="14" t="s">
        <v>11</v>
      </c>
      <c r="K11" s="14">
        <f>SUM(K3:K10)</f>
        <v>176.14700000000002</v>
      </c>
    </row>
    <row r="12" spans="1:11" x14ac:dyDescent="0.2">
      <c r="J12" s="14" t="s">
        <v>12</v>
      </c>
      <c r="K12" s="14">
        <f>K11^2</f>
        <v>31027.765609000005</v>
      </c>
    </row>
    <row r="15" spans="1:11" x14ac:dyDescent="0.2">
      <c r="E15" t="s">
        <v>75</v>
      </c>
    </row>
    <row r="16" spans="1:11" x14ac:dyDescent="0.2">
      <c r="B16" s="21" t="s">
        <v>57</v>
      </c>
      <c r="C16" s="21" t="s">
        <v>58</v>
      </c>
      <c r="D16" s="21" t="s">
        <v>59</v>
      </c>
      <c r="E16" s="21" t="s">
        <v>60</v>
      </c>
      <c r="F16" s="21" t="s">
        <v>61</v>
      </c>
      <c r="G16" s="21" t="s">
        <v>62</v>
      </c>
      <c r="H16" s="21" t="s">
        <v>63</v>
      </c>
    </row>
    <row r="17" spans="1:8" x14ac:dyDescent="0.2">
      <c r="B17" cm="1">
        <f t="array" ref="B17">SUM(B3:B10*K3:K10)</f>
        <v>23.539000000000001</v>
      </c>
      <c r="C17" cm="1">
        <f t="array" ref="C17">SUM(C3:C10*K3:K10)</f>
        <v>31.428999999999998</v>
      </c>
      <c r="D17" cm="1">
        <f t="array" ref="D17">SUM(D3:D10*K3:K10)</f>
        <v>-28.155000000000001</v>
      </c>
      <c r="E17" cm="1">
        <f t="array" ref="E17">SUM(_xlfn.ANCHORARRAY(E3)*K3:K10)</f>
        <v>14.689</v>
      </c>
      <c r="F17" cm="1">
        <f t="array" ref="F17">SUM(_xlfn.ANCHORARRAY(F3)*K3:K10)</f>
        <v>-32.215000000000003</v>
      </c>
      <c r="G17" cm="1">
        <f t="array" ref="G17">SUM(_xlfn.ANCHORARRAY(G3)*K3:K10)</f>
        <v>0.48299999999999699</v>
      </c>
      <c r="H17" cm="1">
        <f t="array" ref="H17">SUM(_xlfn.ANCHORARRAY(H3)*K3:K10)</f>
        <v>24.987000000000002</v>
      </c>
    </row>
    <row r="20" spans="1:8" x14ac:dyDescent="0.2">
      <c r="A20" s="1" t="s">
        <v>76</v>
      </c>
      <c r="B20" s="6">
        <f>I3^2</f>
        <v>49.519368999999998</v>
      </c>
      <c r="C20" s="6">
        <f>J3^2</f>
        <v>40.653376000000002</v>
      </c>
    </row>
    <row r="21" spans="1:8" x14ac:dyDescent="0.2">
      <c r="B21" s="6">
        <f t="shared" ref="B21:B27" si="1">I4^2</f>
        <v>216.29584900000003</v>
      </c>
      <c r="C21" s="6">
        <f t="shared" ref="C21:C27" si="2">J4^2</f>
        <v>231.61796099999998</v>
      </c>
    </row>
    <row r="22" spans="1:8" x14ac:dyDescent="0.2">
      <c r="B22" s="6">
        <f t="shared" si="1"/>
        <v>135.37322499999999</v>
      </c>
      <c r="C22" s="6">
        <f t="shared" si="2"/>
        <v>146.14392100000001</v>
      </c>
    </row>
    <row r="23" spans="1:8" x14ac:dyDescent="0.2">
      <c r="B23" s="6">
        <f t="shared" si="1"/>
        <v>298.35652899999997</v>
      </c>
      <c r="C23" s="6">
        <f t="shared" si="2"/>
        <v>317.37422500000002</v>
      </c>
    </row>
    <row r="24" spans="1:8" x14ac:dyDescent="0.2">
      <c r="B24" s="6">
        <f t="shared" si="1"/>
        <v>108.22240900000001</v>
      </c>
      <c r="C24" s="6">
        <f t="shared" si="2"/>
        <v>103.042801</v>
      </c>
    </row>
    <row r="25" spans="1:8" x14ac:dyDescent="0.2">
      <c r="B25" s="6">
        <f t="shared" si="1"/>
        <v>19.079424000000003</v>
      </c>
      <c r="C25" s="6">
        <f t="shared" si="2"/>
        <v>16.793603999999998</v>
      </c>
    </row>
    <row r="26" spans="1:8" x14ac:dyDescent="0.2">
      <c r="B26" s="6">
        <f t="shared" si="1"/>
        <v>87.609599999999986</v>
      </c>
      <c r="C26" s="6">
        <f t="shared" si="2"/>
        <v>85.618009000000001</v>
      </c>
    </row>
    <row r="27" spans="1:8" x14ac:dyDescent="0.2">
      <c r="B27" s="6">
        <f t="shared" si="1"/>
        <v>180.63359999999997</v>
      </c>
      <c r="C27" s="6">
        <f t="shared" si="2"/>
        <v>167.003929</v>
      </c>
    </row>
    <row r="28" spans="1:8" x14ac:dyDescent="0.2">
      <c r="B28" s="13" t="s">
        <v>6</v>
      </c>
      <c r="C28" s="13">
        <f>SUM(B20:C27)</f>
        <v>2203.3378310000003</v>
      </c>
    </row>
    <row r="30" spans="1:8" x14ac:dyDescent="0.2">
      <c r="A30" s="22" t="s">
        <v>77</v>
      </c>
      <c r="B30" s="22" t="s">
        <v>78</v>
      </c>
      <c r="C30" s="22" t="s">
        <v>18</v>
      </c>
      <c r="D30" s="22" t="s">
        <v>79</v>
      </c>
      <c r="E30" s="22" t="s">
        <v>82</v>
      </c>
      <c r="F30" s="22" t="s">
        <v>20</v>
      </c>
      <c r="G30" s="22" t="s">
        <v>21</v>
      </c>
    </row>
    <row r="31" spans="1:8" x14ac:dyDescent="0.2">
      <c r="A31" s="22" t="s">
        <v>57</v>
      </c>
      <c r="B31" cm="1">
        <f t="array" ref="B31:B37">TRANSPOSE(B17:H17^2/16)</f>
        <v>34.630282562500007</v>
      </c>
      <c r="C31">
        <v>1</v>
      </c>
      <c r="D31" cm="1">
        <f t="array" ref="D31:D37">TRANSPOSE(B17:H17/C38)</f>
        <v>2.9423750000000002</v>
      </c>
      <c r="E31" cm="1">
        <f t="array" ref="E31:E38">B31:B38/C31:C38</f>
        <v>34.630282562500007</v>
      </c>
      <c r="F31">
        <f>E31/E38</f>
        <v>343.28045576233762</v>
      </c>
      <c r="G31">
        <f>_xlfn.F.INV.RT(0.05,C31,C38)</f>
        <v>5.3176550715787174</v>
      </c>
    </row>
    <row r="32" spans="1:8" x14ac:dyDescent="0.2">
      <c r="A32" s="22" t="s">
        <v>58</v>
      </c>
      <c r="B32">
        <v>61.736377562499996</v>
      </c>
      <c r="C32">
        <v>1</v>
      </c>
      <c r="D32">
        <v>3.9286249999999998</v>
      </c>
      <c r="E32">
        <v>61.736377562499996</v>
      </c>
      <c r="F32">
        <f>E32/E38</f>
        <v>611.97571196603053</v>
      </c>
    </row>
    <row r="33" spans="1:16" x14ac:dyDescent="0.2">
      <c r="A33" s="22" t="s">
        <v>59</v>
      </c>
      <c r="B33">
        <v>49.544001562500007</v>
      </c>
      <c r="C33">
        <v>1</v>
      </c>
      <c r="D33">
        <v>-3.5193750000000001</v>
      </c>
      <c r="E33">
        <v>49.544001562500007</v>
      </c>
      <c r="F33">
        <f>E33/E38</f>
        <v>491.11604578941029</v>
      </c>
    </row>
    <row r="34" spans="1:16" x14ac:dyDescent="0.2">
      <c r="A34" s="22" t="s">
        <v>60</v>
      </c>
      <c r="B34">
        <v>13.485420062499999</v>
      </c>
      <c r="C34">
        <v>1</v>
      </c>
      <c r="D34">
        <v>1.836125</v>
      </c>
      <c r="E34">
        <v>13.485420062499999</v>
      </c>
      <c r="F34">
        <f>E34/E38</f>
        <v>133.67725593479472</v>
      </c>
    </row>
    <row r="35" spans="1:16" x14ac:dyDescent="0.2">
      <c r="A35" s="22" t="s">
        <v>61</v>
      </c>
      <c r="B35">
        <v>64.862889062500017</v>
      </c>
      <c r="C35">
        <v>1</v>
      </c>
      <c r="D35">
        <v>-4.0268750000000004</v>
      </c>
      <c r="E35">
        <v>64.862889062500017</v>
      </c>
      <c r="F35">
        <f>E35/E38</f>
        <v>642.96795959580891</v>
      </c>
    </row>
    <row r="36" spans="1:16" x14ac:dyDescent="0.2">
      <c r="A36" s="22" t="s">
        <v>62</v>
      </c>
      <c r="B36">
        <v>1.4580562499999818E-2</v>
      </c>
      <c r="C36">
        <v>1</v>
      </c>
      <c r="D36">
        <v>6.0374999999999623E-2</v>
      </c>
      <c r="E36">
        <v>1.4580562499999818E-2</v>
      </c>
      <c r="F36">
        <f>E36/E38</f>
        <v>0.14453310137559133</v>
      </c>
    </row>
    <row r="37" spans="1:16" x14ac:dyDescent="0.2">
      <c r="A37" s="22" t="s">
        <v>63</v>
      </c>
      <c r="B37">
        <v>39.021885562500003</v>
      </c>
      <c r="C37">
        <v>1</v>
      </c>
      <c r="D37">
        <v>3.1233750000000002</v>
      </c>
      <c r="E37">
        <v>39.021885562500003</v>
      </c>
      <c r="F37">
        <f>E37/E38</f>
        <v>386.81320709482969</v>
      </c>
    </row>
    <row r="38" spans="1:16" x14ac:dyDescent="0.2">
      <c r="A38" s="22" t="s">
        <v>80</v>
      </c>
      <c r="B38">
        <f>B39-SUM(_xlfn.ANCHORARRAY(B31))</f>
        <v>0.80704349999990654</v>
      </c>
      <c r="C38">
        <f>C39-SUM(C31:C37)</f>
        <v>8</v>
      </c>
      <c r="E38">
        <v>0.10088043749998832</v>
      </c>
    </row>
    <row r="39" spans="1:16" x14ac:dyDescent="0.2">
      <c r="A39" s="22" t="s">
        <v>81</v>
      </c>
      <c r="B39">
        <f>C28-K12/16</f>
        <v>264.10248043749993</v>
      </c>
      <c r="C39">
        <v>15</v>
      </c>
    </row>
    <row r="43" spans="1:16" x14ac:dyDescent="0.2">
      <c r="A43" t="s">
        <v>83</v>
      </c>
    </row>
    <row r="44" spans="1:16" x14ac:dyDescent="0.2">
      <c r="A44" t="s">
        <v>57</v>
      </c>
      <c r="B44">
        <f>-1</f>
        <v>-1</v>
      </c>
      <c r="C44">
        <f>1</f>
        <v>1</v>
      </c>
      <c r="G44" t="s">
        <v>58</v>
      </c>
      <c r="H44">
        <f>-1</f>
        <v>-1</v>
      </c>
      <c r="I44">
        <v>1</v>
      </c>
      <c r="N44" t="s">
        <v>59</v>
      </c>
      <c r="O44">
        <f>-1</f>
        <v>-1</v>
      </c>
      <c r="P44">
        <f>1</f>
        <v>1</v>
      </c>
    </row>
    <row r="45" spans="1:16" x14ac:dyDescent="0.2">
      <c r="B45">
        <f>SUM(K3,K5,K7,K9)/8</f>
        <v>9.5380000000000003</v>
      </c>
      <c r="C45">
        <f>SUM(K4,K6,K8,K10)/8</f>
        <v>12.480375000000002</v>
      </c>
      <c r="H45">
        <f>SUM(K3,K4,K7,K8)/8</f>
        <v>9.0448750000000011</v>
      </c>
      <c r="I45">
        <f>SUM(K5,K6,K9,K10)/8</f>
        <v>12.9735</v>
      </c>
      <c r="O45">
        <f>SUM(K3,K4,K5,K6)/8</f>
        <v>12.768875000000001</v>
      </c>
      <c r="P45">
        <f>SUM(K7,K8,K9,K10)/8</f>
        <v>9.2495000000000012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12" x14ac:dyDescent="0.2">
      <c r="A65" t="s">
        <v>58</v>
      </c>
      <c r="C65">
        <f>-1</f>
        <v>-1</v>
      </c>
      <c r="D65">
        <f>1</f>
        <v>1</v>
      </c>
      <c r="I65" t="s">
        <v>59</v>
      </c>
      <c r="K65">
        <v>-1</v>
      </c>
      <c r="L65">
        <v>1</v>
      </c>
    </row>
    <row r="66" spans="1:12" x14ac:dyDescent="0.2">
      <c r="A66" t="s">
        <v>57</v>
      </c>
      <c r="B66">
        <f>-1</f>
        <v>-1</v>
      </c>
      <c r="C66">
        <f>SUM(K3,K7)/4</f>
        <v>8.4917499999999997</v>
      </c>
      <c r="D66">
        <f>SUM(K5,K9)/4</f>
        <v>10.584250000000001</v>
      </c>
      <c r="I66" t="s">
        <v>57</v>
      </c>
      <c r="J66">
        <v>-1</v>
      </c>
      <c r="K66">
        <f>SUM(K3,K5)/4</f>
        <v>9.2842500000000001</v>
      </c>
      <c r="L66">
        <f>SUM(K7,K9)/4</f>
        <v>9.7917500000000004</v>
      </c>
    </row>
    <row r="67" spans="1:12" x14ac:dyDescent="0.2">
      <c r="B67">
        <f>1</f>
        <v>1</v>
      </c>
      <c r="C67">
        <f>SUM(K4,K8)/4</f>
        <v>9.5980000000000008</v>
      </c>
      <c r="D67">
        <f>SUM(K6,K10)/4</f>
        <v>15.36275</v>
      </c>
      <c r="J67">
        <v>1</v>
      </c>
      <c r="K67">
        <f>SUM(K4,K6)/4</f>
        <v>16.253500000000003</v>
      </c>
      <c r="L67">
        <f>SUM(K8,K10)/4</f>
        <v>8.7072500000000002</v>
      </c>
    </row>
    <row r="86" spans="1:4" x14ac:dyDescent="0.2">
      <c r="A86" t="s">
        <v>59</v>
      </c>
      <c r="C86">
        <f>-1</f>
        <v>-1</v>
      </c>
      <c r="D86">
        <f>1</f>
        <v>1</v>
      </c>
    </row>
    <row r="87" spans="1:4" x14ac:dyDescent="0.2">
      <c r="B87" t="s">
        <v>84</v>
      </c>
      <c r="C87">
        <f>SUM(K3,K4)/4</f>
        <v>10.83475</v>
      </c>
      <c r="D87">
        <f>SUM(K7,K8)/4</f>
        <v>7.2550000000000008</v>
      </c>
    </row>
    <row r="88" spans="1:4" x14ac:dyDescent="0.2">
      <c r="B88" t="s">
        <v>85</v>
      </c>
      <c r="C88">
        <f>SUM(K5,K6)/4</f>
        <v>14.702999999999999</v>
      </c>
      <c r="D88">
        <f>SUM(K9,K10)/4</f>
        <v>11.244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E98B-C4EC-1941-8E27-E0D4FC409B42}">
  <dimension ref="A2:K52"/>
  <sheetViews>
    <sheetView topLeftCell="A6" workbookViewId="0">
      <selection activeCell="H25" sqref="H25"/>
    </sheetView>
  </sheetViews>
  <sheetFormatPr baseColWidth="10" defaultRowHeight="16" x14ac:dyDescent="0.2"/>
  <cols>
    <col min="2" max="2" width="19.6640625" customWidth="1"/>
    <col min="3" max="3" width="21.5" customWidth="1"/>
    <col min="9" max="10" width="17.83203125" customWidth="1"/>
    <col min="11" max="11" width="18" customWidth="1"/>
  </cols>
  <sheetData>
    <row r="2" spans="1:11" x14ac:dyDescent="0.2">
      <c r="A2" s="3"/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86</v>
      </c>
      <c r="J2" s="3" t="s">
        <v>87</v>
      </c>
      <c r="K2" s="3" t="s">
        <v>81</v>
      </c>
    </row>
    <row r="3" spans="1:11" x14ac:dyDescent="0.2">
      <c r="A3" s="23" t="s">
        <v>71</v>
      </c>
      <c r="B3">
        <v>-1</v>
      </c>
      <c r="C3">
        <v>-1</v>
      </c>
      <c r="D3">
        <v>-1</v>
      </c>
      <c r="E3" cm="1">
        <f t="array" ref="E3:E10">B3:B10*C3:C10</f>
        <v>1</v>
      </c>
      <c r="F3" cm="1">
        <f t="array" ref="F3:F10">B3:B10*D3:D10</f>
        <v>1</v>
      </c>
      <c r="G3" cm="1">
        <f t="array" ref="G3:G10">C3:C10*D3:D10</f>
        <v>1</v>
      </c>
      <c r="H3" cm="1">
        <f t="array" ref="H3:H10">B3:B10*C3:C10*D3:D10</f>
        <v>-1</v>
      </c>
      <c r="I3">
        <v>12</v>
      </c>
      <c r="J3">
        <v>10</v>
      </c>
      <c r="K3">
        <f>SUM(I3:J3)</f>
        <v>22</v>
      </c>
    </row>
    <row r="4" spans="1:11" x14ac:dyDescent="0.2">
      <c r="A4" s="24" t="s">
        <v>64</v>
      </c>
      <c r="B4">
        <v>1</v>
      </c>
      <c r="C4">
        <v>-1</v>
      </c>
      <c r="D4">
        <v>-1</v>
      </c>
      <c r="E4">
        <v>-1</v>
      </c>
      <c r="F4">
        <v>-1</v>
      </c>
      <c r="G4">
        <v>1</v>
      </c>
      <c r="H4">
        <v>1</v>
      </c>
      <c r="I4">
        <v>18</v>
      </c>
      <c r="J4">
        <v>25</v>
      </c>
      <c r="K4">
        <f t="shared" ref="K4:K10" si="0">SUM(I4:J4)</f>
        <v>43</v>
      </c>
    </row>
    <row r="5" spans="1:11" x14ac:dyDescent="0.2">
      <c r="A5" s="24" t="s">
        <v>65</v>
      </c>
      <c r="B5">
        <v>-1</v>
      </c>
      <c r="C5">
        <v>1</v>
      </c>
      <c r="D5">
        <v>-1</v>
      </c>
      <c r="E5">
        <v>-1</v>
      </c>
      <c r="F5">
        <v>1</v>
      </c>
      <c r="G5">
        <v>-1</v>
      </c>
      <c r="H5">
        <v>1</v>
      </c>
      <c r="I5">
        <v>13</v>
      </c>
      <c r="J5">
        <v>13</v>
      </c>
      <c r="K5">
        <f t="shared" si="0"/>
        <v>26</v>
      </c>
    </row>
    <row r="6" spans="1:11" x14ac:dyDescent="0.2">
      <c r="A6" s="24" t="s">
        <v>66</v>
      </c>
      <c r="B6">
        <v>1</v>
      </c>
      <c r="C6">
        <v>1</v>
      </c>
      <c r="D6">
        <v>-1</v>
      </c>
      <c r="E6">
        <v>1</v>
      </c>
      <c r="F6">
        <v>-1</v>
      </c>
      <c r="G6">
        <v>-1</v>
      </c>
      <c r="H6">
        <v>-1</v>
      </c>
      <c r="I6">
        <v>16</v>
      </c>
      <c r="J6">
        <v>24</v>
      </c>
      <c r="K6">
        <f t="shared" si="0"/>
        <v>40</v>
      </c>
    </row>
    <row r="7" spans="1:11" x14ac:dyDescent="0.2">
      <c r="A7" s="24" t="s">
        <v>67</v>
      </c>
      <c r="B7">
        <v>-1</v>
      </c>
      <c r="C7">
        <v>-1</v>
      </c>
      <c r="D7">
        <v>1</v>
      </c>
      <c r="E7">
        <v>1</v>
      </c>
      <c r="F7">
        <v>-1</v>
      </c>
      <c r="G7">
        <v>-1</v>
      </c>
      <c r="H7">
        <v>1</v>
      </c>
      <c r="I7">
        <v>17</v>
      </c>
      <c r="J7">
        <v>19</v>
      </c>
      <c r="K7">
        <f t="shared" si="0"/>
        <v>36</v>
      </c>
    </row>
    <row r="8" spans="1:11" x14ac:dyDescent="0.2">
      <c r="A8" s="24" t="s">
        <v>68</v>
      </c>
      <c r="B8">
        <v>1</v>
      </c>
      <c r="C8">
        <v>-1</v>
      </c>
      <c r="D8">
        <v>1</v>
      </c>
      <c r="E8">
        <v>-1</v>
      </c>
      <c r="F8">
        <v>1</v>
      </c>
      <c r="G8">
        <v>-1</v>
      </c>
      <c r="H8">
        <v>-1</v>
      </c>
      <c r="I8">
        <v>15</v>
      </c>
      <c r="J8">
        <v>21</v>
      </c>
      <c r="K8">
        <f t="shared" si="0"/>
        <v>36</v>
      </c>
    </row>
    <row r="9" spans="1:11" x14ac:dyDescent="0.2">
      <c r="A9" s="24" t="s">
        <v>69</v>
      </c>
      <c r="B9">
        <v>-1</v>
      </c>
      <c r="C9">
        <v>1</v>
      </c>
      <c r="D9">
        <v>1</v>
      </c>
      <c r="E9">
        <v>-1</v>
      </c>
      <c r="F9">
        <v>-1</v>
      </c>
      <c r="G9">
        <v>1</v>
      </c>
      <c r="H9">
        <v>-1</v>
      </c>
      <c r="I9">
        <v>20</v>
      </c>
      <c r="J9">
        <v>17</v>
      </c>
      <c r="K9">
        <f t="shared" si="0"/>
        <v>37</v>
      </c>
    </row>
    <row r="10" spans="1:11" x14ac:dyDescent="0.2">
      <c r="A10" s="24" t="s">
        <v>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15</v>
      </c>
      <c r="J10">
        <v>23</v>
      </c>
      <c r="K10">
        <f t="shared" si="0"/>
        <v>38</v>
      </c>
    </row>
    <row r="11" spans="1:11" x14ac:dyDescent="0.2">
      <c r="H11" t="s">
        <v>88</v>
      </c>
      <c r="I11" s="16">
        <f>SUM(I3:I10)</f>
        <v>126</v>
      </c>
      <c r="J11" s="16">
        <f>SUM(J3:J10)</f>
        <v>152</v>
      </c>
      <c r="K11">
        <f>SUM(I11:J11)</f>
        <v>278</v>
      </c>
    </row>
    <row r="12" spans="1:11" x14ac:dyDescent="0.2">
      <c r="J12" t="s">
        <v>11</v>
      </c>
      <c r="K12">
        <f>K11</f>
        <v>278</v>
      </c>
    </row>
    <row r="13" spans="1:11" x14ac:dyDescent="0.2">
      <c r="J13" s="3" t="s">
        <v>12</v>
      </c>
      <c r="K13" s="3">
        <f>K12^2</f>
        <v>77284</v>
      </c>
    </row>
    <row r="14" spans="1:11" x14ac:dyDescent="0.2">
      <c r="J14" s="9"/>
      <c r="K14" s="9"/>
    </row>
    <row r="16" spans="1:11" x14ac:dyDescent="0.2">
      <c r="B16" s="20" t="s">
        <v>57</v>
      </c>
      <c r="C16" s="20" t="s">
        <v>58</v>
      </c>
      <c r="D16" s="20" t="s">
        <v>59</v>
      </c>
      <c r="E16" s="20" t="s">
        <v>60</v>
      </c>
      <c r="F16" s="20" t="s">
        <v>62</v>
      </c>
      <c r="G16" s="20" t="s">
        <v>91</v>
      </c>
      <c r="H16" s="20" t="s">
        <v>92</v>
      </c>
      <c r="I16" s="20" t="s">
        <v>89</v>
      </c>
      <c r="J16" s="20" t="s">
        <v>90</v>
      </c>
    </row>
    <row r="17" spans="1:10" x14ac:dyDescent="0.2">
      <c r="B17" s="19" cm="1">
        <f t="array" ref="B17">SUM(B3:B10*K3:K10)</f>
        <v>36</v>
      </c>
      <c r="C17" s="19" cm="1">
        <f t="array" ref="C17">SUM(C3:C10*K3:K10)</f>
        <v>4</v>
      </c>
      <c r="D17" s="19" cm="1">
        <f t="array" ref="D17">SUM(D3:D10*K3:K10)</f>
        <v>16</v>
      </c>
      <c r="E17" s="19" cm="1">
        <f t="array" ref="E17">SUM(_xlfn.ANCHORARRAY(E3)*K3:K10)</f>
        <v>-6</v>
      </c>
      <c r="F17" s="19" cm="1">
        <f t="array" ref="F17">SUM(_xlfn.ANCHORARRAY(G3)*K3:K10)</f>
        <v>2</v>
      </c>
      <c r="G17" s="19" cm="1">
        <f t="array" ref="G17">SUM(_xlfn.ANCHORARRAY(H3)*J3:J10)</f>
        <v>8</v>
      </c>
      <c r="H17" s="19" cm="1">
        <f t="array" ref="H17">SUM(_xlfn.ANCHORARRAY(F3)*I3:I10)</f>
        <v>-16</v>
      </c>
      <c r="I17" s="19" cm="1">
        <f t="array" ref="I17">SUM(_xlfn.ANCHORARRAY(H3)*I3:I10)</f>
        <v>0</v>
      </c>
      <c r="J17" s="19" cm="1">
        <f t="array" ref="J17">SUM(_xlfn.ANCHORARRAY(F3)*J3:J10)</f>
        <v>-18</v>
      </c>
    </row>
    <row r="20" spans="1:10" x14ac:dyDescent="0.2">
      <c r="I20" s="2" t="s">
        <v>93</v>
      </c>
      <c r="J20" s="2">
        <f>G17^2/(1*8)</f>
        <v>8</v>
      </c>
    </row>
    <row r="21" spans="1:10" x14ac:dyDescent="0.2">
      <c r="I21" s="2" t="s">
        <v>94</v>
      </c>
      <c r="J21" s="2">
        <f>H17^2/(1*8)</f>
        <v>32</v>
      </c>
    </row>
    <row r="22" spans="1:10" x14ac:dyDescent="0.2">
      <c r="I22" s="2"/>
      <c r="J22" s="2"/>
    </row>
    <row r="23" spans="1:10" x14ac:dyDescent="0.2">
      <c r="I23" s="2" t="s">
        <v>95</v>
      </c>
      <c r="J23" s="2">
        <f>I17^2/(1*8)</f>
        <v>0</v>
      </c>
    </row>
    <row r="24" spans="1:10" x14ac:dyDescent="0.2">
      <c r="I24" s="2" t="s">
        <v>96</v>
      </c>
      <c r="J24" s="2">
        <f>J17^2/(1*8)</f>
        <v>40.5</v>
      </c>
    </row>
    <row r="25" spans="1:10" x14ac:dyDescent="0.2">
      <c r="I25" s="2" t="s">
        <v>97</v>
      </c>
      <c r="J25" s="2">
        <f>SUM(J23:J24)</f>
        <v>40.5</v>
      </c>
    </row>
    <row r="27" spans="1:10" x14ac:dyDescent="0.2">
      <c r="A27" s="1" t="s">
        <v>98</v>
      </c>
      <c r="B27">
        <f>I3^2</f>
        <v>144</v>
      </c>
      <c r="C27">
        <f>J3^2</f>
        <v>100</v>
      </c>
    </row>
    <row r="28" spans="1:10" x14ac:dyDescent="0.2">
      <c r="B28">
        <f t="shared" ref="B28:B34" si="1">I4^2</f>
        <v>324</v>
      </c>
      <c r="C28">
        <f t="shared" ref="C28:C34" si="2">J4^2</f>
        <v>625</v>
      </c>
    </row>
    <row r="29" spans="1:10" x14ac:dyDescent="0.2">
      <c r="B29">
        <f t="shared" si="1"/>
        <v>169</v>
      </c>
      <c r="C29">
        <f t="shared" si="2"/>
        <v>169</v>
      </c>
    </row>
    <row r="30" spans="1:10" x14ac:dyDescent="0.2">
      <c r="B30">
        <f t="shared" si="1"/>
        <v>256</v>
      </c>
      <c r="C30">
        <f t="shared" si="2"/>
        <v>576</v>
      </c>
    </row>
    <row r="31" spans="1:10" x14ac:dyDescent="0.2">
      <c r="B31">
        <f t="shared" si="1"/>
        <v>289</v>
      </c>
      <c r="C31">
        <f t="shared" si="2"/>
        <v>361</v>
      </c>
    </row>
    <row r="32" spans="1:10" x14ac:dyDescent="0.2">
      <c r="B32">
        <f t="shared" si="1"/>
        <v>225</v>
      </c>
      <c r="C32">
        <f t="shared" si="2"/>
        <v>441</v>
      </c>
    </row>
    <row r="33" spans="2:7" x14ac:dyDescent="0.2">
      <c r="B33">
        <f t="shared" si="1"/>
        <v>400</v>
      </c>
      <c r="C33">
        <f t="shared" si="2"/>
        <v>289</v>
      </c>
    </row>
    <row r="34" spans="2:7" x14ac:dyDescent="0.2">
      <c r="B34">
        <f t="shared" si="1"/>
        <v>225</v>
      </c>
      <c r="C34">
        <f t="shared" si="2"/>
        <v>529</v>
      </c>
    </row>
    <row r="35" spans="2:7" x14ac:dyDescent="0.2">
      <c r="B35" t="s">
        <v>6</v>
      </c>
      <c r="C35" s="25">
        <f>SUM(B27:C34)</f>
        <v>5122</v>
      </c>
    </row>
    <row r="37" spans="2:7" x14ac:dyDescent="0.2">
      <c r="B37" s="6" t="s">
        <v>77</v>
      </c>
      <c r="C37" s="6" t="s">
        <v>17</v>
      </c>
      <c r="D37" s="6" t="s">
        <v>18</v>
      </c>
      <c r="E37" s="6" t="s">
        <v>82</v>
      </c>
      <c r="F37" s="6" t="s">
        <v>20</v>
      </c>
      <c r="G37" s="6" t="s">
        <v>21</v>
      </c>
    </row>
    <row r="38" spans="2:7" x14ac:dyDescent="0.2">
      <c r="B38" t="s">
        <v>99</v>
      </c>
      <c r="C38">
        <f>(I11^2+J11^2)/8-K13/16</f>
        <v>42.25</v>
      </c>
      <c r="D38">
        <v>1</v>
      </c>
      <c r="E38">
        <f>C38/D38</f>
        <v>42.25</v>
      </c>
    </row>
    <row r="39" spans="2:7" x14ac:dyDescent="0.2">
      <c r="B39" t="s">
        <v>100</v>
      </c>
      <c r="C39">
        <f>J25</f>
        <v>40.5</v>
      </c>
      <c r="D39">
        <v>2</v>
      </c>
      <c r="E39">
        <f t="shared" ref="E39:E47" si="3">C39/D39</f>
        <v>20.25</v>
      </c>
    </row>
    <row r="40" spans="2:7" x14ac:dyDescent="0.2">
      <c r="B40" t="s">
        <v>57</v>
      </c>
      <c r="C40">
        <f>B17^2/16</f>
        <v>81</v>
      </c>
      <c r="D40">
        <v>1</v>
      </c>
      <c r="E40">
        <f t="shared" si="3"/>
        <v>81</v>
      </c>
      <c r="F40">
        <f>E40/E47</f>
        <v>5.9124087591240881</v>
      </c>
      <c r="G40">
        <f>_xlfn.F.INV.RT(0.05,D40,D47)</f>
        <v>6.607890973703368</v>
      </c>
    </row>
    <row r="41" spans="2:7" x14ac:dyDescent="0.2">
      <c r="B41" t="s">
        <v>58</v>
      </c>
      <c r="C41">
        <f>C17^2/16</f>
        <v>1</v>
      </c>
      <c r="D41">
        <v>1</v>
      </c>
      <c r="E41">
        <f t="shared" si="3"/>
        <v>1</v>
      </c>
      <c r="F41">
        <f>E41/E47</f>
        <v>7.2992700729927015E-2</v>
      </c>
      <c r="G41">
        <f>G40</f>
        <v>6.607890973703368</v>
      </c>
    </row>
    <row r="42" spans="2:7" x14ac:dyDescent="0.2">
      <c r="B42" t="s">
        <v>59</v>
      </c>
      <c r="C42">
        <f>D17^2/16</f>
        <v>16</v>
      </c>
      <c r="D42">
        <v>1</v>
      </c>
      <c r="E42">
        <f t="shared" si="3"/>
        <v>16</v>
      </c>
      <c r="F42">
        <f>E42/E47</f>
        <v>1.1678832116788322</v>
      </c>
      <c r="G42">
        <f>G40</f>
        <v>6.607890973703368</v>
      </c>
    </row>
    <row r="43" spans="2:7" x14ac:dyDescent="0.2">
      <c r="B43" t="s">
        <v>60</v>
      </c>
      <c r="C43">
        <f>E17^2/16</f>
        <v>2.25</v>
      </c>
      <c r="D43">
        <v>1</v>
      </c>
      <c r="E43">
        <f t="shared" si="3"/>
        <v>2.25</v>
      </c>
      <c r="F43">
        <f>E43/E47</f>
        <v>0.16423357664233579</v>
      </c>
      <c r="G43">
        <f>G42</f>
        <v>6.607890973703368</v>
      </c>
    </row>
    <row r="44" spans="2:7" x14ac:dyDescent="0.2">
      <c r="B44" t="s">
        <v>101</v>
      </c>
      <c r="C44">
        <f>J21</f>
        <v>32</v>
      </c>
      <c r="D44">
        <v>1</v>
      </c>
      <c r="E44">
        <f t="shared" si="3"/>
        <v>32</v>
      </c>
      <c r="F44">
        <f>E44/E47</f>
        <v>2.3357664233576645</v>
      </c>
      <c r="G44">
        <f>G43</f>
        <v>6.607890973703368</v>
      </c>
    </row>
    <row r="45" spans="2:7" x14ac:dyDescent="0.2">
      <c r="B45" t="s">
        <v>62</v>
      </c>
      <c r="C45">
        <f>F17^2/16</f>
        <v>0.25</v>
      </c>
      <c r="D45">
        <v>1</v>
      </c>
      <c r="E45">
        <f t="shared" si="3"/>
        <v>0.25</v>
      </c>
      <c r="F45">
        <f>E45/E47</f>
        <v>1.8248175182481754E-2</v>
      </c>
      <c r="G45">
        <f>G44</f>
        <v>6.607890973703368</v>
      </c>
    </row>
    <row r="46" spans="2:7" x14ac:dyDescent="0.2">
      <c r="B46" t="s">
        <v>102</v>
      </c>
      <c r="C46">
        <f>J20</f>
        <v>8</v>
      </c>
      <c r="D46">
        <v>1</v>
      </c>
      <c r="E46">
        <f t="shared" si="3"/>
        <v>8</v>
      </c>
      <c r="F46">
        <f>E46/E47</f>
        <v>0.58394160583941612</v>
      </c>
      <c r="G46">
        <f>G45</f>
        <v>6.607890973703368</v>
      </c>
    </row>
    <row r="47" spans="2:7" x14ac:dyDescent="0.2">
      <c r="B47" t="s">
        <v>80</v>
      </c>
      <c r="C47">
        <f>C48-SUM(C38:C46)</f>
        <v>68.5</v>
      </c>
      <c r="D47">
        <f>15-SUM(D38:D46)</f>
        <v>5</v>
      </c>
      <c r="E47">
        <f t="shared" si="3"/>
        <v>13.7</v>
      </c>
    </row>
    <row r="48" spans="2:7" x14ac:dyDescent="0.2">
      <c r="B48" t="s">
        <v>81</v>
      </c>
      <c r="C48">
        <f>C35-K13/16</f>
        <v>291.75</v>
      </c>
      <c r="D48">
        <v>15</v>
      </c>
    </row>
    <row r="52" spans="2:2" x14ac:dyDescent="0.2"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Q 1</vt:lpstr>
      <vt:lpstr>2020 Q 2</vt:lpstr>
      <vt:lpstr>2020 Q3</vt:lpstr>
      <vt:lpstr>2020 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2022-11-28T14:36:54Z</dcterms:created>
  <dcterms:modified xsi:type="dcterms:W3CDTF">2022-12-03T06:54:19Z</dcterms:modified>
</cp:coreProperties>
</file>