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Mathematical _science\Statitics template\"/>
    </mc:Choice>
  </mc:AlternateContent>
  <xr:revisionPtr revIDLastSave="0" documentId="13_ncr:1_{0273023E-B4C0-4234-9DFD-A7039F90BF94}" xr6:coauthVersionLast="47" xr6:coauthVersionMax="47" xr10:uidLastSave="{00000000-0000-0000-0000-000000000000}"/>
  <bookViews>
    <workbookView xWindow="-110" yWindow="-110" windowWidth="19420" windowHeight="10300" firstSheet="17" activeTab="23" xr2:uid="{00000000-000D-0000-FFFF-FFFF00000000}"/>
  </bookViews>
  <sheets>
    <sheet name="AN1" sheetId="1" r:id="rId1"/>
    <sheet name="AN2" sheetId="2" r:id="rId2"/>
    <sheet name="AN3" sheetId="3" r:id="rId3"/>
    <sheet name="AN4" sheetId="4" r:id="rId4"/>
    <sheet name="AN5" sheetId="6" r:id="rId5"/>
    <sheet name="AN6" sheetId="5" r:id="rId6"/>
    <sheet name="AN7" sheetId="7" r:id="rId7"/>
    <sheet name="AN8" sheetId="9" r:id="rId8"/>
    <sheet name="AN9" sheetId="10" r:id="rId9"/>
    <sheet name="BD2018" sheetId="8" r:id="rId10"/>
    <sheet name="BD2" sheetId="11" r:id="rId11"/>
    <sheet name="BD3" sheetId="12" r:id="rId12"/>
    <sheet name="BD4" sheetId="13" r:id="rId13"/>
    <sheet name="2D2017" sheetId="18" r:id="rId14"/>
    <sheet name="2D2018" sheetId="19" r:id="rId15"/>
    <sheet name="2D2019" sheetId="14" r:id="rId16"/>
    <sheet name="2D2020" sheetId="15" r:id="rId17"/>
    <sheet name="2D2016" sheetId="16" r:id="rId18"/>
    <sheet name="CFD2007" sheetId="22" r:id="rId19"/>
    <sheet name="CFD200 8" sheetId="23" r:id="rId20"/>
    <sheet name="CFD2010" sheetId="28" r:id="rId21"/>
    <sheet name="CFD2015" sheetId="29" r:id="rId22"/>
    <sheet name="CF2012" sheetId="24" r:id="rId23"/>
    <sheet name="CFD2019" sheetId="25" r:id="rId24"/>
    <sheet name="CFD2020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5" l="1"/>
  <c r="D57" i="25"/>
  <c r="D58" i="25"/>
  <c r="D59" i="25"/>
  <c r="D60" i="25"/>
  <c r="D61" i="25"/>
  <c r="D62" i="25"/>
  <c r="B68" i="25"/>
  <c r="B71" i="25"/>
  <c r="B74" i="25"/>
  <c r="B76" i="25"/>
  <c r="B79" i="25"/>
  <c r="B82" i="25"/>
  <c r="B84" i="25"/>
  <c r="B83" i="25"/>
  <c r="B75" i="25" s="1"/>
  <c r="C63" i="25"/>
  <c r="F57" i="25" s="1"/>
  <c r="G49" i="25"/>
  <c r="E49" i="25"/>
  <c r="J45" i="25"/>
  <c r="H45" i="25"/>
  <c r="G45" i="25"/>
  <c r="D45" i="25"/>
  <c r="B45" i="25"/>
  <c r="B41" i="25"/>
  <c r="H49" i="25" s="1"/>
  <c r="A41" i="25"/>
  <c r="I49" i="25" s="1"/>
  <c r="B38" i="25"/>
  <c r="J49" i="25" s="1"/>
  <c r="A38" i="25"/>
  <c r="C24" i="25"/>
  <c r="C49" i="25" s="1"/>
  <c r="D24" i="25"/>
  <c r="D49" i="25" s="1"/>
  <c r="E24" i="25"/>
  <c r="E45" i="25" s="1"/>
  <c r="F24" i="25"/>
  <c r="F49" i="25" s="1"/>
  <c r="B24" i="25"/>
  <c r="B49" i="25" s="1"/>
  <c r="J10" i="25"/>
  <c r="I10" i="25"/>
  <c r="K3" i="25"/>
  <c r="K4" i="25"/>
  <c r="K5" i="25"/>
  <c r="K6" i="25"/>
  <c r="K7" i="25"/>
  <c r="K8" i="25"/>
  <c r="K10" i="25" s="1"/>
  <c r="K9" i="25"/>
  <c r="K2" i="25"/>
  <c r="F71" i="29"/>
  <c r="F76" i="29"/>
  <c r="D70" i="29"/>
  <c r="D71" i="29"/>
  <c r="D72" i="29"/>
  <c r="D73" i="29"/>
  <c r="D74" i="29"/>
  <c r="D75" i="29"/>
  <c r="D76" i="29"/>
  <c r="C77" i="29"/>
  <c r="F74" i="29" s="1"/>
  <c r="B33" i="29"/>
  <c r="B36" i="29"/>
  <c r="B41" i="29"/>
  <c r="B44" i="29"/>
  <c r="B47" i="29"/>
  <c r="B49" i="29"/>
  <c r="B52" i="29"/>
  <c r="B55" i="29"/>
  <c r="B57" i="29"/>
  <c r="B60" i="29"/>
  <c r="B63" i="29"/>
  <c r="B65" i="29"/>
  <c r="B64" i="29"/>
  <c r="B39" i="29" s="1"/>
  <c r="K30" i="29"/>
  <c r="F30" i="29"/>
  <c r="F26" i="29"/>
  <c r="G26" i="29"/>
  <c r="G30" i="29" s="1"/>
  <c r="H26" i="29"/>
  <c r="E26" i="29"/>
  <c r="F23" i="29"/>
  <c r="G23" i="29"/>
  <c r="H23" i="29"/>
  <c r="E23" i="29"/>
  <c r="F20" i="29"/>
  <c r="G20" i="29"/>
  <c r="H20" i="29"/>
  <c r="E20" i="29"/>
  <c r="E30" i="29" s="1"/>
  <c r="F17" i="29"/>
  <c r="J30" i="29" s="1"/>
  <c r="G17" i="29"/>
  <c r="H17" i="29"/>
  <c r="H30" i="29" s="1"/>
  <c r="E17" i="29"/>
  <c r="I30" i="29" s="1"/>
  <c r="M3" i="29"/>
  <c r="M4" i="29"/>
  <c r="M5" i="29"/>
  <c r="M6" i="29"/>
  <c r="M7" i="29"/>
  <c r="M8" i="29"/>
  <c r="M9" i="29"/>
  <c r="M2" i="29"/>
  <c r="D14" i="29" s="1"/>
  <c r="D30" i="29" s="1"/>
  <c r="L10" i="29"/>
  <c r="K10" i="29"/>
  <c r="J10" i="29"/>
  <c r="I10" i="29"/>
  <c r="F60" i="28"/>
  <c r="F62" i="28"/>
  <c r="F63" i="28"/>
  <c r="F58" i="28"/>
  <c r="D58" i="28"/>
  <c r="D59" i="28"/>
  <c r="D60" i="28"/>
  <c r="D61" i="28"/>
  <c r="D62" i="28"/>
  <c r="D63" i="28"/>
  <c r="D64" i="28"/>
  <c r="C65" i="28"/>
  <c r="F61" i="28" s="1"/>
  <c r="B32" i="28"/>
  <c r="B35" i="28"/>
  <c r="B40" i="28"/>
  <c r="B43" i="28"/>
  <c r="B48" i="28"/>
  <c r="B51" i="28"/>
  <c r="B53" i="28"/>
  <c r="B52" i="28"/>
  <c r="B30" i="28" s="1"/>
  <c r="F26" i="28"/>
  <c r="G21" i="28"/>
  <c r="G26" i="28" s="1"/>
  <c r="H21" i="28"/>
  <c r="F21" i="28"/>
  <c r="G19" i="28"/>
  <c r="J26" i="28" s="1"/>
  <c r="H19" i="28"/>
  <c r="K26" i="28" s="1"/>
  <c r="F19" i="28"/>
  <c r="G17" i="28"/>
  <c r="H17" i="28"/>
  <c r="H26" i="28" s="1"/>
  <c r="F17" i="28"/>
  <c r="I26" i="28" s="1"/>
  <c r="L3" i="28"/>
  <c r="L4" i="28"/>
  <c r="L5" i="28"/>
  <c r="L6" i="28"/>
  <c r="L7" i="28"/>
  <c r="L8" i="28"/>
  <c r="E14" i="28" s="1"/>
  <c r="E26" i="28" s="1"/>
  <c r="L9" i="28"/>
  <c r="L2" i="28"/>
  <c r="K10" i="28"/>
  <c r="J10" i="28"/>
  <c r="I10" i="28"/>
  <c r="F63" i="23"/>
  <c r="D60" i="23"/>
  <c r="D61" i="23"/>
  <c r="D62" i="23"/>
  <c r="D63" i="23"/>
  <c r="D64" i="23"/>
  <c r="D65" i="23"/>
  <c r="D66" i="23"/>
  <c r="C67" i="23"/>
  <c r="B29" i="23"/>
  <c r="B32" i="23"/>
  <c r="B35" i="23"/>
  <c r="B37" i="23"/>
  <c r="B40" i="23"/>
  <c r="B43" i="23"/>
  <c r="B45" i="23"/>
  <c r="B48" i="23"/>
  <c r="B51" i="23"/>
  <c r="B53" i="23"/>
  <c r="B52" i="23"/>
  <c r="B36" i="23" s="1"/>
  <c r="J26" i="23"/>
  <c r="G26" i="23"/>
  <c r="E26" i="23"/>
  <c r="F22" i="23"/>
  <c r="G22" i="23"/>
  <c r="E22" i="23"/>
  <c r="F20" i="23"/>
  <c r="G20" i="23"/>
  <c r="E20" i="23"/>
  <c r="H26" i="23" s="1"/>
  <c r="F18" i="23"/>
  <c r="F26" i="23" s="1"/>
  <c r="B59" i="23" s="1"/>
  <c r="D59" i="23" s="1"/>
  <c r="G18" i="23"/>
  <c r="K26" i="23" s="1"/>
  <c r="E18" i="23"/>
  <c r="I26" i="23" s="1"/>
  <c r="F45" i="24"/>
  <c r="F46" i="24"/>
  <c r="F47" i="24"/>
  <c r="F48" i="24"/>
  <c r="F49" i="24"/>
  <c r="F50" i="24"/>
  <c r="F44" i="24"/>
  <c r="D45" i="24"/>
  <c r="D46" i="24"/>
  <c r="D47" i="24"/>
  <c r="D48" i="24"/>
  <c r="D49" i="24"/>
  <c r="D50" i="24"/>
  <c r="D44" i="24"/>
  <c r="D43" i="24"/>
  <c r="B64" i="24"/>
  <c r="B72" i="24"/>
  <c r="B73" i="24"/>
  <c r="B79" i="24"/>
  <c r="B78" i="24"/>
  <c r="B56" i="24" s="1"/>
  <c r="B43" i="24"/>
  <c r="O34" i="24"/>
  <c r="O33" i="24"/>
  <c r="O32" i="24"/>
  <c r="L36" i="24"/>
  <c r="K36" i="24"/>
  <c r="C36" i="24"/>
  <c r="D36" i="24"/>
  <c r="B36" i="24"/>
  <c r="N22" i="24"/>
  <c r="H27" i="24"/>
  <c r="H36" i="24" s="1"/>
  <c r="P13" i="24"/>
  <c r="O13" i="24"/>
  <c r="N13" i="24"/>
  <c r="L13" i="24"/>
  <c r="M13" i="24"/>
  <c r="M22" i="24" s="1"/>
  <c r="K13" i="24"/>
  <c r="I13" i="24"/>
  <c r="J13" i="24"/>
  <c r="H13" i="24"/>
  <c r="F13" i="24"/>
  <c r="G13" i="24"/>
  <c r="E13" i="24"/>
  <c r="L3" i="24"/>
  <c r="L4" i="24"/>
  <c r="L5" i="24"/>
  <c r="L6" i="24"/>
  <c r="L7" i="24"/>
  <c r="L8" i="24"/>
  <c r="L9" i="24"/>
  <c r="L10" i="24"/>
  <c r="B42" i="24" s="1"/>
  <c r="L2" i="24"/>
  <c r="K10" i="24"/>
  <c r="J10" i="24"/>
  <c r="I10" i="24"/>
  <c r="L3" i="23"/>
  <c r="L4" i="23"/>
  <c r="L5" i="23"/>
  <c r="L6" i="23"/>
  <c r="L7" i="23"/>
  <c r="L8" i="23"/>
  <c r="L9" i="23"/>
  <c r="L2" i="23"/>
  <c r="D15" i="23" s="1"/>
  <c r="D26" i="23" s="1"/>
  <c r="K10" i="23"/>
  <c r="J10" i="23"/>
  <c r="I10" i="23"/>
  <c r="F50" i="27"/>
  <c r="F51" i="27"/>
  <c r="F52" i="27"/>
  <c r="F53" i="27"/>
  <c r="F54" i="27"/>
  <c r="F55" i="27"/>
  <c r="F49" i="27"/>
  <c r="D50" i="27"/>
  <c r="D51" i="27"/>
  <c r="E51" i="27" s="1"/>
  <c r="D52" i="27"/>
  <c r="D53" i="27"/>
  <c r="D54" i="27"/>
  <c r="D55" i="27"/>
  <c r="D49" i="27"/>
  <c r="D47" i="27"/>
  <c r="B56" i="27"/>
  <c r="D56" i="27" s="1"/>
  <c r="F14" i="27"/>
  <c r="F22" i="27" s="1"/>
  <c r="B25" i="27"/>
  <c r="B28" i="27"/>
  <c r="B29" i="27"/>
  <c r="B31" i="27"/>
  <c r="B33" i="27"/>
  <c r="B36" i="27"/>
  <c r="B37" i="27"/>
  <c r="B39" i="27"/>
  <c r="B41" i="27"/>
  <c r="B40" i="27"/>
  <c r="B32" i="27" s="1"/>
  <c r="I22" i="27"/>
  <c r="J14" i="27"/>
  <c r="I14" i="27"/>
  <c r="I18" i="27" s="1"/>
  <c r="H14" i="27"/>
  <c r="K3" i="27"/>
  <c r="K4" i="27"/>
  <c r="K5" i="27"/>
  <c r="K6" i="27"/>
  <c r="K7" i="27"/>
  <c r="K8" i="27"/>
  <c r="K9" i="27"/>
  <c r="K2" i="27"/>
  <c r="J10" i="27"/>
  <c r="I10" i="27"/>
  <c r="K10" i="27" s="1"/>
  <c r="B46" i="27" s="1"/>
  <c r="D46" i="27" s="1"/>
  <c r="F48" i="22"/>
  <c r="F49" i="22"/>
  <c r="F50" i="22"/>
  <c r="F51" i="22"/>
  <c r="F52" i="22"/>
  <c r="F53" i="22"/>
  <c r="F47" i="22"/>
  <c r="D48" i="22"/>
  <c r="D49" i="22"/>
  <c r="D50" i="22"/>
  <c r="D51" i="22"/>
  <c r="D52" i="22"/>
  <c r="D53" i="22"/>
  <c r="D47" i="22"/>
  <c r="B27" i="22"/>
  <c r="B28" i="22"/>
  <c r="B35" i="22"/>
  <c r="B36" i="22"/>
  <c r="A39" i="22"/>
  <c r="A38" i="22"/>
  <c r="B24" i="22" s="1"/>
  <c r="H20" i="22"/>
  <c r="H17" i="22"/>
  <c r="J14" i="22"/>
  <c r="J20" i="22" s="1"/>
  <c r="I14" i="22"/>
  <c r="H14" i="22"/>
  <c r="F14" i="22"/>
  <c r="F17" i="22" s="1"/>
  <c r="J10" i="22"/>
  <c r="I10" i="22"/>
  <c r="K3" i="22"/>
  <c r="K4" i="22"/>
  <c r="B14" i="22" s="1"/>
  <c r="K5" i="22"/>
  <c r="K6" i="22"/>
  <c r="K7" i="22"/>
  <c r="K8" i="22"/>
  <c r="D14" i="22" s="1"/>
  <c r="K9" i="22"/>
  <c r="K2" i="22"/>
  <c r="C14" i="22" s="1"/>
  <c r="D44" i="16"/>
  <c r="D46" i="16"/>
  <c r="D47" i="16"/>
  <c r="E18" i="16"/>
  <c r="B43" i="16"/>
  <c r="D43" i="16" s="1"/>
  <c r="B44" i="16"/>
  <c r="B45" i="16"/>
  <c r="D45" i="16" s="1"/>
  <c r="B46" i="16"/>
  <c r="B47" i="16"/>
  <c r="B48" i="16"/>
  <c r="D34" i="16"/>
  <c r="D35" i="16"/>
  <c r="D36" i="16"/>
  <c r="D37" i="16"/>
  <c r="D38" i="16"/>
  <c r="D39" i="16"/>
  <c r="C34" i="16"/>
  <c r="C35" i="16"/>
  <c r="C36" i="16"/>
  <c r="C37" i="16"/>
  <c r="C38" i="16"/>
  <c r="C39" i="16"/>
  <c r="B15" i="16"/>
  <c r="B18" i="16"/>
  <c r="B19" i="16"/>
  <c r="B23" i="16"/>
  <c r="B26" i="16"/>
  <c r="B11" i="16"/>
  <c r="B28" i="16"/>
  <c r="B27" i="16"/>
  <c r="B13" i="16" s="1"/>
  <c r="K3" i="16"/>
  <c r="K4" i="16"/>
  <c r="K5" i="16"/>
  <c r="K6" i="16"/>
  <c r="K7" i="16"/>
  <c r="H55" i="16" s="1"/>
  <c r="K8" i="16"/>
  <c r="B33" i="16" s="1"/>
  <c r="K9" i="16"/>
  <c r="K2" i="16"/>
  <c r="B56" i="16" s="1"/>
  <c r="C60" i="15"/>
  <c r="H55" i="15"/>
  <c r="H54" i="15"/>
  <c r="D50" i="15"/>
  <c r="D46" i="15"/>
  <c r="E46" i="15" s="1"/>
  <c r="D48" i="15"/>
  <c r="B44" i="15"/>
  <c r="D44" i="15" s="1"/>
  <c r="B45" i="15"/>
  <c r="D45" i="15" s="1"/>
  <c r="B46" i="15"/>
  <c r="B47" i="15"/>
  <c r="D47" i="15" s="1"/>
  <c r="E47" i="15" s="1"/>
  <c r="B48" i="15"/>
  <c r="B49" i="15"/>
  <c r="D49" i="15" s="1"/>
  <c r="E49" i="15" s="1"/>
  <c r="D35" i="15"/>
  <c r="D36" i="15"/>
  <c r="D37" i="15"/>
  <c r="D38" i="15"/>
  <c r="D39" i="15"/>
  <c r="D40" i="15"/>
  <c r="C35" i="15"/>
  <c r="C36" i="15"/>
  <c r="C37" i="15"/>
  <c r="C38" i="15"/>
  <c r="C39" i="15"/>
  <c r="C40" i="15"/>
  <c r="B14" i="15"/>
  <c r="B19" i="15"/>
  <c r="B22" i="15"/>
  <c r="B25" i="15"/>
  <c r="B27" i="15"/>
  <c r="B29" i="15"/>
  <c r="B28" i="15"/>
  <c r="B17" i="15" s="1"/>
  <c r="K3" i="15"/>
  <c r="K60" i="15" s="1"/>
  <c r="K4" i="15"/>
  <c r="K5" i="15"/>
  <c r="K61" i="15" s="1"/>
  <c r="K6" i="15"/>
  <c r="K7" i="15"/>
  <c r="C59" i="15" s="1"/>
  <c r="K8" i="15"/>
  <c r="C61" i="15" s="1"/>
  <c r="K9" i="15"/>
  <c r="K2" i="15"/>
  <c r="G58" i="15" s="1"/>
  <c r="E48" i="14"/>
  <c r="D50" i="14"/>
  <c r="D44" i="14"/>
  <c r="E44" i="14" s="1"/>
  <c r="D45" i="14"/>
  <c r="E45" i="14" s="1"/>
  <c r="D46" i="14"/>
  <c r="E46" i="14" s="1"/>
  <c r="D48" i="14"/>
  <c r="B44" i="14"/>
  <c r="B45" i="14"/>
  <c r="B46" i="14"/>
  <c r="B47" i="14"/>
  <c r="D47" i="14" s="1"/>
  <c r="E47" i="14" s="1"/>
  <c r="B48" i="14"/>
  <c r="B49" i="14"/>
  <c r="D49" i="14" s="1"/>
  <c r="E49" i="14" s="1"/>
  <c r="D35" i="14"/>
  <c r="D36" i="14"/>
  <c r="D37" i="14"/>
  <c r="D38" i="14"/>
  <c r="D39" i="14"/>
  <c r="D40" i="14"/>
  <c r="C35" i="14"/>
  <c r="C36" i="14"/>
  <c r="C37" i="14"/>
  <c r="C38" i="14"/>
  <c r="C39" i="14"/>
  <c r="C40" i="14"/>
  <c r="B19" i="14"/>
  <c r="B22" i="14"/>
  <c r="B24" i="14"/>
  <c r="B27" i="14"/>
  <c r="B29" i="14"/>
  <c r="B28" i="14"/>
  <c r="B20" i="14" s="1"/>
  <c r="K3" i="14"/>
  <c r="K4" i="14"/>
  <c r="K5" i="14"/>
  <c r="K6" i="14"/>
  <c r="K7" i="14"/>
  <c r="B34" i="14" s="1"/>
  <c r="K8" i="14"/>
  <c r="K9" i="14"/>
  <c r="K2" i="14"/>
  <c r="K63" i="18"/>
  <c r="G63" i="18"/>
  <c r="G61" i="18"/>
  <c r="C63" i="18"/>
  <c r="B52" i="18"/>
  <c r="E44" i="18"/>
  <c r="E45" i="18"/>
  <c r="E47" i="18"/>
  <c r="E42" i="18"/>
  <c r="D49" i="18"/>
  <c r="D43" i="18"/>
  <c r="D44" i="18"/>
  <c r="D45" i="18"/>
  <c r="D46" i="18"/>
  <c r="D47" i="18"/>
  <c r="D48" i="18"/>
  <c r="D42" i="18"/>
  <c r="D34" i="18"/>
  <c r="D35" i="18"/>
  <c r="D36" i="18"/>
  <c r="D37" i="18"/>
  <c r="D38" i="18"/>
  <c r="D39" i="18"/>
  <c r="C34" i="18"/>
  <c r="C35" i="18"/>
  <c r="C36" i="18"/>
  <c r="C37" i="18"/>
  <c r="C38" i="18"/>
  <c r="C39" i="18"/>
  <c r="B12" i="18"/>
  <c r="B14" i="18"/>
  <c r="B16" i="18"/>
  <c r="B17" i="18"/>
  <c r="B19" i="18"/>
  <c r="B20" i="18"/>
  <c r="B22" i="18"/>
  <c r="B24" i="18"/>
  <c r="B25" i="18"/>
  <c r="B11" i="18"/>
  <c r="B28" i="18"/>
  <c r="B27" i="18"/>
  <c r="B15" i="18" s="1"/>
  <c r="K3" i="18"/>
  <c r="K4" i="18"/>
  <c r="K5" i="18"/>
  <c r="K6" i="18"/>
  <c r="H58" i="18" s="1"/>
  <c r="K7" i="18"/>
  <c r="K8" i="18"/>
  <c r="K9" i="18"/>
  <c r="B57" i="18" s="1"/>
  <c r="K2" i="18"/>
  <c r="D63" i="19"/>
  <c r="D57" i="19"/>
  <c r="D58" i="19"/>
  <c r="D59" i="19"/>
  <c r="D60" i="19"/>
  <c r="D61" i="19"/>
  <c r="D62" i="19"/>
  <c r="D56" i="19"/>
  <c r="J30" i="19"/>
  <c r="K30" i="19"/>
  <c r="L30" i="19"/>
  <c r="M30" i="19"/>
  <c r="N30" i="19"/>
  <c r="O30" i="19"/>
  <c r="I30" i="19"/>
  <c r="B33" i="19"/>
  <c r="B35" i="19"/>
  <c r="B42" i="19"/>
  <c r="B41" i="19"/>
  <c r="R13" i="19"/>
  <c r="O18" i="19"/>
  <c r="O13" i="19"/>
  <c r="O12" i="19"/>
  <c r="N2" i="19"/>
  <c r="K3" i="19"/>
  <c r="R11" i="19" s="1"/>
  <c r="K4" i="19"/>
  <c r="O17" i="19" s="1"/>
  <c r="K5" i="19"/>
  <c r="K6" i="19"/>
  <c r="K7" i="19"/>
  <c r="K8" i="19"/>
  <c r="O19" i="19" s="1"/>
  <c r="K9" i="19"/>
  <c r="K2" i="19"/>
  <c r="D46" i="11"/>
  <c r="C40" i="11"/>
  <c r="C39" i="11"/>
  <c r="F34" i="11" s="1"/>
  <c r="C38" i="11"/>
  <c r="C36" i="11"/>
  <c r="F36" i="11" s="1"/>
  <c r="C35" i="11"/>
  <c r="F35" i="11" s="1"/>
  <c r="C34" i="11"/>
  <c r="C28" i="11"/>
  <c r="B28" i="11"/>
  <c r="C27" i="11"/>
  <c r="D27" i="11"/>
  <c r="C25" i="11"/>
  <c r="C29" i="11" s="1"/>
  <c r="D25" i="11"/>
  <c r="D29" i="11" s="1"/>
  <c r="B25" i="11"/>
  <c r="B29" i="11" s="1"/>
  <c r="C24" i="11"/>
  <c r="D24" i="11"/>
  <c r="D28" i="11" s="1"/>
  <c r="B24" i="11"/>
  <c r="C23" i="11"/>
  <c r="D23" i="11"/>
  <c r="B23" i="11"/>
  <c r="B27" i="11" s="1"/>
  <c r="F29" i="11" s="1"/>
  <c r="B37" i="11" s="1"/>
  <c r="D19" i="11"/>
  <c r="C18" i="11"/>
  <c r="C16" i="11"/>
  <c r="C20" i="11" s="1"/>
  <c r="B16" i="11"/>
  <c r="B20" i="11" s="1"/>
  <c r="D15" i="11"/>
  <c r="C15" i="11"/>
  <c r="C19" i="11" s="1"/>
  <c r="B15" i="11"/>
  <c r="B46" i="11" s="1"/>
  <c r="D14" i="11"/>
  <c r="D45" i="11" s="1"/>
  <c r="C14" i="11"/>
  <c r="C45" i="11" s="1"/>
  <c r="B14" i="11"/>
  <c r="B45" i="11" s="1"/>
  <c r="C12" i="11"/>
  <c r="D12" i="11"/>
  <c r="E12" i="11"/>
  <c r="F12" i="11"/>
  <c r="G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H12" i="11" s="1"/>
  <c r="B40" i="11" s="1"/>
  <c r="H7" i="11"/>
  <c r="B21" i="11" s="1"/>
  <c r="C41" i="8"/>
  <c r="B41" i="8"/>
  <c r="C36" i="8"/>
  <c r="C35" i="8"/>
  <c r="F31" i="8" s="1"/>
  <c r="C34" i="8"/>
  <c r="F34" i="8" s="1"/>
  <c r="C32" i="8"/>
  <c r="F32" i="8" s="1"/>
  <c r="C31" i="8"/>
  <c r="C30" i="8"/>
  <c r="D28" i="8"/>
  <c r="C28" i="8"/>
  <c r="B28" i="8"/>
  <c r="B27" i="8"/>
  <c r="B26" i="8"/>
  <c r="D24" i="8"/>
  <c r="C24" i="8"/>
  <c r="B24" i="8"/>
  <c r="D23" i="8"/>
  <c r="D27" i="8" s="1"/>
  <c r="C23" i="8"/>
  <c r="C27" i="8" s="1"/>
  <c r="B23" i="8"/>
  <c r="D22" i="8"/>
  <c r="D26" i="8" s="1"/>
  <c r="C22" i="8"/>
  <c r="C26" i="8" s="1"/>
  <c r="B22" i="8"/>
  <c r="C15" i="8"/>
  <c r="C19" i="8" s="1"/>
  <c r="B15" i="8"/>
  <c r="B19" i="8" s="1"/>
  <c r="D14" i="8"/>
  <c r="D18" i="8" s="1"/>
  <c r="C14" i="8"/>
  <c r="C18" i="8" s="1"/>
  <c r="B14" i="8"/>
  <c r="A41" i="8" s="1"/>
  <c r="D13" i="8"/>
  <c r="C40" i="8" s="1"/>
  <c r="C13" i="8"/>
  <c r="B40" i="8" s="1"/>
  <c r="B13" i="8"/>
  <c r="A40" i="8" s="1"/>
  <c r="G11" i="8"/>
  <c r="G10" i="8"/>
  <c r="G9" i="8"/>
  <c r="F11" i="8"/>
  <c r="F10" i="8"/>
  <c r="F9" i="8"/>
  <c r="E11" i="8"/>
  <c r="E10" i="8"/>
  <c r="E9" i="8"/>
  <c r="D11" i="8"/>
  <c r="C11" i="8"/>
  <c r="B11" i="8"/>
  <c r="D10" i="8"/>
  <c r="C10" i="8"/>
  <c r="B10" i="8"/>
  <c r="D9" i="8"/>
  <c r="C9" i="8"/>
  <c r="B9" i="8"/>
  <c r="H11" i="8" s="1"/>
  <c r="I7" i="8"/>
  <c r="B20" i="8" s="1"/>
  <c r="E46" i="10"/>
  <c r="D46" i="10"/>
  <c r="C46" i="10"/>
  <c r="E45" i="10"/>
  <c r="D45" i="10"/>
  <c r="C45" i="10"/>
  <c r="E44" i="10"/>
  <c r="D44" i="10"/>
  <c r="J44" i="10" s="1"/>
  <c r="C44" i="10"/>
  <c r="E43" i="10"/>
  <c r="D43" i="10"/>
  <c r="C43" i="10"/>
  <c r="F36" i="10"/>
  <c r="F37" i="10"/>
  <c r="F35" i="10"/>
  <c r="G36" i="9"/>
  <c r="G37" i="9"/>
  <c r="G35" i="9"/>
  <c r="F37" i="9"/>
  <c r="F36" i="9"/>
  <c r="F35" i="9"/>
  <c r="D48" i="7"/>
  <c r="C48" i="7"/>
  <c r="B48" i="7"/>
  <c r="D47" i="7"/>
  <c r="C47" i="7"/>
  <c r="B47" i="7"/>
  <c r="D46" i="7"/>
  <c r="C46" i="7"/>
  <c r="B46" i="7"/>
  <c r="G37" i="7"/>
  <c r="G36" i="7"/>
  <c r="G35" i="7"/>
  <c r="E37" i="7"/>
  <c r="E36" i="7"/>
  <c r="E35" i="7"/>
  <c r="G32" i="5"/>
  <c r="G33" i="5"/>
  <c r="G31" i="5"/>
  <c r="F33" i="5"/>
  <c r="F32" i="5"/>
  <c r="F31" i="5"/>
  <c r="B41" i="6"/>
  <c r="G33" i="6"/>
  <c r="G32" i="6"/>
  <c r="G31" i="6"/>
  <c r="F33" i="6"/>
  <c r="F32" i="6"/>
  <c r="F31" i="6"/>
  <c r="B31" i="6"/>
  <c r="D52" i="4"/>
  <c r="D51" i="4"/>
  <c r="D50" i="4"/>
  <c r="D49" i="4"/>
  <c r="C52" i="4"/>
  <c r="C51" i="4"/>
  <c r="C50" i="4"/>
  <c r="C49" i="4"/>
  <c r="B52" i="4"/>
  <c r="B51" i="4"/>
  <c r="B50" i="4"/>
  <c r="B49" i="4"/>
  <c r="G41" i="4"/>
  <c r="G40" i="4"/>
  <c r="G39" i="4"/>
  <c r="F41" i="4"/>
  <c r="F40" i="4"/>
  <c r="F39" i="4"/>
  <c r="G26" i="3"/>
  <c r="G25" i="3"/>
  <c r="G24" i="3"/>
  <c r="F26" i="3"/>
  <c r="F25" i="3"/>
  <c r="F24" i="3"/>
  <c r="C35" i="2"/>
  <c r="C33" i="2"/>
  <c r="C32" i="2"/>
  <c r="C34" i="2" s="1"/>
  <c r="C31" i="2"/>
  <c r="L25" i="2"/>
  <c r="K25" i="2"/>
  <c r="J25" i="2"/>
  <c r="L24" i="2"/>
  <c r="J24" i="2"/>
  <c r="B25" i="2"/>
  <c r="D21" i="2"/>
  <c r="D24" i="2" s="1"/>
  <c r="E19" i="2"/>
  <c r="D20" i="2"/>
  <c r="D19" i="2"/>
  <c r="C20" i="2"/>
  <c r="C19" i="2"/>
  <c r="K24" i="2" s="1"/>
  <c r="B20" i="2"/>
  <c r="E20" i="2" s="1"/>
  <c r="C25" i="2" s="1"/>
  <c r="B19" i="2"/>
  <c r="B21" i="2" s="1"/>
  <c r="B24" i="2" s="1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K15" i="2" s="1"/>
  <c r="D12" i="2"/>
  <c r="C12" i="2"/>
  <c r="B12" i="2"/>
  <c r="D11" i="2"/>
  <c r="C11" i="2"/>
  <c r="B11" i="2"/>
  <c r="K4" i="2"/>
  <c r="K5" i="2" s="1"/>
  <c r="K3" i="2"/>
  <c r="H5" i="2"/>
  <c r="E5" i="2"/>
  <c r="B5" i="2"/>
  <c r="D33" i="1"/>
  <c r="C33" i="1"/>
  <c r="B33" i="1"/>
  <c r="D32" i="1"/>
  <c r="C32" i="1"/>
  <c r="B32" i="1"/>
  <c r="G28" i="1"/>
  <c r="G27" i="1"/>
  <c r="G26" i="1"/>
  <c r="C27" i="10"/>
  <c r="C32" i="10" s="1"/>
  <c r="C31" i="10"/>
  <c r="C29" i="10"/>
  <c r="C28" i="10"/>
  <c r="C24" i="10"/>
  <c r="D23" i="10"/>
  <c r="C22" i="10"/>
  <c r="C15" i="10"/>
  <c r="C18" i="10" s="1"/>
  <c r="B15" i="10"/>
  <c r="B18" i="10" s="1"/>
  <c r="E13" i="10"/>
  <c r="E24" i="10" s="1"/>
  <c r="D13" i="10"/>
  <c r="D24" i="10" s="1"/>
  <c r="C13" i="10"/>
  <c r="B13" i="10"/>
  <c r="B24" i="10" s="1"/>
  <c r="E12" i="10"/>
  <c r="E23" i="10" s="1"/>
  <c r="D12" i="10"/>
  <c r="C12" i="10"/>
  <c r="C23" i="10" s="1"/>
  <c r="B12" i="10"/>
  <c r="B23" i="10" s="1"/>
  <c r="E11" i="10"/>
  <c r="E22" i="10" s="1"/>
  <c r="D11" i="10"/>
  <c r="C11" i="10"/>
  <c r="B11" i="10"/>
  <c r="G11" i="10" s="1"/>
  <c r="H7" i="10"/>
  <c r="G7" i="10"/>
  <c r="F7" i="10"/>
  <c r="E7" i="10"/>
  <c r="D7" i="10"/>
  <c r="C7" i="10"/>
  <c r="B7" i="10"/>
  <c r="A7" i="10"/>
  <c r="H6" i="10"/>
  <c r="G6" i="10"/>
  <c r="F6" i="10"/>
  <c r="E6" i="10"/>
  <c r="D6" i="10"/>
  <c r="C6" i="10"/>
  <c r="B6" i="10"/>
  <c r="A6" i="10"/>
  <c r="H5" i="10"/>
  <c r="G5" i="10"/>
  <c r="F5" i="10"/>
  <c r="E5" i="10"/>
  <c r="D5" i="10"/>
  <c r="C5" i="10"/>
  <c r="B5" i="10"/>
  <c r="A5" i="10"/>
  <c r="I7" i="10" s="1"/>
  <c r="C27" i="9"/>
  <c r="C32" i="9" s="1"/>
  <c r="C31" i="9"/>
  <c r="C29" i="9"/>
  <c r="C28" i="9"/>
  <c r="D24" i="9"/>
  <c r="E23" i="9"/>
  <c r="D23" i="9"/>
  <c r="C23" i="9"/>
  <c r="B23" i="9"/>
  <c r="D22" i="9"/>
  <c r="D15" i="9"/>
  <c r="D18" i="9" s="1"/>
  <c r="C15" i="9"/>
  <c r="C18" i="9" s="1"/>
  <c r="E13" i="9"/>
  <c r="E24" i="9" s="1"/>
  <c r="D13" i="9"/>
  <c r="C13" i="9"/>
  <c r="C24" i="9" s="1"/>
  <c r="B13" i="9"/>
  <c r="B24" i="9" s="1"/>
  <c r="E12" i="9"/>
  <c r="D12" i="9"/>
  <c r="C12" i="9"/>
  <c r="B12" i="9"/>
  <c r="G12" i="9" s="1"/>
  <c r="C19" i="9" s="1"/>
  <c r="E11" i="9"/>
  <c r="E15" i="9" s="1"/>
  <c r="E18" i="9" s="1"/>
  <c r="D11" i="9"/>
  <c r="C11" i="9"/>
  <c r="C22" i="9" s="1"/>
  <c r="B11" i="9"/>
  <c r="B15" i="9" s="1"/>
  <c r="B18" i="9" s="1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C27" i="7"/>
  <c r="C31" i="7"/>
  <c r="C29" i="7"/>
  <c r="C28" i="7"/>
  <c r="B24" i="7"/>
  <c r="D23" i="7"/>
  <c r="D22" i="7"/>
  <c r="C22" i="7"/>
  <c r="B22" i="7"/>
  <c r="D13" i="7"/>
  <c r="D15" i="7" s="1"/>
  <c r="D18" i="7" s="1"/>
  <c r="C13" i="7"/>
  <c r="C24" i="7" s="1"/>
  <c r="B13" i="7"/>
  <c r="D12" i="7"/>
  <c r="C12" i="7"/>
  <c r="C23" i="7" s="1"/>
  <c r="B12" i="7"/>
  <c r="B23" i="7" s="1"/>
  <c r="D11" i="7"/>
  <c r="C11" i="7"/>
  <c r="B11" i="7"/>
  <c r="B15" i="7" s="1"/>
  <c r="B18" i="7" s="1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G7" i="7" s="1"/>
  <c r="B5" i="7"/>
  <c r="A5" i="7"/>
  <c r="C23" i="5"/>
  <c r="C27" i="5"/>
  <c r="C25" i="5"/>
  <c r="C24" i="5"/>
  <c r="D20" i="5"/>
  <c r="D19" i="5"/>
  <c r="B19" i="5"/>
  <c r="D11" i="5"/>
  <c r="C11" i="5"/>
  <c r="C20" i="5" s="1"/>
  <c r="B11" i="5"/>
  <c r="F11" i="5" s="1"/>
  <c r="C16" i="5" s="1"/>
  <c r="D10" i="5"/>
  <c r="D13" i="5" s="1"/>
  <c r="D15" i="5" s="1"/>
  <c r="C10" i="5"/>
  <c r="C19" i="5" s="1"/>
  <c r="B10" i="5"/>
  <c r="F10" i="5" s="1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J6" i="5" s="1"/>
  <c r="B5" i="5"/>
  <c r="A5" i="5"/>
  <c r="C23" i="6"/>
  <c r="C27" i="6"/>
  <c r="C25" i="6"/>
  <c r="C24" i="6"/>
  <c r="D20" i="6"/>
  <c r="D19" i="6"/>
  <c r="F10" i="6"/>
  <c r="C16" i="6" s="1"/>
  <c r="D10" i="6"/>
  <c r="C10" i="6"/>
  <c r="C20" i="6" s="1"/>
  <c r="B10" i="6"/>
  <c r="B20" i="6" s="1"/>
  <c r="D9" i="6"/>
  <c r="D12" i="6" s="1"/>
  <c r="D15" i="6" s="1"/>
  <c r="C9" i="6"/>
  <c r="C19" i="6" s="1"/>
  <c r="B9" i="6"/>
  <c r="B19" i="6" s="1"/>
  <c r="I5" i="6"/>
  <c r="H5" i="6"/>
  <c r="G5" i="6"/>
  <c r="F5" i="6"/>
  <c r="E5" i="6"/>
  <c r="D5" i="6"/>
  <c r="C5" i="6"/>
  <c r="B5" i="6"/>
  <c r="A5" i="6"/>
  <c r="I4" i="6"/>
  <c r="H4" i="6"/>
  <c r="G4" i="6"/>
  <c r="F4" i="6"/>
  <c r="E4" i="6"/>
  <c r="D4" i="6"/>
  <c r="C4" i="6"/>
  <c r="J5" i="6" s="1"/>
  <c r="B4" i="6"/>
  <c r="A4" i="6"/>
  <c r="C35" i="4"/>
  <c r="C33" i="4"/>
  <c r="C32" i="4"/>
  <c r="C31" i="4"/>
  <c r="D27" i="4"/>
  <c r="C27" i="4"/>
  <c r="D15" i="4"/>
  <c r="D28" i="4" s="1"/>
  <c r="C15" i="4"/>
  <c r="C28" i="4" s="1"/>
  <c r="B15" i="4"/>
  <c r="B28" i="4" s="1"/>
  <c r="D14" i="4"/>
  <c r="C14" i="4"/>
  <c r="B14" i="4"/>
  <c r="B27" i="4" s="1"/>
  <c r="D13" i="4"/>
  <c r="D26" i="4" s="1"/>
  <c r="C13" i="4"/>
  <c r="C26" i="4" s="1"/>
  <c r="B13" i="4"/>
  <c r="D12" i="4"/>
  <c r="C12" i="4"/>
  <c r="C17" i="4" s="1"/>
  <c r="C20" i="4" s="1"/>
  <c r="B12" i="4"/>
  <c r="B25" i="4" s="1"/>
  <c r="A6" i="4"/>
  <c r="G9" i="4" s="1"/>
  <c r="L11" i="3"/>
  <c r="J12" i="3"/>
  <c r="L12" i="3" s="1"/>
  <c r="K14" i="3"/>
  <c r="K12" i="3"/>
  <c r="K15" i="3" s="1"/>
  <c r="K11" i="3"/>
  <c r="K10" i="3"/>
  <c r="G21" i="3"/>
  <c r="J13" i="3" s="1"/>
  <c r="J14" i="3" s="1"/>
  <c r="L14" i="3" s="1"/>
  <c r="G18" i="3"/>
  <c r="G17" i="3"/>
  <c r="J11" i="3" s="1"/>
  <c r="D14" i="3"/>
  <c r="C14" i="3"/>
  <c r="F11" i="3"/>
  <c r="F14" i="3" s="1"/>
  <c r="D12" i="3"/>
  <c r="D11" i="3"/>
  <c r="C12" i="3"/>
  <c r="C11" i="3"/>
  <c r="B12" i="3"/>
  <c r="F12" i="3" s="1"/>
  <c r="B11" i="3"/>
  <c r="B14" i="3" s="1"/>
  <c r="G6" i="3"/>
  <c r="J10" i="3" s="1"/>
  <c r="G21" i="1"/>
  <c r="L17" i="1" s="1"/>
  <c r="L18" i="1" s="1"/>
  <c r="N18" i="1" s="1"/>
  <c r="L15" i="1"/>
  <c r="N15" i="1" s="1"/>
  <c r="M14" i="1"/>
  <c r="M18" i="1"/>
  <c r="M16" i="1"/>
  <c r="M15" i="1"/>
  <c r="G16" i="1"/>
  <c r="G15" i="1"/>
  <c r="L16" i="1" s="1"/>
  <c r="N16" i="1" s="1"/>
  <c r="F10" i="1"/>
  <c r="F9" i="1"/>
  <c r="F12" i="1" s="1"/>
  <c r="D10" i="1"/>
  <c r="D9" i="1"/>
  <c r="D12" i="1" s="1"/>
  <c r="C10" i="1"/>
  <c r="C12" i="1" s="1"/>
  <c r="C9" i="1"/>
  <c r="B10" i="1"/>
  <c r="B9" i="1"/>
  <c r="B12" i="1" s="1"/>
  <c r="J5" i="1"/>
  <c r="L14" i="1" s="1"/>
  <c r="G18" i="7" l="1"/>
  <c r="F13" i="5"/>
  <c r="G17" i="5" s="1"/>
  <c r="B23" i="5" s="1"/>
  <c r="B16" i="5"/>
  <c r="G16" i="5" s="1"/>
  <c r="J15" i="3"/>
  <c r="L15" i="3" s="1"/>
  <c r="M14" i="3" s="1"/>
  <c r="B19" i="10"/>
  <c r="H18" i="9"/>
  <c r="M12" i="3"/>
  <c r="E21" i="2"/>
  <c r="G26" i="2" s="1"/>
  <c r="L19" i="1"/>
  <c r="G20" i="6"/>
  <c r="M11" i="3"/>
  <c r="F31" i="2"/>
  <c r="F33" i="2"/>
  <c r="G25" i="2"/>
  <c r="B31" i="2" s="1"/>
  <c r="D31" i="2" s="1"/>
  <c r="J7" i="9"/>
  <c r="B35" i="2"/>
  <c r="B13" i="5"/>
  <c r="B15" i="5" s="1"/>
  <c r="C28" i="5"/>
  <c r="F9" i="6"/>
  <c r="D24" i="7"/>
  <c r="G24" i="7" s="1"/>
  <c r="G13" i="9"/>
  <c r="D19" i="9" s="1"/>
  <c r="E22" i="9"/>
  <c r="G13" i="10"/>
  <c r="D19" i="10" s="1"/>
  <c r="I44" i="10"/>
  <c r="H44" i="10" s="1"/>
  <c r="C15" i="7"/>
  <c r="C18" i="7" s="1"/>
  <c r="E15" i="10"/>
  <c r="E18" i="10" s="1"/>
  <c r="F32" i="2"/>
  <c r="D20" i="22"/>
  <c r="D17" i="22"/>
  <c r="E50" i="24"/>
  <c r="C34" i="14"/>
  <c r="D34" i="14"/>
  <c r="G36" i="14" s="1"/>
  <c r="B43" i="14"/>
  <c r="D43" i="14" s="1"/>
  <c r="E43" i="14" s="1"/>
  <c r="B12" i="6"/>
  <c r="B15" i="6" s="1"/>
  <c r="C32" i="7"/>
  <c r="M19" i="1"/>
  <c r="P15" i="1" s="1"/>
  <c r="C36" i="4"/>
  <c r="C12" i="6"/>
  <c r="C15" i="6" s="1"/>
  <c r="C28" i="6"/>
  <c r="B20" i="5"/>
  <c r="G20" i="5" s="1"/>
  <c r="B26" i="5" s="1"/>
  <c r="F11" i="7"/>
  <c r="F12" i="4"/>
  <c r="F12" i="7"/>
  <c r="C19" i="7" s="1"/>
  <c r="D15" i="10"/>
  <c r="D18" i="10" s="1"/>
  <c r="H18" i="10" s="1"/>
  <c r="D22" i="10"/>
  <c r="J45" i="10"/>
  <c r="I45" i="10"/>
  <c r="H45" i="10" s="1"/>
  <c r="B36" i="8"/>
  <c r="F19" i="8"/>
  <c r="B30" i="8" s="1"/>
  <c r="D30" i="8" s="1"/>
  <c r="F13" i="7"/>
  <c r="D19" i="7" s="1"/>
  <c r="B22" i="10"/>
  <c r="H24" i="10" s="1"/>
  <c r="C21" i="2"/>
  <c r="C24" i="2" s="1"/>
  <c r="G24" i="2" s="1"/>
  <c r="B32" i="2" s="1"/>
  <c r="D32" i="2" s="1"/>
  <c r="C33" i="16"/>
  <c r="D33" i="16"/>
  <c r="B42" i="16"/>
  <c r="D42" i="16" s="1"/>
  <c r="D42" i="24"/>
  <c r="B51" i="24"/>
  <c r="D51" i="24" s="1"/>
  <c r="E49" i="24" s="1"/>
  <c r="J43" i="10"/>
  <c r="I43" i="10"/>
  <c r="E53" i="27"/>
  <c r="E50" i="27"/>
  <c r="E55" i="27"/>
  <c r="D17" i="4"/>
  <c r="D20" i="4" s="1"/>
  <c r="G11" i="9"/>
  <c r="B22" i="9"/>
  <c r="N25" i="2"/>
  <c r="I28" i="2" s="1"/>
  <c r="C13" i="5"/>
  <c r="C15" i="5" s="1"/>
  <c r="G12" i="10"/>
  <c r="C19" i="10" s="1"/>
  <c r="J46" i="10"/>
  <c r="I46" i="10"/>
  <c r="F28" i="8"/>
  <c r="B33" i="8" s="1"/>
  <c r="B20" i="22"/>
  <c r="B17" i="22"/>
  <c r="C17" i="8"/>
  <c r="B19" i="11"/>
  <c r="F19" i="11" s="1"/>
  <c r="B36" i="11" s="1"/>
  <c r="D36" i="11" s="1"/>
  <c r="O11" i="19"/>
  <c r="R12" i="19"/>
  <c r="K64" i="18"/>
  <c r="C62" i="18"/>
  <c r="C20" i="22"/>
  <c r="C17" i="22"/>
  <c r="B44" i="22"/>
  <c r="J18" i="27"/>
  <c r="J22" i="27"/>
  <c r="F66" i="23"/>
  <c r="F60" i="23"/>
  <c r="F61" i="23"/>
  <c r="F62" i="23"/>
  <c r="F64" i="23"/>
  <c r="F65" i="23"/>
  <c r="D17" i="8"/>
  <c r="C46" i="11"/>
  <c r="E52" i="27"/>
  <c r="B18" i="8"/>
  <c r="F18" i="8" s="1"/>
  <c r="B32" i="8" s="1"/>
  <c r="D32" i="8" s="1"/>
  <c r="D16" i="19"/>
  <c r="G16" i="19"/>
  <c r="Q3" i="19"/>
  <c r="A16" i="19"/>
  <c r="B26" i="19"/>
  <c r="B34" i="19"/>
  <c r="B29" i="19"/>
  <c r="B37" i="19"/>
  <c r="B32" i="19"/>
  <c r="B40" i="19"/>
  <c r="B31" i="19"/>
  <c r="K62" i="18"/>
  <c r="G62" i="18"/>
  <c r="K10" i="22"/>
  <c r="F20" i="11"/>
  <c r="B34" i="11" s="1"/>
  <c r="D34" i="11" s="1"/>
  <c r="F38" i="11"/>
  <c r="N3" i="19"/>
  <c r="O16" i="19"/>
  <c r="F16" i="19"/>
  <c r="B30" i="19"/>
  <c r="B58" i="18"/>
  <c r="G64" i="18"/>
  <c r="B23" i="15"/>
  <c r="E45" i="15"/>
  <c r="J17" i="22"/>
  <c r="B32" i="22"/>
  <c r="B65" i="24"/>
  <c r="E48" i="24"/>
  <c r="Q2" i="19"/>
  <c r="E16" i="19"/>
  <c r="B25" i="19"/>
  <c r="B28" i="19"/>
  <c r="E44" i="15"/>
  <c r="G60" i="15"/>
  <c r="E14" i="27"/>
  <c r="B14" i="27"/>
  <c r="D14" i="27"/>
  <c r="C14" i="27"/>
  <c r="E49" i="27"/>
  <c r="C13" i="24"/>
  <c r="C22" i="24" s="1"/>
  <c r="D13" i="24"/>
  <c r="D22" i="24" s="1"/>
  <c r="E47" i="24"/>
  <c r="C14" i="28"/>
  <c r="C26" i="28" s="1"/>
  <c r="B18" i="11"/>
  <c r="N6" i="19"/>
  <c r="C16" i="19"/>
  <c r="B39" i="19"/>
  <c r="B27" i="19"/>
  <c r="C64" i="18"/>
  <c r="E57" i="18"/>
  <c r="B15" i="14"/>
  <c r="B23" i="14"/>
  <c r="B17" i="14"/>
  <c r="B25" i="14"/>
  <c r="B18" i="14"/>
  <c r="B26" i="14"/>
  <c r="B13" i="14"/>
  <c r="B21" i="14"/>
  <c r="B16" i="14"/>
  <c r="G61" i="15"/>
  <c r="E55" i="16"/>
  <c r="B55" i="16"/>
  <c r="G14" i="27"/>
  <c r="B13" i="24"/>
  <c r="B22" i="24" s="1"/>
  <c r="B57" i="24"/>
  <c r="E46" i="24"/>
  <c r="D14" i="28"/>
  <c r="D26" i="28" s="1"/>
  <c r="F30" i="8"/>
  <c r="D18" i="11"/>
  <c r="N7" i="19"/>
  <c r="R10" i="19"/>
  <c r="B16" i="19"/>
  <c r="B38" i="19"/>
  <c r="E48" i="18"/>
  <c r="E43" i="18"/>
  <c r="E46" i="18"/>
  <c r="H57" i="18"/>
  <c r="B14" i="14"/>
  <c r="B54" i="15"/>
  <c r="B58" i="23"/>
  <c r="E45" i="24"/>
  <c r="B69" i="29"/>
  <c r="D69" i="29" s="1"/>
  <c r="B54" i="25"/>
  <c r="F13" i="4"/>
  <c r="C21" i="4" s="1"/>
  <c r="B17" i="8"/>
  <c r="O10" i="19"/>
  <c r="B36" i="19"/>
  <c r="B12" i="14"/>
  <c r="B55" i="15"/>
  <c r="B34" i="15"/>
  <c r="K58" i="15"/>
  <c r="C58" i="15"/>
  <c r="E55" i="15"/>
  <c r="B18" i="15"/>
  <c r="B26" i="15"/>
  <c r="B20" i="15"/>
  <c r="B12" i="15"/>
  <c r="B13" i="15"/>
  <c r="B21" i="15"/>
  <c r="B16" i="15"/>
  <c r="B24" i="15"/>
  <c r="B15" i="15"/>
  <c r="E48" i="15"/>
  <c r="E54" i="15"/>
  <c r="H56" i="16"/>
  <c r="E56" i="16"/>
  <c r="D48" i="16"/>
  <c r="B49" i="16"/>
  <c r="D49" i="16" s="1"/>
  <c r="E45" i="16" s="1"/>
  <c r="I20" i="22"/>
  <c r="B45" i="22" s="1"/>
  <c r="D45" i="22" s="1"/>
  <c r="I17" i="22"/>
  <c r="B30" i="22"/>
  <c r="B22" i="22"/>
  <c r="B23" i="22"/>
  <c r="B31" i="22"/>
  <c r="B25" i="22"/>
  <c r="B33" i="22"/>
  <c r="B26" i="22"/>
  <c r="B34" i="22"/>
  <c r="B29" i="22"/>
  <c r="B37" i="22"/>
  <c r="E54" i="27"/>
  <c r="B59" i="24"/>
  <c r="B67" i="24"/>
  <c r="B75" i="24"/>
  <c r="B60" i="24"/>
  <c r="B68" i="24"/>
  <c r="B76" i="24"/>
  <c r="B61" i="24"/>
  <c r="B69" i="24"/>
  <c r="B77" i="24"/>
  <c r="B62" i="24"/>
  <c r="B70" i="24"/>
  <c r="B54" i="24"/>
  <c r="B55" i="24"/>
  <c r="B63" i="24"/>
  <c r="B71" i="24"/>
  <c r="B58" i="24"/>
  <c r="B66" i="24"/>
  <c r="B74" i="24"/>
  <c r="B57" i="28"/>
  <c r="D57" i="28" s="1"/>
  <c r="L30" i="29"/>
  <c r="B55" i="25"/>
  <c r="D55" i="25" s="1"/>
  <c r="B21" i="18"/>
  <c r="B13" i="18"/>
  <c r="E17" i="18" s="1"/>
  <c r="E58" i="18"/>
  <c r="G59" i="15"/>
  <c r="B20" i="16"/>
  <c r="B12" i="16"/>
  <c r="E16" i="16" s="1"/>
  <c r="F20" i="22"/>
  <c r="B38" i="27"/>
  <c r="B30" i="27"/>
  <c r="C15" i="23"/>
  <c r="C26" i="23" s="1"/>
  <c r="B50" i="23"/>
  <c r="B42" i="23"/>
  <c r="B34" i="23"/>
  <c r="L10" i="28"/>
  <c r="B56" i="28" s="1"/>
  <c r="B45" i="28"/>
  <c r="B37" i="28"/>
  <c r="B29" i="28"/>
  <c r="F59" i="28"/>
  <c r="C14" i="29"/>
  <c r="C30" i="29" s="1"/>
  <c r="B62" i="29"/>
  <c r="B54" i="29"/>
  <c r="B46" i="29"/>
  <c r="B38" i="29"/>
  <c r="F73" i="29"/>
  <c r="F45" i="25"/>
  <c r="B81" i="25"/>
  <c r="B73" i="25"/>
  <c r="B49" i="23"/>
  <c r="B41" i="23"/>
  <c r="B33" i="23"/>
  <c r="B14" i="28"/>
  <c r="B26" i="28" s="1"/>
  <c r="B28" i="28"/>
  <c r="B44" i="28"/>
  <c r="B36" i="28"/>
  <c r="B61" i="29"/>
  <c r="B53" i="29"/>
  <c r="B45" i="29"/>
  <c r="B37" i="29"/>
  <c r="F72" i="29"/>
  <c r="B80" i="25"/>
  <c r="B72" i="25"/>
  <c r="F56" i="25"/>
  <c r="F62" i="25"/>
  <c r="B26" i="18"/>
  <c r="B18" i="18"/>
  <c r="B33" i="18"/>
  <c r="C61" i="18"/>
  <c r="K61" i="18"/>
  <c r="B25" i="16"/>
  <c r="B17" i="16"/>
  <c r="G14" i="22"/>
  <c r="B35" i="27"/>
  <c r="B27" i="27"/>
  <c r="B47" i="23"/>
  <c r="B39" i="23"/>
  <c r="B31" i="23"/>
  <c r="B50" i="28"/>
  <c r="B42" i="28"/>
  <c r="B34" i="28"/>
  <c r="F64" i="28"/>
  <c r="B59" i="29"/>
  <c r="B51" i="29"/>
  <c r="B43" i="29"/>
  <c r="B35" i="29"/>
  <c r="C45" i="25"/>
  <c r="B78" i="25"/>
  <c r="B70" i="25"/>
  <c r="F61" i="25"/>
  <c r="K59" i="15"/>
  <c r="B24" i="16"/>
  <c r="B16" i="16"/>
  <c r="E14" i="22"/>
  <c r="B34" i="27"/>
  <c r="B26" i="27"/>
  <c r="B46" i="23"/>
  <c r="B38" i="23"/>
  <c r="B30" i="23"/>
  <c r="B49" i="28"/>
  <c r="B41" i="28"/>
  <c r="B33" i="28"/>
  <c r="B58" i="29"/>
  <c r="B50" i="29"/>
  <c r="B42" i="29"/>
  <c r="B34" i="29"/>
  <c r="F70" i="29"/>
  <c r="B77" i="25"/>
  <c r="B69" i="25"/>
  <c r="F60" i="25"/>
  <c r="L10" i="23"/>
  <c r="M10" i="29"/>
  <c r="B68" i="29" s="1"/>
  <c r="F59" i="25"/>
  <c r="B23" i="18"/>
  <c r="B22" i="16"/>
  <c r="B14" i="16"/>
  <c r="B24" i="27"/>
  <c r="B15" i="23"/>
  <c r="B26" i="23" s="1"/>
  <c r="B28" i="23"/>
  <c r="B44" i="23"/>
  <c r="B47" i="28"/>
  <c r="B39" i="28"/>
  <c r="B31" i="28"/>
  <c r="B14" i="29"/>
  <c r="B30" i="29" s="1"/>
  <c r="B32" i="29"/>
  <c r="B56" i="29"/>
  <c r="B48" i="29"/>
  <c r="B40" i="29"/>
  <c r="F75" i="29"/>
  <c r="I45" i="25"/>
  <c r="B67" i="25"/>
  <c r="F58" i="25"/>
  <c r="B21" i="16"/>
  <c r="B46" i="28"/>
  <c r="B38" i="28"/>
  <c r="F18" i="27"/>
  <c r="B21" i="4"/>
  <c r="F15" i="4"/>
  <c r="E21" i="4" s="1"/>
  <c r="C25" i="4"/>
  <c r="B17" i="4"/>
  <c r="B20" i="4" s="1"/>
  <c r="G20" i="4" s="1"/>
  <c r="D25" i="4"/>
  <c r="F14" i="4"/>
  <c r="D21" i="4" s="1"/>
  <c r="B26" i="4"/>
  <c r="E32" i="2" l="1"/>
  <c r="G32" i="2" s="1"/>
  <c r="B28" i="5"/>
  <c r="D28" i="5" s="1"/>
  <c r="D68" i="29"/>
  <c r="B77" i="29"/>
  <c r="D77" i="29" s="1"/>
  <c r="B30" i="7"/>
  <c r="E47" i="16"/>
  <c r="F17" i="8"/>
  <c r="B31" i="8" s="1"/>
  <c r="D31" i="8" s="1"/>
  <c r="F18" i="11"/>
  <c r="B35" i="11" s="1"/>
  <c r="H46" i="10"/>
  <c r="E42" i="16"/>
  <c r="B34" i="2"/>
  <c r="D34" i="2" s="1"/>
  <c r="E48" i="16"/>
  <c r="B23" i="19"/>
  <c r="B20" i="19"/>
  <c r="D22" i="27"/>
  <c r="D18" i="27"/>
  <c r="G15" i="10"/>
  <c r="H20" i="10" s="1"/>
  <c r="B27" i="10" s="1"/>
  <c r="B29" i="7"/>
  <c r="D29" i="7" s="1"/>
  <c r="E39" i="23"/>
  <c r="C34" i="15"/>
  <c r="B43" i="15"/>
  <c r="D43" i="15" s="1"/>
  <c r="E43" i="15" s="1"/>
  <c r="D34" i="15"/>
  <c r="G36" i="15" s="1"/>
  <c r="B63" i="25"/>
  <c r="D63" i="25" s="1"/>
  <c r="D54" i="25"/>
  <c r="B18" i="27"/>
  <c r="B22" i="27"/>
  <c r="A20" i="19"/>
  <c r="A23" i="19"/>
  <c r="H43" i="10"/>
  <c r="P16" i="1"/>
  <c r="H19" i="10"/>
  <c r="B28" i="10" s="1"/>
  <c r="D28" i="10" s="1"/>
  <c r="D58" i="23"/>
  <c r="B67" i="23"/>
  <c r="D67" i="23" s="1"/>
  <c r="E23" i="19"/>
  <c r="E20" i="19"/>
  <c r="E44" i="16"/>
  <c r="B33" i="2"/>
  <c r="D33" i="2" s="1"/>
  <c r="E33" i="2" s="1"/>
  <c r="G33" i="2" s="1"/>
  <c r="E31" i="2"/>
  <c r="G31" i="2" s="1"/>
  <c r="B26" i="6"/>
  <c r="G17" i="22"/>
  <c r="G20" i="22"/>
  <c r="F20" i="19"/>
  <c r="F23" i="19"/>
  <c r="E18" i="14"/>
  <c r="E19" i="14" s="1"/>
  <c r="E20" i="14" s="1"/>
  <c r="E43" i="16"/>
  <c r="G23" i="19"/>
  <c r="G20" i="19"/>
  <c r="E46" i="16"/>
  <c r="H24" i="9"/>
  <c r="B30" i="10"/>
  <c r="B16" i="6"/>
  <c r="G16" i="6" s="1"/>
  <c r="F12" i="6"/>
  <c r="G17" i="6" s="1"/>
  <c r="B23" i="6" s="1"/>
  <c r="E31" i="19"/>
  <c r="B54" i="22"/>
  <c r="D54" i="22" s="1"/>
  <c r="D44" i="22"/>
  <c r="D28" i="22"/>
  <c r="E46" i="29"/>
  <c r="D33" i="18"/>
  <c r="G35" i="18" s="1"/>
  <c r="E18" i="18" s="1"/>
  <c r="E19" i="18" s="1"/>
  <c r="C33" i="18"/>
  <c r="D56" i="28"/>
  <c r="B65" i="28"/>
  <c r="D65" i="28" s="1"/>
  <c r="C20" i="19"/>
  <c r="C23" i="19"/>
  <c r="D23" i="19"/>
  <c r="D20" i="19"/>
  <c r="E44" i="24"/>
  <c r="G15" i="9"/>
  <c r="H20" i="9" s="1"/>
  <c r="B27" i="9" s="1"/>
  <c r="B19" i="9"/>
  <c r="H19" i="9" s="1"/>
  <c r="B28" i="9" s="1"/>
  <c r="D28" i="9" s="1"/>
  <c r="G15" i="6"/>
  <c r="B25" i="6" s="1"/>
  <c r="D25" i="6" s="1"/>
  <c r="N19" i="1"/>
  <c r="C22" i="27"/>
  <c r="C18" i="27"/>
  <c r="B29" i="9"/>
  <c r="D29" i="9" s="1"/>
  <c r="E17" i="22"/>
  <c r="E20" i="22"/>
  <c r="E39" i="28"/>
  <c r="E18" i="15"/>
  <c r="E19" i="15" s="1"/>
  <c r="E20" i="15" s="1"/>
  <c r="G22" i="27"/>
  <c r="G18" i="27"/>
  <c r="E18" i="27"/>
  <c r="E22" i="27"/>
  <c r="E30" i="27"/>
  <c r="G28" i="4"/>
  <c r="E74" i="25"/>
  <c r="E63" i="24"/>
  <c r="B34" i="8"/>
  <c r="D34" i="8" s="1"/>
  <c r="B19" i="7"/>
  <c r="G19" i="7" s="1"/>
  <c r="B28" i="7" s="1"/>
  <c r="D28" i="7" s="1"/>
  <c r="F15" i="7"/>
  <c r="G20" i="7" s="1"/>
  <c r="B27" i="7" s="1"/>
  <c r="G15" i="5"/>
  <c r="B25" i="5" s="1"/>
  <c r="D25" i="5" s="1"/>
  <c r="B24" i="5"/>
  <c r="D24" i="5" s="1"/>
  <c r="E24" i="5" s="1"/>
  <c r="P18" i="1"/>
  <c r="G21" i="4"/>
  <c r="F17" i="4"/>
  <c r="G22" i="4" s="1"/>
  <c r="B34" i="4" s="1"/>
  <c r="E65" i="23" l="1"/>
  <c r="E60" i="23"/>
  <c r="E62" i="23"/>
  <c r="E59" i="23"/>
  <c r="E64" i="23"/>
  <c r="E63" i="23"/>
  <c r="E66" i="23"/>
  <c r="E61" i="23"/>
  <c r="B35" i="8"/>
  <c r="D35" i="8" s="1"/>
  <c r="B31" i="7"/>
  <c r="D31" i="7" s="1"/>
  <c r="E58" i="23"/>
  <c r="B32" i="10"/>
  <c r="D32" i="10" s="1"/>
  <c r="E75" i="29"/>
  <c r="E70" i="29"/>
  <c r="E72" i="29"/>
  <c r="E74" i="29"/>
  <c r="E71" i="29"/>
  <c r="E73" i="29"/>
  <c r="E76" i="29"/>
  <c r="O16" i="1"/>
  <c r="O15" i="1"/>
  <c r="O18" i="1"/>
  <c r="E28" i="10"/>
  <c r="E59" i="28"/>
  <c r="E61" i="28"/>
  <c r="E62" i="28"/>
  <c r="E64" i="28"/>
  <c r="E58" i="28"/>
  <c r="E60" i="28"/>
  <c r="E63" i="28"/>
  <c r="B28" i="6"/>
  <c r="D28" i="6" s="1"/>
  <c r="E25" i="6" s="1"/>
  <c r="D35" i="11"/>
  <c r="B38" i="11"/>
  <c r="B29" i="10"/>
  <c r="D29" i="10" s="1"/>
  <c r="E29" i="10" s="1"/>
  <c r="E58" i="25"/>
  <c r="E60" i="25"/>
  <c r="E56" i="25"/>
  <c r="E61" i="25"/>
  <c r="E59" i="25"/>
  <c r="E57" i="25"/>
  <c r="E62" i="25"/>
  <c r="E25" i="5"/>
  <c r="E56" i="28"/>
  <c r="B32" i="7"/>
  <c r="D32" i="7" s="1"/>
  <c r="E28" i="7" s="1"/>
  <c r="B24" i="6"/>
  <c r="D24" i="6" s="1"/>
  <c r="E24" i="6" s="1"/>
  <c r="E31" i="8"/>
  <c r="G31" i="8" s="1"/>
  <c r="B27" i="5"/>
  <c r="D27" i="5" s="1"/>
  <c r="E27" i="5" s="1"/>
  <c r="E51" i="22"/>
  <c r="E53" i="22"/>
  <c r="E48" i="22"/>
  <c r="E49" i="22"/>
  <c r="E52" i="22"/>
  <c r="E50" i="22"/>
  <c r="E47" i="22"/>
  <c r="B31" i="10"/>
  <c r="D31" i="10" s="1"/>
  <c r="E31" i="10" s="1"/>
  <c r="J23" i="19"/>
  <c r="E32" i="19" s="1"/>
  <c r="E33" i="19" s="1"/>
  <c r="B30" i="9"/>
  <c r="B31" i="9" s="1"/>
  <c r="D31" i="9" s="1"/>
  <c r="E57" i="28"/>
  <c r="B32" i="4"/>
  <c r="B33" i="4"/>
  <c r="D33" i="4" s="1"/>
  <c r="M27" i="19" l="1"/>
  <c r="I27" i="19"/>
  <c r="L27" i="19"/>
  <c r="O27" i="19"/>
  <c r="K27" i="19"/>
  <c r="N27" i="19"/>
  <c r="J27" i="19"/>
  <c r="E31" i="9"/>
  <c r="E30" i="8"/>
  <c r="G30" i="8" s="1"/>
  <c r="E32" i="8"/>
  <c r="G32" i="8" s="1"/>
  <c r="E31" i="7"/>
  <c r="B27" i="6"/>
  <c r="D27" i="6" s="1"/>
  <c r="E27" i="6" s="1"/>
  <c r="E29" i="7"/>
  <c r="E34" i="8"/>
  <c r="G34" i="8" s="1"/>
  <c r="D38" i="11"/>
  <c r="E38" i="11" s="1"/>
  <c r="G38" i="11" s="1"/>
  <c r="B39" i="11"/>
  <c r="D39" i="11" s="1"/>
  <c r="B32" i="9"/>
  <c r="D32" i="9" s="1"/>
  <c r="D32" i="4"/>
  <c r="B35" i="4"/>
  <c r="D35" i="4" s="1"/>
  <c r="E29" i="9" l="1"/>
  <c r="E28" i="9"/>
  <c r="E36" i="11"/>
  <c r="G36" i="11" s="1"/>
  <c r="E34" i="11"/>
  <c r="G34" i="11" s="1"/>
  <c r="E35" i="11"/>
  <c r="G35" i="11" s="1"/>
  <c r="B36" i="4"/>
  <c r="D36" i="4" s="1"/>
  <c r="E33" i="4" s="1"/>
  <c r="E32" i="4" l="1"/>
  <c r="E35" i="4"/>
</calcChain>
</file>

<file path=xl/sharedStrings.xml><?xml version="1.0" encoding="utf-8"?>
<sst xmlns="http://schemas.openxmlformats.org/spreadsheetml/2006/main" count="1338" uniqueCount="250">
  <si>
    <t>a =</t>
  </si>
  <si>
    <t>b =</t>
  </si>
  <si>
    <t>n =</t>
  </si>
  <si>
    <t>Factor B</t>
  </si>
  <si>
    <t>Facotr A</t>
  </si>
  <si>
    <t>Yi..</t>
  </si>
  <si>
    <t>Y.j.</t>
  </si>
  <si>
    <t>Y…</t>
  </si>
  <si>
    <t>Y.j.**2</t>
  </si>
  <si>
    <t>Y.i.**2</t>
  </si>
  <si>
    <t>SUM=</t>
  </si>
  <si>
    <t>Y...**2</t>
  </si>
  <si>
    <t>SST=</t>
  </si>
  <si>
    <t>SSA=</t>
  </si>
  <si>
    <t>SSB=</t>
  </si>
  <si>
    <t>SSSUB =</t>
  </si>
  <si>
    <t>SSAB =</t>
  </si>
  <si>
    <t>SSE =</t>
  </si>
  <si>
    <t>df</t>
  </si>
  <si>
    <t>MS</t>
  </si>
  <si>
    <t>F</t>
  </si>
  <si>
    <t>Critical F</t>
  </si>
  <si>
    <t>Yij.**2 =</t>
  </si>
  <si>
    <t>SUM =</t>
  </si>
  <si>
    <t>Factor A</t>
  </si>
  <si>
    <t>Yi..**2</t>
  </si>
  <si>
    <t>Yij.**2</t>
  </si>
  <si>
    <t>SST =</t>
  </si>
  <si>
    <t>SSA =</t>
  </si>
  <si>
    <t>SSB =</t>
  </si>
  <si>
    <t>Source of variation</t>
  </si>
  <si>
    <t>Sum of squares</t>
  </si>
  <si>
    <t>Degree of freedom</t>
  </si>
  <si>
    <t>Mean square</t>
  </si>
  <si>
    <t>Fo</t>
  </si>
  <si>
    <t>Device (A)</t>
  </si>
  <si>
    <t>Model (B)</t>
  </si>
  <si>
    <t>Interaction (AB)</t>
  </si>
  <si>
    <t>Error</t>
  </si>
  <si>
    <t>Total</t>
  </si>
  <si>
    <t>P value</t>
  </si>
  <si>
    <t>Copper content (%)</t>
  </si>
  <si>
    <t>Temperature</t>
  </si>
  <si>
    <t>Y…*2</t>
  </si>
  <si>
    <t>Gas type</t>
  </si>
  <si>
    <t>Auto make</t>
  </si>
  <si>
    <t>H</t>
  </si>
  <si>
    <t>Y</t>
  </si>
  <si>
    <t xml:space="preserve">Y.j.**2 </t>
  </si>
  <si>
    <t>Y…^2</t>
  </si>
  <si>
    <t>SUM</t>
  </si>
  <si>
    <t>SST</t>
  </si>
  <si>
    <t>SSA</t>
  </si>
  <si>
    <t>SSB</t>
  </si>
  <si>
    <t>SSSUB</t>
  </si>
  <si>
    <t>SSAB</t>
  </si>
  <si>
    <t>SSE</t>
  </si>
  <si>
    <t>Phosphor type</t>
  </si>
  <si>
    <t>Glass type</t>
  </si>
  <si>
    <t>Y…^2 =</t>
  </si>
  <si>
    <t>Pressure (Psi)</t>
  </si>
  <si>
    <t>Operator</t>
  </si>
  <si>
    <t>Machine</t>
  </si>
  <si>
    <t>Yi.**2</t>
  </si>
  <si>
    <t xml:space="preserve">Yij.**2 </t>
  </si>
  <si>
    <t>Day 1</t>
  </si>
  <si>
    <t>Pressure</t>
  </si>
  <si>
    <t>Day 2</t>
  </si>
  <si>
    <t>Anova analysis table</t>
  </si>
  <si>
    <t>Sum of Squares</t>
  </si>
  <si>
    <t>DF</t>
  </si>
  <si>
    <t xml:space="preserve">Mean Squre </t>
  </si>
  <si>
    <t>p-value</t>
  </si>
  <si>
    <t>Mount type (A)</t>
  </si>
  <si>
    <t>Temperature (B)</t>
  </si>
  <si>
    <t>Mount type (1)</t>
  </si>
  <si>
    <t>Mount type (2)</t>
  </si>
  <si>
    <t>Mount 2 is better.</t>
  </si>
  <si>
    <t>Device</t>
  </si>
  <si>
    <t>Car Model</t>
  </si>
  <si>
    <t>Compact</t>
  </si>
  <si>
    <t>Standard</t>
  </si>
  <si>
    <t>Equipped</t>
  </si>
  <si>
    <t>Intermediate</t>
  </si>
  <si>
    <t>Not equipped</t>
  </si>
  <si>
    <t>Average gasoline consumption</t>
  </si>
  <si>
    <t xml:space="preserve">Car Model </t>
  </si>
  <si>
    <t xml:space="preserve">Compact </t>
  </si>
  <si>
    <t xml:space="preserve">Device </t>
  </si>
  <si>
    <t>Pvalue</t>
  </si>
  <si>
    <t>(b)</t>
  </si>
  <si>
    <t>(b) Only copper content is significant. The temperature has no effect at all.</t>
  </si>
  <si>
    <t>Auto make (A)</t>
  </si>
  <si>
    <t>Gas type (B)</t>
  </si>
  <si>
    <t>Both Auto make and gas types are significant. But the interaction does not exist.</t>
  </si>
  <si>
    <t>(b) Average consumptions of different auto make w.r.t various gas type:</t>
  </si>
  <si>
    <t>F:</t>
  </si>
  <si>
    <t>B:</t>
  </si>
  <si>
    <t>Y:</t>
  </si>
  <si>
    <t>H:</t>
  </si>
  <si>
    <t>Range :</t>
  </si>
  <si>
    <t>Glass type (A)</t>
  </si>
  <si>
    <t>Phosphor (B)</t>
  </si>
  <si>
    <t>Only main effects of glass type A and Phosphor are so significant.</t>
  </si>
  <si>
    <t>Glass Type (A)</t>
  </si>
  <si>
    <t>Only temperature is so significant.</t>
  </si>
  <si>
    <t>(b) Glasss type has no effect therefore you can use any types of glasses.</t>
  </si>
  <si>
    <t>Temperature (A)</t>
  </si>
  <si>
    <t>Pressure (B)</t>
  </si>
  <si>
    <t>Both temperature and pressure are significant effect on chemical process.</t>
  </si>
  <si>
    <t>Pressure B</t>
  </si>
  <si>
    <t>This process is the best.</t>
  </si>
  <si>
    <t>Operator (A)</t>
  </si>
  <si>
    <t>Machine (B)</t>
  </si>
  <si>
    <t xml:space="preserve">Error </t>
  </si>
  <si>
    <t>Mean Square</t>
  </si>
  <si>
    <t>Machine cannot give the best performance. It depends on the skills of operator.</t>
  </si>
  <si>
    <t>Brand (B)</t>
  </si>
  <si>
    <t>Only the device effect is significant.</t>
  </si>
  <si>
    <t>Brand 1:</t>
  </si>
  <si>
    <t>Brand 2:</t>
  </si>
  <si>
    <t>Brand 3:</t>
  </si>
  <si>
    <t>Brand 4:</t>
  </si>
  <si>
    <t>MAX</t>
  </si>
  <si>
    <t>MIN</t>
  </si>
  <si>
    <t>Brand 3 should be selected.</t>
  </si>
  <si>
    <t xml:space="preserve">Mean Square </t>
  </si>
  <si>
    <t>Batch 1</t>
  </si>
  <si>
    <t>Batch 2</t>
  </si>
  <si>
    <t xml:space="preserve">a = </t>
  </si>
  <si>
    <t xml:space="preserve">b = </t>
  </si>
  <si>
    <t xml:space="preserve">n = </t>
  </si>
  <si>
    <t xml:space="preserve">Grand total = </t>
  </si>
  <si>
    <t>Square value</t>
  </si>
  <si>
    <t>Row total</t>
  </si>
  <si>
    <t>Column total</t>
  </si>
  <si>
    <t>Block total</t>
  </si>
  <si>
    <t>Row Total^2</t>
  </si>
  <si>
    <t>Column ^2</t>
  </si>
  <si>
    <t>Block Total ^2</t>
  </si>
  <si>
    <t>Grand Total ^2</t>
  </si>
  <si>
    <t>Cell total</t>
  </si>
  <si>
    <t>Cell total^2</t>
  </si>
  <si>
    <t>SSBlock</t>
  </si>
  <si>
    <t>Average</t>
  </si>
  <si>
    <t>Row</t>
  </si>
  <si>
    <t>Column</t>
  </si>
  <si>
    <t>Low</t>
  </si>
  <si>
    <t>Medium</t>
  </si>
  <si>
    <t>High</t>
  </si>
  <si>
    <t>Grand total =</t>
  </si>
  <si>
    <t xml:space="preserve">Row total </t>
  </si>
  <si>
    <t>Row total^2</t>
  </si>
  <si>
    <t>Column total^2</t>
  </si>
  <si>
    <t>Block total^2</t>
  </si>
  <si>
    <t>Grand total^2</t>
  </si>
  <si>
    <t xml:space="preserve">Cell total </t>
  </si>
  <si>
    <t>Only A and B are significant</t>
  </si>
  <si>
    <t>Row Average</t>
  </si>
  <si>
    <t>Column Average</t>
  </si>
  <si>
    <t>A</t>
  </si>
  <si>
    <t>B</t>
  </si>
  <si>
    <t>C</t>
  </si>
  <si>
    <t>AB</t>
  </si>
  <si>
    <t>AC</t>
  </si>
  <si>
    <t>BC</t>
  </si>
  <si>
    <t>ABC</t>
  </si>
  <si>
    <t>abc</t>
  </si>
  <si>
    <t>ab</t>
  </si>
  <si>
    <t>ac</t>
  </si>
  <si>
    <t>a</t>
  </si>
  <si>
    <t>b</t>
  </si>
  <si>
    <t>bc</t>
  </si>
  <si>
    <t>c</t>
  </si>
  <si>
    <t>(1) =</t>
  </si>
  <si>
    <t xml:space="preserve">Response </t>
  </si>
  <si>
    <t>Response</t>
  </si>
  <si>
    <t xml:space="preserve">B </t>
  </si>
  <si>
    <t>Contrast</t>
  </si>
  <si>
    <t>Estimate</t>
  </si>
  <si>
    <t>SS</t>
  </si>
  <si>
    <t>Average =</t>
  </si>
  <si>
    <t>MSE =</t>
  </si>
  <si>
    <t>Fisher Distribution</t>
  </si>
  <si>
    <t xml:space="preserve">F critical </t>
  </si>
  <si>
    <t>Anova analysis table,</t>
  </si>
  <si>
    <t>F critical</t>
  </si>
  <si>
    <t>ANOVA anlaysis table,</t>
  </si>
  <si>
    <t>SS total</t>
  </si>
  <si>
    <t xml:space="preserve">Crtical F = </t>
  </si>
  <si>
    <t>Effect Plot</t>
  </si>
  <si>
    <t>Anova table analysis table,</t>
  </si>
  <si>
    <t>SS total =</t>
  </si>
  <si>
    <t>Total =</t>
  </si>
  <si>
    <t>Anova analysis,</t>
  </si>
  <si>
    <t>SUM total</t>
  </si>
  <si>
    <t>Effect plot</t>
  </si>
  <si>
    <t>1st rep</t>
  </si>
  <si>
    <t>2nd rep</t>
  </si>
  <si>
    <t>(1)=</t>
  </si>
  <si>
    <t>Rh</t>
  </si>
  <si>
    <t>AC(1)</t>
  </si>
  <si>
    <t>ABC(2)</t>
  </si>
  <si>
    <t>AC(2)</t>
  </si>
  <si>
    <t>ABC(1)</t>
  </si>
  <si>
    <t>F0</t>
  </si>
  <si>
    <t>Replicates</t>
  </si>
  <si>
    <t>Blocks within replicates</t>
  </si>
  <si>
    <t>AC(2)+ABC(1)
220.5+91.125</t>
  </si>
  <si>
    <t>1st Replicate</t>
  </si>
  <si>
    <t>2nd replicate</t>
  </si>
  <si>
    <t xml:space="preserve">Average </t>
  </si>
  <si>
    <t>ANOVA analysis,</t>
  </si>
  <si>
    <t>AC(2)+ABC(1)
0+40.5</t>
  </si>
  <si>
    <t>2nd Replicate</t>
  </si>
  <si>
    <t>3rd Replicate</t>
  </si>
  <si>
    <t>AB(1)</t>
  </si>
  <si>
    <t>BC(1)</t>
  </si>
  <si>
    <t>AB(2)</t>
  </si>
  <si>
    <t>BC(2)</t>
  </si>
  <si>
    <t>AB(3)</t>
  </si>
  <si>
    <t>AC(3)</t>
  </si>
  <si>
    <t>BC(3)</t>
  </si>
  <si>
    <t>Estimates</t>
  </si>
  <si>
    <t>Replicate 1</t>
  </si>
  <si>
    <t>Replicate 2</t>
  </si>
  <si>
    <t>Replicate 3</t>
  </si>
  <si>
    <t>ABC(3)</t>
  </si>
  <si>
    <t>AB(1&amp;3)</t>
  </si>
  <si>
    <t>ABC(2&amp;3)</t>
  </si>
  <si>
    <t>BC(1&amp;2)</t>
  </si>
  <si>
    <t>BC(2&amp;3)</t>
  </si>
  <si>
    <t>Blocks within replicates
AB(2)+BC(3)+ABC(1)</t>
  </si>
  <si>
    <t xml:space="preserve">SS total </t>
  </si>
  <si>
    <t>AC(2&amp;3)</t>
  </si>
  <si>
    <t xml:space="preserve">Blocks within replicates
AC(1)+AB(2)+BC(3)
</t>
  </si>
  <si>
    <t>Rn</t>
  </si>
  <si>
    <t>AC(1&amp;3)</t>
  </si>
  <si>
    <t>Blocks within replicates
AC(2)+BC(3)+ABC(1)</t>
  </si>
  <si>
    <t>Replicate 4</t>
  </si>
  <si>
    <t>BC(4)</t>
  </si>
  <si>
    <t>AB(4)</t>
  </si>
  <si>
    <t>AC(4)</t>
  </si>
  <si>
    <t>ABC(4)</t>
  </si>
  <si>
    <t>AB(1,3,4)</t>
  </si>
  <si>
    <t>AC(1,2,4)</t>
  </si>
  <si>
    <t>BC(1,2,3)</t>
  </si>
  <si>
    <t>ABC(2,3,4)</t>
  </si>
  <si>
    <t>Blocks within replicates
AB(2)+AC(3)+BC(4)+ABC(1)</t>
  </si>
  <si>
    <t>Blocks within replicates
ABC(1) + AC(2)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</si>
</sst>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1" xfId="0" applyFill="1" applyBorder="1"/>
    <xf numFmtId="0" fontId="0" fillId="0" borderId="0" xfId="0" quotePrefix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  <xf numFmtId="0" fontId="1" fillId="12" borderId="0" xfId="0" applyFont="1" applyFill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 applyAlignment="1">
      <alignment wrapText="1"/>
    </xf>
    <xf numFmtId="0" fontId="0" fillId="17" borderId="0" xfId="0" applyFill="1"/>
    <xf numFmtId="0" fontId="0" fillId="17" borderId="0" xfId="0" applyFill="1" applyAlignment="1">
      <alignment wrapText="1"/>
    </xf>
    <xf numFmtId="0" fontId="0" fillId="17" borderId="1" xfId="0" applyFill="1" applyBorder="1"/>
    <xf numFmtId="0" fontId="0" fillId="17" borderId="1" xfId="0" applyFill="1" applyBorder="1" applyAlignment="1">
      <alignment wrapText="1"/>
    </xf>
    <xf numFmtId="0" fontId="2" fillId="3" borderId="1" xfId="0" applyFont="1" applyFill="1" applyBorder="1"/>
    <xf numFmtId="0" fontId="4" fillId="7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workbookViewId="0">
      <selection activeCell="C35" sqref="C35"/>
    </sheetView>
  </sheetViews>
  <sheetFormatPr defaultRowHeight="14.5" x14ac:dyDescent="0.35"/>
  <cols>
    <col min="1" max="1" width="16.26953125" customWidth="1"/>
    <col min="2" max="2" width="15.36328125" customWidth="1"/>
    <col min="4" max="4" width="15" customWidth="1"/>
  </cols>
  <sheetData>
    <row r="1" spans="1:16" x14ac:dyDescent="0.35">
      <c r="A1">
        <v>0.8</v>
      </c>
      <c r="B1">
        <v>1</v>
      </c>
      <c r="C1">
        <v>1.05</v>
      </c>
      <c r="D1">
        <v>1.1000000000000001</v>
      </c>
      <c r="E1">
        <v>1.1499999999999999</v>
      </c>
      <c r="F1">
        <v>1.2</v>
      </c>
      <c r="G1">
        <v>0.5</v>
      </c>
      <c r="H1">
        <v>0.7</v>
      </c>
      <c r="I1">
        <v>0.75</v>
      </c>
      <c r="J1" t="s">
        <v>0</v>
      </c>
      <c r="K1">
        <v>2</v>
      </c>
    </row>
    <row r="2" spans="1:16" x14ac:dyDescent="0.35">
      <c r="A2">
        <v>0.6</v>
      </c>
      <c r="B2">
        <v>0.8</v>
      </c>
      <c r="C2">
        <v>0.9</v>
      </c>
      <c r="D2">
        <v>0.65</v>
      </c>
      <c r="E2">
        <v>0.65</v>
      </c>
      <c r="F2">
        <v>0.8</v>
      </c>
      <c r="G2">
        <v>0.55000000000000004</v>
      </c>
      <c r="H2">
        <v>0.9</v>
      </c>
      <c r="I2">
        <v>0.95</v>
      </c>
      <c r="J2" t="s">
        <v>1</v>
      </c>
      <c r="K2">
        <v>3</v>
      </c>
    </row>
    <row r="3" spans="1:16" x14ac:dyDescent="0.35">
      <c r="J3" t="s">
        <v>2</v>
      </c>
      <c r="K3">
        <v>3</v>
      </c>
    </row>
    <row r="4" spans="1:16" x14ac:dyDescent="0.35">
      <c r="A4">
        <v>0.64</v>
      </c>
      <c r="B4">
        <v>1</v>
      </c>
      <c r="C4">
        <v>1.1025</v>
      </c>
      <c r="D4">
        <v>1.21</v>
      </c>
      <c r="E4">
        <v>1.3225</v>
      </c>
      <c r="F4">
        <v>1.44</v>
      </c>
      <c r="G4">
        <v>0.25</v>
      </c>
      <c r="H4">
        <v>0.49</v>
      </c>
      <c r="I4">
        <v>0.5625</v>
      </c>
    </row>
    <row r="5" spans="1:16" x14ac:dyDescent="0.35">
      <c r="A5">
        <v>0.36</v>
      </c>
      <c r="B5">
        <v>0.64</v>
      </c>
      <c r="C5">
        <v>0.81</v>
      </c>
      <c r="D5">
        <v>0.42249999999999999</v>
      </c>
      <c r="E5">
        <v>0.42249999999999999</v>
      </c>
      <c r="F5">
        <v>0.64</v>
      </c>
      <c r="G5">
        <v>0.30249999999999999</v>
      </c>
      <c r="H5">
        <v>0.81</v>
      </c>
      <c r="I5">
        <v>0.90249999999999997</v>
      </c>
      <c r="J5">
        <f>SUM(A4:I5)</f>
        <v>13.327500000000001</v>
      </c>
    </row>
    <row r="7" spans="1:16" x14ac:dyDescent="0.35">
      <c r="C7" t="s">
        <v>3</v>
      </c>
    </row>
    <row r="8" spans="1:16" x14ac:dyDescent="0.35">
      <c r="A8" t="s">
        <v>4</v>
      </c>
      <c r="B8">
        <v>1</v>
      </c>
      <c r="C8">
        <v>2</v>
      </c>
      <c r="D8">
        <v>3</v>
      </c>
      <c r="F8" t="s">
        <v>5</v>
      </c>
    </row>
    <row r="9" spans="1:16" x14ac:dyDescent="0.35">
      <c r="A9">
        <v>1</v>
      </c>
      <c r="B9">
        <f>SUM(A1:C1)</f>
        <v>2.85</v>
      </c>
      <c r="C9">
        <f>SUM(D1:F1)</f>
        <v>3.45</v>
      </c>
      <c r="D9">
        <f>SUM(G1:I1)</f>
        <v>1.95</v>
      </c>
      <c r="F9">
        <f>SUM(B9:D9)</f>
        <v>8.25</v>
      </c>
    </row>
    <row r="10" spans="1:16" x14ac:dyDescent="0.35">
      <c r="A10">
        <v>2</v>
      </c>
      <c r="B10">
        <f>SUM(A2:C2)</f>
        <v>2.2999999999999998</v>
      </c>
      <c r="C10">
        <f>SUM(D2:F2)</f>
        <v>2.1</v>
      </c>
      <c r="D10">
        <f>SUM(G2:I2)</f>
        <v>2.4000000000000004</v>
      </c>
      <c r="F10">
        <f>SUM(B10:D10)</f>
        <v>6.8000000000000007</v>
      </c>
    </row>
    <row r="12" spans="1:16" x14ac:dyDescent="0.35">
      <c r="A12" t="s">
        <v>6</v>
      </c>
      <c r="B12">
        <f>SUM(B9:B10)</f>
        <v>5.15</v>
      </c>
      <c r="C12">
        <f>SUM(C9:C10)</f>
        <v>5.5500000000000007</v>
      </c>
      <c r="D12">
        <f>SUM(D9:D10)</f>
        <v>4.3500000000000005</v>
      </c>
      <c r="F12">
        <f>SUM(F9:F10)</f>
        <v>15.05</v>
      </c>
    </row>
    <row r="13" spans="1:16" x14ac:dyDescent="0.35">
      <c r="F13" t="s">
        <v>7</v>
      </c>
      <c r="M13" t="s">
        <v>18</v>
      </c>
      <c r="N13" t="s">
        <v>19</v>
      </c>
      <c r="O13" t="s">
        <v>20</v>
      </c>
      <c r="P13" t="s">
        <v>21</v>
      </c>
    </row>
    <row r="14" spans="1:16" x14ac:dyDescent="0.35">
      <c r="K14" t="s">
        <v>12</v>
      </c>
      <c r="L14">
        <f>J5-G17/(K1*K2*K3)</f>
        <v>0.74402777777777906</v>
      </c>
      <c r="M14">
        <f>K1*K2*K3-1</f>
        <v>17</v>
      </c>
    </row>
    <row r="15" spans="1:16" x14ac:dyDescent="0.35">
      <c r="A15" t="s">
        <v>8</v>
      </c>
      <c r="B15">
        <v>26.522500000000001</v>
      </c>
      <c r="C15">
        <v>30.802499999999998</v>
      </c>
      <c r="D15">
        <v>18.922499999999999</v>
      </c>
      <c r="F15" t="s">
        <v>10</v>
      </c>
      <c r="G15">
        <f>SUM(B15:D15)</f>
        <v>76.247500000000002</v>
      </c>
      <c r="K15" t="s">
        <v>13</v>
      </c>
      <c r="L15">
        <f>G16/(K2*K3)-G17/(K1*K2*K3)</f>
        <v>0.1168055555555565</v>
      </c>
      <c r="M15">
        <f>K1-1</f>
        <v>1</v>
      </c>
      <c r="N15">
        <f>L15/M15</f>
        <v>0.1168055555555565</v>
      </c>
      <c r="O15">
        <f>N15/N19</f>
        <v>6.0503597122302466</v>
      </c>
      <c r="P15">
        <f>_xlfn.F.INV.RT(0.05,M15,M19)</f>
        <v>4.7472253467225149</v>
      </c>
    </row>
    <row r="16" spans="1:16" x14ac:dyDescent="0.35">
      <c r="A16" t="s">
        <v>9</v>
      </c>
      <c r="B16">
        <v>68.0625</v>
      </c>
      <c r="C16">
        <v>46.24</v>
      </c>
      <c r="F16" t="s">
        <v>10</v>
      </c>
      <c r="G16">
        <f>SUM(B16:C16)</f>
        <v>114.30250000000001</v>
      </c>
      <c r="K16" t="s">
        <v>14</v>
      </c>
      <c r="L16">
        <f>G15/(K1*K3)-G17/(K1*K2*K3)</f>
        <v>0.12444444444444613</v>
      </c>
      <c r="M16">
        <f>K2-1</f>
        <v>2</v>
      </c>
      <c r="N16">
        <f>L16/M16</f>
        <v>6.2222222222223067E-2</v>
      </c>
      <c r="O16">
        <f>N16/N19</f>
        <v>3.2230215827338471</v>
      </c>
      <c r="P16">
        <f>_xlfn.F.INV.RT(0.05,M16,M19)</f>
        <v>3.8852938346523942</v>
      </c>
    </row>
    <row r="17" spans="1:16" x14ac:dyDescent="0.35">
      <c r="F17" t="s">
        <v>11</v>
      </c>
      <c r="G17">
        <v>226.5025</v>
      </c>
      <c r="K17" t="s">
        <v>15</v>
      </c>
      <c r="L17">
        <f>G21/K3-G17/(K1*K2*K3)</f>
        <v>0.51236111111111171</v>
      </c>
    </row>
    <row r="18" spans="1:16" x14ac:dyDescent="0.35">
      <c r="K18" t="s">
        <v>16</v>
      </c>
      <c r="L18">
        <f>L17-(L15+L16)</f>
        <v>0.27111111111110908</v>
      </c>
      <c r="M18">
        <f>(K1-1)*(K2-1)</f>
        <v>2</v>
      </c>
      <c r="N18">
        <f>L18/M18</f>
        <v>0.13555555555555454</v>
      </c>
      <c r="O18">
        <f>N18/N19</f>
        <v>7.0215827338128758</v>
      </c>
      <c r="P18">
        <f>_xlfn.F.INV.RT(0.05,M18,M19)</f>
        <v>3.8852938346523942</v>
      </c>
    </row>
    <row r="19" spans="1:16" x14ac:dyDescent="0.35">
      <c r="K19" t="s">
        <v>17</v>
      </c>
      <c r="L19">
        <f>L14-L17</f>
        <v>0.23166666666666735</v>
      </c>
      <c r="M19">
        <f>M14-(M15+M16+M18)</f>
        <v>12</v>
      </c>
      <c r="N19">
        <f>L19/M19</f>
        <v>1.9305555555555614E-2</v>
      </c>
    </row>
    <row r="20" spans="1:16" x14ac:dyDescent="0.35">
      <c r="A20" t="s">
        <v>22</v>
      </c>
      <c r="B20">
        <v>8.1225000000000005</v>
      </c>
      <c r="C20">
        <v>11.9025</v>
      </c>
      <c r="D20">
        <v>3.8025000000000002</v>
      </c>
    </row>
    <row r="21" spans="1:16" x14ac:dyDescent="0.35">
      <c r="B21">
        <v>5.29</v>
      </c>
      <c r="C21">
        <v>4.41</v>
      </c>
      <c r="D21">
        <v>5.76</v>
      </c>
      <c r="F21" t="s">
        <v>23</v>
      </c>
      <c r="G21">
        <f>SUM(B20:D21)</f>
        <v>39.287500000000001</v>
      </c>
    </row>
    <row r="23" spans="1:16" x14ac:dyDescent="0.35">
      <c r="A23" t="s">
        <v>68</v>
      </c>
    </row>
    <row r="25" spans="1:16" x14ac:dyDescent="0.35">
      <c r="A25" t="s">
        <v>30</v>
      </c>
      <c r="B25" t="s">
        <v>69</v>
      </c>
      <c r="C25" t="s">
        <v>70</v>
      </c>
      <c r="D25" t="s">
        <v>71</v>
      </c>
      <c r="E25" t="s">
        <v>34</v>
      </c>
      <c r="F25" t="s">
        <v>21</v>
      </c>
      <c r="G25" t="s">
        <v>40</v>
      </c>
    </row>
    <row r="26" spans="1:16" x14ac:dyDescent="0.35">
      <c r="A26" t="s">
        <v>73</v>
      </c>
      <c r="B26">
        <v>0.11680599999999999</v>
      </c>
      <c r="C26">
        <v>1</v>
      </c>
      <c r="D26">
        <v>0.11680599999999999</v>
      </c>
      <c r="E26">
        <v>6.0503600000000004</v>
      </c>
      <c r="F26">
        <v>4.7472250000000003</v>
      </c>
      <c r="G26">
        <f>_xlfn.F.DIST.RT(E26,C26,$C$29)</f>
        <v>3.005233470543036E-2</v>
      </c>
    </row>
    <row r="27" spans="1:16" x14ac:dyDescent="0.35">
      <c r="A27" t="s">
        <v>74</v>
      </c>
      <c r="B27">
        <v>0.124444</v>
      </c>
      <c r="C27">
        <v>2</v>
      </c>
      <c r="D27">
        <v>6.2222E-2</v>
      </c>
      <c r="E27">
        <v>3.2230219999999998</v>
      </c>
      <c r="F27">
        <v>3.885294</v>
      </c>
      <c r="G27">
        <f>_xlfn.F.DIST.RT(E27,C27,$C$29)</f>
        <v>7.5799795654977936E-2</v>
      </c>
    </row>
    <row r="28" spans="1:16" x14ac:dyDescent="0.35">
      <c r="A28" t="s">
        <v>37</v>
      </c>
      <c r="B28">
        <v>0.27111099999999999</v>
      </c>
      <c r="C28">
        <v>2</v>
      </c>
      <c r="D28">
        <v>0.13555600000000001</v>
      </c>
      <c r="E28">
        <v>7.0215829999999997</v>
      </c>
      <c r="F28">
        <v>3.885294</v>
      </c>
      <c r="G28">
        <f>_xlfn.F.DIST.RT(E28,C28,$C$29)</f>
        <v>9.570283462416727E-3</v>
      </c>
    </row>
    <row r="29" spans="1:16" x14ac:dyDescent="0.35">
      <c r="A29" t="s">
        <v>38</v>
      </c>
      <c r="B29">
        <v>0.23166700000000001</v>
      </c>
      <c r="C29">
        <v>12</v>
      </c>
      <c r="D29">
        <v>1.9306E-2</v>
      </c>
    </row>
    <row r="30" spans="1:16" x14ac:dyDescent="0.35">
      <c r="A30" t="s">
        <v>39</v>
      </c>
      <c r="B30">
        <v>0.74402800000000002</v>
      </c>
      <c r="C30">
        <v>17</v>
      </c>
    </row>
    <row r="32" spans="1:16" x14ac:dyDescent="0.35">
      <c r="A32" t="s">
        <v>75</v>
      </c>
      <c r="B32">
        <f>SUM(A1:C1)/3</f>
        <v>0.95000000000000007</v>
      </c>
      <c r="C32">
        <f>SUM(D1:F1)/3</f>
        <v>1.1500000000000001</v>
      </c>
      <c r="D32">
        <f>SUM(G1:I1)/3</f>
        <v>0.65</v>
      </c>
    </row>
    <row r="33" spans="1:4" x14ac:dyDescent="0.35">
      <c r="A33" t="s">
        <v>76</v>
      </c>
      <c r="B33">
        <f>SUM(A2:C2)/3</f>
        <v>0.76666666666666661</v>
      </c>
      <c r="C33">
        <f>SUM(D2:F2)/3</f>
        <v>0.70000000000000007</v>
      </c>
      <c r="D33">
        <f>SUM(G2:I2)/3</f>
        <v>0.80000000000000016</v>
      </c>
    </row>
    <row r="35" spans="1:4" x14ac:dyDescent="0.35">
      <c r="A35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8369-5452-4391-AA82-D110D5E3B052}">
  <dimension ref="A1:I41"/>
  <sheetViews>
    <sheetView topLeftCell="A31" workbookViewId="0">
      <selection activeCell="A40" sqref="A40"/>
    </sheetView>
  </sheetViews>
  <sheetFormatPr defaultRowHeight="14.5" x14ac:dyDescent="0.35"/>
  <cols>
    <col min="1" max="1" width="13.7265625" customWidth="1"/>
    <col min="2" max="2" width="12.453125" bestFit="1" customWidth="1"/>
    <col min="8" max="8" width="12.6328125" customWidth="1"/>
  </cols>
  <sheetData>
    <row r="1" spans="1:9" x14ac:dyDescent="0.35">
      <c r="C1" t="s">
        <v>127</v>
      </c>
      <c r="F1" t="s">
        <v>128</v>
      </c>
      <c r="H1" t="s">
        <v>129</v>
      </c>
      <c r="I1">
        <v>3</v>
      </c>
    </row>
    <row r="2" spans="1:9" x14ac:dyDescent="0.35">
      <c r="C2" t="s">
        <v>66</v>
      </c>
      <c r="F2" t="s">
        <v>66</v>
      </c>
      <c r="H2" t="s">
        <v>130</v>
      </c>
      <c r="I2">
        <v>3</v>
      </c>
    </row>
    <row r="3" spans="1:9" x14ac:dyDescent="0.35">
      <c r="A3" t="s">
        <v>42</v>
      </c>
      <c r="B3">
        <v>200</v>
      </c>
      <c r="C3">
        <v>215</v>
      </c>
      <c r="D3">
        <v>230</v>
      </c>
      <c r="E3">
        <v>200</v>
      </c>
      <c r="F3">
        <v>215</v>
      </c>
      <c r="G3">
        <v>230</v>
      </c>
      <c r="H3" t="s">
        <v>131</v>
      </c>
      <c r="I3">
        <v>2</v>
      </c>
    </row>
    <row r="4" spans="1:9" x14ac:dyDescent="0.35">
      <c r="A4">
        <v>150</v>
      </c>
      <c r="B4" s="14">
        <v>90.4</v>
      </c>
      <c r="C4" s="14">
        <v>90.7</v>
      </c>
      <c r="D4" s="14">
        <v>90.2</v>
      </c>
      <c r="E4" s="15">
        <v>90.2</v>
      </c>
      <c r="F4" s="15">
        <v>90.6</v>
      </c>
      <c r="G4" s="15">
        <v>90.4</v>
      </c>
    </row>
    <row r="5" spans="1:9" x14ac:dyDescent="0.35">
      <c r="A5">
        <v>160</v>
      </c>
      <c r="B5" s="14">
        <v>90.1</v>
      </c>
      <c r="C5" s="14">
        <v>90.5</v>
      </c>
      <c r="D5" s="14">
        <v>89.9</v>
      </c>
      <c r="E5" s="15">
        <v>90.3</v>
      </c>
      <c r="F5" s="15">
        <v>90.6</v>
      </c>
      <c r="G5" s="15">
        <v>90.1</v>
      </c>
    </row>
    <row r="6" spans="1:9" x14ac:dyDescent="0.35">
      <c r="A6">
        <v>170</v>
      </c>
      <c r="B6" s="14">
        <v>90.5</v>
      </c>
      <c r="C6" s="14">
        <v>90.8</v>
      </c>
      <c r="D6" s="14">
        <v>90.4</v>
      </c>
      <c r="E6" s="15">
        <v>90.7</v>
      </c>
      <c r="F6" s="15">
        <v>90.9</v>
      </c>
      <c r="G6" s="15">
        <v>90.1</v>
      </c>
    </row>
    <row r="7" spans="1:9" x14ac:dyDescent="0.35">
      <c r="B7" s="13"/>
      <c r="H7" t="s">
        <v>132</v>
      </c>
      <c r="I7">
        <f>SUM(B4:G6)</f>
        <v>1627.4</v>
      </c>
    </row>
    <row r="8" spans="1:9" x14ac:dyDescent="0.35">
      <c r="A8" t="s">
        <v>133</v>
      </c>
    </row>
    <row r="9" spans="1:9" x14ac:dyDescent="0.35">
      <c r="B9">
        <f t="shared" ref="B9:G11" si="0">B4^2</f>
        <v>8172.1600000000008</v>
      </c>
      <c r="C9">
        <f t="shared" si="0"/>
        <v>8226.49</v>
      </c>
      <c r="D9">
        <f t="shared" si="0"/>
        <v>8136.0400000000009</v>
      </c>
      <c r="E9">
        <f t="shared" si="0"/>
        <v>8136.0400000000009</v>
      </c>
      <c r="F9">
        <f t="shared" si="0"/>
        <v>8208.3599999999988</v>
      </c>
      <c r="G9">
        <f t="shared" si="0"/>
        <v>8172.1600000000008</v>
      </c>
    </row>
    <row r="10" spans="1:9" x14ac:dyDescent="0.35">
      <c r="B10">
        <f t="shared" si="0"/>
        <v>8118.0099999999993</v>
      </c>
      <c r="C10">
        <f t="shared" si="0"/>
        <v>8190.25</v>
      </c>
      <c r="D10">
        <f t="shared" si="0"/>
        <v>8082.0100000000011</v>
      </c>
      <c r="E10">
        <f t="shared" si="0"/>
        <v>8154.0899999999992</v>
      </c>
      <c r="F10">
        <f t="shared" si="0"/>
        <v>8208.3599999999988</v>
      </c>
      <c r="G10">
        <f t="shared" si="0"/>
        <v>8118.0099999999993</v>
      </c>
    </row>
    <row r="11" spans="1:9" x14ac:dyDescent="0.35">
      <c r="B11">
        <f t="shared" si="0"/>
        <v>8190.25</v>
      </c>
      <c r="C11">
        <f t="shared" si="0"/>
        <v>8244.64</v>
      </c>
      <c r="D11">
        <f t="shared" si="0"/>
        <v>8172.1600000000008</v>
      </c>
      <c r="E11">
        <f t="shared" si="0"/>
        <v>8226.49</v>
      </c>
      <c r="F11">
        <f t="shared" si="0"/>
        <v>8262.8100000000013</v>
      </c>
      <c r="G11">
        <f t="shared" si="0"/>
        <v>8118.0099999999993</v>
      </c>
      <c r="H11">
        <f>SUM(B9:G11)</f>
        <v>147136.34000000003</v>
      </c>
    </row>
    <row r="13" spans="1:9" x14ac:dyDescent="0.35">
      <c r="A13" t="s">
        <v>134</v>
      </c>
      <c r="B13">
        <f>SUM(B4:G4)</f>
        <v>542.5</v>
      </c>
      <c r="C13">
        <f>SUM(B5:G5)</f>
        <v>541.5</v>
      </c>
      <c r="D13">
        <f>SUM(B6:G6)</f>
        <v>543.40000000000009</v>
      </c>
    </row>
    <row r="14" spans="1:9" x14ac:dyDescent="0.35">
      <c r="A14" t="s">
        <v>135</v>
      </c>
      <c r="B14">
        <f>SUM(B4:B6)+SUM(E4:E6)</f>
        <v>542.20000000000005</v>
      </c>
      <c r="C14">
        <f>SUM(C4:C6)+SUM(F4:F6)</f>
        <v>544.1</v>
      </c>
      <c r="D14">
        <f>SUM(D4:D6)+SUM(G4:G6)</f>
        <v>541.1</v>
      </c>
    </row>
    <row r="15" spans="1:9" x14ac:dyDescent="0.35">
      <c r="A15" t="s">
        <v>136</v>
      </c>
      <c r="B15">
        <f>SUM(B4:D6)</f>
        <v>813.49999999999989</v>
      </c>
      <c r="C15">
        <f>SUM(E4:G6)</f>
        <v>813.90000000000009</v>
      </c>
    </row>
    <row r="17" spans="1:7" x14ac:dyDescent="0.35">
      <c r="A17" t="s">
        <v>137</v>
      </c>
      <c r="B17">
        <f t="shared" ref="B17:D18" si="1">B13^2</f>
        <v>294306.25</v>
      </c>
      <c r="C17">
        <f t="shared" si="1"/>
        <v>293222.25</v>
      </c>
      <c r="D17">
        <f t="shared" si="1"/>
        <v>295283.56000000011</v>
      </c>
      <c r="E17" t="s">
        <v>23</v>
      </c>
      <c r="F17">
        <f>SUM(B17:D17)</f>
        <v>882812.06</v>
      </c>
    </row>
    <row r="18" spans="1:7" x14ac:dyDescent="0.35">
      <c r="A18" t="s">
        <v>138</v>
      </c>
      <c r="B18">
        <f t="shared" si="1"/>
        <v>293980.84000000003</v>
      </c>
      <c r="C18">
        <f t="shared" si="1"/>
        <v>296044.81</v>
      </c>
      <c r="D18">
        <f t="shared" si="1"/>
        <v>292789.21000000002</v>
      </c>
      <c r="E18" t="s">
        <v>23</v>
      </c>
      <c r="F18">
        <f>SUM(B18:D18)</f>
        <v>882814.8600000001</v>
      </c>
    </row>
    <row r="19" spans="1:7" x14ac:dyDescent="0.35">
      <c r="A19" t="s">
        <v>139</v>
      </c>
      <c r="B19">
        <f>B15^2</f>
        <v>661782.24999999977</v>
      </c>
      <c r="C19">
        <f>C15^2</f>
        <v>662433.2100000002</v>
      </c>
      <c r="E19" t="s">
        <v>23</v>
      </c>
      <c r="F19">
        <f>SUM(B19:C19)</f>
        <v>1324215.46</v>
      </c>
    </row>
    <row r="20" spans="1:7" x14ac:dyDescent="0.35">
      <c r="A20" t="s">
        <v>140</v>
      </c>
      <c r="B20">
        <f>I7^2</f>
        <v>2648430.7600000002</v>
      </c>
    </row>
    <row r="22" spans="1:7" x14ac:dyDescent="0.35">
      <c r="A22" t="s">
        <v>141</v>
      </c>
      <c r="B22">
        <f t="shared" ref="B22:D24" si="2">B4+E4</f>
        <v>180.60000000000002</v>
      </c>
      <c r="C22">
        <f t="shared" si="2"/>
        <v>181.3</v>
      </c>
      <c r="D22">
        <f t="shared" si="2"/>
        <v>180.60000000000002</v>
      </c>
    </row>
    <row r="23" spans="1:7" x14ac:dyDescent="0.35">
      <c r="B23">
        <f t="shared" si="2"/>
        <v>180.39999999999998</v>
      </c>
      <c r="C23">
        <f t="shared" si="2"/>
        <v>181.1</v>
      </c>
      <c r="D23">
        <f t="shared" si="2"/>
        <v>180</v>
      </c>
    </row>
    <row r="24" spans="1:7" x14ac:dyDescent="0.35">
      <c r="B24">
        <f t="shared" si="2"/>
        <v>181.2</v>
      </c>
      <c r="C24">
        <f t="shared" si="2"/>
        <v>181.7</v>
      </c>
      <c r="D24">
        <f t="shared" si="2"/>
        <v>180.5</v>
      </c>
    </row>
    <row r="26" spans="1:7" x14ac:dyDescent="0.35">
      <c r="A26" t="s">
        <v>142</v>
      </c>
      <c r="B26">
        <f t="shared" ref="B26:D28" si="3">B22^2</f>
        <v>32616.360000000008</v>
      </c>
      <c r="C26">
        <f t="shared" si="3"/>
        <v>32869.69</v>
      </c>
      <c r="D26">
        <f t="shared" si="3"/>
        <v>32616.360000000008</v>
      </c>
    </row>
    <row r="27" spans="1:7" x14ac:dyDescent="0.35">
      <c r="B27">
        <f t="shared" si="3"/>
        <v>32544.159999999993</v>
      </c>
      <c r="C27">
        <f t="shared" si="3"/>
        <v>32797.21</v>
      </c>
      <c r="D27">
        <f t="shared" si="3"/>
        <v>32400</v>
      </c>
    </row>
    <row r="28" spans="1:7" x14ac:dyDescent="0.35">
      <c r="B28">
        <f t="shared" si="3"/>
        <v>32833.439999999995</v>
      </c>
      <c r="C28">
        <f t="shared" si="3"/>
        <v>33014.89</v>
      </c>
      <c r="D28">
        <f t="shared" si="3"/>
        <v>32580.25</v>
      </c>
      <c r="E28" t="s">
        <v>23</v>
      </c>
      <c r="F28">
        <f>SUM(B26:D28)</f>
        <v>294272.36</v>
      </c>
    </row>
    <row r="29" spans="1:7" x14ac:dyDescent="0.35">
      <c r="A29" s="16"/>
      <c r="B29" s="16"/>
      <c r="C29" s="17" t="s">
        <v>18</v>
      </c>
      <c r="D29" s="17" t="s">
        <v>19</v>
      </c>
      <c r="E29" s="17" t="s">
        <v>20</v>
      </c>
      <c r="F29" s="17" t="s">
        <v>21</v>
      </c>
      <c r="G29" s="17" t="s">
        <v>72</v>
      </c>
    </row>
    <row r="30" spans="1:7" x14ac:dyDescent="0.35">
      <c r="A30" s="16" t="s">
        <v>143</v>
      </c>
      <c r="B30" s="16">
        <f>((1/(I1*I2))*F19-B20/(I1*I2*I3))</f>
        <v>8.8888888712972403E-3</v>
      </c>
      <c r="C30" s="16">
        <f>I3-1</f>
        <v>1</v>
      </c>
      <c r="D30" s="16">
        <f>B30/C30</f>
        <v>8.8888888712972403E-3</v>
      </c>
      <c r="E30" s="16">
        <f>D30/$D$35</f>
        <v>0.47058823420650048</v>
      </c>
      <c r="F30" s="16">
        <f>_xlfn.F.INV.RT(0.05,C30,C35)</f>
        <v>5.3176550715787174</v>
      </c>
      <c r="G30" s="16">
        <f>_xlfn.F.DIST.RT(E30,C30,$C$35)</f>
        <v>0.51210349517810472</v>
      </c>
    </row>
    <row r="31" spans="1:7" x14ac:dyDescent="0.35">
      <c r="A31" s="16" t="s">
        <v>52</v>
      </c>
      <c r="B31" s="16">
        <f>(1/(I2*I3))*F17-B20/(I1*I2*I3)</f>
        <v>0.30111111109727062</v>
      </c>
      <c r="C31" s="16">
        <f>I1-1</f>
        <v>2</v>
      </c>
      <c r="D31" s="16">
        <f t="shared" ref="D31:D35" si="4">B31/C31</f>
        <v>0.15055555554863531</v>
      </c>
      <c r="E31" s="16">
        <f t="shared" ref="E31:E32" si="5">D31/$D$35</f>
        <v>7.9705882322805115</v>
      </c>
      <c r="F31" s="16">
        <f>_xlfn.F.INV.RT(0.05,C31,C35)</f>
        <v>4.4589701075245118</v>
      </c>
      <c r="G31" s="16">
        <f t="shared" ref="G31:G34" si="6">_xlfn.F.DIST.RT(E31,C31,$C$35)</f>
        <v>1.2467460387384728E-2</v>
      </c>
    </row>
    <row r="32" spans="1:7" x14ac:dyDescent="0.35">
      <c r="A32" s="16" t="s">
        <v>53</v>
      </c>
      <c r="B32" s="16">
        <f>((1/(I1*I3))*F18-B20/(I1*I2*I3))</f>
        <v>0.76777777777169831</v>
      </c>
      <c r="C32" s="16">
        <f>I2-1</f>
        <v>2</v>
      </c>
      <c r="D32" s="16">
        <f t="shared" si="4"/>
        <v>0.38388888888584916</v>
      </c>
      <c r="E32" s="16">
        <f t="shared" si="5"/>
        <v>20.323529404853804</v>
      </c>
      <c r="F32" s="16">
        <f>_xlfn.F.INV.RT(0.05,C32,C35)</f>
        <v>4.4589701075245118</v>
      </c>
      <c r="G32" s="16">
        <f t="shared" si="6"/>
        <v>7.3136402787885913E-4</v>
      </c>
    </row>
    <row r="33" spans="1:7" x14ac:dyDescent="0.35">
      <c r="A33" s="16" t="s">
        <v>54</v>
      </c>
      <c r="B33" s="16">
        <f>((1/(I3))*F28-B20/(I1*I2*I3))</f>
        <v>1.1377777777670417</v>
      </c>
      <c r="C33" s="16"/>
      <c r="D33" s="16"/>
      <c r="E33" s="16"/>
      <c r="F33" s="16"/>
      <c r="G33" s="16"/>
    </row>
    <row r="34" spans="1:7" x14ac:dyDescent="0.35">
      <c r="A34" s="16" t="s">
        <v>55</v>
      </c>
      <c r="B34" s="16">
        <f>B33-B31-B32</f>
        <v>6.8888888898072764E-2</v>
      </c>
      <c r="C34" s="16">
        <f>(I1-1)*(I2-1)</f>
        <v>4</v>
      </c>
      <c r="D34" s="16">
        <f t="shared" si="4"/>
        <v>1.7222222224518191E-2</v>
      </c>
      <c r="E34" s="16">
        <f>D34/$D$35</f>
        <v>0.91176470570108337</v>
      </c>
      <c r="F34" s="16">
        <f>_xlfn.F.INV.RT(0.05,C34,C35)</f>
        <v>3.8378533545558975</v>
      </c>
      <c r="G34" s="16">
        <f t="shared" si="6"/>
        <v>0.50137715419069284</v>
      </c>
    </row>
    <row r="35" spans="1:7" x14ac:dyDescent="0.35">
      <c r="A35" s="16" t="s">
        <v>56</v>
      </c>
      <c r="B35" s="16">
        <f>B36-B30-B31-B32-B34</f>
        <v>0.15111111116129905</v>
      </c>
      <c r="C35" s="16">
        <f>(I1*I2-1)*(I3-1)</f>
        <v>8</v>
      </c>
      <c r="D35" s="16">
        <f t="shared" si="4"/>
        <v>1.8888888895162381E-2</v>
      </c>
      <c r="E35" s="16"/>
      <c r="F35" s="16"/>
      <c r="G35" s="16"/>
    </row>
    <row r="36" spans="1:7" x14ac:dyDescent="0.35">
      <c r="A36" s="16" t="s">
        <v>51</v>
      </c>
      <c r="B36" s="16">
        <f>H11-B20/(I1*I2*I3)</f>
        <v>1.297777777799638</v>
      </c>
      <c r="C36" s="16">
        <f>I1*I2*I3-1</f>
        <v>17</v>
      </c>
      <c r="D36" s="16"/>
      <c r="E36" s="16"/>
      <c r="F36" s="16"/>
      <c r="G36" s="16"/>
    </row>
    <row r="39" spans="1:7" x14ac:dyDescent="0.35">
      <c r="A39" s="18" t="s">
        <v>144</v>
      </c>
      <c r="B39" s="18"/>
      <c r="C39" s="18"/>
      <c r="D39" s="18"/>
    </row>
    <row r="40" spans="1:7" x14ac:dyDescent="0.35">
      <c r="A40" s="18">
        <f t="shared" ref="A40:C41" si="7">B13/6</f>
        <v>90.416666666666671</v>
      </c>
      <c r="B40" s="18">
        <f t="shared" si="7"/>
        <v>90.25</v>
      </c>
      <c r="C40" s="18">
        <f t="shared" si="7"/>
        <v>90.566666666666677</v>
      </c>
      <c r="D40" s="18" t="s">
        <v>145</v>
      </c>
    </row>
    <row r="41" spans="1:7" x14ac:dyDescent="0.35">
      <c r="A41" s="18">
        <f t="shared" si="7"/>
        <v>90.366666666666674</v>
      </c>
      <c r="B41" s="18">
        <f t="shared" si="7"/>
        <v>90.683333333333337</v>
      </c>
      <c r="C41" s="18">
        <f t="shared" si="7"/>
        <v>90.183333333333337</v>
      </c>
      <c r="D41" s="18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0F84-3116-4156-AB81-F52FF05F6CB5}">
  <dimension ref="A1:I46"/>
  <sheetViews>
    <sheetView topLeftCell="A22" workbookViewId="0">
      <selection activeCell="E46" sqref="E46"/>
    </sheetView>
  </sheetViews>
  <sheetFormatPr defaultRowHeight="14.5" x14ac:dyDescent="0.35"/>
  <cols>
    <col min="1" max="1" width="14.54296875" customWidth="1"/>
    <col min="2" max="2" width="11.81640625" bestFit="1" customWidth="1"/>
    <col min="7" max="7" width="11.7265625" customWidth="1"/>
  </cols>
  <sheetData>
    <row r="1" spans="1:9" x14ac:dyDescent="0.35">
      <c r="C1" t="s">
        <v>65</v>
      </c>
      <c r="F1" t="s">
        <v>67</v>
      </c>
      <c r="H1" t="s">
        <v>0</v>
      </c>
      <c r="I1">
        <v>3</v>
      </c>
    </row>
    <row r="2" spans="1:9" x14ac:dyDescent="0.35">
      <c r="A2" t="s">
        <v>42</v>
      </c>
      <c r="C2" t="s">
        <v>66</v>
      </c>
      <c r="F2" t="s">
        <v>66</v>
      </c>
      <c r="H2" t="s">
        <v>1</v>
      </c>
      <c r="I2">
        <v>3</v>
      </c>
    </row>
    <row r="3" spans="1:9" x14ac:dyDescent="0.35">
      <c r="B3">
        <v>250</v>
      </c>
      <c r="C3">
        <v>260</v>
      </c>
      <c r="D3">
        <v>270</v>
      </c>
      <c r="E3">
        <v>250</v>
      </c>
      <c r="F3">
        <v>260</v>
      </c>
      <c r="G3">
        <v>270</v>
      </c>
      <c r="H3" t="s">
        <v>2</v>
      </c>
      <c r="I3">
        <v>2</v>
      </c>
    </row>
    <row r="4" spans="1:9" x14ac:dyDescent="0.35">
      <c r="A4" t="s">
        <v>147</v>
      </c>
      <c r="B4">
        <v>86.3</v>
      </c>
      <c r="C4">
        <v>84</v>
      </c>
      <c r="D4">
        <v>85.5</v>
      </c>
      <c r="E4">
        <v>86.1</v>
      </c>
      <c r="F4">
        <v>85.2</v>
      </c>
      <c r="G4">
        <v>87.3</v>
      </c>
    </row>
    <row r="5" spans="1:9" x14ac:dyDescent="0.35">
      <c r="A5" t="s">
        <v>148</v>
      </c>
      <c r="B5">
        <v>88.5</v>
      </c>
      <c r="C5">
        <v>87.3</v>
      </c>
      <c r="D5">
        <v>89</v>
      </c>
      <c r="E5">
        <v>89.4</v>
      </c>
      <c r="F5">
        <v>89.9</v>
      </c>
      <c r="G5">
        <v>90.3</v>
      </c>
    </row>
    <row r="6" spans="1:9" x14ac:dyDescent="0.35">
      <c r="A6" t="s">
        <v>149</v>
      </c>
      <c r="B6">
        <v>89.1</v>
      </c>
      <c r="C6">
        <v>90.2</v>
      </c>
      <c r="D6">
        <v>91.3</v>
      </c>
      <c r="E6">
        <v>91.7</v>
      </c>
      <c r="F6">
        <v>93.2</v>
      </c>
      <c r="G6">
        <v>93.7</v>
      </c>
    </row>
    <row r="7" spans="1:9" x14ac:dyDescent="0.35">
      <c r="G7" t="s">
        <v>150</v>
      </c>
      <c r="H7">
        <f>SUM(B4:G6)</f>
        <v>1598</v>
      </c>
    </row>
    <row r="9" spans="1:9" x14ac:dyDescent="0.35">
      <c r="A9" t="s">
        <v>133</v>
      </c>
    </row>
    <row r="10" spans="1:9" x14ac:dyDescent="0.35">
      <c r="B10">
        <f t="shared" ref="B10:G11" si="0">B4^2</f>
        <v>7447.69</v>
      </c>
      <c r="C10">
        <f t="shared" si="0"/>
        <v>7056</v>
      </c>
      <c r="D10">
        <f t="shared" si="0"/>
        <v>7310.25</v>
      </c>
      <c r="E10">
        <f t="shared" si="0"/>
        <v>7413.2099999999991</v>
      </c>
      <c r="F10">
        <f t="shared" si="0"/>
        <v>7259.0400000000009</v>
      </c>
      <c r="G10">
        <f t="shared" si="0"/>
        <v>7621.2899999999991</v>
      </c>
    </row>
    <row r="11" spans="1:9" x14ac:dyDescent="0.35">
      <c r="B11">
        <f t="shared" si="0"/>
        <v>7832.25</v>
      </c>
      <c r="C11">
        <f t="shared" si="0"/>
        <v>7621.2899999999991</v>
      </c>
      <c r="D11">
        <f t="shared" si="0"/>
        <v>7921</v>
      </c>
      <c r="E11">
        <f t="shared" si="0"/>
        <v>7992.3600000000006</v>
      </c>
      <c r="F11">
        <f t="shared" si="0"/>
        <v>8082.0100000000011</v>
      </c>
      <c r="G11">
        <f t="shared" si="0"/>
        <v>8154.0899999999992</v>
      </c>
    </row>
    <row r="12" spans="1:9" x14ac:dyDescent="0.35">
      <c r="B12">
        <f>B6^2</f>
        <v>7938.8099999999986</v>
      </c>
      <c r="C12">
        <f t="shared" ref="C12:G12" si="1">C6^2</f>
        <v>8136.0400000000009</v>
      </c>
      <c r="D12">
        <f t="shared" si="1"/>
        <v>8335.6899999999987</v>
      </c>
      <c r="E12">
        <f t="shared" si="1"/>
        <v>8408.8900000000012</v>
      </c>
      <c r="F12">
        <f t="shared" si="1"/>
        <v>8686.24</v>
      </c>
      <c r="G12">
        <f t="shared" si="1"/>
        <v>8779.69</v>
      </c>
      <c r="H12">
        <f>SUM(B10:G12)</f>
        <v>141995.84</v>
      </c>
    </row>
    <row r="14" spans="1:9" x14ac:dyDescent="0.35">
      <c r="A14" t="s">
        <v>151</v>
      </c>
      <c r="B14">
        <f>SUM('BD2'!B4:G4)</f>
        <v>514.4</v>
      </c>
      <c r="C14">
        <f>SUM(B5:G5)</f>
        <v>534.4</v>
      </c>
      <c r="D14">
        <f>SUM(B6:G6)</f>
        <v>549.20000000000005</v>
      </c>
    </row>
    <row r="15" spans="1:9" x14ac:dyDescent="0.35">
      <c r="A15" t="s">
        <v>135</v>
      </c>
      <c r="B15">
        <f>SUM(B4:B6,E4:E6)</f>
        <v>531.1</v>
      </c>
      <c r="C15">
        <f>SUM(C4:C6,F4:F6)</f>
        <v>529.80000000000007</v>
      </c>
      <c r="D15">
        <f>SUM(D4:D6,G4:G6)</f>
        <v>537.1</v>
      </c>
    </row>
    <row r="16" spans="1:9" x14ac:dyDescent="0.35">
      <c r="A16" t="s">
        <v>136</v>
      </c>
      <c r="B16">
        <f>SUM(B4:D6)</f>
        <v>791.2</v>
      </c>
      <c r="C16">
        <f>SUM(E4:G6)</f>
        <v>806.80000000000007</v>
      </c>
    </row>
    <row r="18" spans="1:6" x14ac:dyDescent="0.35">
      <c r="A18" t="s">
        <v>152</v>
      </c>
      <c r="B18">
        <f>B14^2</f>
        <v>264607.35999999999</v>
      </c>
      <c r="C18">
        <f t="shared" ref="C18:D18" si="2">C14^2</f>
        <v>285583.35999999999</v>
      </c>
      <c r="D18">
        <f t="shared" si="2"/>
        <v>301620.64000000007</v>
      </c>
      <c r="E18" t="s">
        <v>23</v>
      </c>
      <c r="F18">
        <f>SUM(B18:D18)</f>
        <v>851811.3600000001</v>
      </c>
    </row>
    <row r="19" spans="1:6" x14ac:dyDescent="0.35">
      <c r="A19" t="s">
        <v>153</v>
      </c>
      <c r="B19">
        <f>B15^2</f>
        <v>282067.21000000002</v>
      </c>
      <c r="C19">
        <f t="shared" ref="C19:D19" si="3">C15^2</f>
        <v>280688.0400000001</v>
      </c>
      <c r="D19">
        <f t="shared" si="3"/>
        <v>288476.41000000003</v>
      </c>
      <c r="E19" t="s">
        <v>23</v>
      </c>
      <c r="F19">
        <f t="shared" ref="F19" si="4">SUM(B19:D19)</f>
        <v>851231.66000000015</v>
      </c>
    </row>
    <row r="20" spans="1:6" x14ac:dyDescent="0.35">
      <c r="A20" t="s">
        <v>154</v>
      </c>
      <c r="B20">
        <f>B16^2</f>
        <v>625997.44000000006</v>
      </c>
      <c r="C20">
        <f>C16^2</f>
        <v>650926.24000000011</v>
      </c>
      <c r="E20" t="s">
        <v>23</v>
      </c>
      <c r="F20">
        <f>SUM(B20:C20)</f>
        <v>1276923.6800000002</v>
      </c>
    </row>
    <row r="21" spans="1:6" x14ac:dyDescent="0.35">
      <c r="A21" t="s">
        <v>155</v>
      </c>
      <c r="B21">
        <f>H7^2</f>
        <v>2553604</v>
      </c>
    </row>
    <row r="23" spans="1:6" x14ac:dyDescent="0.35">
      <c r="A23" t="s">
        <v>156</v>
      </c>
      <c r="B23">
        <f>B4+E4</f>
        <v>172.39999999999998</v>
      </c>
      <c r="C23">
        <f t="shared" ref="C23:D23" si="5">C4+F4</f>
        <v>169.2</v>
      </c>
      <c r="D23">
        <f t="shared" si="5"/>
        <v>172.8</v>
      </c>
    </row>
    <row r="24" spans="1:6" x14ac:dyDescent="0.35">
      <c r="B24">
        <f>B5+E5</f>
        <v>177.9</v>
      </c>
      <c r="C24">
        <f t="shared" ref="C24:D24" si="6">C5+F5</f>
        <v>177.2</v>
      </c>
      <c r="D24">
        <f t="shared" si="6"/>
        <v>179.3</v>
      </c>
    </row>
    <row r="25" spans="1:6" x14ac:dyDescent="0.35">
      <c r="B25">
        <f>B6+E6</f>
        <v>180.8</v>
      </c>
      <c r="C25">
        <f t="shared" ref="C25:D25" si="7">C6+F6</f>
        <v>183.4</v>
      </c>
      <c r="D25">
        <f t="shared" si="7"/>
        <v>185</v>
      </c>
    </row>
    <row r="27" spans="1:6" x14ac:dyDescent="0.35">
      <c r="A27" t="s">
        <v>142</v>
      </c>
      <c r="B27">
        <f>B23^2</f>
        <v>29721.759999999991</v>
      </c>
      <c r="C27">
        <f t="shared" ref="C27:D27" si="8">C23^2</f>
        <v>28628.639999999996</v>
      </c>
      <c r="D27">
        <f t="shared" si="8"/>
        <v>29859.840000000004</v>
      </c>
    </row>
    <row r="28" spans="1:6" x14ac:dyDescent="0.35">
      <c r="B28">
        <f>B24^2</f>
        <v>31648.410000000003</v>
      </c>
      <c r="C28">
        <f t="shared" ref="C28:D28" si="9">C24^2</f>
        <v>31399.839999999997</v>
      </c>
      <c r="D28">
        <f t="shared" si="9"/>
        <v>32148.490000000005</v>
      </c>
    </row>
    <row r="29" spans="1:6" x14ac:dyDescent="0.35">
      <c r="B29">
        <f>B25^2</f>
        <v>32688.640000000003</v>
      </c>
      <c r="C29">
        <f t="shared" ref="C29:D29" si="10">C25^2</f>
        <v>33635.560000000005</v>
      </c>
      <c r="D29">
        <f t="shared" si="10"/>
        <v>34225</v>
      </c>
      <c r="E29" t="s">
        <v>23</v>
      </c>
      <c r="F29">
        <f>SUM(B27:D29)</f>
        <v>283956.18</v>
      </c>
    </row>
    <row r="31" spans="1:6" x14ac:dyDescent="0.35">
      <c r="A31" t="s">
        <v>68</v>
      </c>
    </row>
    <row r="33" spans="1:7" x14ac:dyDescent="0.35">
      <c r="A33" s="14"/>
      <c r="B33" s="14"/>
      <c r="C33" s="20" t="s">
        <v>18</v>
      </c>
      <c r="D33" s="20" t="s">
        <v>19</v>
      </c>
      <c r="E33" s="20" t="s">
        <v>20</v>
      </c>
      <c r="F33" s="20" t="s">
        <v>21</v>
      </c>
      <c r="G33" s="20" t="s">
        <v>72</v>
      </c>
    </row>
    <row r="34" spans="1:7" x14ac:dyDescent="0.35">
      <c r="A34" s="14" t="s">
        <v>143</v>
      </c>
      <c r="B34" s="14">
        <f>(((1/(I1*I2))*F20)-B21/(I1*I2*I3))</f>
        <v>13.520000000018626</v>
      </c>
      <c r="C34" s="14">
        <f>I3-1</f>
        <v>1</v>
      </c>
      <c r="D34" s="14">
        <f>B34/C34</f>
        <v>13.520000000018626</v>
      </c>
      <c r="E34" s="14">
        <f>D34/$D$39</f>
        <v>25.569739952866499</v>
      </c>
      <c r="F34" s="14">
        <f>_xlfn.F.INV.RT(0.05,C34,$C$39)</f>
        <v>5.3176550715787174</v>
      </c>
      <c r="G34" s="14">
        <f>_xlfn.F.DIST.RT(E34,C34,$C$39)</f>
        <v>9.8111525876460573E-4</v>
      </c>
    </row>
    <row r="35" spans="1:7" x14ac:dyDescent="0.35">
      <c r="A35" s="14" t="s">
        <v>52</v>
      </c>
      <c r="B35" s="14">
        <f>(((1/(I2*I3))*F18)-B21/(I1*I2*I3))</f>
        <v>101.67111111112172</v>
      </c>
      <c r="C35" s="14">
        <f>I1-1</f>
        <v>2</v>
      </c>
      <c r="D35" s="14">
        <f t="shared" ref="D35:D39" si="11">B35/C35</f>
        <v>50.835555555560859</v>
      </c>
      <c r="E35" s="14">
        <f t="shared" ref="E35:E38" si="12">D35/$D$39</f>
        <v>96.142894668150745</v>
      </c>
      <c r="F35" s="14">
        <f t="shared" ref="F35:F38" si="13">_xlfn.F.INV.RT(0.05,C35,$C$39)</f>
        <v>4.4589701075245118</v>
      </c>
      <c r="G35" s="14">
        <f t="shared" ref="G35:G38" si="14">_xlfn.F.DIST.RT(E35,C35,$C$39)</f>
        <v>2.5454197093139198E-6</v>
      </c>
    </row>
    <row r="36" spans="1:7" x14ac:dyDescent="0.35">
      <c r="A36" s="14" t="s">
        <v>53</v>
      </c>
      <c r="B36" s="14">
        <f>(((1/(I1*I3)*F19)-B21/(I1*I2*I3)))</f>
        <v>5.0544444444822147</v>
      </c>
      <c r="C36" s="14">
        <f>I2-1</f>
        <v>2</v>
      </c>
      <c r="D36" s="14">
        <f t="shared" si="11"/>
        <v>2.5272222222411074</v>
      </c>
      <c r="E36" s="14">
        <f t="shared" si="12"/>
        <v>4.7796164959853158</v>
      </c>
      <c r="F36" s="14">
        <f t="shared" si="13"/>
        <v>4.4589701075245118</v>
      </c>
      <c r="G36" s="14">
        <f t="shared" si="14"/>
        <v>4.3086159221341458E-2</v>
      </c>
    </row>
    <row r="37" spans="1:7" x14ac:dyDescent="0.35">
      <c r="A37" s="14" t="s">
        <v>54</v>
      </c>
      <c r="B37" s="14">
        <f>(((1/(I3))*F29))-B21/(I1*I2*I3)</f>
        <v>111.20111111112055</v>
      </c>
      <c r="C37" s="14"/>
      <c r="D37" s="14"/>
      <c r="E37" s="14"/>
      <c r="F37" s="14"/>
      <c r="G37" s="14"/>
    </row>
    <row r="38" spans="1:7" x14ac:dyDescent="0.35">
      <c r="A38" s="14" t="s">
        <v>55</v>
      </c>
      <c r="B38" s="14">
        <f>B37-B35-B36</f>
        <v>4.4755555555166211</v>
      </c>
      <c r="C38" s="14">
        <f>(I1-1)*(I2-1)</f>
        <v>4</v>
      </c>
      <c r="D38" s="14">
        <f t="shared" si="11"/>
        <v>1.1188888888791553</v>
      </c>
      <c r="E38" s="14">
        <f t="shared" si="12"/>
        <v>2.1161019175112665</v>
      </c>
      <c r="F38" s="14">
        <f t="shared" si="13"/>
        <v>3.8378533545558975</v>
      </c>
      <c r="G38" s="14">
        <f t="shared" si="14"/>
        <v>0.17036784007039918</v>
      </c>
    </row>
    <row r="39" spans="1:7" x14ac:dyDescent="0.35">
      <c r="A39" s="14" t="s">
        <v>56</v>
      </c>
      <c r="B39" s="14">
        <f>B40-B34-B35-B36-B38</f>
        <v>4.2299999999813735</v>
      </c>
      <c r="C39" s="14">
        <f>(I1*I2-1)*(I3-1)</f>
        <v>8</v>
      </c>
      <c r="D39" s="14">
        <f t="shared" si="11"/>
        <v>0.52874999999767169</v>
      </c>
      <c r="E39" s="14"/>
      <c r="F39" s="14"/>
      <c r="G39" s="14"/>
    </row>
    <row r="40" spans="1:7" x14ac:dyDescent="0.35">
      <c r="A40" s="14" t="s">
        <v>51</v>
      </c>
      <c r="B40" s="14">
        <f>H12-B21/(I1*I2*I3)</f>
        <v>128.95111111112055</v>
      </c>
      <c r="C40" s="14">
        <f>I1*I2*I3-1</f>
        <v>17</v>
      </c>
      <c r="D40" s="14"/>
      <c r="E40" s="14"/>
      <c r="F40" s="14"/>
      <c r="G40" s="14"/>
    </row>
    <row r="42" spans="1:7" x14ac:dyDescent="0.35">
      <c r="A42" t="s">
        <v>157</v>
      </c>
    </row>
    <row r="44" spans="1:7" x14ac:dyDescent="0.35">
      <c r="A44" t="s">
        <v>90</v>
      </c>
    </row>
    <row r="45" spans="1:7" x14ac:dyDescent="0.35">
      <c r="A45" s="19" t="s">
        <v>158</v>
      </c>
      <c r="B45" s="19">
        <f>B14/6</f>
        <v>85.733333333333334</v>
      </c>
      <c r="C45" s="19">
        <f t="shared" ref="C45:D45" si="15">C14/6</f>
        <v>89.066666666666663</v>
      </c>
      <c r="D45" s="19">
        <f t="shared" si="15"/>
        <v>91.533333333333346</v>
      </c>
    </row>
    <row r="46" spans="1:7" x14ac:dyDescent="0.35">
      <c r="A46" s="19" t="s">
        <v>159</v>
      </c>
      <c r="B46" s="19">
        <f>B15/6</f>
        <v>88.516666666666666</v>
      </c>
      <c r="C46" s="19">
        <f t="shared" ref="C46:D46" si="16">C15/6</f>
        <v>88.300000000000011</v>
      </c>
      <c r="D46" s="19">
        <f t="shared" si="16"/>
        <v>89.516666666666666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A53D-AD34-4EE8-9583-86E2C4F5C3D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3080-A687-449F-90E0-94F2C7BF9BB5}">
  <dimension ref="A1"/>
  <sheetViews>
    <sheetView workbookViewId="0">
      <selection activeCell="G13" sqref="G13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6593-B0A2-4BC0-9503-95817C62C57C}">
  <dimension ref="A1:K64"/>
  <sheetViews>
    <sheetView topLeftCell="A64" workbookViewId="0">
      <selection activeCell="E42" sqref="E42"/>
    </sheetView>
  </sheetViews>
  <sheetFormatPr defaultRowHeight="14.5" x14ac:dyDescent="0.35"/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160</v>
      </c>
      <c r="J2">
        <v>163</v>
      </c>
      <c r="K2">
        <f>I2+J2</f>
        <v>323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182</v>
      </c>
      <c r="J3">
        <v>184</v>
      </c>
      <c r="K3">
        <f t="shared" ref="K3:K9" si="0">I3+J3</f>
        <v>366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290</v>
      </c>
      <c r="J4">
        <v>284</v>
      </c>
      <c r="K4">
        <f t="shared" si="0"/>
        <v>574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362</v>
      </c>
      <c r="J5">
        <v>344</v>
      </c>
      <c r="K5">
        <f t="shared" si="0"/>
        <v>706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252</v>
      </c>
      <c r="J6">
        <v>253</v>
      </c>
      <c r="K6">
        <f t="shared" si="0"/>
        <v>505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301</v>
      </c>
      <c r="J7">
        <v>308</v>
      </c>
      <c r="K7">
        <f t="shared" si="0"/>
        <v>609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280</v>
      </c>
      <c r="J8">
        <v>269</v>
      </c>
      <c r="K8">
        <f t="shared" si="0"/>
        <v>549</v>
      </c>
    </row>
    <row r="9" spans="1:11" x14ac:dyDescent="0.35">
      <c r="A9" t="s">
        <v>174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340</v>
      </c>
      <c r="J9">
        <v>336</v>
      </c>
      <c r="K9">
        <f t="shared" si="0"/>
        <v>676</v>
      </c>
    </row>
    <row r="11" spans="1:11" x14ac:dyDescent="0.35">
      <c r="A11">
        <v>160</v>
      </c>
      <c r="B11">
        <f>(A11-$B$27)^2</f>
        <v>11935.5625</v>
      </c>
    </row>
    <row r="12" spans="1:11" x14ac:dyDescent="0.35">
      <c r="A12">
        <v>182</v>
      </c>
      <c r="B12">
        <f t="shared" ref="B12:B26" si="1">(A12-$B$27)^2</f>
        <v>7612.5625</v>
      </c>
    </row>
    <row r="13" spans="1:11" x14ac:dyDescent="0.35">
      <c r="A13">
        <v>290</v>
      </c>
      <c r="B13">
        <f t="shared" si="1"/>
        <v>430.5625</v>
      </c>
    </row>
    <row r="14" spans="1:11" x14ac:dyDescent="0.35">
      <c r="A14">
        <v>362</v>
      </c>
      <c r="B14">
        <f t="shared" si="1"/>
        <v>8602.5625</v>
      </c>
    </row>
    <row r="15" spans="1:11" x14ac:dyDescent="0.35">
      <c r="A15">
        <v>252</v>
      </c>
      <c r="B15">
        <f t="shared" si="1"/>
        <v>297.5625</v>
      </c>
    </row>
    <row r="16" spans="1:11" x14ac:dyDescent="0.35">
      <c r="A16">
        <v>301</v>
      </c>
      <c r="B16">
        <f t="shared" si="1"/>
        <v>1008.0625</v>
      </c>
    </row>
    <row r="17" spans="1:5" x14ac:dyDescent="0.35">
      <c r="A17">
        <v>280</v>
      </c>
      <c r="B17">
        <f t="shared" si="1"/>
        <v>115.5625</v>
      </c>
      <c r="D17" s="14" t="s">
        <v>27</v>
      </c>
      <c r="E17" s="14">
        <f>SUM(B11:B26)</f>
        <v>65591</v>
      </c>
    </row>
    <row r="18" spans="1:5" x14ac:dyDescent="0.35">
      <c r="A18">
        <v>340</v>
      </c>
      <c r="B18">
        <f t="shared" si="1"/>
        <v>5005.5625</v>
      </c>
      <c r="D18" s="14" t="s">
        <v>17</v>
      </c>
      <c r="E18" s="14">
        <f>E17-G35</f>
        <v>280</v>
      </c>
    </row>
    <row r="19" spans="1:5" x14ac:dyDescent="0.35">
      <c r="A19">
        <v>163</v>
      </c>
      <c r="B19">
        <f t="shared" si="1"/>
        <v>11289.0625</v>
      </c>
      <c r="D19" s="14" t="s">
        <v>182</v>
      </c>
      <c r="E19" s="14">
        <f>E18/8</f>
        <v>35</v>
      </c>
    </row>
    <row r="20" spans="1:5" x14ac:dyDescent="0.35">
      <c r="A20">
        <v>184</v>
      </c>
      <c r="B20">
        <f t="shared" si="1"/>
        <v>7267.5625</v>
      </c>
    </row>
    <row r="21" spans="1:5" x14ac:dyDescent="0.35">
      <c r="A21">
        <v>284</v>
      </c>
      <c r="B21">
        <f t="shared" si="1"/>
        <v>217.5625</v>
      </c>
    </row>
    <row r="22" spans="1:5" x14ac:dyDescent="0.35">
      <c r="A22">
        <v>344</v>
      </c>
      <c r="B22">
        <f t="shared" si="1"/>
        <v>5587.5625</v>
      </c>
    </row>
    <row r="23" spans="1:5" x14ac:dyDescent="0.35">
      <c r="A23">
        <v>253</v>
      </c>
      <c r="B23">
        <f t="shared" si="1"/>
        <v>264.0625</v>
      </c>
    </row>
    <row r="24" spans="1:5" x14ac:dyDescent="0.35">
      <c r="A24">
        <v>308</v>
      </c>
      <c r="B24">
        <f t="shared" si="1"/>
        <v>1501.5625</v>
      </c>
    </row>
    <row r="25" spans="1:5" x14ac:dyDescent="0.35">
      <c r="A25">
        <v>269</v>
      </c>
      <c r="B25">
        <f t="shared" si="1"/>
        <v>6.25E-2</v>
      </c>
    </row>
    <row r="26" spans="1:5" x14ac:dyDescent="0.35">
      <c r="A26">
        <v>336</v>
      </c>
      <c r="B26">
        <f t="shared" si="1"/>
        <v>4455.5625</v>
      </c>
    </row>
    <row r="27" spans="1:5" x14ac:dyDescent="0.35">
      <c r="A27" t="s">
        <v>181</v>
      </c>
      <c r="B27">
        <f>AVERAGE(A11:A26)</f>
        <v>269.25</v>
      </c>
    </row>
    <row r="28" spans="1:5" x14ac:dyDescent="0.35">
      <c r="A28" t="s">
        <v>23</v>
      </c>
      <c r="B28">
        <f>SUM(A11:A26)</f>
        <v>4308</v>
      </c>
    </row>
    <row r="30" spans="1:5" x14ac:dyDescent="0.35">
      <c r="A30" t="s">
        <v>187</v>
      </c>
    </row>
    <row r="32" spans="1:5" x14ac:dyDescent="0.35">
      <c r="A32" s="21" t="s">
        <v>30</v>
      </c>
      <c r="B32" s="21" t="s">
        <v>178</v>
      </c>
      <c r="C32" s="23" t="s">
        <v>179</v>
      </c>
      <c r="D32" s="23" t="s">
        <v>180</v>
      </c>
    </row>
    <row r="33" spans="1:7" x14ac:dyDescent="0.35">
      <c r="A33" s="21" t="s">
        <v>160</v>
      </c>
      <c r="B33" s="22">
        <f>B2*$K$2+B3*$K$3+B4*$K$4+B5*$K$5+B6*$K$6+B7*$K$7+B8*$K$8+B9*$K$9</f>
        <v>-370</v>
      </c>
      <c r="C33" s="21">
        <f>B33/8</f>
        <v>-46.25</v>
      </c>
      <c r="D33" s="21">
        <f>(B33^2)/16</f>
        <v>8556.25</v>
      </c>
    </row>
    <row r="34" spans="1:7" x14ac:dyDescent="0.35">
      <c r="A34" s="21" t="s">
        <v>161</v>
      </c>
      <c r="B34" s="22">
        <v>-702</v>
      </c>
      <c r="C34" s="21">
        <f t="shared" ref="C34:C39" si="2">B34/8</f>
        <v>-87.75</v>
      </c>
      <c r="D34" s="21">
        <f t="shared" ref="D34:D39" si="3">(B34^2)/16</f>
        <v>30800.25</v>
      </c>
    </row>
    <row r="35" spans="1:7" x14ac:dyDescent="0.35">
      <c r="A35" s="21" t="s">
        <v>162</v>
      </c>
      <c r="B35" s="21">
        <v>-406</v>
      </c>
      <c r="C35" s="21">
        <f t="shared" si="2"/>
        <v>-50.75</v>
      </c>
      <c r="D35" s="21">
        <f t="shared" si="3"/>
        <v>10302.25</v>
      </c>
      <c r="F35" t="s">
        <v>188</v>
      </c>
      <c r="G35">
        <f>SUM(D33:D39)</f>
        <v>65311</v>
      </c>
    </row>
    <row r="36" spans="1:7" x14ac:dyDescent="0.35">
      <c r="A36" s="21" t="s">
        <v>163</v>
      </c>
      <c r="B36" s="21">
        <v>-480</v>
      </c>
      <c r="C36" s="21">
        <f t="shared" si="2"/>
        <v>-60</v>
      </c>
      <c r="D36" s="21">
        <f t="shared" si="3"/>
        <v>14400</v>
      </c>
    </row>
    <row r="37" spans="1:7" x14ac:dyDescent="0.35">
      <c r="A37" s="21" t="s">
        <v>164</v>
      </c>
      <c r="B37" s="21">
        <v>56</v>
      </c>
      <c r="C37" s="21">
        <f t="shared" si="2"/>
        <v>7</v>
      </c>
      <c r="D37" s="21">
        <f t="shared" si="3"/>
        <v>196</v>
      </c>
    </row>
    <row r="38" spans="1:7" x14ac:dyDescent="0.35">
      <c r="A38" s="21" t="s">
        <v>165</v>
      </c>
      <c r="B38" s="21">
        <v>112</v>
      </c>
      <c r="C38" s="21">
        <f t="shared" si="2"/>
        <v>14</v>
      </c>
      <c r="D38" s="21">
        <f t="shared" si="3"/>
        <v>784</v>
      </c>
    </row>
    <row r="39" spans="1:7" x14ac:dyDescent="0.35">
      <c r="A39" s="21" t="s">
        <v>166</v>
      </c>
      <c r="B39" s="21">
        <v>66</v>
      </c>
      <c r="C39" s="21">
        <f t="shared" si="2"/>
        <v>8.25</v>
      </c>
      <c r="D39" s="21">
        <f t="shared" si="3"/>
        <v>272.25</v>
      </c>
    </row>
    <row r="41" spans="1:7" x14ac:dyDescent="0.35">
      <c r="A41" s="21" t="s">
        <v>30</v>
      </c>
      <c r="B41" s="21" t="s">
        <v>180</v>
      </c>
      <c r="C41" s="21" t="s">
        <v>18</v>
      </c>
      <c r="D41" s="22" t="s">
        <v>19</v>
      </c>
      <c r="E41" s="21" t="s">
        <v>34</v>
      </c>
    </row>
    <row r="42" spans="1:7" x14ac:dyDescent="0.35">
      <c r="A42" s="21" t="s">
        <v>160</v>
      </c>
      <c r="B42" s="21">
        <v>8556.25</v>
      </c>
      <c r="C42" s="21">
        <v>1</v>
      </c>
      <c r="D42" s="22">
        <f>B42/C42</f>
        <v>8556.25</v>
      </c>
      <c r="E42" s="21">
        <f>B42/$D$49</f>
        <v>244.46428571428572</v>
      </c>
    </row>
    <row r="43" spans="1:7" x14ac:dyDescent="0.35">
      <c r="A43" s="21" t="s">
        <v>161</v>
      </c>
      <c r="B43" s="21">
        <v>30800.25</v>
      </c>
      <c r="C43" s="21">
        <v>1</v>
      </c>
      <c r="D43" s="22">
        <f t="shared" ref="D43:D48" si="4">B43/C43</f>
        <v>30800.25</v>
      </c>
      <c r="E43" s="21">
        <f t="shared" ref="E43:E48" si="5">B43/$D$49</f>
        <v>880.00714285714287</v>
      </c>
    </row>
    <row r="44" spans="1:7" x14ac:dyDescent="0.35">
      <c r="A44" s="21" t="s">
        <v>162</v>
      </c>
      <c r="B44" s="21">
        <v>10302.25</v>
      </c>
      <c r="C44" s="21">
        <v>1</v>
      </c>
      <c r="D44" s="22">
        <f t="shared" si="4"/>
        <v>10302.25</v>
      </c>
      <c r="E44" s="21">
        <f t="shared" si="5"/>
        <v>294.35000000000002</v>
      </c>
    </row>
    <row r="45" spans="1:7" x14ac:dyDescent="0.35">
      <c r="A45" s="21" t="s">
        <v>163</v>
      </c>
      <c r="B45" s="21">
        <v>14400</v>
      </c>
      <c r="C45" s="21">
        <v>1</v>
      </c>
      <c r="D45" s="22">
        <f t="shared" si="4"/>
        <v>14400</v>
      </c>
      <c r="E45" s="21">
        <f t="shared" si="5"/>
        <v>411.42857142857144</v>
      </c>
    </row>
    <row r="46" spans="1:7" x14ac:dyDescent="0.35">
      <c r="A46" s="21" t="s">
        <v>164</v>
      </c>
      <c r="B46" s="21">
        <v>196</v>
      </c>
      <c r="C46" s="21">
        <v>1</v>
      </c>
      <c r="D46" s="22">
        <f t="shared" si="4"/>
        <v>196</v>
      </c>
      <c r="E46" s="21">
        <f t="shared" si="5"/>
        <v>5.6</v>
      </c>
    </row>
    <row r="47" spans="1:7" x14ac:dyDescent="0.35">
      <c r="A47" s="21" t="s">
        <v>165</v>
      </c>
      <c r="B47" s="21">
        <v>784</v>
      </c>
      <c r="C47" s="21">
        <v>1</v>
      </c>
      <c r="D47" s="22">
        <f t="shared" si="4"/>
        <v>784</v>
      </c>
      <c r="E47" s="21">
        <f t="shared" si="5"/>
        <v>22.4</v>
      </c>
    </row>
    <row r="48" spans="1:7" x14ac:dyDescent="0.35">
      <c r="A48" s="21" t="s">
        <v>166</v>
      </c>
      <c r="B48" s="21">
        <v>272.25</v>
      </c>
      <c r="C48" s="21">
        <v>1</v>
      </c>
      <c r="D48" s="22">
        <f t="shared" si="4"/>
        <v>272.25</v>
      </c>
      <c r="E48" s="21">
        <f t="shared" si="5"/>
        <v>7.7785714285714285</v>
      </c>
    </row>
    <row r="49" spans="1:11" x14ac:dyDescent="0.35">
      <c r="A49" s="21" t="s">
        <v>38</v>
      </c>
      <c r="B49" s="21">
        <v>280</v>
      </c>
      <c r="C49" s="21">
        <v>8</v>
      </c>
      <c r="D49" s="22">
        <f>B49/C49</f>
        <v>35</v>
      </c>
      <c r="E49" s="21"/>
    </row>
    <row r="50" spans="1:11" x14ac:dyDescent="0.35">
      <c r="A50" s="21" t="s">
        <v>39</v>
      </c>
      <c r="B50" s="21">
        <v>65591</v>
      </c>
      <c r="C50" s="21">
        <v>15</v>
      </c>
      <c r="D50" s="22"/>
      <c r="E50" s="21"/>
    </row>
    <row r="52" spans="1:11" x14ac:dyDescent="0.35">
      <c r="A52" s="14" t="s">
        <v>189</v>
      </c>
      <c r="B52" s="14">
        <f>_xlfn.F.INV.RT(0.05,1,8)</f>
        <v>5.3176550715787174</v>
      </c>
    </row>
    <row r="54" spans="1:11" x14ac:dyDescent="0.35">
      <c r="A54" s="14" t="s">
        <v>190</v>
      </c>
    </row>
    <row r="56" spans="1:11" x14ac:dyDescent="0.35">
      <c r="A56" s="14" t="s">
        <v>160</v>
      </c>
      <c r="B56" s="14" t="s">
        <v>176</v>
      </c>
      <c r="D56" s="14" t="s">
        <v>161</v>
      </c>
      <c r="E56" s="14" t="s">
        <v>176</v>
      </c>
      <c r="G56" s="14" t="s">
        <v>162</v>
      </c>
      <c r="H56" s="14" t="s">
        <v>176</v>
      </c>
    </row>
    <row r="57" spans="1:11" x14ac:dyDescent="0.35">
      <c r="A57" s="14">
        <v>-1</v>
      </c>
      <c r="B57" s="14">
        <f>(K6+K7+K8+K9)/8</f>
        <v>292.375</v>
      </c>
      <c r="D57" s="14">
        <v>-1</v>
      </c>
      <c r="E57" s="14">
        <f>(K4+K5+K8+K9)/8</f>
        <v>313.125</v>
      </c>
      <c r="G57" s="14">
        <v>-1</v>
      </c>
      <c r="H57" s="14">
        <f>(K3+K5+K7+K9)/8</f>
        <v>294.625</v>
      </c>
    </row>
    <row r="58" spans="1:11" x14ac:dyDescent="0.35">
      <c r="A58" s="14">
        <v>1</v>
      </c>
      <c r="B58" s="14">
        <f>(K2+K3+K4+K5)/8</f>
        <v>246.125</v>
      </c>
      <c r="D58" s="14">
        <v>1</v>
      </c>
      <c r="E58" s="14">
        <f>(K2+K3+K6+K7)/8</f>
        <v>225.375</v>
      </c>
      <c r="G58" s="14">
        <v>1</v>
      </c>
      <c r="H58" s="14">
        <f>(K2+K4+K6+K8)/8</f>
        <v>243.875</v>
      </c>
    </row>
    <row r="60" spans="1:11" x14ac:dyDescent="0.35">
      <c r="A60" s="14" t="s">
        <v>160</v>
      </c>
      <c r="B60" s="14" t="s">
        <v>161</v>
      </c>
      <c r="C60" s="14" t="s">
        <v>176</v>
      </c>
      <c r="E60" s="14" t="s">
        <v>160</v>
      </c>
      <c r="F60" s="14" t="s">
        <v>162</v>
      </c>
      <c r="G60" s="14" t="s">
        <v>176</v>
      </c>
      <c r="I60" s="14" t="s">
        <v>161</v>
      </c>
      <c r="J60" s="14" t="s">
        <v>162</v>
      </c>
      <c r="K60" s="14" t="s">
        <v>176</v>
      </c>
    </row>
    <row r="61" spans="1:11" x14ac:dyDescent="0.35">
      <c r="A61" s="14">
        <v>1</v>
      </c>
      <c r="B61" s="14">
        <v>1</v>
      </c>
      <c r="C61" s="14">
        <f>(K2+K3)/4</f>
        <v>172.25</v>
      </c>
      <c r="E61" s="14">
        <v>1</v>
      </c>
      <c r="F61" s="14">
        <v>1</v>
      </c>
      <c r="G61" s="14">
        <f>(K2+K4)/4</f>
        <v>224.25</v>
      </c>
      <c r="I61" s="14">
        <v>1</v>
      </c>
      <c r="J61" s="14">
        <v>1</v>
      </c>
      <c r="K61" s="14">
        <f>(K2+K6)/4</f>
        <v>207</v>
      </c>
    </row>
    <row r="62" spans="1:11" x14ac:dyDescent="0.35">
      <c r="A62" s="14">
        <v>1</v>
      </c>
      <c r="B62" s="14">
        <v>-1</v>
      </c>
      <c r="C62" s="14">
        <f>(K4+K5)/4</f>
        <v>320</v>
      </c>
      <c r="E62" s="14">
        <v>1</v>
      </c>
      <c r="F62" s="14">
        <v>-1</v>
      </c>
      <c r="G62" s="14">
        <f>(K3+K5)/4</f>
        <v>268</v>
      </c>
      <c r="I62" s="14">
        <v>1</v>
      </c>
      <c r="J62" s="14">
        <v>-1</v>
      </c>
      <c r="K62" s="14">
        <f>(K3+K7)/4</f>
        <v>243.75</v>
      </c>
    </row>
    <row r="63" spans="1:11" x14ac:dyDescent="0.35">
      <c r="A63" s="14">
        <v>-1</v>
      </c>
      <c r="B63" s="14">
        <v>1</v>
      </c>
      <c r="C63" s="14">
        <f>(K6+K7)/4</f>
        <v>278.5</v>
      </c>
      <c r="E63" s="14">
        <v>-1</v>
      </c>
      <c r="F63" s="14">
        <v>1</v>
      </c>
      <c r="G63" s="14">
        <f>(K6+K8)/4</f>
        <v>263.5</v>
      </c>
      <c r="I63" s="14">
        <v>-1</v>
      </c>
      <c r="J63" s="14">
        <v>1</v>
      </c>
      <c r="K63" s="14">
        <f>(K4+K8)/4</f>
        <v>280.75</v>
      </c>
    </row>
    <row r="64" spans="1:11" x14ac:dyDescent="0.35">
      <c r="A64" s="14">
        <v>-1</v>
      </c>
      <c r="B64" s="14">
        <v>-1</v>
      </c>
      <c r="C64" s="14">
        <f>(K8+K9)/4</f>
        <v>306.25</v>
      </c>
      <c r="E64" s="14">
        <v>-1</v>
      </c>
      <c r="F64" s="14">
        <v>-1</v>
      </c>
      <c r="G64" s="14">
        <f>(K7+K9)/4</f>
        <v>321.25</v>
      </c>
      <c r="I64" s="14">
        <v>-1</v>
      </c>
      <c r="J64" s="14">
        <v>-1</v>
      </c>
      <c r="K64" s="14">
        <f>(K5+K9)/4</f>
        <v>345.5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121E-48A9-482D-8299-EBEAEBC974AC}">
  <dimension ref="A1:R64"/>
  <sheetViews>
    <sheetView topLeftCell="A31" workbookViewId="0">
      <selection activeCell="N2" sqref="N2"/>
    </sheetView>
  </sheetViews>
  <sheetFormatPr defaultRowHeight="14.5" x14ac:dyDescent="0.35"/>
  <cols>
    <col min="1" max="1" width="16.54296875" customWidth="1"/>
  </cols>
  <sheetData>
    <row r="1" spans="1:18" x14ac:dyDescent="0.35">
      <c r="A1" s="14"/>
      <c r="B1" s="14" t="s">
        <v>160</v>
      </c>
      <c r="C1" s="14" t="s">
        <v>161</v>
      </c>
      <c r="D1" s="14" t="s">
        <v>162</v>
      </c>
      <c r="E1" s="14" t="s">
        <v>163</v>
      </c>
      <c r="F1" s="14" t="s">
        <v>164</v>
      </c>
      <c r="G1" s="14" t="s">
        <v>165</v>
      </c>
      <c r="H1" s="14" t="s">
        <v>166</v>
      </c>
      <c r="I1" s="14"/>
      <c r="J1" s="14"/>
      <c r="K1" s="14" t="s">
        <v>39</v>
      </c>
      <c r="M1" s="14" t="s">
        <v>160</v>
      </c>
      <c r="N1" s="14" t="s">
        <v>175</v>
      </c>
      <c r="O1" s="14"/>
      <c r="P1" s="14" t="s">
        <v>162</v>
      </c>
      <c r="Q1" s="14" t="s">
        <v>176</v>
      </c>
    </row>
    <row r="2" spans="1:18" x14ac:dyDescent="0.35">
      <c r="A2" s="14" t="s">
        <v>167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60</v>
      </c>
      <c r="J2" s="14">
        <v>61</v>
      </c>
      <c r="K2" s="14">
        <f>SUM(I2:J2)</f>
        <v>121</v>
      </c>
      <c r="M2" s="14">
        <v>-1</v>
      </c>
      <c r="N2" s="14">
        <f>(K6+K7+K8+K9)/8</f>
        <v>24.875</v>
      </c>
      <c r="O2" s="14"/>
      <c r="P2" s="14">
        <v>-1</v>
      </c>
      <c r="Q2" s="14">
        <f>(K3+K5+K7+K9)/8</f>
        <v>25.625</v>
      </c>
    </row>
    <row r="3" spans="1:18" x14ac:dyDescent="0.35">
      <c r="A3" s="14" t="s">
        <v>168</v>
      </c>
      <c r="B3" s="14">
        <v>1</v>
      </c>
      <c r="C3" s="14">
        <v>1</v>
      </c>
      <c r="D3" s="14">
        <v>-1</v>
      </c>
      <c r="E3" s="14">
        <v>1</v>
      </c>
      <c r="F3" s="14">
        <v>-1</v>
      </c>
      <c r="G3" s="14">
        <v>-1</v>
      </c>
      <c r="H3" s="14">
        <v>-1</v>
      </c>
      <c r="I3" s="14">
        <v>55</v>
      </c>
      <c r="J3" s="14">
        <v>50</v>
      </c>
      <c r="K3" s="14">
        <f t="shared" ref="K3:K9" si="0">SUM(I3:J3)</f>
        <v>105</v>
      </c>
      <c r="M3" s="14">
        <v>1</v>
      </c>
      <c r="N3" s="14">
        <f>(K2+K3+K4+K5)/8</f>
        <v>35.75</v>
      </c>
      <c r="O3" s="14"/>
      <c r="P3" s="14">
        <v>1</v>
      </c>
      <c r="Q3" s="14">
        <f>(K2+K4+K6+K8)/8</f>
        <v>35</v>
      </c>
    </row>
    <row r="4" spans="1:18" x14ac:dyDescent="0.35">
      <c r="A4" s="14" t="s">
        <v>169</v>
      </c>
      <c r="B4" s="14">
        <v>1</v>
      </c>
      <c r="C4" s="14">
        <v>-1</v>
      </c>
      <c r="D4" s="14">
        <v>1</v>
      </c>
      <c r="E4" s="14">
        <v>-1</v>
      </c>
      <c r="F4" s="14">
        <v>1</v>
      </c>
      <c r="G4" s="14">
        <v>-1</v>
      </c>
      <c r="H4" s="14">
        <v>-1</v>
      </c>
      <c r="I4" s="14">
        <v>20</v>
      </c>
      <c r="J4" s="14">
        <v>21</v>
      </c>
      <c r="K4" s="14">
        <f t="shared" si="0"/>
        <v>41</v>
      </c>
    </row>
    <row r="5" spans="1:18" x14ac:dyDescent="0.35">
      <c r="A5" s="14" t="s">
        <v>170</v>
      </c>
      <c r="B5" s="14">
        <v>1</v>
      </c>
      <c r="C5" s="14">
        <v>-1</v>
      </c>
      <c r="D5" s="14">
        <v>-1</v>
      </c>
      <c r="E5" s="14">
        <v>-1</v>
      </c>
      <c r="F5" s="14">
        <v>-1</v>
      </c>
      <c r="G5" s="14">
        <v>1</v>
      </c>
      <c r="H5" s="14">
        <v>1</v>
      </c>
      <c r="I5" s="14">
        <v>9</v>
      </c>
      <c r="J5" s="14">
        <v>10</v>
      </c>
      <c r="K5" s="14">
        <f t="shared" si="0"/>
        <v>19</v>
      </c>
      <c r="M5" s="14" t="s">
        <v>177</v>
      </c>
      <c r="N5" s="14" t="s">
        <v>176</v>
      </c>
    </row>
    <row r="6" spans="1:18" x14ac:dyDescent="0.35">
      <c r="A6" s="14" t="s">
        <v>172</v>
      </c>
      <c r="B6" s="14">
        <v>-1</v>
      </c>
      <c r="C6" s="14">
        <v>1</v>
      </c>
      <c r="D6" s="14">
        <v>1</v>
      </c>
      <c r="E6" s="14">
        <v>-1</v>
      </c>
      <c r="F6" s="14">
        <v>-1</v>
      </c>
      <c r="G6" s="14">
        <v>1</v>
      </c>
      <c r="H6" s="14">
        <v>-1</v>
      </c>
      <c r="I6" s="14">
        <v>40</v>
      </c>
      <c r="J6" s="14">
        <v>44</v>
      </c>
      <c r="K6" s="14">
        <f t="shared" si="0"/>
        <v>84</v>
      </c>
      <c r="M6" s="14">
        <v>-1</v>
      </c>
      <c r="N6" s="14">
        <f>(K4+K5+K8+K9)/8</f>
        <v>13.625</v>
      </c>
    </row>
    <row r="7" spans="1:18" x14ac:dyDescent="0.35">
      <c r="A7" s="14" t="s">
        <v>171</v>
      </c>
      <c r="B7" s="14">
        <v>-1</v>
      </c>
      <c r="C7" s="14">
        <v>1</v>
      </c>
      <c r="D7" s="14">
        <v>-1</v>
      </c>
      <c r="E7" s="14">
        <v>-1</v>
      </c>
      <c r="F7" s="14">
        <v>1</v>
      </c>
      <c r="G7" s="14">
        <v>-1</v>
      </c>
      <c r="H7" s="14">
        <v>1</v>
      </c>
      <c r="I7" s="14">
        <v>34</v>
      </c>
      <c r="J7" s="14">
        <v>32</v>
      </c>
      <c r="K7" s="14">
        <f t="shared" si="0"/>
        <v>66</v>
      </c>
      <c r="M7" s="14">
        <v>1</v>
      </c>
      <c r="N7" s="14">
        <f>(K2+K3+K6+K7)/8</f>
        <v>47</v>
      </c>
    </row>
    <row r="8" spans="1:18" x14ac:dyDescent="0.35">
      <c r="A8" s="14" t="s">
        <v>173</v>
      </c>
      <c r="B8" s="14">
        <v>-1</v>
      </c>
      <c r="C8" s="14">
        <v>-1</v>
      </c>
      <c r="D8" s="14">
        <v>1</v>
      </c>
      <c r="E8" s="14">
        <v>1</v>
      </c>
      <c r="F8" s="14">
        <v>-1</v>
      </c>
      <c r="G8" s="14">
        <v>-1</v>
      </c>
      <c r="H8" s="14">
        <v>1</v>
      </c>
      <c r="I8" s="14">
        <v>16</v>
      </c>
      <c r="J8" s="14">
        <v>18</v>
      </c>
      <c r="K8" s="14">
        <f t="shared" si="0"/>
        <v>34</v>
      </c>
    </row>
    <row r="9" spans="1:18" x14ac:dyDescent="0.35">
      <c r="A9" s="14" t="s">
        <v>174</v>
      </c>
      <c r="B9" s="14">
        <v>-1</v>
      </c>
      <c r="C9" s="14">
        <v>-1</v>
      </c>
      <c r="D9" s="14">
        <v>-1</v>
      </c>
      <c r="E9" s="14">
        <v>1</v>
      </c>
      <c r="F9" s="14">
        <v>1</v>
      </c>
      <c r="G9" s="14">
        <v>1</v>
      </c>
      <c r="H9" s="14">
        <v>-1</v>
      </c>
      <c r="I9" s="14">
        <v>7</v>
      </c>
      <c r="J9" s="14">
        <v>8</v>
      </c>
      <c r="K9" s="14">
        <f t="shared" si="0"/>
        <v>15</v>
      </c>
      <c r="M9" s="14" t="s">
        <v>160</v>
      </c>
      <c r="N9" s="14" t="s">
        <v>162</v>
      </c>
      <c r="O9" s="14" t="s">
        <v>176</v>
      </c>
      <c r="P9" s="14" t="s">
        <v>161</v>
      </c>
      <c r="Q9" s="14" t="s">
        <v>162</v>
      </c>
      <c r="R9" s="14" t="s">
        <v>176</v>
      </c>
    </row>
    <row r="10" spans="1:18" x14ac:dyDescent="0.35">
      <c r="M10" s="14">
        <v>1</v>
      </c>
      <c r="N10" s="14">
        <v>1</v>
      </c>
      <c r="O10" s="14">
        <f>(K2+K4)/4</f>
        <v>40.5</v>
      </c>
      <c r="P10" s="14">
        <v>1</v>
      </c>
      <c r="Q10" s="14">
        <v>1</v>
      </c>
      <c r="R10" s="14">
        <f>(K2+K6)/4</f>
        <v>51.25</v>
      </c>
    </row>
    <row r="11" spans="1:18" x14ac:dyDescent="0.35">
      <c r="M11" s="14">
        <v>1</v>
      </c>
      <c r="N11" s="14">
        <v>-1</v>
      </c>
      <c r="O11" s="14">
        <f>(K3+K5)/4</f>
        <v>31</v>
      </c>
      <c r="P11" s="14">
        <v>1</v>
      </c>
      <c r="Q11" s="14">
        <v>-1</v>
      </c>
      <c r="R11" s="14">
        <f>(K3+K7)/4</f>
        <v>42.75</v>
      </c>
    </row>
    <row r="12" spans="1:18" x14ac:dyDescent="0.35">
      <c r="M12" s="14">
        <v>-1</v>
      </c>
      <c r="N12" s="14">
        <v>1</v>
      </c>
      <c r="O12" s="14">
        <f>(K6+K8)/4</f>
        <v>29.5</v>
      </c>
      <c r="P12" s="14">
        <v>-1</v>
      </c>
      <c r="Q12" s="14">
        <v>1</v>
      </c>
      <c r="R12" s="14">
        <f>(K4+K8)/4</f>
        <v>18.75</v>
      </c>
    </row>
    <row r="13" spans="1:18" x14ac:dyDescent="0.35">
      <c r="M13" s="14">
        <v>-1</v>
      </c>
      <c r="N13" s="14">
        <v>-1</v>
      </c>
      <c r="O13" s="14">
        <f>(K7+K9)/4</f>
        <v>20.25</v>
      </c>
      <c r="P13" s="14">
        <v>-1</v>
      </c>
      <c r="Q13" s="14">
        <v>-1</v>
      </c>
      <c r="R13" s="14">
        <f>(K5+K9)/4</f>
        <v>8.5</v>
      </c>
    </row>
    <row r="14" spans="1:18" x14ac:dyDescent="0.35">
      <c r="A14" s="21"/>
      <c r="B14" s="21"/>
      <c r="C14" s="21"/>
      <c r="D14" s="21" t="s">
        <v>178</v>
      </c>
      <c r="E14" s="21"/>
      <c r="F14" s="21"/>
      <c r="G14" s="21"/>
    </row>
    <row r="15" spans="1:18" x14ac:dyDescent="0.35">
      <c r="A15" s="21" t="s">
        <v>160</v>
      </c>
      <c r="B15" s="21" t="s">
        <v>161</v>
      </c>
      <c r="C15" s="21" t="s">
        <v>162</v>
      </c>
      <c r="D15" s="21" t="s">
        <v>163</v>
      </c>
      <c r="E15" s="21" t="s">
        <v>164</v>
      </c>
      <c r="F15" s="21" t="s">
        <v>165</v>
      </c>
      <c r="G15" s="21" t="s">
        <v>166</v>
      </c>
      <c r="M15" s="14" t="s">
        <v>160</v>
      </c>
      <c r="N15" s="14" t="s">
        <v>161</v>
      </c>
      <c r="O15" s="14" t="s">
        <v>176</v>
      </c>
    </row>
    <row r="16" spans="1:18" x14ac:dyDescent="0.35">
      <c r="A16" s="21">
        <f>B2*$K$2+B3*$K$3+B4*$K$4+B5*$K$5+B6*$K$6+B7*$K$7+B8*$K$8+B9*$K$9</f>
        <v>87</v>
      </c>
      <c r="B16" s="21">
        <f t="shared" ref="B16:G16" si="1">C2*$K$2+C3*$K$3+C4*$K$4+C5*$K$5+C6*$K$6+C7*$K$7+C8*$K$8+C9*$K$9</f>
        <v>267</v>
      </c>
      <c r="C16" s="21">
        <f t="shared" si="1"/>
        <v>75</v>
      </c>
      <c r="D16" s="21">
        <f t="shared" si="1"/>
        <v>65</v>
      </c>
      <c r="E16" s="21">
        <f t="shared" si="1"/>
        <v>1</v>
      </c>
      <c r="F16" s="21">
        <f t="shared" si="1"/>
        <v>-7</v>
      </c>
      <c r="G16" s="21">
        <f t="shared" si="1"/>
        <v>-5</v>
      </c>
      <c r="M16" s="14">
        <v>1</v>
      </c>
      <c r="N16" s="14">
        <v>1</v>
      </c>
      <c r="O16" s="14">
        <f>(K2+K3)/4</f>
        <v>56.5</v>
      </c>
    </row>
    <row r="17" spans="1:15" x14ac:dyDescent="0.35">
      <c r="M17" s="14">
        <v>1</v>
      </c>
      <c r="N17" s="14">
        <v>-1</v>
      </c>
      <c r="O17" s="14">
        <f>(K4+K5)/4</f>
        <v>15</v>
      </c>
    </row>
    <row r="18" spans="1:15" x14ac:dyDescent="0.35">
      <c r="A18" s="8"/>
      <c r="B18" s="8"/>
      <c r="C18" s="8"/>
      <c r="D18" s="8" t="s">
        <v>179</v>
      </c>
      <c r="E18" s="8"/>
      <c r="F18" s="8"/>
      <c r="G18" s="8"/>
      <c r="M18" s="14">
        <v>-1</v>
      </c>
      <c r="N18" s="14">
        <v>1</v>
      </c>
      <c r="O18" s="14">
        <f>(K6+K7)/4</f>
        <v>37.5</v>
      </c>
    </row>
    <row r="19" spans="1:15" x14ac:dyDescent="0.35">
      <c r="A19" s="21" t="s">
        <v>160</v>
      </c>
      <c r="B19" s="21" t="s">
        <v>161</v>
      </c>
      <c r="C19" s="21" t="s">
        <v>162</v>
      </c>
      <c r="D19" s="21" t="s">
        <v>163</v>
      </c>
      <c r="E19" s="21" t="s">
        <v>164</v>
      </c>
      <c r="F19" s="21" t="s">
        <v>165</v>
      </c>
      <c r="G19" s="21" t="s">
        <v>166</v>
      </c>
      <c r="M19" s="14">
        <v>-1</v>
      </c>
      <c r="N19" s="14">
        <v>-1</v>
      </c>
      <c r="O19" s="14">
        <f>(K8+K9)/4</f>
        <v>12.25</v>
      </c>
    </row>
    <row r="20" spans="1:15" x14ac:dyDescent="0.35">
      <c r="A20" s="8">
        <f>A16/8</f>
        <v>10.875</v>
      </c>
      <c r="B20" s="8">
        <f t="shared" ref="B20:G20" si="2">B16/8</f>
        <v>33.375</v>
      </c>
      <c r="C20" s="8">
        <f t="shared" si="2"/>
        <v>9.375</v>
      </c>
      <c r="D20" s="8">
        <f t="shared" si="2"/>
        <v>8.125</v>
      </c>
      <c r="E20" s="8">
        <f t="shared" si="2"/>
        <v>0.125</v>
      </c>
      <c r="F20" s="8">
        <f t="shared" si="2"/>
        <v>-0.875</v>
      </c>
      <c r="G20" s="8">
        <f t="shared" si="2"/>
        <v>-0.625</v>
      </c>
    </row>
    <row r="22" spans="1:15" x14ac:dyDescent="0.35">
      <c r="A22" s="14"/>
      <c r="B22" s="14"/>
      <c r="C22" s="14"/>
      <c r="D22" s="14" t="s">
        <v>180</v>
      </c>
      <c r="E22" s="14"/>
      <c r="F22" s="14"/>
      <c r="G22" s="14"/>
    </row>
    <row r="23" spans="1:15" x14ac:dyDescent="0.35">
      <c r="A23" s="14">
        <f>(A16^2)/16</f>
        <v>473.0625</v>
      </c>
      <c r="B23" s="14">
        <f t="shared" ref="B23:G23" si="3">(B16^2)/16</f>
        <v>4455.5625</v>
      </c>
      <c r="C23" s="14">
        <f t="shared" si="3"/>
        <v>351.5625</v>
      </c>
      <c r="D23" s="14">
        <f t="shared" si="3"/>
        <v>264.0625</v>
      </c>
      <c r="E23" s="14">
        <f t="shared" si="3"/>
        <v>6.25E-2</v>
      </c>
      <c r="F23" s="14">
        <f t="shared" si="3"/>
        <v>3.0625</v>
      </c>
      <c r="G23" s="14">
        <f t="shared" si="3"/>
        <v>1.5625</v>
      </c>
      <c r="I23" t="s">
        <v>10</v>
      </c>
      <c r="J23">
        <f>SUM(A23:G23)</f>
        <v>5548.9375</v>
      </c>
    </row>
    <row r="25" spans="1:15" x14ac:dyDescent="0.35">
      <c r="A25" s="14">
        <v>60</v>
      </c>
      <c r="B25" s="14">
        <f>(A25-$B$41)^2</f>
        <v>881.34765625</v>
      </c>
    </row>
    <row r="26" spans="1:15" x14ac:dyDescent="0.35">
      <c r="A26" s="14">
        <v>55</v>
      </c>
      <c r="B26" s="14">
        <f t="shared" ref="B26:B40" si="4">(A26-$B$41)^2</f>
        <v>609.47265625</v>
      </c>
      <c r="I26" s="14"/>
      <c r="J26" s="14"/>
      <c r="K26" s="14"/>
      <c r="L26" s="14" t="s">
        <v>183</v>
      </c>
      <c r="M26" s="14"/>
      <c r="N26" s="14"/>
      <c r="O26" s="14"/>
    </row>
    <row r="27" spans="1:15" x14ac:dyDescent="0.35">
      <c r="A27" s="14">
        <v>20</v>
      </c>
      <c r="B27" s="14">
        <f t="shared" si="4"/>
        <v>106.34765625</v>
      </c>
      <c r="I27" s="14">
        <f>A23/$E$33</f>
        <v>142.81132075471697</v>
      </c>
      <c r="J27" s="14">
        <f t="shared" ref="J27:O27" si="5">B23/$E$33</f>
        <v>1345.0754716981132</v>
      </c>
      <c r="K27" s="14">
        <f t="shared" si="5"/>
        <v>106.13207547169812</v>
      </c>
      <c r="L27" s="14">
        <f t="shared" si="5"/>
        <v>79.716981132075475</v>
      </c>
      <c r="M27" s="14">
        <f t="shared" si="5"/>
        <v>1.8867924528301886E-2</v>
      </c>
      <c r="N27" s="14">
        <f t="shared" si="5"/>
        <v>0.92452830188679247</v>
      </c>
      <c r="O27" s="14">
        <f t="shared" si="5"/>
        <v>0.47169811320754718</v>
      </c>
    </row>
    <row r="28" spans="1:15" x14ac:dyDescent="0.35">
      <c r="A28" s="14">
        <v>9</v>
      </c>
      <c r="B28" s="14">
        <f t="shared" si="4"/>
        <v>454.22265625</v>
      </c>
    </row>
    <row r="29" spans="1:15" x14ac:dyDescent="0.35">
      <c r="A29" s="14">
        <v>40</v>
      </c>
      <c r="B29" s="14">
        <f t="shared" si="4"/>
        <v>93.84765625</v>
      </c>
      <c r="I29" s="14"/>
      <c r="J29" s="14"/>
      <c r="K29" s="14"/>
      <c r="L29" s="14" t="s">
        <v>184</v>
      </c>
      <c r="M29" s="14"/>
      <c r="N29" s="14"/>
      <c r="O29" s="14"/>
    </row>
    <row r="30" spans="1:15" x14ac:dyDescent="0.35">
      <c r="A30" s="14">
        <v>34</v>
      </c>
      <c r="B30" s="14">
        <f t="shared" si="4"/>
        <v>13.59765625</v>
      </c>
      <c r="I30" s="14">
        <f>_xlfn.F.INV.RT(0.05,1,8)</f>
        <v>5.3176550715787174</v>
      </c>
      <c r="J30" s="14">
        <f t="shared" ref="J30:O30" si="6">_xlfn.F.INV.RT(0.05,1,8)</f>
        <v>5.3176550715787174</v>
      </c>
      <c r="K30" s="14">
        <f t="shared" si="6"/>
        <v>5.3176550715787174</v>
      </c>
      <c r="L30" s="14">
        <f t="shared" si="6"/>
        <v>5.3176550715787174</v>
      </c>
      <c r="M30" s="14">
        <f t="shared" si="6"/>
        <v>5.3176550715787174</v>
      </c>
      <c r="N30" s="14">
        <f t="shared" si="6"/>
        <v>5.3176550715787174</v>
      </c>
      <c r="O30" s="14">
        <f t="shared" si="6"/>
        <v>5.3176550715787174</v>
      </c>
    </row>
    <row r="31" spans="1:15" x14ac:dyDescent="0.35">
      <c r="A31" s="14">
        <v>16</v>
      </c>
      <c r="B31" s="14">
        <f t="shared" si="4"/>
        <v>204.84765625</v>
      </c>
      <c r="D31" s="14" t="s">
        <v>27</v>
      </c>
      <c r="E31" s="14">
        <f>SUM(B25:B40)</f>
        <v>5575.4375</v>
      </c>
    </row>
    <row r="32" spans="1:15" x14ac:dyDescent="0.35">
      <c r="A32" s="14">
        <v>7</v>
      </c>
      <c r="B32" s="14">
        <f t="shared" si="4"/>
        <v>543.47265625</v>
      </c>
      <c r="D32" s="14" t="s">
        <v>17</v>
      </c>
      <c r="E32" s="14">
        <f>E31-J23</f>
        <v>26.5</v>
      </c>
    </row>
    <row r="33" spans="1:5" x14ac:dyDescent="0.35">
      <c r="A33" s="14">
        <v>61</v>
      </c>
      <c r="B33" s="14">
        <f t="shared" si="4"/>
        <v>941.72265625</v>
      </c>
      <c r="D33" s="14" t="s">
        <v>182</v>
      </c>
      <c r="E33" s="14">
        <f>E32/8</f>
        <v>3.3125</v>
      </c>
    </row>
    <row r="34" spans="1:5" x14ac:dyDescent="0.35">
      <c r="A34" s="14">
        <v>50</v>
      </c>
      <c r="B34" s="14">
        <f t="shared" si="4"/>
        <v>387.59765625</v>
      </c>
    </row>
    <row r="35" spans="1:5" x14ac:dyDescent="0.35">
      <c r="A35" s="14">
        <v>21</v>
      </c>
      <c r="B35" s="14">
        <f t="shared" si="4"/>
        <v>86.72265625</v>
      </c>
    </row>
    <row r="36" spans="1:5" x14ac:dyDescent="0.35">
      <c r="A36" s="14">
        <v>10</v>
      </c>
      <c r="B36" s="14">
        <f t="shared" si="4"/>
        <v>412.59765625</v>
      </c>
    </row>
    <row r="37" spans="1:5" x14ac:dyDescent="0.35">
      <c r="A37" s="14">
        <v>44</v>
      </c>
      <c r="B37" s="14">
        <f t="shared" si="4"/>
        <v>187.34765625</v>
      </c>
    </row>
    <row r="38" spans="1:5" x14ac:dyDescent="0.35">
      <c r="A38" s="14">
        <v>32</v>
      </c>
      <c r="B38" s="14">
        <f t="shared" si="4"/>
        <v>2.84765625</v>
      </c>
    </row>
    <row r="39" spans="1:5" x14ac:dyDescent="0.35">
      <c r="A39" s="14">
        <v>18</v>
      </c>
      <c r="B39" s="14">
        <f t="shared" si="4"/>
        <v>151.59765625</v>
      </c>
    </row>
    <row r="40" spans="1:5" x14ac:dyDescent="0.35">
      <c r="A40" s="14">
        <v>8</v>
      </c>
      <c r="B40" s="14">
        <f t="shared" si="4"/>
        <v>497.84765625</v>
      </c>
    </row>
    <row r="41" spans="1:5" x14ac:dyDescent="0.35">
      <c r="A41" s="14" t="s">
        <v>181</v>
      </c>
      <c r="B41" s="14">
        <f>AVERAGE(A25:A40)</f>
        <v>30.3125</v>
      </c>
    </row>
    <row r="42" spans="1:5" x14ac:dyDescent="0.35">
      <c r="A42" s="14" t="s">
        <v>23</v>
      </c>
      <c r="B42" s="14">
        <f>SUM(A25:A40)</f>
        <v>485</v>
      </c>
    </row>
    <row r="44" spans="1:5" x14ac:dyDescent="0.35">
      <c r="A44" t="s">
        <v>185</v>
      </c>
    </row>
    <row r="46" spans="1:5" x14ac:dyDescent="0.35">
      <c r="A46" s="21" t="s">
        <v>30</v>
      </c>
      <c r="B46" s="21" t="s">
        <v>178</v>
      </c>
      <c r="C46" s="21" t="s">
        <v>179</v>
      </c>
      <c r="D46" s="21" t="s">
        <v>180</v>
      </c>
    </row>
    <row r="47" spans="1:5" x14ac:dyDescent="0.35">
      <c r="A47" s="21" t="s">
        <v>160</v>
      </c>
      <c r="B47" s="21">
        <v>87</v>
      </c>
      <c r="C47" s="21">
        <v>10.875</v>
      </c>
      <c r="D47" s="21">
        <v>473.0625</v>
      </c>
    </row>
    <row r="48" spans="1:5" x14ac:dyDescent="0.35">
      <c r="A48" s="21" t="s">
        <v>161</v>
      </c>
      <c r="B48" s="21">
        <v>267</v>
      </c>
      <c r="C48" s="21">
        <v>33.375</v>
      </c>
      <c r="D48" s="21">
        <v>4455.5630000000001</v>
      </c>
    </row>
    <row r="49" spans="1:6" x14ac:dyDescent="0.35">
      <c r="A49" s="21" t="s">
        <v>162</v>
      </c>
      <c r="B49" s="21">
        <v>75</v>
      </c>
      <c r="C49" s="21">
        <v>9.375</v>
      </c>
      <c r="D49" s="21">
        <v>351.5625</v>
      </c>
    </row>
    <row r="50" spans="1:6" x14ac:dyDescent="0.35">
      <c r="A50" s="21" t="s">
        <v>163</v>
      </c>
      <c r="B50" s="21">
        <v>65</v>
      </c>
      <c r="C50" s="21">
        <v>8.125</v>
      </c>
      <c r="D50" s="21">
        <v>264.0625</v>
      </c>
    </row>
    <row r="51" spans="1:6" x14ac:dyDescent="0.35">
      <c r="A51" s="21" t="s">
        <v>164</v>
      </c>
      <c r="B51" s="21">
        <v>1</v>
      </c>
      <c r="C51" s="21">
        <v>0.125</v>
      </c>
      <c r="D51" s="21">
        <v>6.25E-2</v>
      </c>
    </row>
    <row r="52" spans="1:6" x14ac:dyDescent="0.35">
      <c r="A52" s="21" t="s">
        <v>165</v>
      </c>
      <c r="B52" s="21">
        <v>-7</v>
      </c>
      <c r="C52" s="21">
        <v>-0.875</v>
      </c>
      <c r="D52" s="21">
        <v>3.0625</v>
      </c>
    </row>
    <row r="53" spans="1:6" x14ac:dyDescent="0.35">
      <c r="A53" s="21" t="s">
        <v>166</v>
      </c>
      <c r="B53" s="21">
        <v>-5</v>
      </c>
      <c r="C53" s="21">
        <v>-0.625</v>
      </c>
      <c r="D53" s="21">
        <v>1.5625</v>
      </c>
    </row>
    <row r="55" spans="1:6" x14ac:dyDescent="0.35">
      <c r="A55" s="21" t="s">
        <v>30</v>
      </c>
      <c r="B55" s="21" t="s">
        <v>180</v>
      </c>
      <c r="C55" s="21" t="s">
        <v>18</v>
      </c>
      <c r="D55" s="21" t="s">
        <v>19</v>
      </c>
      <c r="E55" s="21" t="s">
        <v>34</v>
      </c>
      <c r="F55" s="21" t="s">
        <v>186</v>
      </c>
    </row>
    <row r="56" spans="1:6" x14ac:dyDescent="0.35">
      <c r="A56" s="21" t="s">
        <v>160</v>
      </c>
      <c r="B56" s="21">
        <v>473.0625</v>
      </c>
      <c r="C56" s="21">
        <v>1</v>
      </c>
      <c r="D56" s="21">
        <f>B56/C56</f>
        <v>473.0625</v>
      </c>
      <c r="E56" s="21">
        <v>142.81100000000001</v>
      </c>
      <c r="F56" s="21">
        <v>5.3176550000000002</v>
      </c>
    </row>
    <row r="57" spans="1:6" x14ac:dyDescent="0.35">
      <c r="A57" s="21" t="s">
        <v>161</v>
      </c>
      <c r="B57" s="21">
        <v>4455.5630000000001</v>
      </c>
      <c r="C57" s="21">
        <v>1</v>
      </c>
      <c r="D57" s="21">
        <f t="shared" ref="D57:D62" si="7">B57/C57</f>
        <v>4455.5630000000001</v>
      </c>
      <c r="E57" s="21">
        <v>1345.075</v>
      </c>
      <c r="F57" s="21">
        <v>5.3176550000000002</v>
      </c>
    </row>
    <row r="58" spans="1:6" x14ac:dyDescent="0.35">
      <c r="A58" s="21" t="s">
        <v>162</v>
      </c>
      <c r="B58" s="21">
        <v>351.5625</v>
      </c>
      <c r="C58" s="21">
        <v>1</v>
      </c>
      <c r="D58" s="21">
        <f t="shared" si="7"/>
        <v>351.5625</v>
      </c>
      <c r="E58" s="21">
        <v>106.13200000000001</v>
      </c>
      <c r="F58" s="21">
        <v>5.3176550000000002</v>
      </c>
    </row>
    <row r="59" spans="1:6" x14ac:dyDescent="0.35">
      <c r="A59" s="21" t="s">
        <v>163</v>
      </c>
      <c r="B59" s="21">
        <v>264.0625</v>
      </c>
      <c r="C59" s="21">
        <v>1</v>
      </c>
      <c r="D59" s="21">
        <f t="shared" si="7"/>
        <v>264.0625</v>
      </c>
      <c r="E59" s="21">
        <v>79.716999999999999</v>
      </c>
      <c r="F59" s="21">
        <v>5.3176550000000002</v>
      </c>
    </row>
    <row r="60" spans="1:6" x14ac:dyDescent="0.35">
      <c r="A60" s="21" t="s">
        <v>164</v>
      </c>
      <c r="B60" s="21">
        <v>6.25E-2</v>
      </c>
      <c r="C60" s="21">
        <v>1</v>
      </c>
      <c r="D60" s="21">
        <f t="shared" si="7"/>
        <v>6.25E-2</v>
      </c>
      <c r="E60" s="21">
        <v>1.9E-2</v>
      </c>
      <c r="F60" s="21">
        <v>5.3176550000000002</v>
      </c>
    </row>
    <row r="61" spans="1:6" x14ac:dyDescent="0.35">
      <c r="A61" s="21" t="s">
        <v>165</v>
      </c>
      <c r="B61" s="21">
        <v>3.0625</v>
      </c>
      <c r="C61" s="21">
        <v>1</v>
      </c>
      <c r="D61" s="21">
        <f t="shared" si="7"/>
        <v>3.0625</v>
      </c>
      <c r="E61" s="21">
        <v>0.92500000000000004</v>
      </c>
      <c r="F61" s="21">
        <v>5.3176550000000002</v>
      </c>
    </row>
    <row r="62" spans="1:6" x14ac:dyDescent="0.35">
      <c r="A62" s="21" t="s">
        <v>166</v>
      </c>
      <c r="B62" s="21">
        <v>1.5625</v>
      </c>
      <c r="C62" s="21">
        <v>1</v>
      </c>
      <c r="D62" s="21">
        <f t="shared" si="7"/>
        <v>1.5625</v>
      </c>
      <c r="E62" s="21">
        <v>0.47199999999999998</v>
      </c>
      <c r="F62" s="21"/>
    </row>
    <row r="63" spans="1:6" x14ac:dyDescent="0.35">
      <c r="A63" s="21" t="s">
        <v>38</v>
      </c>
      <c r="B63" s="21">
        <v>26.5</v>
      </c>
      <c r="C63" s="21">
        <v>8</v>
      </c>
      <c r="D63" s="21">
        <f>B63/C63</f>
        <v>3.3125</v>
      </c>
      <c r="E63" s="21"/>
      <c r="F63" s="21"/>
    </row>
    <row r="64" spans="1:6" x14ac:dyDescent="0.35">
      <c r="A64" s="21" t="s">
        <v>39</v>
      </c>
      <c r="B64" s="21">
        <v>5575.4375</v>
      </c>
      <c r="C64" s="21">
        <v>15</v>
      </c>
      <c r="D64" s="21"/>
      <c r="E64" s="21"/>
      <c r="F64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471C-1B24-460E-B967-F67134C21904}">
  <dimension ref="A1:K51"/>
  <sheetViews>
    <sheetView topLeftCell="A40" workbookViewId="0">
      <selection activeCell="E19" sqref="E19"/>
    </sheetView>
  </sheetViews>
  <sheetFormatPr defaultRowHeight="14.5" x14ac:dyDescent="0.35"/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7.56</v>
      </c>
      <c r="J2">
        <v>7.81</v>
      </c>
      <c r="K2">
        <f>I2+J2</f>
        <v>15.37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7.59</v>
      </c>
      <c r="J3">
        <v>7.56</v>
      </c>
      <c r="K3">
        <f t="shared" ref="K3:K9" si="0">I3+J3</f>
        <v>15.149999999999999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7.69</v>
      </c>
      <c r="J4">
        <v>8.09</v>
      </c>
      <c r="K4">
        <f t="shared" si="0"/>
        <v>15.780000000000001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8.15</v>
      </c>
      <c r="J5">
        <v>8.18</v>
      </c>
      <c r="K5">
        <f t="shared" si="0"/>
        <v>16.329999999999998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7.56</v>
      </c>
      <c r="J6">
        <v>7.52</v>
      </c>
      <c r="K6">
        <f t="shared" si="0"/>
        <v>15.079999999999998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7.5</v>
      </c>
      <c r="J7">
        <v>7.56</v>
      </c>
      <c r="K7">
        <f t="shared" si="0"/>
        <v>15.059999999999999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7.54</v>
      </c>
      <c r="J8">
        <v>8</v>
      </c>
      <c r="K8">
        <f t="shared" si="0"/>
        <v>15.54</v>
      </c>
    </row>
    <row r="9" spans="1:11" x14ac:dyDescent="0.35">
      <c r="A9" t="s">
        <v>174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7.78</v>
      </c>
      <c r="J9">
        <v>7.78</v>
      </c>
      <c r="K9">
        <f t="shared" si="0"/>
        <v>15.56</v>
      </c>
    </row>
    <row r="12" spans="1:11" x14ac:dyDescent="0.35">
      <c r="A12">
        <v>7.56</v>
      </c>
      <c r="B12">
        <f>(A12-$B$28)^2</f>
        <v>3.3078515625000568E-2</v>
      </c>
    </row>
    <row r="13" spans="1:11" x14ac:dyDescent="0.35">
      <c r="A13">
        <v>7.59</v>
      </c>
      <c r="B13">
        <f t="shared" ref="B13:B27" si="1">(A13-$B$28)^2</f>
        <v>2.3066015625000401E-2</v>
      </c>
    </row>
    <row r="14" spans="1:11" x14ac:dyDescent="0.35">
      <c r="A14">
        <v>7.69</v>
      </c>
      <c r="B14">
        <f t="shared" si="1"/>
        <v>2.6910156250000809E-3</v>
      </c>
    </row>
    <row r="15" spans="1:11" x14ac:dyDescent="0.35">
      <c r="A15">
        <v>8.15</v>
      </c>
      <c r="B15">
        <f t="shared" si="1"/>
        <v>0.16656601562499934</v>
      </c>
    </row>
    <row r="16" spans="1:11" x14ac:dyDescent="0.35">
      <c r="A16">
        <v>7.56</v>
      </c>
      <c r="B16">
        <f t="shared" si="1"/>
        <v>3.3078515625000568E-2</v>
      </c>
    </row>
    <row r="17" spans="1:5" x14ac:dyDescent="0.35">
      <c r="A17">
        <v>7.5</v>
      </c>
      <c r="B17">
        <f t="shared" si="1"/>
        <v>5.8503515625000564E-2</v>
      </c>
    </row>
    <row r="18" spans="1:5" x14ac:dyDescent="0.35">
      <c r="A18">
        <v>7.54</v>
      </c>
      <c r="B18">
        <f t="shared" si="1"/>
        <v>4.0753515625000458E-2</v>
      </c>
      <c r="D18" t="s">
        <v>27</v>
      </c>
      <c r="E18">
        <f>SUM(B12:B27)</f>
        <v>0.86044375000000073</v>
      </c>
    </row>
    <row r="19" spans="1:5" x14ac:dyDescent="0.35">
      <c r="A19">
        <v>7.78</v>
      </c>
      <c r="B19">
        <f t="shared" si="1"/>
        <v>1.4535156249999295E-3</v>
      </c>
      <c r="D19" t="s">
        <v>17</v>
      </c>
      <c r="E19">
        <f>E18-G36</f>
        <v>0.22055000000000158</v>
      </c>
    </row>
    <row r="20" spans="1:5" x14ac:dyDescent="0.35">
      <c r="A20">
        <v>7.81</v>
      </c>
      <c r="B20">
        <f t="shared" si="1"/>
        <v>4.6410156249997872E-3</v>
      </c>
      <c r="D20" t="s">
        <v>182</v>
      </c>
      <c r="E20">
        <f>E19/8</f>
        <v>2.7568750000000197E-2</v>
      </c>
    </row>
    <row r="21" spans="1:5" x14ac:dyDescent="0.35">
      <c r="A21">
        <v>7.56</v>
      </c>
      <c r="B21">
        <f t="shared" si="1"/>
        <v>3.3078515625000568E-2</v>
      </c>
    </row>
    <row r="22" spans="1:5" x14ac:dyDescent="0.35">
      <c r="A22">
        <v>8.09</v>
      </c>
      <c r="B22">
        <f t="shared" si="1"/>
        <v>0.12119101562499908</v>
      </c>
    </row>
    <row r="23" spans="1:5" x14ac:dyDescent="0.35">
      <c r="A23">
        <v>8.18</v>
      </c>
      <c r="B23">
        <f t="shared" si="1"/>
        <v>0.19195351562499871</v>
      </c>
    </row>
    <row r="24" spans="1:5" x14ac:dyDescent="0.35">
      <c r="A24">
        <v>7.52</v>
      </c>
      <c r="B24">
        <f t="shared" si="1"/>
        <v>4.9228515625000711E-2</v>
      </c>
    </row>
    <row r="25" spans="1:5" x14ac:dyDescent="0.35">
      <c r="A25">
        <v>7.56</v>
      </c>
      <c r="B25">
        <f t="shared" si="1"/>
        <v>3.3078515625000568E-2</v>
      </c>
    </row>
    <row r="26" spans="1:5" x14ac:dyDescent="0.35">
      <c r="A26">
        <v>8</v>
      </c>
      <c r="B26">
        <f t="shared" si="1"/>
        <v>6.6628515624999399E-2</v>
      </c>
    </row>
    <row r="27" spans="1:5" x14ac:dyDescent="0.35">
      <c r="A27">
        <v>7.78</v>
      </c>
      <c r="B27">
        <f t="shared" si="1"/>
        <v>1.4535156249999295E-3</v>
      </c>
    </row>
    <row r="28" spans="1:5" x14ac:dyDescent="0.35">
      <c r="A28" t="s">
        <v>181</v>
      </c>
      <c r="B28">
        <f>AVERAGE(A12:A27)</f>
        <v>7.7418750000000012</v>
      </c>
    </row>
    <row r="29" spans="1:5" x14ac:dyDescent="0.35">
      <c r="A29" t="s">
        <v>23</v>
      </c>
      <c r="B29">
        <f>SUM(A12:A27)</f>
        <v>123.87000000000002</v>
      </c>
    </row>
    <row r="31" spans="1:5" x14ac:dyDescent="0.35">
      <c r="A31" t="s">
        <v>191</v>
      </c>
    </row>
    <row r="33" spans="1:7" x14ac:dyDescent="0.35">
      <c r="A33" s="21" t="s">
        <v>30</v>
      </c>
      <c r="B33" s="21" t="s">
        <v>178</v>
      </c>
      <c r="C33" s="23" t="s">
        <v>179</v>
      </c>
      <c r="D33" s="23" t="s">
        <v>180</v>
      </c>
    </row>
    <row r="34" spans="1:7" x14ac:dyDescent="0.35">
      <c r="A34" s="21" t="s">
        <v>160</v>
      </c>
      <c r="B34" s="22">
        <f>B2*$K$2+B3*$K$3+B4*$K$4+B5*$K$5+B6*$K$6+B7*$K$7+B8*$K$8+B9*$K$9</f>
        <v>1.3899999999999952</v>
      </c>
      <c r="C34" s="22">
        <f>B34/8</f>
        <v>0.1737499999999994</v>
      </c>
      <c r="D34" s="21">
        <f>(B34^2)/16</f>
        <v>0.12075624999999918</v>
      </c>
    </row>
    <row r="35" spans="1:7" x14ac:dyDescent="0.35">
      <c r="A35" s="21" t="s">
        <v>161</v>
      </c>
      <c r="B35" s="22">
        <v>-2.5499999999999998</v>
      </c>
      <c r="C35" s="22">
        <f t="shared" ref="C35:C40" si="2">B35/8</f>
        <v>-0.31874999999999998</v>
      </c>
      <c r="D35" s="21">
        <f t="shared" ref="D35:D40" si="3">(B35^2)/16</f>
        <v>0.40640624999999997</v>
      </c>
    </row>
    <row r="36" spans="1:7" x14ac:dyDescent="0.35">
      <c r="A36" s="21" t="s">
        <v>162</v>
      </c>
      <c r="B36" s="21">
        <v>-0.33</v>
      </c>
      <c r="C36" s="22">
        <f t="shared" si="2"/>
        <v>-4.1250000000000002E-2</v>
      </c>
      <c r="D36" s="21">
        <f t="shared" si="3"/>
        <v>6.8062500000000007E-3</v>
      </c>
      <c r="F36" t="s">
        <v>192</v>
      </c>
      <c r="G36">
        <f>SUM(D34:D40)</f>
        <v>0.63989374999999915</v>
      </c>
    </row>
    <row r="37" spans="1:7" x14ac:dyDescent="0.35">
      <c r="A37" s="21" t="s">
        <v>163</v>
      </c>
      <c r="B37" s="21">
        <v>-0.63</v>
      </c>
      <c r="C37" s="22">
        <f t="shared" si="2"/>
        <v>-7.8750000000000001E-2</v>
      </c>
      <c r="D37" s="21">
        <f t="shared" si="3"/>
        <v>2.4806250000000002E-2</v>
      </c>
    </row>
    <row r="38" spans="1:7" x14ac:dyDescent="0.35">
      <c r="A38" s="21" t="s">
        <v>164</v>
      </c>
      <c r="B38" s="21">
        <v>-0.33</v>
      </c>
      <c r="C38" s="22">
        <f t="shared" si="2"/>
        <v>-4.1250000000000002E-2</v>
      </c>
      <c r="D38" s="21">
        <f t="shared" si="3"/>
        <v>6.8062500000000007E-3</v>
      </c>
    </row>
    <row r="39" spans="1:7" x14ac:dyDescent="0.35">
      <c r="A39" s="21" t="s">
        <v>165</v>
      </c>
      <c r="B39" s="21">
        <v>0.81</v>
      </c>
      <c r="C39" s="22">
        <f t="shared" si="2"/>
        <v>0.10125000000000001</v>
      </c>
      <c r="D39" s="21">
        <f t="shared" si="3"/>
        <v>4.1006250000000008E-2</v>
      </c>
    </row>
    <row r="40" spans="1:7" x14ac:dyDescent="0.35">
      <c r="A40" s="21" t="s">
        <v>166</v>
      </c>
      <c r="B40" s="21">
        <v>0.73</v>
      </c>
      <c r="C40" s="22">
        <f t="shared" si="2"/>
        <v>9.1249999999999998E-2</v>
      </c>
      <c r="D40" s="21">
        <f t="shared" si="3"/>
        <v>3.3306249999999996E-2</v>
      </c>
    </row>
    <row r="42" spans="1:7" x14ac:dyDescent="0.35">
      <c r="A42" s="21" t="s">
        <v>30</v>
      </c>
      <c r="B42" s="21" t="s">
        <v>180</v>
      </c>
      <c r="C42" s="21" t="s">
        <v>18</v>
      </c>
      <c r="D42" s="22" t="s">
        <v>19</v>
      </c>
      <c r="E42" s="21" t="s">
        <v>34</v>
      </c>
    </row>
    <row r="43" spans="1:7" x14ac:dyDescent="0.35">
      <c r="A43" s="21" t="s">
        <v>160</v>
      </c>
      <c r="B43" s="21">
        <f>(B34^2)/16</f>
        <v>0.12075624999999918</v>
      </c>
      <c r="C43" s="21">
        <v>1</v>
      </c>
      <c r="D43" s="22">
        <f>B43/C43</f>
        <v>0.12075624999999918</v>
      </c>
      <c r="E43" s="21">
        <f>D43/$D$50</f>
        <v>4.3801858988891107</v>
      </c>
    </row>
    <row r="44" spans="1:7" x14ac:dyDescent="0.35">
      <c r="A44" s="21" t="s">
        <v>161</v>
      </c>
      <c r="B44" s="21">
        <f t="shared" ref="B44:B49" si="4">(B35^2)/16</f>
        <v>0.40640624999999997</v>
      </c>
      <c r="C44" s="21">
        <v>1</v>
      </c>
      <c r="D44" s="22">
        <f t="shared" ref="D44:D49" si="5">B44/C44</f>
        <v>0.40640624999999997</v>
      </c>
      <c r="E44" s="21">
        <f t="shared" ref="E44:E49" si="6">D44/$D$50</f>
        <v>14.741555202901836</v>
      </c>
    </row>
    <row r="45" spans="1:7" x14ac:dyDescent="0.35">
      <c r="A45" s="21" t="s">
        <v>162</v>
      </c>
      <c r="B45" s="21">
        <f t="shared" si="4"/>
        <v>6.8062500000000007E-3</v>
      </c>
      <c r="C45" s="21">
        <v>1</v>
      </c>
      <c r="D45" s="22">
        <f t="shared" si="5"/>
        <v>6.8062500000000007E-3</v>
      </c>
      <c r="E45" s="21">
        <f t="shared" si="6"/>
        <v>0.24688279301745639</v>
      </c>
    </row>
    <row r="46" spans="1:7" x14ac:dyDescent="0.35">
      <c r="A46" s="21" t="s">
        <v>163</v>
      </c>
      <c r="B46" s="21">
        <f t="shared" si="4"/>
        <v>2.4806250000000002E-2</v>
      </c>
      <c r="C46" s="21">
        <v>1</v>
      </c>
      <c r="D46" s="22">
        <f t="shared" si="5"/>
        <v>2.4806250000000002E-2</v>
      </c>
      <c r="E46" s="21">
        <f t="shared" si="6"/>
        <v>0.8997959646338699</v>
      </c>
    </row>
    <row r="47" spans="1:7" x14ac:dyDescent="0.35">
      <c r="A47" s="21" t="s">
        <v>164</v>
      </c>
      <c r="B47" s="21">
        <f t="shared" si="4"/>
        <v>6.8062500000000007E-3</v>
      </c>
      <c r="C47" s="21">
        <v>1</v>
      </c>
      <c r="D47" s="22">
        <f t="shared" si="5"/>
        <v>6.8062500000000007E-3</v>
      </c>
      <c r="E47" s="21">
        <f t="shared" si="6"/>
        <v>0.24688279301745639</v>
      </c>
    </row>
    <row r="48" spans="1:7" x14ac:dyDescent="0.35">
      <c r="A48" s="21" t="s">
        <v>165</v>
      </c>
      <c r="B48" s="21">
        <f t="shared" si="4"/>
        <v>4.1006250000000008E-2</v>
      </c>
      <c r="C48" s="21">
        <v>1</v>
      </c>
      <c r="D48" s="22">
        <f t="shared" si="5"/>
        <v>4.1006250000000008E-2</v>
      </c>
      <c r="E48" s="21">
        <f t="shared" si="6"/>
        <v>1.4874178190886425</v>
      </c>
    </row>
    <row r="49" spans="1:5" x14ac:dyDescent="0.35">
      <c r="A49" s="21" t="s">
        <v>166</v>
      </c>
      <c r="B49" s="21">
        <f t="shared" si="4"/>
        <v>3.3306249999999996E-2</v>
      </c>
      <c r="C49" s="21">
        <v>1</v>
      </c>
      <c r="D49" s="22">
        <f t="shared" si="5"/>
        <v>3.3306249999999996E-2</v>
      </c>
      <c r="E49" s="21">
        <f t="shared" si="6"/>
        <v>1.2081160734527316</v>
      </c>
    </row>
    <row r="50" spans="1:5" x14ac:dyDescent="0.35">
      <c r="A50" s="21" t="s">
        <v>38</v>
      </c>
      <c r="B50" s="21">
        <v>0.22055</v>
      </c>
      <c r="C50" s="21">
        <v>8</v>
      </c>
      <c r="D50" s="22">
        <f>B50/C50</f>
        <v>2.756875E-2</v>
      </c>
      <c r="E50" s="21"/>
    </row>
    <row r="51" spans="1:5" x14ac:dyDescent="0.35">
      <c r="A51" s="21" t="s">
        <v>39</v>
      </c>
      <c r="B51" s="21">
        <v>0.86044399999999999</v>
      </c>
      <c r="C51" s="21">
        <v>15</v>
      </c>
      <c r="D51" s="22"/>
      <c r="E51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A7FD-9C63-4A60-9DB3-6D00898395B1}">
  <dimension ref="A1:K61"/>
  <sheetViews>
    <sheetView topLeftCell="A49" workbookViewId="0">
      <selection activeCell="H69" sqref="H69"/>
    </sheetView>
  </sheetViews>
  <sheetFormatPr defaultRowHeight="14.5" x14ac:dyDescent="0.35"/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13.44</v>
      </c>
      <c r="J2">
        <v>12.923</v>
      </c>
      <c r="K2">
        <f>I2+J2</f>
        <v>26.363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17.273</v>
      </c>
      <c r="J3">
        <v>17.815000000000001</v>
      </c>
      <c r="K3">
        <f t="shared" ref="K3:K9" si="0">I3+J3</f>
        <v>35.088000000000001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4.3680000000000003</v>
      </c>
      <c r="J4">
        <v>4.0979999999999999</v>
      </c>
      <c r="K4">
        <f t="shared" si="0"/>
        <v>8.4660000000000011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14.707000000000001</v>
      </c>
      <c r="J5">
        <v>15.218999999999999</v>
      </c>
      <c r="K5">
        <f t="shared" si="0"/>
        <v>29.926000000000002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9.36</v>
      </c>
      <c r="J6">
        <v>9.2530000000000001</v>
      </c>
      <c r="K6">
        <f t="shared" si="0"/>
        <v>18.613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11.635</v>
      </c>
      <c r="J7">
        <v>12.089</v>
      </c>
      <c r="K7">
        <f t="shared" si="0"/>
        <v>23.724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10.403</v>
      </c>
      <c r="J8">
        <v>10.151</v>
      </c>
      <c r="K8">
        <f t="shared" si="0"/>
        <v>20.554000000000002</v>
      </c>
    </row>
    <row r="9" spans="1:11" x14ac:dyDescent="0.35">
      <c r="A9" t="s">
        <v>174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7.0369999999999999</v>
      </c>
      <c r="J9">
        <v>6.3760000000000003</v>
      </c>
      <c r="K9">
        <f t="shared" si="0"/>
        <v>13.413</v>
      </c>
    </row>
    <row r="12" spans="1:11" x14ac:dyDescent="0.35">
      <c r="A12">
        <v>13.44</v>
      </c>
      <c r="B12">
        <f>(A12-$B$28)^2</f>
        <v>5.9088494101562414</v>
      </c>
    </row>
    <row r="13" spans="1:11" x14ac:dyDescent="0.35">
      <c r="A13">
        <v>17.273</v>
      </c>
      <c r="B13">
        <f t="shared" ref="B13:B27" si="1">(A13-$B$28)^2</f>
        <v>39.235347035156231</v>
      </c>
    </row>
    <row r="14" spans="1:11" x14ac:dyDescent="0.35">
      <c r="A14">
        <v>4.3680000000000003</v>
      </c>
      <c r="B14">
        <f t="shared" si="1"/>
        <v>44.105371410156259</v>
      </c>
    </row>
    <row r="15" spans="1:11" x14ac:dyDescent="0.35">
      <c r="A15">
        <v>14.707000000000001</v>
      </c>
      <c r="B15">
        <f t="shared" si="1"/>
        <v>13.673817285156247</v>
      </c>
    </row>
    <row r="16" spans="1:11" x14ac:dyDescent="0.35">
      <c r="A16">
        <v>9.36</v>
      </c>
      <c r="B16">
        <f t="shared" si="1"/>
        <v>2.7198194101562558</v>
      </c>
    </row>
    <row r="17" spans="1:5" x14ac:dyDescent="0.35">
      <c r="A17">
        <v>11.635</v>
      </c>
      <c r="B17">
        <f t="shared" si="1"/>
        <v>0.39164128515624819</v>
      </c>
    </row>
    <row r="18" spans="1:5" x14ac:dyDescent="0.35">
      <c r="A18">
        <v>10.403</v>
      </c>
      <c r="B18">
        <f t="shared" si="1"/>
        <v>0.36746328515625093</v>
      </c>
      <c r="D18" t="s">
        <v>27</v>
      </c>
      <c r="E18">
        <f>SUM(B12:B27)</f>
        <v>264.10248043750005</v>
      </c>
    </row>
    <row r="19" spans="1:5" x14ac:dyDescent="0.35">
      <c r="A19">
        <v>7.0369999999999999</v>
      </c>
      <c r="B19">
        <f t="shared" si="1"/>
        <v>15.778273535156261</v>
      </c>
      <c r="D19" t="s">
        <v>17</v>
      </c>
      <c r="E19">
        <f>E18-G36</f>
        <v>0.80704350000007707</v>
      </c>
    </row>
    <row r="20" spans="1:5" x14ac:dyDescent="0.35">
      <c r="A20">
        <v>12.923</v>
      </c>
      <c r="B20">
        <f t="shared" si="1"/>
        <v>3.6626782851562454</v>
      </c>
      <c r="D20" t="s">
        <v>182</v>
      </c>
      <c r="E20">
        <f>E19/8</f>
        <v>0.10088043750000963</v>
      </c>
    </row>
    <row r="21" spans="1:5" x14ac:dyDescent="0.35">
      <c r="A21">
        <v>17.815000000000001</v>
      </c>
      <c r="B21">
        <f t="shared" si="1"/>
        <v>46.319083785156252</v>
      </c>
    </row>
    <row r="22" spans="1:5" x14ac:dyDescent="0.35">
      <c r="A22">
        <v>4.0979999999999999</v>
      </c>
      <c r="B22">
        <f t="shared" si="1"/>
        <v>47.764512660156271</v>
      </c>
    </row>
    <row r="23" spans="1:5" x14ac:dyDescent="0.35">
      <c r="A23">
        <v>15.218999999999999</v>
      </c>
      <c r="B23">
        <f t="shared" si="1"/>
        <v>17.722521285156233</v>
      </c>
    </row>
    <row r="24" spans="1:5" x14ac:dyDescent="0.35">
      <c r="A24">
        <v>9.2530000000000001</v>
      </c>
      <c r="B24">
        <f t="shared" si="1"/>
        <v>3.0841945351562541</v>
      </c>
    </row>
    <row r="25" spans="1:5" x14ac:dyDescent="0.35">
      <c r="A25">
        <v>12.089</v>
      </c>
      <c r="B25">
        <f t="shared" si="1"/>
        <v>1.1659950351562482</v>
      </c>
    </row>
    <row r="26" spans="1:5" x14ac:dyDescent="0.35">
      <c r="A26">
        <v>10.151</v>
      </c>
      <c r="B26">
        <f t="shared" si="1"/>
        <v>0.73648578515625251</v>
      </c>
    </row>
    <row r="27" spans="1:5" x14ac:dyDescent="0.35">
      <c r="A27">
        <v>6.3760000000000003</v>
      </c>
      <c r="B27">
        <f t="shared" si="1"/>
        <v>21.466426410156259</v>
      </c>
    </row>
    <row r="28" spans="1:5" x14ac:dyDescent="0.35">
      <c r="A28" t="s">
        <v>181</v>
      </c>
      <c r="B28">
        <f>AVERAGE(A12:A27)</f>
        <v>11.009187500000001</v>
      </c>
    </row>
    <row r="29" spans="1:5" x14ac:dyDescent="0.35">
      <c r="A29" t="s">
        <v>193</v>
      </c>
      <c r="B29">
        <f>SUM(A12:A27)</f>
        <v>176.14700000000002</v>
      </c>
    </row>
    <row r="31" spans="1:5" x14ac:dyDescent="0.35">
      <c r="A31" t="s">
        <v>194</v>
      </c>
    </row>
    <row r="33" spans="1:7" x14ac:dyDescent="0.35">
      <c r="A33" s="21" t="s">
        <v>30</v>
      </c>
      <c r="B33" s="21" t="s">
        <v>178</v>
      </c>
      <c r="C33" s="23" t="s">
        <v>179</v>
      </c>
      <c r="D33" s="21" t="s">
        <v>180</v>
      </c>
    </row>
    <row r="34" spans="1:7" x14ac:dyDescent="0.35">
      <c r="A34" s="21" t="s">
        <v>160</v>
      </c>
      <c r="B34" s="22">
        <f>B2*$K$2+B3*$K$3+B4*$K$4+B5*$K$5+B6*$K$6+B7*$K$7+B8*$K$8+B9*$K$9</f>
        <v>23.538999999999998</v>
      </c>
      <c r="C34" s="22">
        <f>B34/8</f>
        <v>2.9423749999999997</v>
      </c>
      <c r="D34" s="21">
        <f>(B34^2)/16</f>
        <v>34.630282562499993</v>
      </c>
    </row>
    <row r="35" spans="1:7" x14ac:dyDescent="0.35">
      <c r="A35" s="21" t="s">
        <v>161</v>
      </c>
      <c r="B35" s="22">
        <v>31.428999999999998</v>
      </c>
      <c r="C35" s="22">
        <f t="shared" ref="C35:C40" si="2">B35/8</f>
        <v>3.9286249999999998</v>
      </c>
      <c r="D35" s="21">
        <f t="shared" ref="D35:D40" si="3">(B35^2)/16</f>
        <v>61.736377562499996</v>
      </c>
    </row>
    <row r="36" spans="1:7" x14ac:dyDescent="0.35">
      <c r="A36" s="21" t="s">
        <v>162</v>
      </c>
      <c r="B36" s="21">
        <v>-28.155000000000001</v>
      </c>
      <c r="C36" s="22">
        <f t="shared" si="2"/>
        <v>-3.5193750000000001</v>
      </c>
      <c r="D36" s="21">
        <f t="shared" si="3"/>
        <v>49.544001562500007</v>
      </c>
      <c r="F36" t="s">
        <v>195</v>
      </c>
      <c r="G36">
        <f>SUM(D34:D40)</f>
        <v>263.29543693749997</v>
      </c>
    </row>
    <row r="37" spans="1:7" x14ac:dyDescent="0.35">
      <c r="A37" s="21" t="s">
        <v>163</v>
      </c>
      <c r="B37" s="21">
        <v>14.689</v>
      </c>
      <c r="C37" s="22">
        <f t="shared" si="2"/>
        <v>1.836125</v>
      </c>
      <c r="D37" s="21">
        <f t="shared" si="3"/>
        <v>13.485420062499999</v>
      </c>
    </row>
    <row r="38" spans="1:7" x14ac:dyDescent="0.35">
      <c r="A38" s="21" t="s">
        <v>164</v>
      </c>
      <c r="B38" s="21">
        <v>-32.215000000000003</v>
      </c>
      <c r="C38" s="22">
        <f t="shared" si="2"/>
        <v>-4.0268750000000004</v>
      </c>
      <c r="D38" s="21">
        <f t="shared" si="3"/>
        <v>64.862889062500017</v>
      </c>
    </row>
    <row r="39" spans="1:7" x14ac:dyDescent="0.35">
      <c r="A39" s="21" t="s">
        <v>165</v>
      </c>
      <c r="B39" s="21">
        <v>0.48299999999999998</v>
      </c>
      <c r="C39" s="22">
        <f t="shared" si="2"/>
        <v>6.0374999999999998E-2</v>
      </c>
      <c r="D39" s="21">
        <f t="shared" si="3"/>
        <v>1.45805625E-2</v>
      </c>
    </row>
    <row r="40" spans="1:7" x14ac:dyDescent="0.35">
      <c r="A40" s="21" t="s">
        <v>166</v>
      </c>
      <c r="B40" s="21">
        <v>24.986999999999998</v>
      </c>
      <c r="C40" s="22">
        <f t="shared" si="2"/>
        <v>3.1233749999999998</v>
      </c>
      <c r="D40" s="21">
        <f t="shared" si="3"/>
        <v>39.021885562499996</v>
      </c>
    </row>
    <row r="42" spans="1:7" x14ac:dyDescent="0.35">
      <c r="A42" s="21" t="s">
        <v>30</v>
      </c>
      <c r="B42" s="21" t="s">
        <v>180</v>
      </c>
      <c r="C42" s="21" t="s">
        <v>18</v>
      </c>
      <c r="D42" s="22" t="s">
        <v>19</v>
      </c>
      <c r="E42" s="21" t="s">
        <v>34</v>
      </c>
    </row>
    <row r="43" spans="1:7" x14ac:dyDescent="0.35">
      <c r="A43" s="21" t="s">
        <v>160</v>
      </c>
      <c r="B43" s="21">
        <f>(B34^2)/16</f>
        <v>34.630282562499993</v>
      </c>
      <c r="C43" s="21">
        <v>1</v>
      </c>
      <c r="D43" s="22">
        <f>B43/1</f>
        <v>34.630282562499993</v>
      </c>
      <c r="E43" s="21">
        <f>D43/$D$50</f>
        <v>343.28024308463966</v>
      </c>
    </row>
    <row r="44" spans="1:7" x14ac:dyDescent="0.35">
      <c r="A44" s="21" t="s">
        <v>161</v>
      </c>
      <c r="B44" s="21">
        <f t="shared" ref="B44:B49" si="4">(B35^2)/16</f>
        <v>61.736377562499996</v>
      </c>
      <c r="C44" s="21">
        <v>1</v>
      </c>
      <c r="D44" s="22">
        <f t="shared" ref="D44:D49" si="5">B44/1</f>
        <v>61.736377562499996</v>
      </c>
      <c r="E44" s="21">
        <f t="shared" ref="E44:E49" si="6">D44/$D$50</f>
        <v>611.97533281952406</v>
      </c>
    </row>
    <row r="45" spans="1:7" x14ac:dyDescent="0.35">
      <c r="A45" s="21" t="s">
        <v>162</v>
      </c>
      <c r="B45" s="21">
        <f t="shared" si="4"/>
        <v>49.544001562500007</v>
      </c>
      <c r="C45" s="21">
        <v>1</v>
      </c>
      <c r="D45" s="22">
        <f t="shared" si="5"/>
        <v>49.544001562500007</v>
      </c>
      <c r="E45" s="21">
        <f t="shared" si="6"/>
        <v>491.1157415209085</v>
      </c>
    </row>
    <row r="46" spans="1:7" x14ac:dyDescent="0.35">
      <c r="A46" s="21" t="s">
        <v>163</v>
      </c>
      <c r="B46" s="21">
        <f t="shared" si="4"/>
        <v>13.485420062499999</v>
      </c>
      <c r="C46" s="21">
        <v>1</v>
      </c>
      <c r="D46" s="22">
        <f t="shared" si="5"/>
        <v>13.485420062499999</v>
      </c>
      <c r="E46" s="21">
        <f t="shared" si="6"/>
        <v>133.67717311571613</v>
      </c>
    </row>
    <row r="47" spans="1:7" x14ac:dyDescent="0.35">
      <c r="A47" s="21" t="s">
        <v>164</v>
      </c>
      <c r="B47" s="21">
        <f t="shared" si="4"/>
        <v>64.862889062500017</v>
      </c>
      <c r="C47" s="21">
        <v>1</v>
      </c>
      <c r="D47" s="22">
        <f t="shared" si="5"/>
        <v>64.862889062500017</v>
      </c>
      <c r="E47" s="21">
        <f t="shared" si="6"/>
        <v>642.96756124820968</v>
      </c>
    </row>
    <row r="48" spans="1:7" x14ac:dyDescent="0.35">
      <c r="A48" s="21" t="s">
        <v>165</v>
      </c>
      <c r="B48" s="21">
        <f t="shared" si="4"/>
        <v>1.45805625E-2</v>
      </c>
      <c r="C48" s="21">
        <v>1</v>
      </c>
      <c r="D48" s="22">
        <f t="shared" si="5"/>
        <v>1.45805625E-2</v>
      </c>
      <c r="E48" s="21">
        <f t="shared" si="6"/>
        <v>0.14453301183082953</v>
      </c>
    </row>
    <row r="49" spans="1:11" x14ac:dyDescent="0.35">
      <c r="A49" s="21" t="s">
        <v>166</v>
      </c>
      <c r="B49" s="21">
        <f t="shared" si="4"/>
        <v>39.021885562499996</v>
      </c>
      <c r="C49" s="21">
        <v>1</v>
      </c>
      <c r="D49" s="22">
        <f t="shared" si="5"/>
        <v>39.021885562499996</v>
      </c>
      <c r="E49" s="21">
        <f t="shared" si="6"/>
        <v>386.81296744663234</v>
      </c>
    </row>
    <row r="50" spans="1:11" x14ac:dyDescent="0.35">
      <c r="A50" s="21" t="s">
        <v>38</v>
      </c>
      <c r="B50" s="21">
        <v>0.80704399999999998</v>
      </c>
      <c r="C50" s="21">
        <v>8</v>
      </c>
      <c r="D50" s="22">
        <f>B50/C50</f>
        <v>0.1008805</v>
      </c>
      <c r="E50" s="21"/>
    </row>
    <row r="51" spans="1:11" x14ac:dyDescent="0.35">
      <c r="A51" s="21" t="s">
        <v>39</v>
      </c>
      <c r="B51" s="21">
        <v>264.10250000000002</v>
      </c>
      <c r="C51" s="21">
        <v>15</v>
      </c>
      <c r="D51" s="22"/>
      <c r="E51" s="21"/>
    </row>
    <row r="53" spans="1:11" x14ac:dyDescent="0.35">
      <c r="A53" s="14" t="s">
        <v>160</v>
      </c>
      <c r="B53" s="14" t="s">
        <v>176</v>
      </c>
      <c r="D53" s="14" t="s">
        <v>161</v>
      </c>
      <c r="E53" s="14" t="s">
        <v>176</v>
      </c>
      <c r="G53" s="14" t="s">
        <v>162</v>
      </c>
      <c r="H53" s="14" t="s">
        <v>176</v>
      </c>
    </row>
    <row r="54" spans="1:11" x14ac:dyDescent="0.35">
      <c r="A54" s="14">
        <v>-1</v>
      </c>
      <c r="B54" s="14">
        <f>(K6+K7+K8+K9)/8</f>
        <v>9.5380000000000003</v>
      </c>
      <c r="D54" s="14">
        <v>-1</v>
      </c>
      <c r="E54" s="14">
        <f>(K4+K5+K8+K9)/8</f>
        <v>9.0448750000000011</v>
      </c>
      <c r="G54" s="14">
        <v>-1</v>
      </c>
      <c r="H54" s="14">
        <f>(K3+K5+K7+K9)/8</f>
        <v>12.768875000000001</v>
      </c>
    </row>
    <row r="55" spans="1:11" x14ac:dyDescent="0.35">
      <c r="A55" s="14">
        <v>1</v>
      </c>
      <c r="B55" s="14">
        <f>(K2+K3+K4+K5)/8</f>
        <v>12.480375</v>
      </c>
      <c r="D55" s="14">
        <v>1</v>
      </c>
      <c r="E55" s="14">
        <f>(K2+K3+K6+K7)/8</f>
        <v>12.9735</v>
      </c>
      <c r="G55" s="14">
        <v>1</v>
      </c>
      <c r="H55" s="14">
        <f>(K2+K4+K6+K8)/8</f>
        <v>9.2495000000000012</v>
      </c>
    </row>
    <row r="57" spans="1:11" x14ac:dyDescent="0.35">
      <c r="A57" s="14" t="s">
        <v>160</v>
      </c>
      <c r="B57" s="14" t="s">
        <v>161</v>
      </c>
      <c r="C57" s="14" t="s">
        <v>176</v>
      </c>
      <c r="E57" s="14" t="s">
        <v>160</v>
      </c>
      <c r="F57" s="14" t="s">
        <v>162</v>
      </c>
      <c r="G57" s="14" t="s">
        <v>176</v>
      </c>
      <c r="I57" s="14" t="s">
        <v>161</v>
      </c>
      <c r="J57" s="14" t="s">
        <v>162</v>
      </c>
      <c r="K57" s="14" t="s">
        <v>176</v>
      </c>
    </row>
    <row r="58" spans="1:11" x14ac:dyDescent="0.35">
      <c r="A58" s="14">
        <v>1</v>
      </c>
      <c r="B58" s="14">
        <v>1</v>
      </c>
      <c r="C58" s="14">
        <f>(K2+K3)/4</f>
        <v>15.36275</v>
      </c>
      <c r="E58" s="14">
        <v>1</v>
      </c>
      <c r="F58" s="14">
        <v>1</v>
      </c>
      <c r="G58" s="14">
        <f>(K2+K4)/4</f>
        <v>8.7072500000000002</v>
      </c>
      <c r="I58" s="14">
        <v>1</v>
      </c>
      <c r="J58" s="14">
        <v>1</v>
      </c>
      <c r="K58" s="14">
        <f>(K2+K6)/4</f>
        <v>11.244</v>
      </c>
    </row>
    <row r="59" spans="1:11" x14ac:dyDescent="0.35">
      <c r="A59" s="14">
        <v>-1</v>
      </c>
      <c r="B59" s="14">
        <v>1</v>
      </c>
      <c r="C59" s="14">
        <f>(K6+K7)/4</f>
        <v>10.584250000000001</v>
      </c>
      <c r="E59" s="14">
        <v>-1</v>
      </c>
      <c r="F59" s="14">
        <v>1</v>
      </c>
      <c r="G59" s="14">
        <f>(K6+K8)/4</f>
        <v>9.7917500000000004</v>
      </c>
      <c r="I59" s="14">
        <v>-1</v>
      </c>
      <c r="J59" s="14">
        <v>1</v>
      </c>
      <c r="K59" s="14">
        <f>(K4+K8)/4</f>
        <v>7.2550000000000008</v>
      </c>
    </row>
    <row r="60" spans="1:11" x14ac:dyDescent="0.35">
      <c r="A60" s="14">
        <v>1</v>
      </c>
      <c r="B60" s="14">
        <v>-1</v>
      </c>
      <c r="C60" s="14">
        <f>(K4+K5)/4</f>
        <v>9.5980000000000008</v>
      </c>
      <c r="E60" s="14">
        <v>1</v>
      </c>
      <c r="F60" s="14">
        <v>-1</v>
      </c>
      <c r="G60" s="14">
        <f>(K3+K5)/4</f>
        <v>16.253500000000003</v>
      </c>
      <c r="I60" s="14">
        <v>1</v>
      </c>
      <c r="J60" s="14">
        <v>-1</v>
      </c>
      <c r="K60" s="14">
        <f>(K3+K7)/4</f>
        <v>14.702999999999999</v>
      </c>
    </row>
    <row r="61" spans="1:11" x14ac:dyDescent="0.35">
      <c r="A61" s="14">
        <v>-1</v>
      </c>
      <c r="B61" s="14">
        <v>-1</v>
      </c>
      <c r="C61" s="14">
        <f>(K8+K9)/4</f>
        <v>8.4917499999999997</v>
      </c>
      <c r="E61" s="14">
        <v>-1</v>
      </c>
      <c r="F61" s="14">
        <v>-1</v>
      </c>
      <c r="G61" s="14">
        <f>(K7+K9)/4</f>
        <v>9.2842500000000001</v>
      </c>
      <c r="I61" s="14">
        <v>-1</v>
      </c>
      <c r="J61" s="14">
        <v>-1</v>
      </c>
      <c r="K61" s="14">
        <f>(K5+K9)/4</f>
        <v>10.83475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FEA8-CC7D-4D15-9C04-77085F6C4DA3}">
  <dimension ref="A1:K56"/>
  <sheetViews>
    <sheetView topLeftCell="A43" workbookViewId="0">
      <selection activeCell="A58" sqref="A58"/>
    </sheetView>
  </sheetViews>
  <sheetFormatPr defaultRowHeight="14.5" x14ac:dyDescent="0.35"/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173</v>
      </c>
      <c r="J2">
        <v>170</v>
      </c>
      <c r="K2">
        <f>I2+J2</f>
        <v>343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183</v>
      </c>
      <c r="J3">
        <v>180</v>
      </c>
      <c r="K3">
        <f t="shared" ref="K3:K9" si="0">I3+J3</f>
        <v>363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181</v>
      </c>
      <c r="J4">
        <v>180</v>
      </c>
      <c r="K4">
        <f t="shared" si="0"/>
        <v>361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174</v>
      </c>
      <c r="J5">
        <v>178</v>
      </c>
      <c r="K5">
        <f t="shared" si="0"/>
        <v>352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188</v>
      </c>
      <c r="J6">
        <v>182</v>
      </c>
      <c r="K6">
        <f t="shared" si="0"/>
        <v>370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181</v>
      </c>
      <c r="J7">
        <v>185</v>
      </c>
      <c r="K7">
        <f t="shared" si="0"/>
        <v>366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177</v>
      </c>
      <c r="J8">
        <v>178</v>
      </c>
      <c r="K8">
        <f t="shared" si="0"/>
        <v>355</v>
      </c>
    </row>
    <row r="9" spans="1:11" x14ac:dyDescent="0.35">
      <c r="A9" t="s">
        <v>174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190</v>
      </c>
      <c r="J9">
        <v>193</v>
      </c>
      <c r="K9">
        <f t="shared" si="0"/>
        <v>383</v>
      </c>
    </row>
    <row r="11" spans="1:11" x14ac:dyDescent="0.35">
      <c r="A11">
        <v>173</v>
      </c>
      <c r="B11">
        <f>(A11-$B$27)^2</f>
        <v>61.03515625</v>
      </c>
    </row>
    <row r="12" spans="1:11" x14ac:dyDescent="0.35">
      <c r="A12">
        <v>183</v>
      </c>
      <c r="B12">
        <f t="shared" ref="B12:B26" si="1">(A12-$B$27)^2</f>
        <v>4.78515625</v>
      </c>
    </row>
    <row r="13" spans="1:11" x14ac:dyDescent="0.35">
      <c r="A13">
        <v>181</v>
      </c>
      <c r="B13">
        <f t="shared" si="1"/>
        <v>3.515625E-2</v>
      </c>
    </row>
    <row r="14" spans="1:11" x14ac:dyDescent="0.35">
      <c r="A14">
        <v>174</v>
      </c>
      <c r="B14">
        <f t="shared" si="1"/>
        <v>46.41015625</v>
      </c>
    </row>
    <row r="15" spans="1:11" x14ac:dyDescent="0.35">
      <c r="A15">
        <v>188</v>
      </c>
      <c r="B15">
        <f t="shared" si="1"/>
        <v>51.66015625</v>
      </c>
    </row>
    <row r="16" spans="1:11" x14ac:dyDescent="0.35">
      <c r="A16">
        <v>181</v>
      </c>
      <c r="B16">
        <f t="shared" si="1"/>
        <v>3.515625E-2</v>
      </c>
      <c r="D16" t="s">
        <v>27</v>
      </c>
      <c r="E16">
        <f>SUM(B11:B26)</f>
        <v>564.4375</v>
      </c>
    </row>
    <row r="17" spans="1:5" x14ac:dyDescent="0.35">
      <c r="A17">
        <v>177</v>
      </c>
      <c r="B17">
        <f t="shared" si="1"/>
        <v>14.53515625</v>
      </c>
      <c r="D17" t="s">
        <v>17</v>
      </c>
      <c r="E17">
        <v>48.5</v>
      </c>
    </row>
    <row r="18" spans="1:5" x14ac:dyDescent="0.35">
      <c r="A18">
        <v>190</v>
      </c>
      <c r="B18">
        <f t="shared" si="1"/>
        <v>84.41015625</v>
      </c>
      <c r="D18" t="s">
        <v>182</v>
      </c>
      <c r="E18">
        <f>E17/8</f>
        <v>6.0625</v>
      </c>
    </row>
    <row r="19" spans="1:5" x14ac:dyDescent="0.35">
      <c r="A19">
        <v>170</v>
      </c>
      <c r="B19">
        <f t="shared" si="1"/>
        <v>116.91015625</v>
      </c>
    </row>
    <row r="20" spans="1:5" x14ac:dyDescent="0.35">
      <c r="A20">
        <v>180</v>
      </c>
      <c r="B20">
        <f t="shared" si="1"/>
        <v>0.66015625</v>
      </c>
    </row>
    <row r="21" spans="1:5" x14ac:dyDescent="0.35">
      <c r="A21">
        <v>180</v>
      </c>
      <c r="B21">
        <f t="shared" si="1"/>
        <v>0.66015625</v>
      </c>
    </row>
    <row r="22" spans="1:5" x14ac:dyDescent="0.35">
      <c r="A22">
        <v>178</v>
      </c>
      <c r="B22">
        <f t="shared" si="1"/>
        <v>7.91015625</v>
      </c>
    </row>
    <row r="23" spans="1:5" x14ac:dyDescent="0.35">
      <c r="A23">
        <v>182</v>
      </c>
      <c r="B23">
        <f t="shared" si="1"/>
        <v>1.41015625</v>
      </c>
    </row>
    <row r="24" spans="1:5" x14ac:dyDescent="0.35">
      <c r="A24">
        <v>185</v>
      </c>
      <c r="B24">
        <f t="shared" si="1"/>
        <v>17.53515625</v>
      </c>
    </row>
    <row r="25" spans="1:5" x14ac:dyDescent="0.35">
      <c r="A25">
        <v>178</v>
      </c>
      <c r="B25">
        <f t="shared" si="1"/>
        <v>7.91015625</v>
      </c>
    </row>
    <row r="26" spans="1:5" x14ac:dyDescent="0.35">
      <c r="A26">
        <v>193</v>
      </c>
      <c r="B26">
        <f t="shared" si="1"/>
        <v>148.53515625</v>
      </c>
    </row>
    <row r="27" spans="1:5" x14ac:dyDescent="0.35">
      <c r="A27" t="s">
        <v>181</v>
      </c>
      <c r="B27">
        <f>AVERAGE(A11:A26)</f>
        <v>180.8125</v>
      </c>
    </row>
    <row r="28" spans="1:5" x14ac:dyDescent="0.35">
      <c r="A28" t="s">
        <v>23</v>
      </c>
      <c r="B28">
        <f>SUM(A11:A26)</f>
        <v>2893</v>
      </c>
    </row>
    <row r="30" spans="1:5" x14ac:dyDescent="0.35">
      <c r="A30" t="s">
        <v>194</v>
      </c>
    </row>
    <row r="32" spans="1:5" x14ac:dyDescent="0.35">
      <c r="A32" s="21" t="s">
        <v>30</v>
      </c>
      <c r="B32" s="21" t="s">
        <v>178</v>
      </c>
      <c r="C32" s="23" t="s">
        <v>179</v>
      </c>
      <c r="D32" s="21" t="s">
        <v>180</v>
      </c>
    </row>
    <row r="33" spans="1:5" x14ac:dyDescent="0.35">
      <c r="A33" s="21" t="s">
        <v>160</v>
      </c>
      <c r="B33" s="22">
        <f>B2*$K$2+B3*$K$3+B4*$K$4+B5*$K$5+B6*$K$6+B7*$K$7+B8*$K$8+B9*$K$9</f>
        <v>-55</v>
      </c>
      <c r="C33" s="22">
        <f>B33/8</f>
        <v>-6.875</v>
      </c>
      <c r="D33" s="21">
        <f>(B33^2)/16</f>
        <v>189.0625</v>
      </c>
    </row>
    <row r="34" spans="1:5" x14ac:dyDescent="0.35">
      <c r="A34" s="21" t="s">
        <v>161</v>
      </c>
      <c r="B34" s="22">
        <v>-9</v>
      </c>
      <c r="C34" s="22">
        <f t="shared" ref="C34:C39" si="2">B34/8</f>
        <v>-1.125</v>
      </c>
      <c r="D34" s="21">
        <f t="shared" ref="D34:D39" si="3">(B34^2)/16</f>
        <v>5.0625</v>
      </c>
    </row>
    <row r="35" spans="1:5" x14ac:dyDescent="0.35">
      <c r="A35" s="21" t="s">
        <v>162</v>
      </c>
      <c r="B35" s="21">
        <v>-35</v>
      </c>
      <c r="C35" s="22">
        <f t="shared" si="2"/>
        <v>-4.375</v>
      </c>
      <c r="D35" s="21">
        <f t="shared" si="3"/>
        <v>76.5625</v>
      </c>
    </row>
    <row r="36" spans="1:5" x14ac:dyDescent="0.35">
      <c r="A36" s="21" t="s">
        <v>163</v>
      </c>
      <c r="B36" s="21">
        <v>-5</v>
      </c>
      <c r="C36" s="22">
        <f t="shared" si="2"/>
        <v>-0.625</v>
      </c>
      <c r="D36" s="21">
        <f t="shared" si="3"/>
        <v>1.5625</v>
      </c>
    </row>
    <row r="37" spans="1:5" x14ac:dyDescent="0.35">
      <c r="A37" s="21" t="s">
        <v>164</v>
      </c>
      <c r="B37" s="21">
        <v>13</v>
      </c>
      <c r="C37" s="22">
        <f t="shared" si="2"/>
        <v>1.625</v>
      </c>
      <c r="D37" s="21">
        <f t="shared" si="3"/>
        <v>10.5625</v>
      </c>
    </row>
    <row r="38" spans="1:5" x14ac:dyDescent="0.35">
      <c r="A38" s="21" t="s">
        <v>165</v>
      </c>
      <c r="B38" s="21">
        <v>3</v>
      </c>
      <c r="C38" s="22">
        <f t="shared" si="2"/>
        <v>0.375</v>
      </c>
      <c r="D38" s="21">
        <f t="shared" si="3"/>
        <v>0.5625</v>
      </c>
    </row>
    <row r="39" spans="1:5" x14ac:dyDescent="0.35">
      <c r="A39" s="21" t="s">
        <v>166</v>
      </c>
      <c r="B39" s="21">
        <v>-61</v>
      </c>
      <c r="C39" s="22">
        <f t="shared" si="2"/>
        <v>-7.625</v>
      </c>
      <c r="D39" s="21">
        <f t="shared" si="3"/>
        <v>232.5625</v>
      </c>
    </row>
    <row r="41" spans="1:5" x14ac:dyDescent="0.35">
      <c r="A41" s="21" t="s">
        <v>30</v>
      </c>
      <c r="B41" s="21" t="s">
        <v>180</v>
      </c>
      <c r="C41" s="21" t="s">
        <v>18</v>
      </c>
      <c r="D41" s="22" t="s">
        <v>19</v>
      </c>
      <c r="E41" s="21" t="s">
        <v>34</v>
      </c>
    </row>
    <row r="42" spans="1:5" x14ac:dyDescent="0.35">
      <c r="A42" s="21" t="s">
        <v>160</v>
      </c>
      <c r="B42" s="21">
        <f>(B33^2)/16</f>
        <v>189.0625</v>
      </c>
      <c r="C42" s="21">
        <v>1</v>
      </c>
      <c r="D42" s="22">
        <f>B42/C42</f>
        <v>189.0625</v>
      </c>
      <c r="E42" s="21">
        <f>D42/$D$49</f>
        <v>31.185567010309278</v>
      </c>
    </row>
    <row r="43" spans="1:5" x14ac:dyDescent="0.35">
      <c r="A43" s="21" t="s">
        <v>161</v>
      </c>
      <c r="B43" s="21">
        <f t="shared" ref="B43:B48" si="4">(B34^2)/16</f>
        <v>5.0625</v>
      </c>
      <c r="C43" s="21">
        <v>1</v>
      </c>
      <c r="D43" s="22">
        <f t="shared" ref="D43:D48" si="5">B43/C43</f>
        <v>5.0625</v>
      </c>
      <c r="E43" s="21">
        <f t="shared" ref="E43:E48" si="6">D43/$D$49</f>
        <v>0.83505154639175261</v>
      </c>
    </row>
    <row r="44" spans="1:5" x14ac:dyDescent="0.35">
      <c r="A44" s="21" t="s">
        <v>162</v>
      </c>
      <c r="B44" s="21">
        <f t="shared" si="4"/>
        <v>76.5625</v>
      </c>
      <c r="C44" s="21">
        <v>1</v>
      </c>
      <c r="D44" s="22">
        <f t="shared" si="5"/>
        <v>76.5625</v>
      </c>
      <c r="E44" s="21">
        <f t="shared" si="6"/>
        <v>12.628865979381443</v>
      </c>
    </row>
    <row r="45" spans="1:5" x14ac:dyDescent="0.35">
      <c r="A45" s="21" t="s">
        <v>163</v>
      </c>
      <c r="B45" s="21">
        <f t="shared" si="4"/>
        <v>1.5625</v>
      </c>
      <c r="C45" s="21">
        <v>1</v>
      </c>
      <c r="D45" s="22">
        <f t="shared" si="5"/>
        <v>1.5625</v>
      </c>
      <c r="E45" s="21">
        <f t="shared" si="6"/>
        <v>0.25773195876288657</v>
      </c>
    </row>
    <row r="46" spans="1:5" x14ac:dyDescent="0.35">
      <c r="A46" s="21" t="s">
        <v>164</v>
      </c>
      <c r="B46" s="21">
        <f t="shared" si="4"/>
        <v>10.5625</v>
      </c>
      <c r="C46" s="21">
        <v>1</v>
      </c>
      <c r="D46" s="22">
        <f t="shared" si="5"/>
        <v>10.5625</v>
      </c>
      <c r="E46" s="21">
        <f t="shared" si="6"/>
        <v>1.7422680412371134</v>
      </c>
    </row>
    <row r="47" spans="1:5" x14ac:dyDescent="0.35">
      <c r="A47" s="21" t="s">
        <v>165</v>
      </c>
      <c r="B47" s="21">
        <f t="shared" si="4"/>
        <v>0.5625</v>
      </c>
      <c r="C47" s="21">
        <v>1</v>
      </c>
      <c r="D47" s="22">
        <f t="shared" si="5"/>
        <v>0.5625</v>
      </c>
      <c r="E47" s="21">
        <f t="shared" si="6"/>
        <v>9.2783505154639179E-2</v>
      </c>
    </row>
    <row r="48" spans="1:5" x14ac:dyDescent="0.35">
      <c r="A48" s="21" t="s">
        <v>166</v>
      </c>
      <c r="B48" s="21">
        <f t="shared" si="4"/>
        <v>232.5625</v>
      </c>
      <c r="C48" s="21">
        <v>1</v>
      </c>
      <c r="D48" s="22">
        <f t="shared" si="5"/>
        <v>232.5625</v>
      </c>
      <c r="E48" s="21">
        <f t="shared" si="6"/>
        <v>38.360824742268044</v>
      </c>
    </row>
    <row r="49" spans="1:8" x14ac:dyDescent="0.35">
      <c r="A49" s="21" t="s">
        <v>38</v>
      </c>
      <c r="B49" s="21">
        <f>B50-B48-B47-B46-B45-B44-B43-B42</f>
        <v>48.5</v>
      </c>
      <c r="C49" s="21">
        <v>8</v>
      </c>
      <c r="D49" s="22">
        <f>B49/C49</f>
        <v>6.0625</v>
      </c>
      <c r="E49" s="21"/>
    </row>
    <row r="50" spans="1:8" x14ac:dyDescent="0.35">
      <c r="A50" s="21" t="s">
        <v>39</v>
      </c>
      <c r="B50" s="21">
        <v>564.4375</v>
      </c>
      <c r="C50" s="21">
        <v>15</v>
      </c>
      <c r="D50" s="22"/>
      <c r="E50" s="21"/>
    </row>
    <row r="52" spans="1:8" x14ac:dyDescent="0.35">
      <c r="A52" t="s">
        <v>196</v>
      </c>
    </row>
    <row r="54" spans="1:8" x14ac:dyDescent="0.35">
      <c r="A54" s="14" t="s">
        <v>160</v>
      </c>
      <c r="B54" s="14" t="s">
        <v>176</v>
      </c>
      <c r="D54" s="14" t="s">
        <v>161</v>
      </c>
      <c r="E54" s="14" t="s">
        <v>176</v>
      </c>
      <c r="G54" s="14" t="s">
        <v>162</v>
      </c>
      <c r="H54" s="14" t="s">
        <v>176</v>
      </c>
    </row>
    <row r="55" spans="1:8" x14ac:dyDescent="0.35">
      <c r="A55" s="14">
        <v>-1</v>
      </c>
      <c r="B55" s="14">
        <f>(K6+K7+K8+K9)/8</f>
        <v>184.25</v>
      </c>
      <c r="D55" s="14">
        <v>-1</v>
      </c>
      <c r="E55" s="14">
        <f>(K4+K5+K8+K9)/8</f>
        <v>181.375</v>
      </c>
      <c r="G55" s="14">
        <v>-1</v>
      </c>
      <c r="H55" s="14">
        <f>(K3+K5+K7+K9)/8</f>
        <v>183</v>
      </c>
    </row>
    <row r="56" spans="1:8" x14ac:dyDescent="0.35">
      <c r="A56" s="14">
        <v>1</v>
      </c>
      <c r="B56" s="14">
        <f>(K2+K3+K4+K5)/8</f>
        <v>177.375</v>
      </c>
      <c r="D56" s="14">
        <v>1</v>
      </c>
      <c r="E56" s="14">
        <f>(K2+K3+K6+K7)/8</f>
        <v>180.25</v>
      </c>
      <c r="G56" s="14">
        <v>1</v>
      </c>
      <c r="H56" s="14">
        <f>(K2+K4+K6+K8)/8</f>
        <v>178.625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E7AF-F6E2-4CCB-9E06-45CF5A7DA954}">
  <dimension ref="A1:K55"/>
  <sheetViews>
    <sheetView topLeftCell="A4" workbookViewId="0">
      <selection activeCell="D17" sqref="D17"/>
    </sheetView>
  </sheetViews>
  <sheetFormatPr defaultRowHeight="14.5" x14ac:dyDescent="0.35"/>
  <cols>
    <col min="1" max="1" width="20.453125" customWidth="1"/>
    <col min="2" max="2" width="14" customWidth="1"/>
    <col min="4" max="4" width="11.90625" customWidth="1"/>
  </cols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197</v>
      </c>
      <c r="J1" t="s">
        <v>198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39</v>
      </c>
      <c r="J2">
        <v>41</v>
      </c>
      <c r="K2">
        <f>I2+J2</f>
        <v>80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55</v>
      </c>
      <c r="J3">
        <v>47</v>
      </c>
      <c r="K3">
        <f t="shared" ref="K3:K9" si="0">I3+J3</f>
        <v>102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40</v>
      </c>
      <c r="J4">
        <v>37</v>
      </c>
      <c r="K4">
        <f t="shared" si="0"/>
        <v>77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32</v>
      </c>
      <c r="J5">
        <v>43</v>
      </c>
      <c r="K5">
        <f t="shared" si="0"/>
        <v>75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60</v>
      </c>
      <c r="J6">
        <v>50</v>
      </c>
      <c r="K6">
        <f t="shared" si="0"/>
        <v>110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35</v>
      </c>
      <c r="J7">
        <v>34</v>
      </c>
      <c r="K7">
        <f t="shared" si="0"/>
        <v>69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44</v>
      </c>
      <c r="J8">
        <v>45</v>
      </c>
      <c r="K8">
        <f t="shared" si="0"/>
        <v>89</v>
      </c>
    </row>
    <row r="9" spans="1:11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22</v>
      </c>
      <c r="J9">
        <v>31</v>
      </c>
      <c r="K9">
        <f t="shared" si="0"/>
        <v>53</v>
      </c>
    </row>
    <row r="10" spans="1:11" x14ac:dyDescent="0.35">
      <c r="H10" t="s">
        <v>200</v>
      </c>
      <c r="I10">
        <f>SUM(I2:I9)</f>
        <v>327</v>
      </c>
      <c r="J10">
        <f>SUM(J2:J9)</f>
        <v>328</v>
      </c>
      <c r="K10">
        <f>SUM(K2:K9)</f>
        <v>655</v>
      </c>
    </row>
    <row r="12" spans="1:11" x14ac:dyDescent="0.35">
      <c r="E12" t="s">
        <v>178</v>
      </c>
    </row>
    <row r="13" spans="1:11" x14ac:dyDescent="0.35">
      <c r="B13" t="s">
        <v>160</v>
      </c>
      <c r="C13" t="s">
        <v>161</v>
      </c>
      <c r="D13" t="s">
        <v>162</v>
      </c>
      <c r="E13" t="s">
        <v>163</v>
      </c>
      <c r="F13" t="s">
        <v>201</v>
      </c>
      <c r="G13" t="s">
        <v>165</v>
      </c>
      <c r="H13" t="s">
        <v>202</v>
      </c>
      <c r="I13" t="s">
        <v>203</v>
      </c>
      <c r="J13" t="s">
        <v>204</v>
      </c>
    </row>
    <row r="14" spans="1:11" x14ac:dyDescent="0.35">
      <c r="B14">
        <f>B2*$K$2+B3*$K$3+B4*$K$4+B5*$K$5+B6*$K$6+B7*$K$7+B8*$K$8+B9*$K$9</f>
        <v>13</v>
      </c>
      <c r="C14">
        <f t="shared" ref="C14:G14" si="1">C2*$K$2+C3*$K$3+C4*$K$4+C5*$K$5+C6*$K$6+C7*$K$7+C8*$K$8+C9*$K$9</f>
        <v>67</v>
      </c>
      <c r="D14">
        <f t="shared" si="1"/>
        <v>57</v>
      </c>
      <c r="E14">
        <f t="shared" si="1"/>
        <v>-7</v>
      </c>
      <c r="F14">
        <f>F2*$I$2+F3*$I$3+F4*$I$4+F5*$I$5+F6*$I$6+F7*$I$7+F8*$I$8+F9*$I$9</f>
        <v>-55</v>
      </c>
      <c r="G14">
        <f t="shared" si="1"/>
        <v>-19</v>
      </c>
      <c r="H14">
        <f>H2*$J$2+H3*$J$3+H4*$J$4+H5*$J$5+H6*$J$6+H7*$J$7+H8*$J$8+H9*$J$9</f>
        <v>-2</v>
      </c>
      <c r="I14">
        <f>F2*$J$2+F3*$J$3+F4*$J$4+F5*$J$5+F6*$J$6+F7*$J$7+F8*$J$8+F9*$J$9</f>
        <v>-42</v>
      </c>
      <c r="J14">
        <f>H2*$I$2+H3*$I$3+H4*$I$4+H5*$I$5+H6*$I$6+H7*$I$7+H8*$I$8+H9*$I$9</f>
        <v>-27</v>
      </c>
    </row>
    <row r="16" spans="1:11" x14ac:dyDescent="0.35">
      <c r="E16" t="s">
        <v>179</v>
      </c>
    </row>
    <row r="17" spans="1:10" x14ac:dyDescent="0.35">
      <c r="B17">
        <f>B14/8</f>
        <v>1.625</v>
      </c>
      <c r="C17">
        <f t="shared" ref="C17:E17" si="2">C14/8</f>
        <v>8.375</v>
      </c>
      <c r="D17">
        <f t="shared" si="2"/>
        <v>7.125</v>
      </c>
      <c r="E17">
        <f t="shared" si="2"/>
        <v>-0.875</v>
      </c>
      <c r="F17">
        <f>F14/4</f>
        <v>-13.75</v>
      </c>
      <c r="G17">
        <f>G14/8</f>
        <v>-2.375</v>
      </c>
      <c r="H17">
        <f>H14/4</f>
        <v>-0.5</v>
      </c>
      <c r="I17">
        <f t="shared" ref="I17:J17" si="3">I14/4</f>
        <v>-10.5</v>
      </c>
      <c r="J17">
        <f t="shared" si="3"/>
        <v>-6.75</v>
      </c>
    </row>
    <row r="19" spans="1:10" x14ac:dyDescent="0.35">
      <c r="E19" t="s">
        <v>180</v>
      </c>
    </row>
    <row r="20" spans="1:10" x14ac:dyDescent="0.35">
      <c r="B20">
        <f>(B14^2)/16</f>
        <v>10.5625</v>
      </c>
      <c r="C20">
        <f t="shared" ref="C20:E20" si="4">(C14^2)/16</f>
        <v>280.5625</v>
      </c>
      <c r="D20">
        <f t="shared" si="4"/>
        <v>203.0625</v>
      </c>
      <c r="E20">
        <f t="shared" si="4"/>
        <v>3.0625</v>
      </c>
      <c r="F20">
        <f>(F14^2)/8</f>
        <v>378.125</v>
      </c>
      <c r="G20">
        <f>(G14^2)/16</f>
        <v>22.5625</v>
      </c>
      <c r="H20">
        <f>(H14^2)/8</f>
        <v>0.5</v>
      </c>
      <c r="I20">
        <f t="shared" ref="I20:J20" si="5">(I14^2)/8</f>
        <v>220.5</v>
      </c>
      <c r="J20">
        <f t="shared" si="5"/>
        <v>91.125</v>
      </c>
    </row>
    <row r="22" spans="1:10" x14ac:dyDescent="0.35">
      <c r="A22">
        <v>39</v>
      </c>
      <c r="B22">
        <f>(A22-$A$38)^2</f>
        <v>3.75390625</v>
      </c>
    </row>
    <row r="23" spans="1:10" x14ac:dyDescent="0.35">
      <c r="A23">
        <v>55</v>
      </c>
      <c r="B23">
        <f t="shared" ref="B23:B37" si="6">(A23-$A$38)^2</f>
        <v>197.75390625</v>
      </c>
    </row>
    <row r="24" spans="1:10" x14ac:dyDescent="0.35">
      <c r="A24">
        <v>40</v>
      </c>
      <c r="B24">
        <f t="shared" si="6"/>
        <v>0.87890625</v>
      </c>
    </row>
    <row r="25" spans="1:10" x14ac:dyDescent="0.35">
      <c r="A25">
        <v>32</v>
      </c>
      <c r="B25">
        <f t="shared" si="6"/>
        <v>79.87890625</v>
      </c>
    </row>
    <row r="26" spans="1:10" x14ac:dyDescent="0.35">
      <c r="A26">
        <v>60</v>
      </c>
      <c r="B26">
        <f t="shared" si="6"/>
        <v>363.37890625</v>
      </c>
    </row>
    <row r="27" spans="1:10" x14ac:dyDescent="0.35">
      <c r="A27">
        <v>35</v>
      </c>
      <c r="B27">
        <f t="shared" si="6"/>
        <v>35.25390625</v>
      </c>
    </row>
    <row r="28" spans="1:10" x14ac:dyDescent="0.35">
      <c r="A28">
        <v>44</v>
      </c>
      <c r="B28">
        <f t="shared" si="6"/>
        <v>9.37890625</v>
      </c>
      <c r="C28" t="s">
        <v>27</v>
      </c>
      <c r="D28">
        <f>SUM(B22:B37)</f>
        <v>1350.9375</v>
      </c>
    </row>
    <row r="29" spans="1:10" x14ac:dyDescent="0.35">
      <c r="A29">
        <v>22</v>
      </c>
      <c r="B29">
        <f t="shared" si="6"/>
        <v>358.62890625</v>
      </c>
    </row>
    <row r="30" spans="1:10" x14ac:dyDescent="0.35">
      <c r="A30">
        <v>41</v>
      </c>
      <c r="B30">
        <f t="shared" si="6"/>
        <v>3.90625E-3</v>
      </c>
    </row>
    <row r="31" spans="1:10" x14ac:dyDescent="0.35">
      <c r="A31">
        <v>47</v>
      </c>
      <c r="B31">
        <f t="shared" si="6"/>
        <v>36.75390625</v>
      </c>
    </row>
    <row r="32" spans="1:10" x14ac:dyDescent="0.35">
      <c r="A32">
        <v>37</v>
      </c>
      <c r="B32">
        <f t="shared" si="6"/>
        <v>15.50390625</v>
      </c>
    </row>
    <row r="33" spans="1:6" x14ac:dyDescent="0.35">
      <c r="A33">
        <v>43</v>
      </c>
      <c r="B33">
        <f t="shared" si="6"/>
        <v>4.25390625</v>
      </c>
    </row>
    <row r="34" spans="1:6" x14ac:dyDescent="0.35">
      <c r="A34">
        <v>50</v>
      </c>
      <c r="B34">
        <f t="shared" si="6"/>
        <v>82.12890625</v>
      </c>
    </row>
    <row r="35" spans="1:6" x14ac:dyDescent="0.35">
      <c r="A35">
        <v>34</v>
      </c>
      <c r="B35">
        <f t="shared" si="6"/>
        <v>48.12890625</v>
      </c>
    </row>
    <row r="36" spans="1:6" x14ac:dyDescent="0.35">
      <c r="A36">
        <v>45</v>
      </c>
      <c r="B36">
        <f t="shared" si="6"/>
        <v>16.50390625</v>
      </c>
    </row>
    <row r="37" spans="1:6" x14ac:dyDescent="0.35">
      <c r="A37">
        <v>31</v>
      </c>
      <c r="B37">
        <f t="shared" si="6"/>
        <v>98.75390625</v>
      </c>
    </row>
    <row r="38" spans="1:6" x14ac:dyDescent="0.35">
      <c r="A38">
        <f>AVERAGE(A22:A37)</f>
        <v>40.9375</v>
      </c>
    </row>
    <row r="39" spans="1:6" x14ac:dyDescent="0.35">
      <c r="A39">
        <f>SUM(A22:A37)</f>
        <v>655</v>
      </c>
    </row>
    <row r="41" spans="1:6" x14ac:dyDescent="0.35">
      <c r="A41" t="s">
        <v>194</v>
      </c>
    </row>
    <row r="43" spans="1:6" x14ac:dyDescent="0.35">
      <c r="A43" s="27" t="s">
        <v>30</v>
      </c>
      <c r="B43" s="27" t="s">
        <v>31</v>
      </c>
      <c r="C43" s="27" t="s">
        <v>70</v>
      </c>
      <c r="D43" s="27" t="s">
        <v>33</v>
      </c>
      <c r="E43" s="27" t="s">
        <v>205</v>
      </c>
      <c r="F43" s="27" t="s">
        <v>21</v>
      </c>
    </row>
    <row r="44" spans="1:6" x14ac:dyDescent="0.35">
      <c r="A44" s="27" t="s">
        <v>206</v>
      </c>
      <c r="B44" s="27">
        <f>(I10^2+J10^2)/8-(K10^2)/16</f>
        <v>6.25E-2</v>
      </c>
      <c r="C44" s="27">
        <v>1</v>
      </c>
      <c r="D44" s="27">
        <f>B44/C44</f>
        <v>6.25E-2</v>
      </c>
      <c r="E44" s="27"/>
      <c r="F44" s="27"/>
    </row>
    <row r="45" spans="1:6" x14ac:dyDescent="0.35">
      <c r="A45" s="27" t="s">
        <v>207</v>
      </c>
      <c r="B45" s="27">
        <f>I20+J20</f>
        <v>311.625</v>
      </c>
      <c r="C45" s="27">
        <v>2</v>
      </c>
      <c r="D45" s="27">
        <f>B45/C45</f>
        <v>155.8125</v>
      </c>
      <c r="E45" s="27"/>
      <c r="F45" s="27"/>
    </row>
    <row r="46" spans="1:6" ht="29" x14ac:dyDescent="0.35">
      <c r="A46" s="28" t="s">
        <v>208</v>
      </c>
      <c r="B46" s="27"/>
      <c r="C46" s="27"/>
      <c r="D46" s="27"/>
      <c r="E46" s="27"/>
      <c r="F46" s="27"/>
    </row>
    <row r="47" spans="1:6" x14ac:dyDescent="0.35">
      <c r="A47" s="27" t="s">
        <v>160</v>
      </c>
      <c r="B47" s="27">
        <v>10.5625</v>
      </c>
      <c r="C47" s="27">
        <v>1</v>
      </c>
      <c r="D47" s="27">
        <f>B47/C47</f>
        <v>10.5625</v>
      </c>
      <c r="E47" s="27">
        <f>D47/$D$54</f>
        <v>0.37505548158011537</v>
      </c>
      <c r="F47" s="27">
        <f>FINV(0.05,1,5)</f>
        <v>6.607890973703368</v>
      </c>
    </row>
    <row r="48" spans="1:6" x14ac:dyDescent="0.35">
      <c r="A48" s="27" t="s">
        <v>161</v>
      </c>
      <c r="B48" s="27">
        <v>280.5625</v>
      </c>
      <c r="C48" s="27">
        <v>1</v>
      </c>
      <c r="D48" s="27">
        <f t="shared" ref="D48:D53" si="7">B48/C48</f>
        <v>280.5625</v>
      </c>
      <c r="E48" s="27">
        <f t="shared" ref="E48:E52" si="8">D48/$D$54</f>
        <v>9.9622725255215272</v>
      </c>
      <c r="F48" s="27">
        <f t="shared" ref="F48:F53" si="9">FINV(0.05,1,5)</f>
        <v>6.607890973703368</v>
      </c>
    </row>
    <row r="49" spans="1:6" x14ac:dyDescent="0.35">
      <c r="A49" s="27" t="s">
        <v>162</v>
      </c>
      <c r="B49" s="27">
        <v>203.0625</v>
      </c>
      <c r="C49" s="27">
        <v>1</v>
      </c>
      <c r="D49" s="27">
        <f t="shared" si="7"/>
        <v>203.0625</v>
      </c>
      <c r="E49" s="27">
        <f t="shared" si="8"/>
        <v>7.2103861517976027</v>
      </c>
      <c r="F49" s="27">
        <f t="shared" si="9"/>
        <v>6.607890973703368</v>
      </c>
    </row>
    <row r="50" spans="1:6" x14ac:dyDescent="0.35">
      <c r="A50" s="27" t="s">
        <v>163</v>
      </c>
      <c r="B50" s="27">
        <v>3.0625</v>
      </c>
      <c r="C50" s="27">
        <v>1</v>
      </c>
      <c r="D50" s="27">
        <f t="shared" si="7"/>
        <v>3.0625</v>
      </c>
      <c r="E50" s="27">
        <f t="shared" si="8"/>
        <v>0.10874389702618729</v>
      </c>
      <c r="F50" s="27">
        <f t="shared" si="9"/>
        <v>6.607890973703368</v>
      </c>
    </row>
    <row r="51" spans="1:6" x14ac:dyDescent="0.35">
      <c r="A51" s="27" t="s">
        <v>201</v>
      </c>
      <c r="B51" s="27">
        <v>378.125</v>
      </c>
      <c r="C51" s="27">
        <v>1</v>
      </c>
      <c r="D51" s="27">
        <f t="shared" si="7"/>
        <v>378.125</v>
      </c>
      <c r="E51" s="27">
        <f t="shared" si="8"/>
        <v>13.426542387927208</v>
      </c>
      <c r="F51" s="27">
        <f t="shared" si="9"/>
        <v>6.607890973703368</v>
      </c>
    </row>
    <row r="52" spans="1:6" x14ac:dyDescent="0.35">
      <c r="A52" s="27" t="s">
        <v>165</v>
      </c>
      <c r="B52" s="27">
        <v>22.5625</v>
      </c>
      <c r="C52" s="27">
        <v>1</v>
      </c>
      <c r="D52" s="27">
        <f t="shared" si="7"/>
        <v>22.5625</v>
      </c>
      <c r="E52" s="27">
        <f t="shared" si="8"/>
        <v>0.80115401686640031</v>
      </c>
      <c r="F52" s="27">
        <f t="shared" si="9"/>
        <v>6.607890973703368</v>
      </c>
    </row>
    <row r="53" spans="1:6" x14ac:dyDescent="0.35">
      <c r="A53" s="27" t="s">
        <v>202</v>
      </c>
      <c r="B53" s="27">
        <v>0.5</v>
      </c>
      <c r="C53" s="27">
        <v>1</v>
      </c>
      <c r="D53" s="27">
        <f t="shared" si="7"/>
        <v>0.5</v>
      </c>
      <c r="E53" s="27">
        <f>D53/D54</f>
        <v>1.775410563692854E-2</v>
      </c>
      <c r="F53" s="27">
        <f t="shared" si="9"/>
        <v>6.607890973703368</v>
      </c>
    </row>
    <row r="54" spans="1:6" x14ac:dyDescent="0.35">
      <c r="A54" s="27" t="s">
        <v>38</v>
      </c>
      <c r="B54" s="27">
        <f>B55-B44-B45-B47-B48-B49-B50-B51-B52-B53</f>
        <v>140.8125</v>
      </c>
      <c r="C54" s="27">
        <v>5</v>
      </c>
      <c r="D54" s="27">
        <f>B54/C54</f>
        <v>28.162500000000001</v>
      </c>
      <c r="E54" s="27"/>
      <c r="F54" s="27"/>
    </row>
    <row r="55" spans="1:6" x14ac:dyDescent="0.35">
      <c r="A55" s="27" t="s">
        <v>39</v>
      </c>
      <c r="B55" s="27">
        <v>1350.9375</v>
      </c>
      <c r="C55" s="27">
        <v>15</v>
      </c>
      <c r="D55" s="27"/>
      <c r="E55" s="27"/>
      <c r="F5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3BE6-7F26-4C21-9654-87BE45CD95EE}">
  <dimension ref="A1:N35"/>
  <sheetViews>
    <sheetView topLeftCell="A22" workbookViewId="0">
      <selection activeCell="B37" sqref="B37"/>
    </sheetView>
  </sheetViews>
  <sheetFormatPr defaultRowHeight="14.5" x14ac:dyDescent="0.35"/>
  <cols>
    <col min="1" max="1" width="18" customWidth="1"/>
    <col min="2" max="2" width="18.453125" customWidth="1"/>
    <col min="3" max="3" width="17.6328125" customWidth="1"/>
    <col min="4" max="4" width="12.6328125" customWidth="1"/>
  </cols>
  <sheetData>
    <row r="1" spans="1:13" x14ac:dyDescent="0.35">
      <c r="A1" s="8" t="s">
        <v>78</v>
      </c>
      <c r="B1" s="8"/>
      <c r="C1" s="8"/>
      <c r="D1" s="8"/>
      <c r="E1" s="8"/>
      <c r="F1" s="8" t="s">
        <v>79</v>
      </c>
      <c r="G1" s="8"/>
      <c r="H1" s="8"/>
      <c r="I1" s="8"/>
      <c r="J1" s="8"/>
      <c r="K1" s="8"/>
      <c r="L1" t="s">
        <v>0</v>
      </c>
      <c r="M1">
        <v>2</v>
      </c>
    </row>
    <row r="2" spans="1:13" x14ac:dyDescent="0.35">
      <c r="A2" s="9"/>
      <c r="B2" s="9"/>
      <c r="C2" s="9" t="s">
        <v>80</v>
      </c>
      <c r="D2" s="9"/>
      <c r="E2" s="9"/>
      <c r="F2" s="9" t="s">
        <v>83</v>
      </c>
      <c r="G2" s="9"/>
      <c r="H2" s="9"/>
      <c r="I2" s="9" t="s">
        <v>81</v>
      </c>
      <c r="J2" s="9"/>
      <c r="K2" s="9" t="s">
        <v>5</v>
      </c>
      <c r="L2" t="s">
        <v>1</v>
      </c>
      <c r="M2">
        <v>3</v>
      </c>
    </row>
    <row r="3" spans="1:13" x14ac:dyDescent="0.35">
      <c r="A3" s="9" t="s">
        <v>82</v>
      </c>
      <c r="B3" s="9">
        <v>8.3000000000000007</v>
      </c>
      <c r="C3" s="9">
        <v>8.9</v>
      </c>
      <c r="D3" s="9">
        <v>7.8</v>
      </c>
      <c r="E3" s="9">
        <v>9.1999999999999993</v>
      </c>
      <c r="F3" s="9">
        <v>10.199999999999999</v>
      </c>
      <c r="G3" s="9">
        <v>9.5</v>
      </c>
      <c r="H3" s="9">
        <v>11.6</v>
      </c>
      <c r="I3" s="9">
        <v>10.199999999999999</v>
      </c>
      <c r="J3" s="9">
        <v>10.7</v>
      </c>
      <c r="K3" s="9">
        <f>SUM(B3:J3)</f>
        <v>86.4</v>
      </c>
      <c r="L3" t="s">
        <v>2</v>
      </c>
      <c r="M3">
        <v>3</v>
      </c>
    </row>
    <row r="4" spans="1:13" x14ac:dyDescent="0.35">
      <c r="A4" s="9" t="s">
        <v>84</v>
      </c>
      <c r="B4" s="9">
        <v>8.6999999999999993</v>
      </c>
      <c r="C4" s="9">
        <v>10</v>
      </c>
      <c r="D4" s="9">
        <v>9.6999999999999993</v>
      </c>
      <c r="E4" s="9">
        <v>8.1999999999999993</v>
      </c>
      <c r="F4" s="9">
        <v>10.6</v>
      </c>
      <c r="G4" s="9">
        <v>10.1</v>
      </c>
      <c r="H4" s="9">
        <v>12.4</v>
      </c>
      <c r="I4" s="9">
        <v>11.7</v>
      </c>
      <c r="J4" s="9">
        <v>10</v>
      </c>
      <c r="K4" s="9">
        <f>SUM(B4:J4)</f>
        <v>91.4</v>
      </c>
    </row>
    <row r="5" spans="1:13" x14ac:dyDescent="0.35">
      <c r="A5" s="9" t="s">
        <v>6</v>
      </c>
      <c r="B5" s="9">
        <f>SUM(B3:D4)</f>
        <v>53.400000000000006</v>
      </c>
      <c r="C5" s="9"/>
      <c r="D5" s="9"/>
      <c r="E5" s="9">
        <f>SUM(E3:G4)</f>
        <v>57.8</v>
      </c>
      <c r="F5" s="9"/>
      <c r="G5" s="9"/>
      <c r="H5" s="9">
        <f>SUM(H3:J4)</f>
        <v>66.599999999999994</v>
      </c>
      <c r="I5" s="9"/>
      <c r="J5" s="9"/>
      <c r="K5" s="9">
        <f>SUM(K3:K4)</f>
        <v>177.8</v>
      </c>
    </row>
    <row r="6" spans="1:13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 t="s">
        <v>7</v>
      </c>
    </row>
    <row r="7" spans="1:13" x14ac:dyDescent="0.35">
      <c r="A7" t="s">
        <v>85</v>
      </c>
    </row>
    <row r="9" spans="1:13" x14ac:dyDescent="0.35">
      <c r="A9" s="11" t="s">
        <v>35</v>
      </c>
      <c r="B9" s="11"/>
      <c r="C9" s="11" t="s">
        <v>86</v>
      </c>
      <c r="D9" s="11"/>
    </row>
    <row r="10" spans="1:13" x14ac:dyDescent="0.35">
      <c r="A10" s="11"/>
      <c r="B10" s="11" t="s">
        <v>87</v>
      </c>
      <c r="C10" s="11" t="s">
        <v>83</v>
      </c>
      <c r="D10" s="11" t="s">
        <v>81</v>
      </c>
    </row>
    <row r="11" spans="1:13" x14ac:dyDescent="0.35">
      <c r="A11" s="11" t="s">
        <v>82</v>
      </c>
      <c r="B11" s="11">
        <f>SUM(B3:D3)/3</f>
        <v>8.3333333333333339</v>
      </c>
      <c r="C11" s="11">
        <f>SUM(E3:G3)/3</f>
        <v>9.6333333333333329</v>
      </c>
      <c r="D11" s="11">
        <f>SUM(H3:J3)/3</f>
        <v>10.833333333333334</v>
      </c>
    </row>
    <row r="12" spans="1:13" x14ac:dyDescent="0.35">
      <c r="A12" s="11" t="s">
        <v>84</v>
      </c>
      <c r="B12" s="11">
        <f>SUM(B4:D4)/3</f>
        <v>9.4666666666666668</v>
      </c>
      <c r="C12" s="11">
        <f>SUM(E4:G4)/3</f>
        <v>9.6333333333333329</v>
      </c>
      <c r="D12" s="11">
        <f>SUM(H4:J4)/3</f>
        <v>11.366666666666667</v>
      </c>
    </row>
    <row r="14" spans="1:13" x14ac:dyDescent="0.35">
      <c r="B14">
        <f t="shared" ref="B14:J14" si="0">B3^2</f>
        <v>68.890000000000015</v>
      </c>
      <c r="C14">
        <f t="shared" si="0"/>
        <v>79.210000000000008</v>
      </c>
      <c r="D14">
        <f t="shared" si="0"/>
        <v>60.839999999999996</v>
      </c>
      <c r="E14">
        <f t="shared" si="0"/>
        <v>84.639999999999986</v>
      </c>
      <c r="F14">
        <f t="shared" si="0"/>
        <v>104.03999999999999</v>
      </c>
      <c r="G14">
        <f t="shared" si="0"/>
        <v>90.25</v>
      </c>
      <c r="H14">
        <f t="shared" si="0"/>
        <v>134.56</v>
      </c>
      <c r="I14">
        <f t="shared" si="0"/>
        <v>104.03999999999999</v>
      </c>
      <c r="J14">
        <f t="shared" si="0"/>
        <v>114.48999999999998</v>
      </c>
    </row>
    <row r="15" spans="1:13" x14ac:dyDescent="0.35">
      <c r="B15">
        <f t="shared" ref="B15:J15" si="1">B4^2</f>
        <v>75.689999999999984</v>
      </c>
      <c r="C15">
        <f t="shared" si="1"/>
        <v>100</v>
      </c>
      <c r="D15">
        <f t="shared" si="1"/>
        <v>94.089999999999989</v>
      </c>
      <c r="E15">
        <f t="shared" si="1"/>
        <v>67.239999999999995</v>
      </c>
      <c r="F15">
        <f t="shared" si="1"/>
        <v>112.36</v>
      </c>
      <c r="G15">
        <f t="shared" si="1"/>
        <v>102.00999999999999</v>
      </c>
      <c r="H15">
        <f t="shared" si="1"/>
        <v>153.76000000000002</v>
      </c>
      <c r="I15">
        <f t="shared" si="1"/>
        <v>136.88999999999999</v>
      </c>
      <c r="J15">
        <f t="shared" si="1"/>
        <v>100</v>
      </c>
      <c r="K15">
        <f>SUM(B14:J15)</f>
        <v>1783</v>
      </c>
    </row>
    <row r="17" spans="1:14" x14ac:dyDescent="0.35">
      <c r="C17" t="s">
        <v>79</v>
      </c>
    </row>
    <row r="18" spans="1:14" x14ac:dyDescent="0.35">
      <c r="A18" t="s">
        <v>88</v>
      </c>
      <c r="B18" t="s">
        <v>87</v>
      </c>
      <c r="C18" t="s">
        <v>83</v>
      </c>
      <c r="D18" t="s">
        <v>81</v>
      </c>
      <c r="E18" t="s">
        <v>5</v>
      </c>
    </row>
    <row r="19" spans="1:14" x14ac:dyDescent="0.35">
      <c r="A19" t="s">
        <v>82</v>
      </c>
      <c r="B19">
        <f>SUM(B3:D3)</f>
        <v>25.000000000000004</v>
      </c>
      <c r="C19">
        <f>SUM(E3:G3)</f>
        <v>28.9</v>
      </c>
      <c r="D19">
        <f>SUM(H3:J3)</f>
        <v>32.5</v>
      </c>
      <c r="E19">
        <f>SUM(B19:D19)</f>
        <v>86.4</v>
      </c>
    </row>
    <row r="20" spans="1:14" x14ac:dyDescent="0.35">
      <c r="A20" t="s">
        <v>84</v>
      </c>
      <c r="B20">
        <f>SUM(B4:D4)</f>
        <v>28.4</v>
      </c>
      <c r="C20">
        <f>SUM(E4:G4)</f>
        <v>28.9</v>
      </c>
      <c r="D20">
        <f>SUM(H4:J4)</f>
        <v>34.1</v>
      </c>
      <c r="E20">
        <f>SUM(B20:D20)</f>
        <v>91.4</v>
      </c>
    </row>
    <row r="21" spans="1:14" x14ac:dyDescent="0.35">
      <c r="A21" t="s">
        <v>6</v>
      </c>
      <c r="B21">
        <f>SUM(B19:B20)</f>
        <v>53.400000000000006</v>
      </c>
      <c r="C21">
        <f>SUM(C19:C20)</f>
        <v>57.8</v>
      </c>
      <c r="D21">
        <f>SUM(D19:D20)</f>
        <v>66.599999999999994</v>
      </c>
      <c r="E21">
        <f>SUM(E19:E20)</f>
        <v>177.8</v>
      </c>
    </row>
    <row r="22" spans="1:14" x14ac:dyDescent="0.35">
      <c r="E22" t="s">
        <v>7</v>
      </c>
    </row>
    <row r="24" spans="1:14" x14ac:dyDescent="0.35">
      <c r="A24" t="s">
        <v>8</v>
      </c>
      <c r="B24">
        <f>B21^2</f>
        <v>2851.5600000000004</v>
      </c>
      <c r="C24">
        <f>C21^2</f>
        <v>3340.8399999999997</v>
      </c>
      <c r="D24">
        <f>D21^2</f>
        <v>4435.5599999999995</v>
      </c>
      <c r="F24" t="s">
        <v>23</v>
      </c>
      <c r="G24">
        <f>SUM(B24:D24)</f>
        <v>10627.96</v>
      </c>
      <c r="I24" t="s">
        <v>26</v>
      </c>
      <c r="J24">
        <f t="shared" ref="J24:L25" si="2">B19^2</f>
        <v>625.00000000000023</v>
      </c>
      <c r="K24">
        <f t="shared" si="2"/>
        <v>835.20999999999992</v>
      </c>
      <c r="L24">
        <f t="shared" si="2"/>
        <v>1056.25</v>
      </c>
    </row>
    <row r="25" spans="1:14" x14ac:dyDescent="0.35">
      <c r="A25" t="s">
        <v>25</v>
      </c>
      <c r="B25">
        <f>E19^2</f>
        <v>7464.9600000000009</v>
      </c>
      <c r="C25">
        <f>E20^2</f>
        <v>8353.9600000000009</v>
      </c>
      <c r="F25" t="s">
        <v>23</v>
      </c>
      <c r="G25">
        <f>SUM(B25:C25)</f>
        <v>15818.920000000002</v>
      </c>
      <c r="J25">
        <f t="shared" si="2"/>
        <v>806.56</v>
      </c>
      <c r="K25">
        <f t="shared" si="2"/>
        <v>835.20999999999992</v>
      </c>
      <c r="L25">
        <f t="shared" si="2"/>
        <v>1162.8100000000002</v>
      </c>
      <c r="M25" t="s">
        <v>23</v>
      </c>
      <c r="N25">
        <f>SUM(J24:L25)</f>
        <v>5321.04</v>
      </c>
    </row>
    <row r="26" spans="1:14" x14ac:dyDescent="0.35">
      <c r="F26" t="s">
        <v>49</v>
      </c>
      <c r="G26">
        <f>E21^2</f>
        <v>31612.840000000004</v>
      </c>
    </row>
    <row r="27" spans="1:14" x14ac:dyDescent="0.35">
      <c r="I27" t="s">
        <v>54</v>
      </c>
    </row>
    <row r="28" spans="1:14" x14ac:dyDescent="0.35">
      <c r="A28" t="s">
        <v>68</v>
      </c>
      <c r="I28">
        <f>N25/M3-G26/(M1*M2*M3)</f>
        <v>17.41111111111104</v>
      </c>
    </row>
    <row r="30" spans="1:14" x14ac:dyDescent="0.35">
      <c r="A30" s="12" t="s">
        <v>30</v>
      </c>
      <c r="B30" s="12" t="s">
        <v>69</v>
      </c>
      <c r="C30" s="12" t="s">
        <v>70</v>
      </c>
      <c r="D30" s="12" t="s">
        <v>71</v>
      </c>
      <c r="E30" s="12" t="s">
        <v>34</v>
      </c>
      <c r="F30" s="12" t="s">
        <v>21</v>
      </c>
      <c r="G30" s="12" t="s">
        <v>40</v>
      </c>
    </row>
    <row r="31" spans="1:14" x14ac:dyDescent="0.35">
      <c r="A31" s="12" t="s">
        <v>73</v>
      </c>
      <c r="B31" s="12">
        <f>G25/(M2*M3)-G26/(M1*M2*M3)</f>
        <v>1.3888888888889142</v>
      </c>
      <c r="C31" s="12">
        <f>M1-1</f>
        <v>1</v>
      </c>
      <c r="D31" s="12">
        <f>B31/C31</f>
        <v>1.3888888888889142</v>
      </c>
      <c r="E31" s="12">
        <f>D31/D34</f>
        <v>1.7882689556509745</v>
      </c>
      <c r="F31" s="12">
        <f>_xlfn.F.INV.RT(0.05,C31,C34)</f>
        <v>4.7472253467225149</v>
      </c>
      <c r="G31" s="12">
        <f>_xlfn.F.DIST.RT(E31,C31,C34)</f>
        <v>0.205933452733017</v>
      </c>
    </row>
    <row r="32" spans="1:14" x14ac:dyDescent="0.35">
      <c r="A32" s="12" t="s">
        <v>74</v>
      </c>
      <c r="B32" s="12">
        <f>G24/(M1*M3)-G26/(M1*M2*M3)</f>
        <v>15.057777777777574</v>
      </c>
      <c r="C32" s="12">
        <f>M2-1</f>
        <v>2</v>
      </c>
      <c r="D32" s="12">
        <f>B32/C32</f>
        <v>7.5288888888887868</v>
      </c>
      <c r="E32" s="12">
        <f>D32/D34</f>
        <v>9.693848354792495</v>
      </c>
      <c r="F32" s="12">
        <f>_xlfn.F.INV.RT(0.05,C32,C34)</f>
        <v>3.8852938346523942</v>
      </c>
      <c r="G32" s="12">
        <f>_xlfn.F.DIST.RT(E32,C32,C34)</f>
        <v>3.1227037969878651E-3</v>
      </c>
    </row>
    <row r="33" spans="1:7" x14ac:dyDescent="0.35">
      <c r="A33" s="12" t="s">
        <v>37</v>
      </c>
      <c r="B33" s="12">
        <f>I28-(B31+B32)</f>
        <v>0.96444444444455257</v>
      </c>
      <c r="C33" s="12">
        <f>(M1-1)*(M2-1)</f>
        <v>2</v>
      </c>
      <c r="D33" s="12">
        <f>B33/C33</f>
        <v>0.48222222222227629</v>
      </c>
      <c r="E33" s="12">
        <f>D33/D34</f>
        <v>0.62088698140207665</v>
      </c>
      <c r="F33" s="12">
        <f>_xlfn.F.INV.RT(0.05,C33,C34)</f>
        <v>3.8852938346523942</v>
      </c>
      <c r="G33" s="12">
        <f>_xlfn.F.DIST.RT(E33,C33,C34)</f>
        <v>0.55387333192608934</v>
      </c>
    </row>
    <row r="34" spans="1:7" x14ac:dyDescent="0.35">
      <c r="A34" s="12" t="s">
        <v>38</v>
      </c>
      <c r="B34" s="12">
        <f>B35-I28</f>
        <v>9.3199999999999363</v>
      </c>
      <c r="C34" s="12">
        <f>C35-(C31+C32+C33)</f>
        <v>12</v>
      </c>
      <c r="D34" s="12">
        <f>B34/C34</f>
        <v>0.7766666666666614</v>
      </c>
      <c r="E34" s="12"/>
      <c r="F34" s="12"/>
      <c r="G34" s="12"/>
    </row>
    <row r="35" spans="1:7" x14ac:dyDescent="0.35">
      <c r="A35" s="12" t="s">
        <v>39</v>
      </c>
      <c r="B35" s="12">
        <f>K15-G26/(M1*M2*M3)</f>
        <v>26.731111111110977</v>
      </c>
      <c r="C35" s="12">
        <f>M1*M2*M3-1</f>
        <v>17</v>
      </c>
      <c r="D35" s="12"/>
      <c r="E35" s="12"/>
      <c r="F35" s="12"/>
      <c r="G35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6678-5D85-44BA-A6F3-4C63C827B1B6}">
  <dimension ref="A1:L68"/>
  <sheetViews>
    <sheetView workbookViewId="0">
      <selection activeCell="B28" sqref="B28"/>
    </sheetView>
  </sheetViews>
  <sheetFormatPr defaultRowHeight="14.5" x14ac:dyDescent="0.35"/>
  <cols>
    <col min="1" max="1" width="20" customWidth="1"/>
    <col min="2" max="2" width="14.1796875" customWidth="1"/>
    <col min="4" max="4" width="12" customWidth="1"/>
    <col min="9" max="9" width="11.7265625" customWidth="1"/>
    <col min="10" max="10" width="12.7265625" customWidth="1"/>
    <col min="11" max="11" width="12.81640625" customWidth="1"/>
  </cols>
  <sheetData>
    <row r="1" spans="1:12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209</v>
      </c>
      <c r="J1" t="s">
        <v>214</v>
      </c>
      <c r="K1" t="s">
        <v>215</v>
      </c>
      <c r="L1" t="s">
        <v>39</v>
      </c>
    </row>
    <row r="2" spans="1:12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73</v>
      </c>
      <c r="J2">
        <v>70</v>
      </c>
      <c r="K2">
        <v>80</v>
      </c>
      <c r="L2">
        <f>I2+J2+K2</f>
        <v>223</v>
      </c>
    </row>
    <row r="3" spans="1:12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83</v>
      </c>
      <c r="J3">
        <v>80</v>
      </c>
      <c r="K3">
        <v>85</v>
      </c>
      <c r="L3">
        <f t="shared" ref="L3:L9" si="0">I3+J3+K3</f>
        <v>248</v>
      </c>
    </row>
    <row r="4" spans="1:12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81</v>
      </c>
      <c r="J4">
        <v>80</v>
      </c>
      <c r="K4">
        <v>79</v>
      </c>
      <c r="L4">
        <f t="shared" si="0"/>
        <v>240</v>
      </c>
    </row>
    <row r="5" spans="1:12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74</v>
      </c>
      <c r="J5">
        <v>78</v>
      </c>
      <c r="K5">
        <v>72</v>
      </c>
      <c r="L5">
        <f t="shared" si="0"/>
        <v>224</v>
      </c>
    </row>
    <row r="6" spans="1:12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88</v>
      </c>
      <c r="J6">
        <v>82</v>
      </c>
      <c r="K6">
        <v>87</v>
      </c>
      <c r="L6">
        <f t="shared" si="0"/>
        <v>257</v>
      </c>
    </row>
    <row r="7" spans="1:12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81</v>
      </c>
      <c r="J7">
        <v>85</v>
      </c>
      <c r="K7">
        <v>87</v>
      </c>
      <c r="L7">
        <f t="shared" si="0"/>
        <v>253</v>
      </c>
    </row>
    <row r="8" spans="1:12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77</v>
      </c>
      <c r="J8">
        <v>78</v>
      </c>
      <c r="K8">
        <v>99</v>
      </c>
      <c r="L8">
        <f t="shared" si="0"/>
        <v>254</v>
      </c>
    </row>
    <row r="9" spans="1:12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90</v>
      </c>
      <c r="J9">
        <v>93</v>
      </c>
      <c r="K9">
        <v>98</v>
      </c>
      <c r="L9">
        <f t="shared" si="0"/>
        <v>281</v>
      </c>
    </row>
    <row r="10" spans="1:12" x14ac:dyDescent="0.35">
      <c r="H10" t="s">
        <v>200</v>
      </c>
      <c r="I10">
        <f>SUM(I2:I9)</f>
        <v>647</v>
      </c>
      <c r="J10">
        <f>SUM(J2:J9)</f>
        <v>646</v>
      </c>
      <c r="K10">
        <f>SUM(K2:K9)</f>
        <v>687</v>
      </c>
      <c r="L10">
        <f>SUM(L2:L9)</f>
        <v>1980</v>
      </c>
    </row>
    <row r="13" spans="1:12" x14ac:dyDescent="0.35">
      <c r="D13" t="s">
        <v>178</v>
      </c>
    </row>
    <row r="14" spans="1:12" x14ac:dyDescent="0.35">
      <c r="B14" t="s">
        <v>160</v>
      </c>
      <c r="C14" t="s">
        <v>161</v>
      </c>
      <c r="D14" t="s">
        <v>162</v>
      </c>
      <c r="E14" t="s">
        <v>166</v>
      </c>
    </row>
    <row r="15" spans="1:12" x14ac:dyDescent="0.35">
      <c r="B15">
        <f>B2*$L$2+B3*$L$3+B4*$L$4+B5*$L$5+B6*$L$6+B7*$L$7+B8*$L$8+B9*$L$9</f>
        <v>-110</v>
      </c>
      <c r="C15">
        <f t="shared" ref="C15:D15" si="1">C2*$L$2+C3*$L$3+C4*$L$4+C5*$L$5+C6*$L$6+C7*$L$7+C8*$L$8+C9*$L$9</f>
        <v>-18</v>
      </c>
      <c r="D15">
        <f t="shared" si="1"/>
        <v>-32</v>
      </c>
      <c r="E15">
        <v>-72</v>
      </c>
    </row>
    <row r="17" spans="1:11" x14ac:dyDescent="0.35">
      <c r="E17" t="s">
        <v>216</v>
      </c>
      <c r="F17" t="s">
        <v>201</v>
      </c>
      <c r="G17" t="s">
        <v>217</v>
      </c>
    </row>
    <row r="18" spans="1:11" x14ac:dyDescent="0.35">
      <c r="E18">
        <f>E2*$I$2+E3*$I$3+E4*$I$4+E5*$I$5+E6*$I$6+E7*$I$7+E8*$I$8+E9*$I$9</f>
        <v>-1</v>
      </c>
      <c r="F18">
        <f t="shared" ref="F18:G18" si="2">F2*$I$2+F3*$I$3+F4*$I$4+F5*$I$5+F6*$I$6+F7*$I$7+F8*$I$8+F9*$I$9</f>
        <v>3</v>
      </c>
      <c r="G18">
        <f t="shared" si="2"/>
        <v>3</v>
      </c>
    </row>
    <row r="19" spans="1:11" x14ac:dyDescent="0.35">
      <c r="E19" t="s">
        <v>218</v>
      </c>
      <c r="F19" t="s">
        <v>203</v>
      </c>
      <c r="G19" t="s">
        <v>219</v>
      </c>
    </row>
    <row r="20" spans="1:11" x14ac:dyDescent="0.35">
      <c r="E20">
        <f>E2*$J$2+E3*$J$3+E4*$J$4+E5*$J$5+E6*$J$6+E7*$J$7+E8*$J$8+E9*$J$9</f>
        <v>-4</v>
      </c>
      <c r="F20">
        <f t="shared" ref="F20:G20" si="3">F2*$J$2+F3*$J$3+F4*$J$4+F5*$J$5+F6*$J$6+F7*$J$7+F8*$J$8+F9*$J$9</f>
        <v>10</v>
      </c>
      <c r="G20">
        <f t="shared" si="3"/>
        <v>0</v>
      </c>
    </row>
    <row r="21" spans="1:11" x14ac:dyDescent="0.35">
      <c r="E21" t="s">
        <v>220</v>
      </c>
      <c r="F21" t="s">
        <v>221</v>
      </c>
      <c r="G21" t="s">
        <v>222</v>
      </c>
    </row>
    <row r="22" spans="1:11" x14ac:dyDescent="0.35">
      <c r="E22">
        <f>E2*$K$2+E3*$K$3+E4*$K$4+E5*$K$5+E6*$K$6+E7*$K$7+E8*$K$8+E9*$K$9</f>
        <v>37</v>
      </c>
      <c r="F22">
        <f t="shared" ref="F22:G22" si="4">F2*$K$2+F3*$K$3+F4*$K$4+F5*$K$5+F6*$K$6+F7*$K$7+F8*$K$8+F9*$K$9</f>
        <v>1</v>
      </c>
      <c r="G22">
        <f t="shared" si="4"/>
        <v>-13</v>
      </c>
    </row>
    <row r="24" spans="1:11" x14ac:dyDescent="0.35">
      <c r="F24" t="s">
        <v>180</v>
      </c>
    </row>
    <row r="25" spans="1:11" x14ac:dyDescent="0.35">
      <c r="B25" t="s">
        <v>160</v>
      </c>
      <c r="C25" t="s">
        <v>161</v>
      </c>
      <c r="D25" t="s">
        <v>162</v>
      </c>
      <c r="E25" t="s">
        <v>166</v>
      </c>
      <c r="F25" t="s">
        <v>201</v>
      </c>
      <c r="G25" t="s">
        <v>234</v>
      </c>
      <c r="H25" t="s">
        <v>218</v>
      </c>
      <c r="I25" t="s">
        <v>228</v>
      </c>
      <c r="J25" t="s">
        <v>222</v>
      </c>
      <c r="K25" t="s">
        <v>230</v>
      </c>
    </row>
    <row r="26" spans="1:11" x14ac:dyDescent="0.35">
      <c r="B26">
        <f>(B15^2)/24</f>
        <v>504.16666666666669</v>
      </c>
      <c r="C26">
        <f t="shared" ref="C26:E26" si="5">(C15^2)/24</f>
        <v>13.5</v>
      </c>
      <c r="D26">
        <f t="shared" si="5"/>
        <v>42.666666666666664</v>
      </c>
      <c r="E26">
        <f t="shared" si="5"/>
        <v>216</v>
      </c>
      <c r="F26">
        <f>(F18^2)/8</f>
        <v>1.125</v>
      </c>
      <c r="G26">
        <f>(F20+F22)^2/16</f>
        <v>7.5625</v>
      </c>
      <c r="H26">
        <f>(E20^2)/8</f>
        <v>2</v>
      </c>
      <c r="I26">
        <f>(E18+E22)^2/16</f>
        <v>81</v>
      </c>
      <c r="J26">
        <f>G22^2/8</f>
        <v>21.125</v>
      </c>
      <c r="K26">
        <f>(G18+G20)^2/16</f>
        <v>0.5625</v>
      </c>
    </row>
    <row r="28" spans="1:11" x14ac:dyDescent="0.35">
      <c r="A28">
        <v>73</v>
      </c>
      <c r="B28">
        <f>(A28-$B$52)^2</f>
        <v>90.25</v>
      </c>
    </row>
    <row r="29" spans="1:11" x14ac:dyDescent="0.35">
      <c r="A29">
        <v>83</v>
      </c>
      <c r="B29">
        <f t="shared" ref="B29:B51" si="6">(A29-$B$52)^2</f>
        <v>0.25</v>
      </c>
    </row>
    <row r="30" spans="1:11" x14ac:dyDescent="0.35">
      <c r="A30">
        <v>81</v>
      </c>
      <c r="B30">
        <f t="shared" si="6"/>
        <v>2.25</v>
      </c>
    </row>
    <row r="31" spans="1:11" x14ac:dyDescent="0.35">
      <c r="A31">
        <v>74</v>
      </c>
      <c r="B31">
        <f t="shared" si="6"/>
        <v>72.25</v>
      </c>
    </row>
    <row r="32" spans="1:11" x14ac:dyDescent="0.35">
      <c r="A32">
        <v>88</v>
      </c>
      <c r="B32">
        <f t="shared" si="6"/>
        <v>30.25</v>
      </c>
    </row>
    <row r="33" spans="1:5" x14ac:dyDescent="0.35">
      <c r="A33">
        <v>81</v>
      </c>
      <c r="B33">
        <f t="shared" si="6"/>
        <v>2.25</v>
      </c>
    </row>
    <row r="34" spans="1:5" x14ac:dyDescent="0.35">
      <c r="A34">
        <v>77</v>
      </c>
      <c r="B34">
        <f t="shared" si="6"/>
        <v>30.25</v>
      </c>
    </row>
    <row r="35" spans="1:5" x14ac:dyDescent="0.35">
      <c r="A35">
        <v>90</v>
      </c>
      <c r="B35">
        <f t="shared" si="6"/>
        <v>56.25</v>
      </c>
    </row>
    <row r="36" spans="1:5" x14ac:dyDescent="0.35">
      <c r="A36">
        <v>70</v>
      </c>
      <c r="B36">
        <f t="shared" si="6"/>
        <v>156.25</v>
      </c>
    </row>
    <row r="37" spans="1:5" x14ac:dyDescent="0.35">
      <c r="A37">
        <v>80</v>
      </c>
      <c r="B37">
        <f t="shared" si="6"/>
        <v>6.25</v>
      </c>
    </row>
    <row r="38" spans="1:5" x14ac:dyDescent="0.35">
      <c r="A38">
        <v>80</v>
      </c>
      <c r="B38">
        <f t="shared" si="6"/>
        <v>6.25</v>
      </c>
    </row>
    <row r="39" spans="1:5" x14ac:dyDescent="0.35">
      <c r="A39">
        <v>78</v>
      </c>
      <c r="B39">
        <f t="shared" si="6"/>
        <v>20.25</v>
      </c>
      <c r="D39" t="s">
        <v>192</v>
      </c>
      <c r="E39">
        <f>SUM(B28:B51)</f>
        <v>1298</v>
      </c>
    </row>
    <row r="40" spans="1:5" x14ac:dyDescent="0.35">
      <c r="A40">
        <v>82</v>
      </c>
      <c r="B40">
        <f t="shared" si="6"/>
        <v>0.25</v>
      </c>
    </row>
    <row r="41" spans="1:5" x14ac:dyDescent="0.35">
      <c r="A41">
        <v>85</v>
      </c>
      <c r="B41">
        <f t="shared" si="6"/>
        <v>6.25</v>
      </c>
    </row>
    <row r="42" spans="1:5" x14ac:dyDescent="0.35">
      <c r="A42">
        <v>78</v>
      </c>
      <c r="B42">
        <f t="shared" si="6"/>
        <v>20.25</v>
      </c>
    </row>
    <row r="43" spans="1:5" x14ac:dyDescent="0.35">
      <c r="A43">
        <v>93</v>
      </c>
      <c r="B43">
        <f t="shared" si="6"/>
        <v>110.25</v>
      </c>
    </row>
    <row r="44" spans="1:5" x14ac:dyDescent="0.35">
      <c r="A44">
        <v>80</v>
      </c>
      <c r="B44">
        <f t="shared" si="6"/>
        <v>6.25</v>
      </c>
    </row>
    <row r="45" spans="1:5" x14ac:dyDescent="0.35">
      <c r="A45">
        <v>85</v>
      </c>
      <c r="B45">
        <f t="shared" si="6"/>
        <v>6.25</v>
      </c>
    </row>
    <row r="46" spans="1:5" x14ac:dyDescent="0.35">
      <c r="A46">
        <v>79</v>
      </c>
      <c r="B46">
        <f t="shared" si="6"/>
        <v>12.25</v>
      </c>
    </row>
    <row r="47" spans="1:5" x14ac:dyDescent="0.35">
      <c r="A47">
        <v>72</v>
      </c>
      <c r="B47">
        <f t="shared" si="6"/>
        <v>110.25</v>
      </c>
    </row>
    <row r="48" spans="1:5" x14ac:dyDescent="0.35">
      <c r="A48">
        <v>87</v>
      </c>
      <c r="B48">
        <f t="shared" si="6"/>
        <v>20.25</v>
      </c>
    </row>
    <row r="49" spans="1:6" x14ac:dyDescent="0.35">
      <c r="A49">
        <v>87</v>
      </c>
      <c r="B49">
        <f t="shared" si="6"/>
        <v>20.25</v>
      </c>
    </row>
    <row r="50" spans="1:6" x14ac:dyDescent="0.35">
      <c r="A50">
        <v>99</v>
      </c>
      <c r="B50">
        <f t="shared" si="6"/>
        <v>272.25</v>
      </c>
    </row>
    <row r="51" spans="1:6" x14ac:dyDescent="0.35">
      <c r="A51">
        <v>98</v>
      </c>
      <c r="B51">
        <f t="shared" si="6"/>
        <v>240.25</v>
      </c>
    </row>
    <row r="52" spans="1:6" x14ac:dyDescent="0.35">
      <c r="A52" t="s">
        <v>181</v>
      </c>
      <c r="B52">
        <f>AVERAGE(A28:A51)</f>
        <v>82.5</v>
      </c>
    </row>
    <row r="53" spans="1:6" x14ac:dyDescent="0.35">
      <c r="A53" t="s">
        <v>193</v>
      </c>
      <c r="B53">
        <f>SUM(A28:A51)</f>
        <v>1980</v>
      </c>
    </row>
    <row r="55" spans="1:6" x14ac:dyDescent="0.35">
      <c r="A55" t="s">
        <v>185</v>
      </c>
    </row>
    <row r="57" spans="1:6" x14ac:dyDescent="0.35">
      <c r="A57" s="27" t="s">
        <v>30</v>
      </c>
      <c r="B57" s="27" t="s">
        <v>31</v>
      </c>
      <c r="C57" s="27" t="s">
        <v>70</v>
      </c>
      <c r="D57" s="27" t="s">
        <v>33</v>
      </c>
      <c r="E57" s="27" t="s">
        <v>205</v>
      </c>
      <c r="F57" s="27" t="s">
        <v>21</v>
      </c>
    </row>
    <row r="58" spans="1:6" x14ac:dyDescent="0.35">
      <c r="A58" s="27" t="s">
        <v>206</v>
      </c>
      <c r="B58" s="27">
        <f>(I10^2+J10^2+K10^2)/8-(L10^2)/24</f>
        <v>136.75</v>
      </c>
      <c r="C58" s="27">
        <v>2</v>
      </c>
      <c r="D58" s="27">
        <f>B58/C58</f>
        <v>68.375</v>
      </c>
      <c r="E58" s="27">
        <f>D58/$D$67</f>
        <v>2.7698466857405699</v>
      </c>
      <c r="F58" s="27"/>
    </row>
    <row r="59" spans="1:6" ht="48.5" customHeight="1" x14ac:dyDescent="0.35">
      <c r="A59" s="28" t="s">
        <v>235</v>
      </c>
      <c r="B59" s="27">
        <f>F26+H26+J26</f>
        <v>24.25</v>
      </c>
      <c r="C59" s="27">
        <v>3</v>
      </c>
      <c r="D59" s="27">
        <f t="shared" ref="D59:D67" si="7">B59/C59</f>
        <v>8.0833333333333339</v>
      </c>
      <c r="E59" s="27">
        <f t="shared" ref="E59:E66" si="8">D59/$D$67</f>
        <v>0.32745292933191383</v>
      </c>
      <c r="F59" s="27"/>
    </row>
    <row r="60" spans="1:6" x14ac:dyDescent="0.35">
      <c r="A60" s="27" t="s">
        <v>160</v>
      </c>
      <c r="B60" s="27">
        <v>504.16669999999999</v>
      </c>
      <c r="C60" s="27">
        <v>1</v>
      </c>
      <c r="D60" s="27">
        <f t="shared" si="7"/>
        <v>504.16669999999999</v>
      </c>
      <c r="E60" s="27">
        <f t="shared" si="8"/>
        <v>20.423611891126292</v>
      </c>
      <c r="F60" s="27">
        <f>_xlfn.F.INV.RT(0.05,C60,$C$67)</f>
        <v>4.8443356749436166</v>
      </c>
    </row>
    <row r="61" spans="1:6" x14ac:dyDescent="0.35">
      <c r="A61" s="28" t="s">
        <v>161</v>
      </c>
      <c r="B61" s="27">
        <v>13.5</v>
      </c>
      <c r="C61" s="27">
        <v>1</v>
      </c>
      <c r="D61" s="27">
        <f t="shared" si="7"/>
        <v>13.5</v>
      </c>
      <c r="E61" s="27">
        <f t="shared" si="8"/>
        <v>0.54688015001824775</v>
      </c>
      <c r="F61" s="27">
        <f t="shared" ref="F61:F66" si="9">_xlfn.F.INV.RT(0.05,C61,$C$67)</f>
        <v>4.8443356749436166</v>
      </c>
    </row>
    <row r="62" spans="1:6" x14ac:dyDescent="0.35">
      <c r="A62" s="27" t="s">
        <v>162</v>
      </c>
      <c r="B62" s="27">
        <v>42.667000000000002</v>
      </c>
      <c r="C62" s="27">
        <v>1</v>
      </c>
      <c r="D62" s="27">
        <f t="shared" si="7"/>
        <v>42.667000000000002</v>
      </c>
      <c r="E62" s="27">
        <f t="shared" si="8"/>
        <v>1.7284248415428578</v>
      </c>
      <c r="F62" s="27">
        <f t="shared" si="9"/>
        <v>4.8443356749436166</v>
      </c>
    </row>
    <row r="63" spans="1:6" x14ac:dyDescent="0.35">
      <c r="A63" s="28" t="s">
        <v>228</v>
      </c>
      <c r="B63" s="27">
        <v>81</v>
      </c>
      <c r="C63" s="27">
        <v>1</v>
      </c>
      <c r="D63" s="27">
        <f t="shared" si="7"/>
        <v>81</v>
      </c>
      <c r="E63" s="27">
        <f t="shared" si="8"/>
        <v>3.2812809001094867</v>
      </c>
      <c r="F63" s="27">
        <f t="shared" si="9"/>
        <v>4.8443356749436166</v>
      </c>
    </row>
    <row r="64" spans="1:6" x14ac:dyDescent="0.35">
      <c r="A64" s="27" t="s">
        <v>234</v>
      </c>
      <c r="B64" s="27">
        <v>7.5629999999999997</v>
      </c>
      <c r="C64" s="27">
        <v>1</v>
      </c>
      <c r="D64" s="27">
        <f t="shared" si="7"/>
        <v>7.5629999999999997</v>
      </c>
      <c r="E64" s="27">
        <f t="shared" si="8"/>
        <v>0.30637441293244505</v>
      </c>
      <c r="F64" s="27">
        <f t="shared" si="9"/>
        <v>4.8443356749436166</v>
      </c>
    </row>
    <row r="65" spans="1:6" x14ac:dyDescent="0.35">
      <c r="A65" s="28" t="s">
        <v>230</v>
      </c>
      <c r="B65" s="27">
        <v>0.56299999999999994</v>
      </c>
      <c r="C65" s="27">
        <v>1</v>
      </c>
      <c r="D65" s="27">
        <f t="shared" si="7"/>
        <v>0.56299999999999994</v>
      </c>
      <c r="E65" s="27">
        <f t="shared" si="8"/>
        <v>2.2806927737798036E-2</v>
      </c>
      <c r="F65" s="27">
        <f t="shared" si="9"/>
        <v>4.8443356749436166</v>
      </c>
    </row>
    <row r="66" spans="1:6" x14ac:dyDescent="0.35">
      <c r="A66" s="27" t="s">
        <v>166</v>
      </c>
      <c r="B66" s="27">
        <v>216</v>
      </c>
      <c r="C66" s="27">
        <v>1</v>
      </c>
      <c r="D66" s="27">
        <f t="shared" si="7"/>
        <v>216</v>
      </c>
      <c r="E66" s="27">
        <f t="shared" si="8"/>
        <v>8.7500824002919639</v>
      </c>
      <c r="F66" s="27">
        <f t="shared" si="9"/>
        <v>4.8443356749436166</v>
      </c>
    </row>
    <row r="67" spans="1:6" x14ac:dyDescent="0.35">
      <c r="A67" s="28" t="s">
        <v>38</v>
      </c>
      <c r="B67" s="27">
        <f>B68-B58-B59-B60-B61-B62-B63-B64-B65-B66</f>
        <v>271.5403</v>
      </c>
      <c r="C67" s="27">
        <f>C68-(C58+C59+C60+C61+C62+C63+C64+C65+C66)</f>
        <v>11</v>
      </c>
      <c r="D67" s="27">
        <f t="shared" si="7"/>
        <v>24.685481818181817</v>
      </c>
      <c r="E67" s="27"/>
      <c r="F67" s="27"/>
    </row>
    <row r="68" spans="1:6" x14ac:dyDescent="0.35">
      <c r="A68" s="27" t="s">
        <v>39</v>
      </c>
      <c r="B68" s="27">
        <v>1298</v>
      </c>
      <c r="C68" s="27">
        <v>23</v>
      </c>
      <c r="D68" s="27"/>
      <c r="E68" s="27"/>
      <c r="F6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CA49-11AD-4B58-AFAE-D27EF8C7345A}">
  <dimension ref="A1:L66"/>
  <sheetViews>
    <sheetView workbookViewId="0">
      <selection activeCell="B56" sqref="B56"/>
    </sheetView>
  </sheetViews>
  <sheetFormatPr defaultRowHeight="14.5" x14ac:dyDescent="0.35"/>
  <cols>
    <col min="1" max="1" width="24.54296875" customWidth="1"/>
    <col min="2" max="2" width="14.453125" customWidth="1"/>
    <col min="4" max="4" width="12.6328125" customWidth="1"/>
    <col min="9" max="9" width="9.6328125" customWidth="1"/>
    <col min="10" max="10" width="9.90625" customWidth="1"/>
    <col min="11" max="11" width="11.08984375" customWidth="1"/>
  </cols>
  <sheetData>
    <row r="1" spans="1:12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224</v>
      </c>
      <c r="J1" t="s">
        <v>225</v>
      </c>
      <c r="K1" t="s">
        <v>226</v>
      </c>
      <c r="L1" t="s">
        <v>39</v>
      </c>
    </row>
    <row r="2" spans="1:12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39</v>
      </c>
      <c r="J2">
        <v>41</v>
      </c>
      <c r="K2">
        <v>47</v>
      </c>
      <c r="L2">
        <f>I2+J2+K2</f>
        <v>127</v>
      </c>
    </row>
    <row r="3" spans="1:12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55</v>
      </c>
      <c r="J3">
        <v>47</v>
      </c>
      <c r="K3">
        <v>46</v>
      </c>
      <c r="L3">
        <f t="shared" ref="L3:L9" si="0">I3+J3+K3</f>
        <v>148</v>
      </c>
    </row>
    <row r="4" spans="1:12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40</v>
      </c>
      <c r="J4">
        <v>37</v>
      </c>
      <c r="K4">
        <v>36</v>
      </c>
      <c r="L4">
        <f t="shared" si="0"/>
        <v>113</v>
      </c>
    </row>
    <row r="5" spans="1:12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32</v>
      </c>
      <c r="J5">
        <v>43</v>
      </c>
      <c r="K5">
        <v>29</v>
      </c>
      <c r="L5">
        <f t="shared" si="0"/>
        <v>104</v>
      </c>
    </row>
    <row r="6" spans="1:12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60</v>
      </c>
      <c r="J6">
        <v>50</v>
      </c>
      <c r="K6">
        <v>54</v>
      </c>
      <c r="L6">
        <f t="shared" si="0"/>
        <v>164</v>
      </c>
    </row>
    <row r="7" spans="1:12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35</v>
      </c>
      <c r="J7">
        <v>34</v>
      </c>
      <c r="K7">
        <v>50</v>
      </c>
      <c r="L7">
        <f t="shared" si="0"/>
        <v>119</v>
      </c>
    </row>
    <row r="8" spans="1:12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44</v>
      </c>
      <c r="J8">
        <v>45</v>
      </c>
      <c r="K8">
        <v>38</v>
      </c>
      <c r="L8">
        <f t="shared" si="0"/>
        <v>127</v>
      </c>
    </row>
    <row r="9" spans="1:12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22</v>
      </c>
      <c r="J9">
        <v>31</v>
      </c>
      <c r="K9">
        <v>25</v>
      </c>
      <c r="L9">
        <f t="shared" si="0"/>
        <v>78</v>
      </c>
    </row>
    <row r="10" spans="1:12" x14ac:dyDescent="0.35">
      <c r="H10" t="s">
        <v>236</v>
      </c>
      <c r="I10">
        <f>SUM(I2:I9)</f>
        <v>327</v>
      </c>
      <c r="J10">
        <f>SUM(J2:J9)</f>
        <v>328</v>
      </c>
      <c r="K10">
        <f>SUM(K2:K9)</f>
        <v>325</v>
      </c>
      <c r="L10">
        <f>SUM(L2:L9)</f>
        <v>980</v>
      </c>
    </row>
    <row r="12" spans="1:12" x14ac:dyDescent="0.35">
      <c r="F12" t="s">
        <v>178</v>
      </c>
    </row>
    <row r="13" spans="1:12" x14ac:dyDescent="0.35">
      <c r="B13" t="s">
        <v>160</v>
      </c>
      <c r="C13" t="s">
        <v>161</v>
      </c>
      <c r="D13" t="s">
        <v>162</v>
      </c>
      <c r="E13" t="s">
        <v>163</v>
      </c>
    </row>
    <row r="14" spans="1:12" x14ac:dyDescent="0.35">
      <c r="B14">
        <f>B2*$L$2+B3*$L$3+B4*$L$4+B5*$L$5+B6*$L$6+B7*$L$7+B8*$L$8+B9*$L$9</f>
        <v>4</v>
      </c>
      <c r="C14">
        <f t="shared" ref="C14:E14" si="1">C2*$L$2+C3*$L$3+C4*$L$4+C5*$L$5+C6*$L$6+C7*$L$7+C8*$L$8+C9*$L$9</f>
        <v>136</v>
      </c>
      <c r="D14">
        <f t="shared" si="1"/>
        <v>82</v>
      </c>
      <c r="E14">
        <f t="shared" si="1"/>
        <v>-20</v>
      </c>
    </row>
    <row r="16" spans="1:12" x14ac:dyDescent="0.35">
      <c r="F16" t="s">
        <v>201</v>
      </c>
      <c r="G16" t="s">
        <v>217</v>
      </c>
      <c r="H16" t="s">
        <v>204</v>
      </c>
    </row>
    <row r="17" spans="1:11" x14ac:dyDescent="0.35">
      <c r="F17">
        <f>F2*$I$2+F3*$I$3+F4*$I$4+F5*$I$5+F6*$I$6+F7*$I$7+F8*$I$8+F9*$I$9</f>
        <v>-55</v>
      </c>
      <c r="G17">
        <f t="shared" ref="G17:H17" si="2">G2*$I$2+G3*$I$3+G4*$I$4+G5*$I$5+G6*$I$6+G7*$I$7+G8*$I$8+G9*$I$9</f>
        <v>-21</v>
      </c>
      <c r="H17">
        <f t="shared" si="2"/>
        <v>-27</v>
      </c>
    </row>
    <row r="18" spans="1:11" x14ac:dyDescent="0.35">
      <c r="F18" t="s">
        <v>203</v>
      </c>
      <c r="G18" t="s">
        <v>219</v>
      </c>
      <c r="H18" t="s">
        <v>202</v>
      </c>
    </row>
    <row r="19" spans="1:11" x14ac:dyDescent="0.35">
      <c r="F19">
        <f>F2*$J$2+F3*$J$3+F4*$J$4+F5*$J$5+F6*$J$6+F7*$J$7+F8*$J$8+F9*$J$9</f>
        <v>-42</v>
      </c>
      <c r="G19">
        <f t="shared" ref="G19:H19" si="3">G2*$J$2+G3*$J$3+G4*$J$4+G5*$J$5+G6*$J$6+G7*$J$7+G8*$J$8+G9*$J$9</f>
        <v>2</v>
      </c>
      <c r="H19">
        <f t="shared" si="3"/>
        <v>-2</v>
      </c>
    </row>
    <row r="20" spans="1:11" x14ac:dyDescent="0.35">
      <c r="F20" t="s">
        <v>221</v>
      </c>
      <c r="G20" t="s">
        <v>222</v>
      </c>
      <c r="H20" t="s">
        <v>227</v>
      </c>
    </row>
    <row r="21" spans="1:11" x14ac:dyDescent="0.35">
      <c r="F21">
        <f>F2*$K$2+F3*$K$3+F4*$K$4+F5*$K$5+F6*$K$6+F7*$K$7+F8*$K$8+F9*$K$9</f>
        <v>-9</v>
      </c>
      <c r="G21">
        <f t="shared" ref="G21:H21" si="4">G2*$K$2+G3*$K$3+G4*$K$4+G5*$K$5+G6*$K$6+G7*$K$7+G8*$K$8+G9*$K$9</f>
        <v>-15</v>
      </c>
      <c r="H21">
        <f t="shared" si="4"/>
        <v>3</v>
      </c>
    </row>
    <row r="24" spans="1:11" x14ac:dyDescent="0.35">
      <c r="F24" t="s">
        <v>180</v>
      </c>
    </row>
    <row r="25" spans="1:11" x14ac:dyDescent="0.35">
      <c r="B25" t="s">
        <v>160</v>
      </c>
      <c r="C25" t="s">
        <v>161</v>
      </c>
      <c r="D25" t="s">
        <v>162</v>
      </c>
      <c r="E25" t="s">
        <v>163</v>
      </c>
      <c r="F25" t="s">
        <v>203</v>
      </c>
      <c r="G25" t="s">
        <v>222</v>
      </c>
      <c r="H25" t="s">
        <v>204</v>
      </c>
      <c r="I25" t="s">
        <v>237</v>
      </c>
      <c r="J25" t="s">
        <v>230</v>
      </c>
      <c r="K25" t="s">
        <v>229</v>
      </c>
    </row>
    <row r="26" spans="1:11" x14ac:dyDescent="0.35">
      <c r="B26">
        <f>B14^2/24</f>
        <v>0.66666666666666663</v>
      </c>
      <c r="C26">
        <f t="shared" ref="C26:E26" si="5">C14^2/24</f>
        <v>770.66666666666663</v>
      </c>
      <c r="D26">
        <f t="shared" si="5"/>
        <v>280.16666666666669</v>
      </c>
      <c r="E26">
        <f t="shared" si="5"/>
        <v>16.666666666666668</v>
      </c>
      <c r="F26">
        <f>F19^2/8</f>
        <v>220.5</v>
      </c>
      <c r="G26">
        <f>G21^2/8</f>
        <v>28.125</v>
      </c>
      <c r="H26">
        <f>H17^2/8</f>
        <v>91.125</v>
      </c>
      <c r="I26">
        <f>(F17+F21)^2/16</f>
        <v>256</v>
      </c>
      <c r="J26">
        <f>(G17+G19)^2/16</f>
        <v>22.5625</v>
      </c>
      <c r="K26">
        <f>(H19+H21)^2/16</f>
        <v>6.25E-2</v>
      </c>
    </row>
    <row r="28" spans="1:11" x14ac:dyDescent="0.35">
      <c r="A28">
        <v>39</v>
      </c>
      <c r="B28">
        <f>(A28-$B$52)^2</f>
        <v>3.3611111111111196</v>
      </c>
    </row>
    <row r="29" spans="1:11" x14ac:dyDescent="0.35">
      <c r="A29">
        <v>55</v>
      </c>
      <c r="B29">
        <f t="shared" ref="B29:B51" si="6">(A29-$B$52)^2</f>
        <v>200.69444444444437</v>
      </c>
    </row>
    <row r="30" spans="1:11" x14ac:dyDescent="0.35">
      <c r="A30">
        <v>40</v>
      </c>
      <c r="B30">
        <f t="shared" si="6"/>
        <v>0.69444444444444842</v>
      </c>
    </row>
    <row r="31" spans="1:11" x14ac:dyDescent="0.35">
      <c r="A31">
        <v>32</v>
      </c>
      <c r="B31">
        <f t="shared" si="6"/>
        <v>78.027777777777814</v>
      </c>
    </row>
    <row r="32" spans="1:11" x14ac:dyDescent="0.35">
      <c r="A32">
        <v>60</v>
      </c>
      <c r="B32">
        <f t="shared" si="6"/>
        <v>367.36111111111103</v>
      </c>
    </row>
    <row r="33" spans="1:5" x14ac:dyDescent="0.35">
      <c r="A33">
        <v>35</v>
      </c>
      <c r="B33">
        <f t="shared" si="6"/>
        <v>34.027777777777807</v>
      </c>
    </row>
    <row r="34" spans="1:5" x14ac:dyDescent="0.35">
      <c r="A34">
        <v>44</v>
      </c>
      <c r="B34">
        <f t="shared" si="6"/>
        <v>10.027777777777763</v>
      </c>
    </row>
    <row r="35" spans="1:5" x14ac:dyDescent="0.35">
      <c r="A35">
        <v>22</v>
      </c>
      <c r="B35">
        <f t="shared" si="6"/>
        <v>354.69444444444451</v>
      </c>
    </row>
    <row r="36" spans="1:5" x14ac:dyDescent="0.35">
      <c r="A36">
        <v>41</v>
      </c>
      <c r="B36">
        <f t="shared" si="6"/>
        <v>2.7777777777776989E-2</v>
      </c>
    </row>
    <row r="37" spans="1:5" x14ac:dyDescent="0.35">
      <c r="A37">
        <v>47</v>
      </c>
      <c r="B37">
        <f t="shared" si="6"/>
        <v>38.02777777777775</v>
      </c>
    </row>
    <row r="38" spans="1:5" x14ac:dyDescent="0.35">
      <c r="A38">
        <v>37</v>
      </c>
      <c r="B38">
        <f t="shared" si="6"/>
        <v>14.694444444444462</v>
      </c>
    </row>
    <row r="39" spans="1:5" x14ac:dyDescent="0.35">
      <c r="A39">
        <v>43</v>
      </c>
      <c r="B39">
        <f t="shared" si="6"/>
        <v>4.694444444444434</v>
      </c>
      <c r="D39" t="s">
        <v>192</v>
      </c>
      <c r="E39">
        <f>SUM(B28:B51)</f>
        <v>2095.3333333333339</v>
      </c>
    </row>
    <row r="40" spans="1:5" x14ac:dyDescent="0.35">
      <c r="A40">
        <v>50</v>
      </c>
      <c r="B40">
        <f t="shared" si="6"/>
        <v>84.027777777777729</v>
      </c>
    </row>
    <row r="41" spans="1:5" x14ac:dyDescent="0.35">
      <c r="A41">
        <v>34</v>
      </c>
      <c r="B41">
        <f t="shared" si="6"/>
        <v>46.694444444444478</v>
      </c>
    </row>
    <row r="42" spans="1:5" x14ac:dyDescent="0.35">
      <c r="A42">
        <v>45</v>
      </c>
      <c r="B42">
        <f t="shared" si="6"/>
        <v>17.361111111111093</v>
      </c>
    </row>
    <row r="43" spans="1:5" x14ac:dyDescent="0.35">
      <c r="A43">
        <v>31</v>
      </c>
      <c r="B43">
        <f t="shared" si="6"/>
        <v>96.694444444444485</v>
      </c>
    </row>
    <row r="44" spans="1:5" x14ac:dyDescent="0.35">
      <c r="A44">
        <v>47</v>
      </c>
      <c r="B44">
        <f t="shared" si="6"/>
        <v>38.02777777777775</v>
      </c>
    </row>
    <row r="45" spans="1:5" x14ac:dyDescent="0.35">
      <c r="A45">
        <v>46</v>
      </c>
      <c r="B45">
        <f t="shared" si="6"/>
        <v>26.694444444444422</v>
      </c>
    </row>
    <row r="46" spans="1:5" x14ac:dyDescent="0.35">
      <c r="A46">
        <v>36</v>
      </c>
      <c r="B46">
        <f t="shared" si="6"/>
        <v>23.361111111111136</v>
      </c>
    </row>
    <row r="47" spans="1:5" x14ac:dyDescent="0.35">
      <c r="A47">
        <v>29</v>
      </c>
      <c r="B47">
        <f t="shared" si="6"/>
        <v>140.02777777777783</v>
      </c>
    </row>
    <row r="48" spans="1:5" x14ac:dyDescent="0.35">
      <c r="A48">
        <v>54</v>
      </c>
      <c r="B48">
        <f t="shared" si="6"/>
        <v>173.36111111111106</v>
      </c>
    </row>
    <row r="49" spans="1:6" x14ac:dyDescent="0.35">
      <c r="A49">
        <v>50</v>
      </c>
      <c r="B49">
        <f t="shared" si="6"/>
        <v>84.027777777777729</v>
      </c>
    </row>
    <row r="50" spans="1:6" x14ac:dyDescent="0.35">
      <c r="A50">
        <v>38</v>
      </c>
      <c r="B50">
        <f t="shared" si="6"/>
        <v>8.027777777777791</v>
      </c>
    </row>
    <row r="51" spans="1:6" x14ac:dyDescent="0.35">
      <c r="A51">
        <v>25</v>
      </c>
      <c r="B51">
        <f t="shared" si="6"/>
        <v>250.69444444444451</v>
      </c>
    </row>
    <row r="52" spans="1:6" x14ac:dyDescent="0.35">
      <c r="A52" t="s">
        <v>181</v>
      </c>
      <c r="B52">
        <f>AVERAGE(A28:A51)</f>
        <v>40.833333333333336</v>
      </c>
    </row>
    <row r="53" spans="1:6" x14ac:dyDescent="0.35">
      <c r="A53" t="s">
        <v>193</v>
      </c>
      <c r="B53">
        <f>SUM(A28:A51)</f>
        <v>980</v>
      </c>
    </row>
    <row r="55" spans="1:6" x14ac:dyDescent="0.35">
      <c r="A55" s="25" t="s">
        <v>30</v>
      </c>
      <c r="B55" s="25" t="s">
        <v>31</v>
      </c>
      <c r="C55" s="25" t="s">
        <v>70</v>
      </c>
      <c r="D55" s="25" t="s">
        <v>33</v>
      </c>
      <c r="E55" s="25" t="s">
        <v>205</v>
      </c>
      <c r="F55" s="25" t="s">
        <v>21</v>
      </c>
    </row>
    <row r="56" spans="1:6" x14ac:dyDescent="0.35">
      <c r="A56" s="25" t="s">
        <v>206</v>
      </c>
      <c r="B56" s="25">
        <f>(I10^2+J10^2+K10^2)/8-(L10^2)/24</f>
        <v>0.58333333333575865</v>
      </c>
      <c r="C56" s="25">
        <v>2</v>
      </c>
      <c r="D56" s="25">
        <f>B56/C56</f>
        <v>0.29166666666787933</v>
      </c>
      <c r="E56" s="25">
        <f>D56/$D$65</f>
        <v>7.8597041583184299E-3</v>
      </c>
      <c r="F56" s="25"/>
    </row>
    <row r="57" spans="1:6" ht="27.5" customHeight="1" x14ac:dyDescent="0.35">
      <c r="A57" s="26" t="s">
        <v>238</v>
      </c>
      <c r="B57" s="25">
        <f>F26+G26+H26</f>
        <v>339.75</v>
      </c>
      <c r="C57" s="25">
        <v>3</v>
      </c>
      <c r="D57" s="25">
        <f t="shared" ref="D57:D65" si="7">B57/C57</f>
        <v>113.25</v>
      </c>
      <c r="E57" s="25">
        <f t="shared" ref="E57:E64" si="8">D57/$D$65</f>
        <v>3.051810843174382</v>
      </c>
      <c r="F57" s="25"/>
    </row>
    <row r="58" spans="1:6" x14ac:dyDescent="0.35">
      <c r="A58" s="25" t="s">
        <v>160</v>
      </c>
      <c r="B58" s="25">
        <v>0.66669999999999996</v>
      </c>
      <c r="C58" s="25">
        <v>1</v>
      </c>
      <c r="D58" s="25">
        <f t="shared" si="7"/>
        <v>0.66669999999999996</v>
      </c>
      <c r="E58" s="25">
        <f t="shared" si="8"/>
        <v>1.7965936327985522E-2</v>
      </c>
      <c r="F58" s="25">
        <f>_xlfn.F.INV.RT(0.05,C58,$C$65)</f>
        <v>4.8443356749436166</v>
      </c>
    </row>
    <row r="59" spans="1:6" x14ac:dyDescent="0.35">
      <c r="A59" s="26" t="s">
        <v>161</v>
      </c>
      <c r="B59" s="25">
        <v>770.66700000000003</v>
      </c>
      <c r="C59" s="25">
        <v>1</v>
      </c>
      <c r="D59" s="25">
        <f t="shared" si="7"/>
        <v>770.66700000000003</v>
      </c>
      <c r="E59" s="25">
        <f t="shared" si="8"/>
        <v>20.767592998469503</v>
      </c>
      <c r="F59" s="25">
        <f t="shared" ref="F59:F64" si="9">_xlfn.F.INV.RT(0.05,C59,$C$65)</f>
        <v>4.8443356749436166</v>
      </c>
    </row>
    <row r="60" spans="1:6" x14ac:dyDescent="0.35">
      <c r="A60" s="25" t="s">
        <v>162</v>
      </c>
      <c r="B60" s="25">
        <v>280.16669999999999</v>
      </c>
      <c r="C60" s="25">
        <v>1</v>
      </c>
      <c r="D60" s="25">
        <f t="shared" si="7"/>
        <v>280.16669999999999</v>
      </c>
      <c r="E60" s="25">
        <f t="shared" si="8"/>
        <v>7.5498081497252452</v>
      </c>
      <c r="F60" s="25">
        <f t="shared" si="9"/>
        <v>4.8443356749436166</v>
      </c>
    </row>
    <row r="61" spans="1:6" x14ac:dyDescent="0.35">
      <c r="A61" s="26" t="s">
        <v>163</v>
      </c>
      <c r="B61" s="25">
        <v>16.670000000000002</v>
      </c>
      <c r="C61" s="25">
        <v>1</v>
      </c>
      <c r="D61" s="25">
        <f t="shared" si="7"/>
        <v>16.670000000000002</v>
      </c>
      <c r="E61" s="25">
        <f t="shared" si="8"/>
        <v>0.44921577709242339</v>
      </c>
      <c r="F61" s="25">
        <f t="shared" si="9"/>
        <v>4.8443356749436166</v>
      </c>
    </row>
    <row r="62" spans="1:6" x14ac:dyDescent="0.35">
      <c r="A62" s="25" t="s">
        <v>237</v>
      </c>
      <c r="B62" s="25">
        <v>256</v>
      </c>
      <c r="C62" s="25">
        <v>1</v>
      </c>
      <c r="D62" s="25">
        <f t="shared" si="7"/>
        <v>256</v>
      </c>
      <c r="E62" s="25">
        <f t="shared" si="8"/>
        <v>6.8985746212153796</v>
      </c>
      <c r="F62" s="25">
        <f t="shared" si="9"/>
        <v>4.8443356749436166</v>
      </c>
    </row>
    <row r="63" spans="1:6" x14ac:dyDescent="0.35">
      <c r="A63" s="26" t="s">
        <v>230</v>
      </c>
      <c r="B63" s="25">
        <v>22.562999999999999</v>
      </c>
      <c r="C63" s="25">
        <v>1</v>
      </c>
      <c r="D63" s="25">
        <f t="shared" si="7"/>
        <v>22.562999999999999</v>
      </c>
      <c r="E63" s="25">
        <f t="shared" si="8"/>
        <v>0.60801773116594771</v>
      </c>
      <c r="F63" s="25">
        <f t="shared" si="9"/>
        <v>4.8443356749436166</v>
      </c>
    </row>
    <row r="64" spans="1:6" x14ac:dyDescent="0.35">
      <c r="A64" s="25" t="s">
        <v>229</v>
      </c>
      <c r="B64" s="25">
        <v>6.3E-2</v>
      </c>
      <c r="C64" s="25">
        <v>1</v>
      </c>
      <c r="D64" s="25">
        <f t="shared" si="7"/>
        <v>6.3E-2</v>
      </c>
      <c r="E64" s="25">
        <f t="shared" si="8"/>
        <v>1.6976960981897223E-3</v>
      </c>
      <c r="F64" s="25">
        <f t="shared" si="9"/>
        <v>4.8443356749436166</v>
      </c>
    </row>
    <row r="65" spans="1:6" x14ac:dyDescent="0.35">
      <c r="A65" s="26" t="s">
        <v>38</v>
      </c>
      <c r="B65" s="25">
        <f>B66-B56-B57-B58-B59-B60-B61-B62-B63-B64</f>
        <v>408.20026666666422</v>
      </c>
      <c r="C65" s="25">
        <f>C66-C56-C57-C58-C59-C60-C61-C62-C63-C64</f>
        <v>11</v>
      </c>
      <c r="D65" s="25">
        <f t="shared" si="7"/>
        <v>37.109115151514928</v>
      </c>
      <c r="E65" s="25"/>
      <c r="F65" s="25"/>
    </row>
    <row r="66" spans="1:6" x14ac:dyDescent="0.35">
      <c r="A66" s="25" t="s">
        <v>39</v>
      </c>
      <c r="B66" s="25">
        <v>2095.33</v>
      </c>
      <c r="C66" s="25">
        <v>23</v>
      </c>
      <c r="D66" s="25"/>
      <c r="E66" s="25"/>
      <c r="F66" s="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2C0C-B8B4-417A-BFB0-3CD463708988}">
  <dimension ref="A1:M78"/>
  <sheetViews>
    <sheetView workbookViewId="0">
      <selection activeCell="J13" sqref="J13"/>
    </sheetView>
  </sheetViews>
  <sheetFormatPr defaultRowHeight="14.5" x14ac:dyDescent="0.35"/>
  <cols>
    <col min="1" max="1" width="20.08984375" customWidth="1"/>
    <col min="2" max="2" width="13.7265625" customWidth="1"/>
    <col min="4" max="4" width="12.26953125" customWidth="1"/>
    <col min="5" max="5" width="10.54296875" customWidth="1"/>
    <col min="9" max="10" width="10.453125" customWidth="1"/>
    <col min="11" max="11" width="9.7265625" customWidth="1"/>
    <col min="12" max="12" width="9.81640625" customWidth="1"/>
  </cols>
  <sheetData>
    <row r="1" spans="1:13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224</v>
      </c>
      <c r="J1" t="s">
        <v>225</v>
      </c>
      <c r="K1" t="s">
        <v>226</v>
      </c>
      <c r="L1" t="s">
        <v>239</v>
      </c>
      <c r="M1" t="s">
        <v>39</v>
      </c>
    </row>
    <row r="2" spans="1:13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41</v>
      </c>
      <c r="J2">
        <v>39</v>
      </c>
      <c r="K2">
        <v>47</v>
      </c>
      <c r="L2">
        <v>48</v>
      </c>
      <c r="M2">
        <f>I2+J2+K2+L2</f>
        <v>175</v>
      </c>
    </row>
    <row r="3" spans="1:13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47</v>
      </c>
      <c r="J3">
        <v>55</v>
      </c>
      <c r="K3">
        <v>46</v>
      </c>
      <c r="L3">
        <v>50</v>
      </c>
      <c r="M3">
        <f t="shared" ref="M3:M9" si="0">I3+J3+K3+L3</f>
        <v>198</v>
      </c>
    </row>
    <row r="4" spans="1:13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37</v>
      </c>
      <c r="J4">
        <v>40</v>
      </c>
      <c r="K4">
        <v>36</v>
      </c>
      <c r="L4">
        <v>32</v>
      </c>
      <c r="M4">
        <f t="shared" si="0"/>
        <v>145</v>
      </c>
    </row>
    <row r="5" spans="1:13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43</v>
      </c>
      <c r="J5">
        <v>32</v>
      </c>
      <c r="K5">
        <v>29</v>
      </c>
      <c r="L5">
        <v>30</v>
      </c>
      <c r="M5">
        <f t="shared" si="0"/>
        <v>134</v>
      </c>
    </row>
    <row r="6" spans="1:13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50</v>
      </c>
      <c r="J6">
        <v>60</v>
      </c>
      <c r="K6">
        <v>54</v>
      </c>
      <c r="L6">
        <v>52</v>
      </c>
      <c r="M6">
        <f t="shared" si="0"/>
        <v>216</v>
      </c>
    </row>
    <row r="7" spans="1:13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34</v>
      </c>
      <c r="J7">
        <v>35</v>
      </c>
      <c r="K7">
        <v>50</v>
      </c>
      <c r="L7">
        <v>48</v>
      </c>
      <c r="M7">
        <f t="shared" si="0"/>
        <v>167</v>
      </c>
    </row>
    <row r="8" spans="1:13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45</v>
      </c>
      <c r="J8">
        <v>44</v>
      </c>
      <c r="K8">
        <v>38</v>
      </c>
      <c r="L8">
        <v>40</v>
      </c>
      <c r="M8">
        <f t="shared" si="0"/>
        <v>167</v>
      </c>
    </row>
    <row r="9" spans="1:13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31</v>
      </c>
      <c r="J9">
        <v>22</v>
      </c>
      <c r="K9">
        <v>25</v>
      </c>
      <c r="L9">
        <v>21</v>
      </c>
      <c r="M9">
        <f t="shared" si="0"/>
        <v>99</v>
      </c>
    </row>
    <row r="10" spans="1:13" x14ac:dyDescent="0.35">
      <c r="I10">
        <f>SUM(I2:I9)</f>
        <v>328</v>
      </c>
      <c r="J10">
        <f>SUM(J2:J9)</f>
        <v>327</v>
      </c>
      <c r="K10">
        <f>SUM(K2:K9)</f>
        <v>325</v>
      </c>
      <c r="L10">
        <f>SUM(L2:L9)</f>
        <v>321</v>
      </c>
      <c r="M10">
        <f>SUM(M2:M9)</f>
        <v>1301</v>
      </c>
    </row>
    <row r="12" spans="1:13" x14ac:dyDescent="0.35">
      <c r="G12" t="s">
        <v>178</v>
      </c>
    </row>
    <row r="13" spans="1:13" x14ac:dyDescent="0.35">
      <c r="B13" t="s">
        <v>160</v>
      </c>
      <c r="C13" t="s">
        <v>161</v>
      </c>
      <c r="D13" t="s">
        <v>162</v>
      </c>
    </row>
    <row r="14" spans="1:13" x14ac:dyDescent="0.35">
      <c r="B14">
        <f>B2*$M$2+B3*$M$3+B4*$M$4+B5*$M$5+B6*$M$6+B7*$M$7+B8*$M$8+B9*$M$9</f>
        <v>3</v>
      </c>
      <c r="C14">
        <f t="shared" ref="C14:D14" si="1">C2*$M$2+C3*$M$3+C4*$M$4+C5*$M$5+C6*$M$6+C7*$M$7+C8*$M$8+C9*$M$9</f>
        <v>211</v>
      </c>
      <c r="D14">
        <f t="shared" si="1"/>
        <v>105</v>
      </c>
    </row>
    <row r="16" spans="1:13" x14ac:dyDescent="0.35">
      <c r="E16" t="s">
        <v>216</v>
      </c>
      <c r="F16" t="s">
        <v>201</v>
      </c>
      <c r="G16" t="s">
        <v>217</v>
      </c>
      <c r="H16" t="s">
        <v>204</v>
      </c>
    </row>
    <row r="17" spans="1:12" x14ac:dyDescent="0.35">
      <c r="E17">
        <f>E2*$I$2+E3*$I$3+E4*$I$4+E5*$I$5+E6*$I$6+E7*$I$7+E8*$I$8+E9*$I$9</f>
        <v>0</v>
      </c>
      <c r="F17">
        <f t="shared" ref="F17:H17" si="2">F2*$I$2+F3*$I$3+F4*$I$4+F5*$I$5+F6*$I$6+F7*$I$7+F8*$I$8+F9*$I$9</f>
        <v>-42</v>
      </c>
      <c r="G17">
        <f t="shared" si="2"/>
        <v>2</v>
      </c>
      <c r="H17">
        <f t="shared" si="2"/>
        <v>-2</v>
      </c>
    </row>
    <row r="19" spans="1:12" x14ac:dyDescent="0.35">
      <c r="E19" t="s">
        <v>218</v>
      </c>
      <c r="F19" t="s">
        <v>203</v>
      </c>
      <c r="G19" t="s">
        <v>219</v>
      </c>
      <c r="H19" t="s">
        <v>202</v>
      </c>
    </row>
    <row r="20" spans="1:12" x14ac:dyDescent="0.35">
      <c r="E20">
        <f>E2*$J$2+E3*$J$3+E4*$J$4+E5*$J$5+E6*$J$6+E7*$J$7+E8*$J$8+E9*$J$9</f>
        <v>-7</v>
      </c>
      <c r="F20">
        <f t="shared" ref="F20:H20" si="3">F2*$J$2+F3*$J$3+F4*$J$4+F5*$J$5+F6*$J$6+F7*$J$7+F8*$J$8+F9*$J$9</f>
        <v>-55</v>
      </c>
      <c r="G20">
        <f t="shared" si="3"/>
        <v>-21</v>
      </c>
      <c r="H20">
        <f t="shared" si="3"/>
        <v>-27</v>
      </c>
    </row>
    <row r="22" spans="1:12" x14ac:dyDescent="0.35">
      <c r="E22" t="s">
        <v>220</v>
      </c>
      <c r="F22" t="s">
        <v>221</v>
      </c>
      <c r="G22" t="s">
        <v>222</v>
      </c>
      <c r="H22" t="s">
        <v>227</v>
      </c>
    </row>
    <row r="23" spans="1:12" x14ac:dyDescent="0.35">
      <c r="E23">
        <f>E2*$K$2+E3*$K$3+E4*$K$4+E5*$K$5+E6*$K$6+E7*$K$7+E8*$K$8+E9*$K$9</f>
        <v>-13</v>
      </c>
      <c r="F23">
        <f t="shared" ref="F23:H23" si="4">F2*$K$2+F3*$K$3+F4*$K$4+F5*$K$5+F6*$K$6+F7*$K$7+F8*$K$8+F9*$K$9</f>
        <v>-9</v>
      </c>
      <c r="G23">
        <f t="shared" si="4"/>
        <v>-15</v>
      </c>
      <c r="H23">
        <f t="shared" si="4"/>
        <v>3</v>
      </c>
    </row>
    <row r="25" spans="1:12" x14ac:dyDescent="0.35">
      <c r="E25" t="s">
        <v>241</v>
      </c>
      <c r="F25" t="s">
        <v>242</v>
      </c>
      <c r="G25" t="s">
        <v>240</v>
      </c>
      <c r="H25" t="s">
        <v>243</v>
      </c>
    </row>
    <row r="26" spans="1:12" x14ac:dyDescent="0.35">
      <c r="E26">
        <f>E2*$L$2+E3*$L$3+E4*$L$4+E5*$L$5+E6*$L$6+E7*$L$7+E8*$L$8+E9*$L$9</f>
        <v>-3</v>
      </c>
      <c r="F26">
        <f t="shared" ref="F26:H26" si="5">F2*$L$2+F3*$L$3+F4*$L$4+F5*$L$5+F6*$L$6+F7*$L$7+F8*$L$8+F9*$L$9</f>
        <v>-23</v>
      </c>
      <c r="G26">
        <f t="shared" si="5"/>
        <v>-19</v>
      </c>
      <c r="H26">
        <f t="shared" si="5"/>
        <v>11</v>
      </c>
    </row>
    <row r="28" spans="1:12" x14ac:dyDescent="0.35">
      <c r="G28" t="s">
        <v>180</v>
      </c>
    </row>
    <row r="29" spans="1:12" x14ac:dyDescent="0.35">
      <c r="B29" t="s">
        <v>160</v>
      </c>
      <c r="C29" t="s">
        <v>161</v>
      </c>
      <c r="D29" t="s">
        <v>162</v>
      </c>
      <c r="E29" t="s">
        <v>218</v>
      </c>
      <c r="F29" t="s">
        <v>221</v>
      </c>
      <c r="G29" t="s">
        <v>240</v>
      </c>
      <c r="H29" t="s">
        <v>204</v>
      </c>
      <c r="I29" t="s">
        <v>244</v>
      </c>
      <c r="J29" t="s">
        <v>245</v>
      </c>
      <c r="K29" t="s">
        <v>246</v>
      </c>
      <c r="L29" t="s">
        <v>247</v>
      </c>
    </row>
    <row r="30" spans="1:12" x14ac:dyDescent="0.35">
      <c r="B30">
        <f>B14^2/32</f>
        <v>0.28125</v>
      </c>
      <c r="C30">
        <f t="shared" ref="C30:D30" si="6">C14^2/32</f>
        <v>1391.28125</v>
      </c>
      <c r="D30">
        <f t="shared" si="6"/>
        <v>344.53125</v>
      </c>
      <c r="E30">
        <f>E20^2/8</f>
        <v>6.125</v>
      </c>
      <c r="F30">
        <f>F23^2/8</f>
        <v>10.125</v>
      </c>
      <c r="G30">
        <f>G26^2/8</f>
        <v>45.125</v>
      </c>
      <c r="H30">
        <f>H17^2/8</f>
        <v>0.5</v>
      </c>
      <c r="I30">
        <f>(E17+E23+E26)^2/24</f>
        <v>10.666666666666666</v>
      </c>
      <c r="J30">
        <f>(F17+F20+F26)^2/24</f>
        <v>600</v>
      </c>
      <c r="K30">
        <f>(G17+G20+G23)^2/24</f>
        <v>48.166666666666664</v>
      </c>
      <c r="L30">
        <f>(H20+H23+H26)^2/24</f>
        <v>7.041666666666667</v>
      </c>
    </row>
    <row r="32" spans="1:12" x14ac:dyDescent="0.35">
      <c r="A32">
        <v>41</v>
      </c>
      <c r="B32">
        <f>(A32-$B$64)^2</f>
        <v>0.1181640625</v>
      </c>
    </row>
    <row r="33" spans="1:5" x14ac:dyDescent="0.35">
      <c r="A33">
        <v>47</v>
      </c>
      <c r="B33">
        <f t="shared" ref="B33:B63" si="7">(A33-$B$64)^2</f>
        <v>40.2431640625</v>
      </c>
    </row>
    <row r="34" spans="1:5" x14ac:dyDescent="0.35">
      <c r="A34">
        <v>37</v>
      </c>
      <c r="B34">
        <f t="shared" si="7"/>
        <v>13.3681640625</v>
      </c>
    </row>
    <row r="35" spans="1:5" x14ac:dyDescent="0.35">
      <c r="A35">
        <v>43</v>
      </c>
      <c r="B35">
        <f t="shared" si="7"/>
        <v>5.4931640625</v>
      </c>
    </row>
    <row r="36" spans="1:5" x14ac:dyDescent="0.35">
      <c r="A36">
        <v>50</v>
      </c>
      <c r="B36">
        <f t="shared" si="7"/>
        <v>87.3056640625</v>
      </c>
    </row>
    <row r="37" spans="1:5" x14ac:dyDescent="0.35">
      <c r="A37">
        <v>34</v>
      </c>
      <c r="B37">
        <f t="shared" si="7"/>
        <v>44.3056640625</v>
      </c>
    </row>
    <row r="38" spans="1:5" x14ac:dyDescent="0.35">
      <c r="A38">
        <v>45</v>
      </c>
      <c r="B38">
        <f t="shared" si="7"/>
        <v>18.8681640625</v>
      </c>
    </row>
    <row r="39" spans="1:5" x14ac:dyDescent="0.35">
      <c r="A39">
        <v>31</v>
      </c>
      <c r="B39">
        <f t="shared" si="7"/>
        <v>93.2431640625</v>
      </c>
    </row>
    <row r="40" spans="1:5" x14ac:dyDescent="0.35">
      <c r="A40">
        <v>39</v>
      </c>
      <c r="B40">
        <f t="shared" si="7"/>
        <v>2.7431640625</v>
      </c>
    </row>
    <row r="41" spans="1:5" x14ac:dyDescent="0.35">
      <c r="A41">
        <v>55</v>
      </c>
      <c r="B41">
        <f t="shared" si="7"/>
        <v>205.7431640625</v>
      </c>
    </row>
    <row r="42" spans="1:5" x14ac:dyDescent="0.35">
      <c r="A42">
        <v>40</v>
      </c>
      <c r="B42">
        <f t="shared" si="7"/>
        <v>0.4306640625</v>
      </c>
    </row>
    <row r="43" spans="1:5" x14ac:dyDescent="0.35">
      <c r="A43">
        <v>32</v>
      </c>
      <c r="B43">
        <f t="shared" si="7"/>
        <v>74.9306640625</v>
      </c>
    </row>
    <row r="44" spans="1:5" x14ac:dyDescent="0.35">
      <c r="A44">
        <v>60</v>
      </c>
      <c r="B44">
        <f t="shared" si="7"/>
        <v>374.1806640625</v>
      </c>
    </row>
    <row r="45" spans="1:5" x14ac:dyDescent="0.35">
      <c r="A45">
        <v>35</v>
      </c>
      <c r="B45">
        <f t="shared" si="7"/>
        <v>31.9931640625</v>
      </c>
    </row>
    <row r="46" spans="1:5" x14ac:dyDescent="0.35">
      <c r="A46">
        <v>44</v>
      </c>
      <c r="B46">
        <f t="shared" si="7"/>
        <v>11.1806640625</v>
      </c>
      <c r="D46" t="s">
        <v>192</v>
      </c>
      <c r="E46">
        <f>SUM(B32:B63)</f>
        <v>2995.21875</v>
      </c>
    </row>
    <row r="47" spans="1:5" x14ac:dyDescent="0.35">
      <c r="A47">
        <v>22</v>
      </c>
      <c r="B47">
        <f t="shared" si="7"/>
        <v>348.0556640625</v>
      </c>
    </row>
    <row r="48" spans="1:5" x14ac:dyDescent="0.35">
      <c r="A48">
        <v>47</v>
      </c>
      <c r="B48">
        <f t="shared" si="7"/>
        <v>40.2431640625</v>
      </c>
    </row>
    <row r="49" spans="1:2" x14ac:dyDescent="0.35">
      <c r="A49">
        <v>46</v>
      </c>
      <c r="B49">
        <f t="shared" si="7"/>
        <v>28.5556640625</v>
      </c>
    </row>
    <row r="50" spans="1:2" x14ac:dyDescent="0.35">
      <c r="A50">
        <v>36</v>
      </c>
      <c r="B50">
        <f t="shared" si="7"/>
        <v>21.6806640625</v>
      </c>
    </row>
    <row r="51" spans="1:2" x14ac:dyDescent="0.35">
      <c r="A51">
        <v>29</v>
      </c>
      <c r="B51">
        <f t="shared" si="7"/>
        <v>135.8681640625</v>
      </c>
    </row>
    <row r="52" spans="1:2" x14ac:dyDescent="0.35">
      <c r="A52">
        <v>54</v>
      </c>
      <c r="B52">
        <f t="shared" si="7"/>
        <v>178.0556640625</v>
      </c>
    </row>
    <row r="53" spans="1:2" x14ac:dyDescent="0.35">
      <c r="A53">
        <v>50</v>
      </c>
      <c r="B53">
        <f t="shared" si="7"/>
        <v>87.3056640625</v>
      </c>
    </row>
    <row r="54" spans="1:2" x14ac:dyDescent="0.35">
      <c r="A54">
        <v>38</v>
      </c>
      <c r="B54">
        <f t="shared" si="7"/>
        <v>7.0556640625</v>
      </c>
    </row>
    <row r="55" spans="1:2" x14ac:dyDescent="0.35">
      <c r="A55">
        <v>25</v>
      </c>
      <c r="B55">
        <f t="shared" si="7"/>
        <v>245.1181640625</v>
      </c>
    </row>
    <row r="56" spans="1:2" x14ac:dyDescent="0.35">
      <c r="A56">
        <v>48</v>
      </c>
      <c r="B56">
        <f t="shared" si="7"/>
        <v>53.9306640625</v>
      </c>
    </row>
    <row r="57" spans="1:2" x14ac:dyDescent="0.35">
      <c r="A57">
        <v>50</v>
      </c>
      <c r="B57">
        <f t="shared" si="7"/>
        <v>87.3056640625</v>
      </c>
    </row>
    <row r="58" spans="1:2" x14ac:dyDescent="0.35">
      <c r="A58">
        <v>32</v>
      </c>
      <c r="B58">
        <f t="shared" si="7"/>
        <v>74.9306640625</v>
      </c>
    </row>
    <row r="59" spans="1:2" x14ac:dyDescent="0.35">
      <c r="A59">
        <v>30</v>
      </c>
      <c r="B59">
        <f t="shared" si="7"/>
        <v>113.5556640625</v>
      </c>
    </row>
    <row r="60" spans="1:2" x14ac:dyDescent="0.35">
      <c r="A60">
        <v>52</v>
      </c>
      <c r="B60">
        <f t="shared" si="7"/>
        <v>128.6806640625</v>
      </c>
    </row>
    <row r="61" spans="1:2" x14ac:dyDescent="0.35">
      <c r="A61">
        <v>48</v>
      </c>
      <c r="B61">
        <f t="shared" si="7"/>
        <v>53.9306640625</v>
      </c>
    </row>
    <row r="62" spans="1:2" x14ac:dyDescent="0.35">
      <c r="A62">
        <v>40</v>
      </c>
      <c r="B62">
        <f t="shared" si="7"/>
        <v>0.4306640625</v>
      </c>
    </row>
    <row r="63" spans="1:2" x14ac:dyDescent="0.35">
      <c r="A63">
        <v>21</v>
      </c>
      <c r="B63">
        <f t="shared" si="7"/>
        <v>386.3681640625</v>
      </c>
    </row>
    <row r="64" spans="1:2" x14ac:dyDescent="0.35">
      <c r="A64" t="s">
        <v>181</v>
      </c>
      <c r="B64">
        <f>AVERAGE(A32:A63)</f>
        <v>40.65625</v>
      </c>
    </row>
    <row r="65" spans="1:6" x14ac:dyDescent="0.35">
      <c r="A65" t="s">
        <v>193</v>
      </c>
      <c r="B65">
        <f>SUM(A32:A63)</f>
        <v>1301</v>
      </c>
    </row>
    <row r="67" spans="1:6" x14ac:dyDescent="0.35">
      <c r="A67" s="21" t="s">
        <v>30</v>
      </c>
      <c r="B67" s="21" t="s">
        <v>31</v>
      </c>
      <c r="C67" s="21" t="s">
        <v>70</v>
      </c>
      <c r="D67" s="21" t="s">
        <v>33</v>
      </c>
      <c r="E67" s="21" t="s">
        <v>205</v>
      </c>
      <c r="F67" s="21" t="s">
        <v>21</v>
      </c>
    </row>
    <row r="68" spans="1:6" x14ac:dyDescent="0.35">
      <c r="A68" s="21" t="s">
        <v>206</v>
      </c>
      <c r="B68" s="29">
        <f>(I10^2+J10^2+K10^2+L10^2)/8-(M10^2)/32</f>
        <v>3.59375</v>
      </c>
      <c r="C68" s="21">
        <v>3</v>
      </c>
      <c r="D68" s="21">
        <f>B68/C68</f>
        <v>1.1979166666666667</v>
      </c>
      <c r="E68" s="21"/>
      <c r="F68" s="21"/>
    </row>
    <row r="69" spans="1:6" ht="45" customHeight="1" x14ac:dyDescent="0.35">
      <c r="A69" s="24" t="s">
        <v>248</v>
      </c>
      <c r="B69" s="21">
        <f>E30+F30+G30+H30</f>
        <v>61.875</v>
      </c>
      <c r="C69" s="21">
        <v>4</v>
      </c>
      <c r="D69" s="21">
        <f t="shared" ref="D69:D77" si="8">B69/C69</f>
        <v>15.46875</v>
      </c>
      <c r="E69" s="21"/>
      <c r="F69" s="21"/>
    </row>
    <row r="70" spans="1:6" x14ac:dyDescent="0.35">
      <c r="A70" s="21" t="s">
        <v>160</v>
      </c>
      <c r="B70" s="21">
        <v>0.28129999999999999</v>
      </c>
      <c r="C70" s="21">
        <v>1</v>
      </c>
      <c r="D70" s="21">
        <f t="shared" si="8"/>
        <v>0.28129999999999999</v>
      </c>
      <c r="E70" s="21">
        <f>D70/$D$77</f>
        <v>9.060800928115835E-3</v>
      </c>
      <c r="F70" s="21">
        <f>_xlfn.F.INV.RT(0.05,C70,$C$77)</f>
        <v>4.4513217724681331</v>
      </c>
    </row>
    <row r="71" spans="1:6" x14ac:dyDescent="0.35">
      <c r="A71" s="24" t="s">
        <v>161</v>
      </c>
      <c r="B71" s="21">
        <v>1391.2809999999999</v>
      </c>
      <c r="C71" s="21">
        <v>1</v>
      </c>
      <c r="D71" s="21">
        <f t="shared" si="8"/>
        <v>1391.2809999999999</v>
      </c>
      <c r="E71" s="21">
        <f t="shared" ref="E71:E76" si="9">D71/$D$77</f>
        <v>44.813793729363411</v>
      </c>
      <c r="F71" s="21">
        <f t="shared" ref="F71:F76" si="10">_xlfn.F.INV.RT(0.05,C71,$C$77)</f>
        <v>4.4513217724681331</v>
      </c>
    </row>
    <row r="72" spans="1:6" x14ac:dyDescent="0.35">
      <c r="A72" s="21" t="s">
        <v>162</v>
      </c>
      <c r="B72" s="21">
        <v>344.53</v>
      </c>
      <c r="C72" s="21">
        <v>1</v>
      </c>
      <c r="D72" s="21">
        <f t="shared" si="8"/>
        <v>344.53</v>
      </c>
      <c r="E72" s="21">
        <f t="shared" si="9"/>
        <v>11.097467983518481</v>
      </c>
      <c r="F72" s="21">
        <f t="shared" si="10"/>
        <v>4.4513217724681331</v>
      </c>
    </row>
    <row r="73" spans="1:6" x14ac:dyDescent="0.35">
      <c r="A73" s="24" t="s">
        <v>244</v>
      </c>
      <c r="B73" s="21">
        <v>10.67</v>
      </c>
      <c r="C73" s="21">
        <v>1</v>
      </c>
      <c r="D73" s="21">
        <f t="shared" si="8"/>
        <v>10.67</v>
      </c>
      <c r="E73" s="21">
        <f t="shared" si="9"/>
        <v>0.34368555244577309</v>
      </c>
      <c r="F73" s="21">
        <f t="shared" si="10"/>
        <v>4.4513217724681331</v>
      </c>
    </row>
    <row r="74" spans="1:6" x14ac:dyDescent="0.35">
      <c r="A74" s="21" t="s">
        <v>245</v>
      </c>
      <c r="B74" s="21">
        <v>600</v>
      </c>
      <c r="C74" s="21">
        <v>1</v>
      </c>
      <c r="D74" s="21">
        <f t="shared" si="8"/>
        <v>600</v>
      </c>
      <c r="E74" s="21">
        <f t="shared" si="9"/>
        <v>19.326272864804483</v>
      </c>
      <c r="F74" s="21">
        <f t="shared" si="10"/>
        <v>4.4513217724681331</v>
      </c>
    </row>
    <row r="75" spans="1:6" x14ac:dyDescent="0.35">
      <c r="A75" s="24" t="s">
        <v>246</v>
      </c>
      <c r="B75" s="21">
        <v>48.167000000000002</v>
      </c>
      <c r="C75" s="21">
        <v>1</v>
      </c>
      <c r="D75" s="21">
        <f t="shared" si="8"/>
        <v>48.167000000000002</v>
      </c>
      <c r="E75" s="21">
        <f t="shared" si="9"/>
        <v>1.5514809751317293</v>
      </c>
      <c r="F75" s="21">
        <f t="shared" si="10"/>
        <v>4.4513217724681331</v>
      </c>
    </row>
    <row r="76" spans="1:6" x14ac:dyDescent="0.35">
      <c r="A76" s="21" t="s">
        <v>247</v>
      </c>
      <c r="B76" s="21">
        <v>7.0419999999999998</v>
      </c>
      <c r="C76" s="21">
        <v>1</v>
      </c>
      <c r="D76" s="21">
        <f t="shared" si="8"/>
        <v>7.0419999999999998</v>
      </c>
      <c r="E76" s="21">
        <f t="shared" si="9"/>
        <v>0.22682602252325529</v>
      </c>
      <c r="F76" s="21">
        <f t="shared" si="10"/>
        <v>4.4513217724681331</v>
      </c>
    </row>
    <row r="77" spans="1:6" x14ac:dyDescent="0.35">
      <c r="A77" s="24" t="s">
        <v>114</v>
      </c>
      <c r="B77" s="21">
        <f>B78-B68-B69-B70-B71-B72-B73-B74-B75-B76</f>
        <v>527.7789499999999</v>
      </c>
      <c r="C77" s="21">
        <f>C78-C68-C69-C70-C71-C72-C73-C74-C75-C76</f>
        <v>17</v>
      </c>
      <c r="D77" s="21">
        <f t="shared" si="8"/>
        <v>31.045820588235287</v>
      </c>
      <c r="E77" s="21"/>
      <c r="F77" s="21"/>
    </row>
    <row r="78" spans="1:6" x14ac:dyDescent="0.35">
      <c r="A78" s="21" t="s">
        <v>39</v>
      </c>
      <c r="B78" s="21">
        <v>2995.2190000000001</v>
      </c>
      <c r="C78" s="21">
        <v>31</v>
      </c>
      <c r="D78" s="21"/>
      <c r="E78" s="21"/>
      <c r="F78" s="2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6E50-F8BD-4BCE-8449-DD7064E10CE4}">
  <dimension ref="A1:P79"/>
  <sheetViews>
    <sheetView workbookViewId="0">
      <selection activeCell="I45" sqref="I45"/>
    </sheetView>
  </sheetViews>
  <sheetFormatPr defaultRowHeight="14.5" x14ac:dyDescent="0.35"/>
  <cols>
    <col min="1" max="1" width="19.90625" customWidth="1"/>
    <col min="2" max="2" width="14.81640625" customWidth="1"/>
    <col min="4" max="4" width="13.08984375" customWidth="1"/>
    <col min="9" max="9" width="11.1796875" customWidth="1"/>
    <col min="10" max="11" width="10.81640625" customWidth="1"/>
  </cols>
  <sheetData>
    <row r="1" spans="1:16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224</v>
      </c>
      <c r="J1" t="s">
        <v>225</v>
      </c>
      <c r="K1" t="s">
        <v>226</v>
      </c>
    </row>
    <row r="2" spans="1:16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39</v>
      </c>
      <c r="J2">
        <v>41</v>
      </c>
      <c r="K2">
        <v>47</v>
      </c>
      <c r="L2">
        <f>I2+J2+K2</f>
        <v>127</v>
      </c>
    </row>
    <row r="3" spans="1:16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55</v>
      </c>
      <c r="J3">
        <v>47</v>
      </c>
      <c r="K3">
        <v>46</v>
      </c>
      <c r="L3">
        <f t="shared" ref="L3:L10" si="0">I3+J3+K3</f>
        <v>148</v>
      </c>
    </row>
    <row r="4" spans="1:16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40</v>
      </c>
      <c r="J4">
        <v>37</v>
      </c>
      <c r="K4">
        <v>36</v>
      </c>
      <c r="L4">
        <f t="shared" si="0"/>
        <v>113</v>
      </c>
    </row>
    <row r="5" spans="1:16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32</v>
      </c>
      <c r="J5">
        <v>43</v>
      </c>
      <c r="K5">
        <v>29</v>
      </c>
      <c r="L5">
        <f t="shared" si="0"/>
        <v>104</v>
      </c>
    </row>
    <row r="6" spans="1:16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60</v>
      </c>
      <c r="J6">
        <v>50</v>
      </c>
      <c r="K6">
        <v>54</v>
      </c>
      <c r="L6">
        <f t="shared" si="0"/>
        <v>164</v>
      </c>
    </row>
    <row r="7" spans="1:16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35</v>
      </c>
      <c r="J7">
        <v>34</v>
      </c>
      <c r="K7">
        <v>50</v>
      </c>
      <c r="L7">
        <f t="shared" si="0"/>
        <v>119</v>
      </c>
    </row>
    <row r="8" spans="1:16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44</v>
      </c>
      <c r="J8">
        <v>45</v>
      </c>
      <c r="K8">
        <v>38</v>
      </c>
      <c r="L8">
        <f t="shared" si="0"/>
        <v>127</v>
      </c>
    </row>
    <row r="9" spans="1:16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22</v>
      </c>
      <c r="J9">
        <v>31</v>
      </c>
      <c r="K9">
        <v>25</v>
      </c>
      <c r="L9">
        <f t="shared" si="0"/>
        <v>78</v>
      </c>
    </row>
    <row r="10" spans="1:16" x14ac:dyDescent="0.35">
      <c r="H10" t="s">
        <v>200</v>
      </c>
      <c r="I10">
        <f>SUM(I2:I9)</f>
        <v>327</v>
      </c>
      <c r="J10">
        <f>SUM(J2:J9)</f>
        <v>328</v>
      </c>
      <c r="K10">
        <f>SUM(K2:K9)</f>
        <v>325</v>
      </c>
      <c r="L10">
        <f t="shared" si="0"/>
        <v>980</v>
      </c>
    </row>
    <row r="11" spans="1:16" x14ac:dyDescent="0.35">
      <c r="F11" t="s">
        <v>178</v>
      </c>
    </row>
    <row r="12" spans="1:16" x14ac:dyDescent="0.35">
      <c r="B12" t="s">
        <v>160</v>
      </c>
      <c r="C12" t="s">
        <v>161</v>
      </c>
      <c r="D12" t="s">
        <v>162</v>
      </c>
      <c r="E12" t="s">
        <v>216</v>
      </c>
      <c r="F12" t="s">
        <v>201</v>
      </c>
      <c r="G12" t="s">
        <v>217</v>
      </c>
      <c r="H12" t="s">
        <v>218</v>
      </c>
      <c r="I12" t="s">
        <v>203</v>
      </c>
      <c r="J12" t="s">
        <v>219</v>
      </c>
      <c r="K12" t="s">
        <v>220</v>
      </c>
      <c r="L12" t="s">
        <v>221</v>
      </c>
      <c r="M12" t="s">
        <v>222</v>
      </c>
      <c r="N12" t="s">
        <v>204</v>
      </c>
      <c r="O12" t="s">
        <v>202</v>
      </c>
      <c r="P12" t="s">
        <v>227</v>
      </c>
    </row>
    <row r="13" spans="1:16" x14ac:dyDescent="0.35">
      <c r="B13">
        <f>B2*$L$2+B3*$L$3+B4*$L$4+B5*$L$5+B6*$L$6+B7*$L$7+B8*$L$8+B9*$L$9</f>
        <v>4</v>
      </c>
      <c r="C13">
        <f t="shared" ref="C13:D13" si="1">C2*$L$2+C3*$L$3+C4*$L$4+C5*$L$5+C6*$L$6+C7*$L$7+C8*$L$8+C9*$L$9</f>
        <v>136</v>
      </c>
      <c r="D13">
        <f t="shared" si="1"/>
        <v>82</v>
      </c>
      <c r="E13">
        <f>E2*$I$2+E3*$I$3+E4*$I$4+E5*$I$5+E6*$I$6+E7*$I$7+E8*$I$8+E9*$I$9</f>
        <v>-7</v>
      </c>
      <c r="F13">
        <f t="shared" ref="F13:G13" si="2">F2*$I$2+F3*$I$3+F4*$I$4+F5*$I$5+F6*$I$6+F7*$I$7+F8*$I$8+F9*$I$9</f>
        <v>-55</v>
      </c>
      <c r="G13">
        <f t="shared" si="2"/>
        <v>-21</v>
      </c>
      <c r="H13">
        <f>E2*$J$2+E3*$J$3+E4*$J$4+E5*$J$5+E6*$J$6+E7*$J$7+E8*$J$8+E9*$J$9</f>
        <v>0</v>
      </c>
      <c r="I13">
        <f t="shared" ref="I13:J13" si="3">F2*$J$2+F3*$J$3+F4*$J$4+F5*$J$5+F6*$J$6+F7*$J$7+F8*$J$8+F9*$J$9</f>
        <v>-42</v>
      </c>
      <c r="J13">
        <f t="shared" si="3"/>
        <v>2</v>
      </c>
      <c r="K13">
        <f>E2*$K$2+E3*$K$3+E4*$K$4+E5*$K$5+E6*$K$6+E7*$K$7+E8*$K$8+E9*$K$9</f>
        <v>-13</v>
      </c>
      <c r="L13">
        <f t="shared" ref="L13:M13" si="4">F2*$K$2+F3*$K$3+F4*$K$4+F5*$K$5+F6*$K$6+F7*$K$7+F8*$K$8+F9*$K$9</f>
        <v>-9</v>
      </c>
      <c r="M13">
        <f t="shared" si="4"/>
        <v>-15</v>
      </c>
      <c r="N13">
        <f>H2*$I$2+H3*$I$3+H4*$I$4+H5*$I$5+H6*$I$6+H7*$I$7+H8*$I$8+H9*$I$9</f>
        <v>-27</v>
      </c>
      <c r="O13">
        <f>H2*$J$2+H3*$J$3+H4*$J$4+H5*$J$5+H6*$J$6+H7*$J$7+H8*$J$8+H9*$J$9</f>
        <v>-2</v>
      </c>
      <c r="P13">
        <f>H2*$K$2+H3*$K$3+H4*$K$4+H5*$K$5+H6*$K$6+H7*$K$7+H8*$K$8+H9*$K$9</f>
        <v>3</v>
      </c>
    </row>
    <row r="16" spans="1:16" x14ac:dyDescent="0.35">
      <c r="F16" t="s">
        <v>223</v>
      </c>
    </row>
    <row r="17" spans="2:16" x14ac:dyDescent="0.35">
      <c r="B17" t="s">
        <v>160</v>
      </c>
      <c r="C17" t="s">
        <v>161</v>
      </c>
      <c r="D17" t="s">
        <v>162</v>
      </c>
      <c r="E17" t="s">
        <v>216</v>
      </c>
      <c r="F17" t="s">
        <v>201</v>
      </c>
      <c r="G17" t="s">
        <v>217</v>
      </c>
      <c r="H17" t="s">
        <v>218</v>
      </c>
      <c r="I17" t="s">
        <v>203</v>
      </c>
      <c r="J17" t="s">
        <v>219</v>
      </c>
      <c r="K17" t="s">
        <v>220</v>
      </c>
      <c r="L17" t="s">
        <v>221</v>
      </c>
      <c r="M17" t="s">
        <v>222</v>
      </c>
      <c r="N17" t="s">
        <v>204</v>
      </c>
      <c r="O17" t="s">
        <v>202</v>
      </c>
      <c r="P17" t="s">
        <v>227</v>
      </c>
    </row>
    <row r="20" spans="2:16" x14ac:dyDescent="0.35">
      <c r="F20" t="s">
        <v>180</v>
      </c>
    </row>
    <row r="21" spans="2:16" x14ac:dyDescent="0.35">
      <c r="B21" t="s">
        <v>160</v>
      </c>
      <c r="C21" t="s">
        <v>161</v>
      </c>
      <c r="D21" t="s">
        <v>162</v>
      </c>
      <c r="E21" t="s">
        <v>216</v>
      </c>
      <c r="F21" t="s">
        <v>201</v>
      </c>
      <c r="G21" t="s">
        <v>217</v>
      </c>
      <c r="H21" t="s">
        <v>218</v>
      </c>
      <c r="I21" t="s">
        <v>203</v>
      </c>
      <c r="J21" t="s">
        <v>219</v>
      </c>
      <c r="K21" t="s">
        <v>220</v>
      </c>
      <c r="L21" t="s">
        <v>221</v>
      </c>
      <c r="M21" t="s">
        <v>222</v>
      </c>
      <c r="N21" t="s">
        <v>204</v>
      </c>
      <c r="O21" t="s">
        <v>202</v>
      </c>
      <c r="P21" t="s">
        <v>227</v>
      </c>
    </row>
    <row r="22" spans="2:16" x14ac:dyDescent="0.35">
      <c r="B22">
        <f>(B13^2)/24</f>
        <v>0.66666666666666663</v>
      </c>
      <c r="C22">
        <f t="shared" ref="C22:D22" si="5">(C13^2)/24</f>
        <v>770.66666666666663</v>
      </c>
      <c r="D22">
        <f t="shared" si="5"/>
        <v>280.16666666666669</v>
      </c>
      <c r="H22">
        <v>0</v>
      </c>
      <c r="M22">
        <f>(M13^2)/8</f>
        <v>28.125</v>
      </c>
      <c r="N22">
        <f>(N13^2)/8</f>
        <v>91.125</v>
      </c>
    </row>
    <row r="25" spans="2:16" x14ac:dyDescent="0.35">
      <c r="F25" t="s">
        <v>178</v>
      </c>
    </row>
    <row r="26" spans="2:16" x14ac:dyDescent="0.35">
      <c r="B26" t="s">
        <v>160</v>
      </c>
      <c r="C26" t="s">
        <v>161</v>
      </c>
      <c r="D26" t="s">
        <v>162</v>
      </c>
      <c r="E26" t="s">
        <v>216</v>
      </c>
      <c r="F26" t="s">
        <v>218</v>
      </c>
      <c r="G26" t="s">
        <v>220</v>
      </c>
      <c r="H26" t="s">
        <v>164</v>
      </c>
      <c r="I26" t="s">
        <v>217</v>
      </c>
      <c r="J26" t="s">
        <v>219</v>
      </c>
      <c r="K26" t="s">
        <v>222</v>
      </c>
      <c r="L26" t="s">
        <v>204</v>
      </c>
      <c r="M26" t="s">
        <v>202</v>
      </c>
      <c r="N26" t="s">
        <v>227</v>
      </c>
    </row>
    <row r="27" spans="2:16" x14ac:dyDescent="0.35">
      <c r="B27">
        <v>4</v>
      </c>
      <c r="C27">
        <v>136</v>
      </c>
      <c r="D27">
        <v>82</v>
      </c>
      <c r="E27">
        <v>-7</v>
      </c>
      <c r="F27">
        <v>0</v>
      </c>
      <c r="G27">
        <v>-13</v>
      </c>
      <c r="H27">
        <f>F2*$L$2+F3*$L$3+F4*$L$4+F5*$L$5+F6*$L$6+F7*$L$7+F8*$L$8+F9*$L$9</f>
        <v>-106</v>
      </c>
      <c r="I27">
        <v>-21</v>
      </c>
      <c r="J27">
        <v>2</v>
      </c>
      <c r="K27">
        <v>-15</v>
      </c>
      <c r="L27">
        <v>-27</v>
      </c>
      <c r="M27">
        <v>-2</v>
      </c>
      <c r="N27">
        <v>3</v>
      </c>
    </row>
    <row r="29" spans="2:16" x14ac:dyDescent="0.35">
      <c r="F29" t="s">
        <v>223</v>
      </c>
    </row>
    <row r="30" spans="2:16" x14ac:dyDescent="0.35">
      <c r="B30" t="s">
        <v>160</v>
      </c>
      <c r="C30" t="s">
        <v>161</v>
      </c>
      <c r="D30" t="s">
        <v>162</v>
      </c>
      <c r="E30" t="s">
        <v>216</v>
      </c>
      <c r="F30" t="s">
        <v>218</v>
      </c>
      <c r="G30" t="s">
        <v>220</v>
      </c>
      <c r="H30" t="s">
        <v>164</v>
      </c>
      <c r="I30" t="s">
        <v>217</v>
      </c>
      <c r="J30" t="s">
        <v>219</v>
      </c>
      <c r="K30" t="s">
        <v>222</v>
      </c>
      <c r="L30" t="s">
        <v>204</v>
      </c>
      <c r="M30" t="s">
        <v>202</v>
      </c>
      <c r="N30" t="s">
        <v>227</v>
      </c>
    </row>
    <row r="32" spans="2:16" x14ac:dyDescent="0.35">
      <c r="N32" s="14" t="s">
        <v>228</v>
      </c>
      <c r="O32" s="14">
        <f>(E27+G27)^2/16</f>
        <v>25</v>
      </c>
    </row>
    <row r="33" spans="1:15" x14ac:dyDescent="0.35">
      <c r="N33" s="14" t="s">
        <v>229</v>
      </c>
      <c r="O33" s="14">
        <f>(M27+N27)^2/16</f>
        <v>6.25E-2</v>
      </c>
    </row>
    <row r="34" spans="1:15" x14ac:dyDescent="0.35">
      <c r="B34" s="15"/>
      <c r="C34" s="15"/>
      <c r="D34" s="15"/>
      <c r="E34" s="15"/>
      <c r="F34" s="15" t="s">
        <v>180</v>
      </c>
      <c r="G34" s="15"/>
      <c r="H34" s="15"/>
      <c r="I34" s="15"/>
      <c r="J34" s="15"/>
      <c r="N34" s="14" t="s">
        <v>230</v>
      </c>
      <c r="O34" s="14">
        <f>(I27+J27)^2/16</f>
        <v>22.5625</v>
      </c>
    </row>
    <row r="35" spans="1:15" x14ac:dyDescent="0.35">
      <c r="B35" s="15" t="s">
        <v>160</v>
      </c>
      <c r="C35" s="15" t="s">
        <v>161</v>
      </c>
      <c r="D35" s="15" t="s">
        <v>162</v>
      </c>
      <c r="E35" s="15" t="s">
        <v>228</v>
      </c>
      <c r="F35" s="15" t="s">
        <v>218</v>
      </c>
      <c r="G35" s="15" t="s">
        <v>231</v>
      </c>
      <c r="H35" s="15" t="s">
        <v>164</v>
      </c>
      <c r="I35" s="15" t="s">
        <v>222</v>
      </c>
      <c r="J35" s="15" t="s">
        <v>204</v>
      </c>
      <c r="K35" s="14" t="s">
        <v>222</v>
      </c>
      <c r="L35" s="14" t="s">
        <v>204</v>
      </c>
    </row>
    <row r="36" spans="1:15" x14ac:dyDescent="0.35">
      <c r="B36" s="15">
        <f>(B27^2)/24</f>
        <v>0.66666666666666663</v>
      </c>
      <c r="C36" s="15">
        <f t="shared" ref="C36:D36" si="6">(C27^2)/24</f>
        <v>770.66666666666663</v>
      </c>
      <c r="D36" s="15">
        <f t="shared" si="6"/>
        <v>280.16666666666669</v>
      </c>
      <c r="E36" s="15">
        <v>25</v>
      </c>
      <c r="F36" s="15">
        <v>0</v>
      </c>
      <c r="G36" s="15">
        <v>6.25E-2</v>
      </c>
      <c r="H36" s="15">
        <f>(H27^2)/24</f>
        <v>468.16666666666669</v>
      </c>
      <c r="I36" s="15">
        <v>28.125</v>
      </c>
      <c r="J36" s="15">
        <v>91.125</v>
      </c>
      <c r="K36" s="14">
        <f>(K27^2)/8</f>
        <v>28.125</v>
      </c>
      <c r="L36" s="14">
        <f>(L27^2)/8</f>
        <v>91.125</v>
      </c>
    </row>
    <row r="39" spans="1:15" x14ac:dyDescent="0.35">
      <c r="A39" t="s">
        <v>185</v>
      </c>
    </row>
    <row r="41" spans="1:15" x14ac:dyDescent="0.35">
      <c r="A41" s="27" t="s">
        <v>30</v>
      </c>
      <c r="B41" s="27" t="s">
        <v>31</v>
      </c>
      <c r="C41" s="27" t="s">
        <v>70</v>
      </c>
      <c r="D41" s="27" t="s">
        <v>33</v>
      </c>
      <c r="E41" s="27" t="s">
        <v>205</v>
      </c>
      <c r="F41" s="27" t="s">
        <v>21</v>
      </c>
    </row>
    <row r="42" spans="1:15" x14ac:dyDescent="0.35">
      <c r="A42" s="27" t="s">
        <v>206</v>
      </c>
      <c r="B42" s="27">
        <f>(I10^2+J10^2+K10^2)/8-(L10^2)/24</f>
        <v>0.58333333333575865</v>
      </c>
      <c r="C42" s="27">
        <v>2</v>
      </c>
      <c r="D42" s="27">
        <f>B42/C42</f>
        <v>0.29166666666787933</v>
      </c>
      <c r="E42" s="27"/>
      <c r="F42" s="27"/>
    </row>
    <row r="43" spans="1:15" ht="27.5" customHeight="1" x14ac:dyDescent="0.35">
      <c r="A43" s="28" t="s">
        <v>232</v>
      </c>
      <c r="B43" s="27">
        <f>SUM(F36,I36,J36)</f>
        <v>119.25</v>
      </c>
      <c r="C43" s="27">
        <v>3</v>
      </c>
      <c r="D43" s="27">
        <f>B43/C43</f>
        <v>39.75</v>
      </c>
      <c r="E43" s="27"/>
      <c r="F43" s="27"/>
      <c r="I43" s="30"/>
      <c r="J43" s="31"/>
    </row>
    <row r="44" spans="1:15" x14ac:dyDescent="0.35">
      <c r="A44" s="27" t="s">
        <v>160</v>
      </c>
      <c r="B44" s="27">
        <v>0.66666999999999998</v>
      </c>
      <c r="C44" s="27">
        <v>1</v>
      </c>
      <c r="D44" s="27">
        <f>B44/C44</f>
        <v>0.66666999999999998</v>
      </c>
      <c r="E44" s="27">
        <f>D44/$D$51</f>
        <v>1.7964796507765644E-2</v>
      </c>
      <c r="F44" s="27">
        <f>_xlfn.F.INV.RT(0.05,C44,$C$51)</f>
        <v>4.8443356749436166</v>
      </c>
    </row>
    <row r="45" spans="1:15" x14ac:dyDescent="0.35">
      <c r="A45" s="28" t="s">
        <v>161</v>
      </c>
      <c r="B45" s="27">
        <v>770.66700000000003</v>
      </c>
      <c r="C45" s="27">
        <v>1</v>
      </c>
      <c r="D45" s="27">
        <f t="shared" ref="D45:D50" si="7">B45/C45</f>
        <v>770.66700000000003</v>
      </c>
      <c r="E45" s="27">
        <f t="shared" ref="E45:E50" si="8">D45/$D$51</f>
        <v>20.767209909325793</v>
      </c>
      <c r="F45" s="27">
        <f t="shared" ref="F45:F50" si="9">_xlfn.F.INV.RT(0.05,C45,$C$51)</f>
        <v>4.8443356749436166</v>
      </c>
    </row>
    <row r="46" spans="1:15" x14ac:dyDescent="0.35">
      <c r="A46" s="27" t="s">
        <v>162</v>
      </c>
      <c r="B46" s="27">
        <v>280.16669999999999</v>
      </c>
      <c r="C46" s="27">
        <v>1</v>
      </c>
      <c r="D46" s="27">
        <f t="shared" si="7"/>
        <v>280.16669999999999</v>
      </c>
      <c r="E46" s="27">
        <f t="shared" si="8"/>
        <v>7.5496688822839255</v>
      </c>
      <c r="F46" s="27">
        <f t="shared" si="9"/>
        <v>4.8443356749436166</v>
      </c>
    </row>
    <row r="47" spans="1:15" x14ac:dyDescent="0.35">
      <c r="A47" s="28" t="s">
        <v>228</v>
      </c>
      <c r="B47" s="27">
        <v>25</v>
      </c>
      <c r="C47" s="27">
        <v>1</v>
      </c>
      <c r="D47" s="27">
        <f t="shared" si="7"/>
        <v>25</v>
      </c>
      <c r="E47" s="27">
        <f t="shared" si="8"/>
        <v>0.67367650065870832</v>
      </c>
      <c r="F47" s="27">
        <f t="shared" si="9"/>
        <v>4.8443356749436166</v>
      </c>
    </row>
    <row r="48" spans="1:15" x14ac:dyDescent="0.35">
      <c r="A48" s="27" t="s">
        <v>164</v>
      </c>
      <c r="B48" s="27">
        <v>468.16699999999997</v>
      </c>
      <c r="C48" s="27">
        <v>1</v>
      </c>
      <c r="D48" s="27">
        <f t="shared" si="7"/>
        <v>468.16699999999997</v>
      </c>
      <c r="E48" s="27">
        <f t="shared" si="8"/>
        <v>12.61572425135542</v>
      </c>
      <c r="F48" s="27">
        <f t="shared" si="9"/>
        <v>4.8443356749436166</v>
      </c>
    </row>
    <row r="49" spans="1:6" x14ac:dyDescent="0.35">
      <c r="A49" s="28" t="s">
        <v>230</v>
      </c>
      <c r="B49" s="27">
        <v>22.562000000000001</v>
      </c>
      <c r="C49" s="27">
        <v>1</v>
      </c>
      <c r="D49" s="27">
        <f t="shared" si="7"/>
        <v>22.562000000000001</v>
      </c>
      <c r="E49" s="27">
        <f t="shared" si="8"/>
        <v>0.60797956831447109</v>
      </c>
      <c r="F49" s="27">
        <f t="shared" si="9"/>
        <v>4.8443356749436166</v>
      </c>
    </row>
    <row r="50" spans="1:6" x14ac:dyDescent="0.35">
      <c r="A50" s="27" t="s">
        <v>229</v>
      </c>
      <c r="B50" s="27">
        <v>6.25E-2</v>
      </c>
      <c r="C50" s="27">
        <v>1</v>
      </c>
      <c r="D50" s="27">
        <f t="shared" si="7"/>
        <v>6.25E-2</v>
      </c>
      <c r="E50" s="27">
        <f t="shared" si="8"/>
        <v>1.6841912516467707E-3</v>
      </c>
      <c r="F50" s="27">
        <f t="shared" si="9"/>
        <v>4.8443356749436166</v>
      </c>
    </row>
    <row r="51" spans="1:6" x14ac:dyDescent="0.35">
      <c r="A51" s="28" t="s">
        <v>38</v>
      </c>
      <c r="B51" s="27">
        <f>B52-B42-B43-B44-B45-B46-B47-B48-B49-B50</f>
        <v>408.20779666666436</v>
      </c>
      <c r="C51" s="27">
        <v>11</v>
      </c>
      <c r="D51" s="27">
        <f>B51/C51</f>
        <v>37.109799696969489</v>
      </c>
      <c r="E51" s="27"/>
      <c r="F51" s="27"/>
    </row>
    <row r="52" spans="1:6" x14ac:dyDescent="0.35">
      <c r="A52" s="27" t="s">
        <v>39</v>
      </c>
      <c r="B52" s="27">
        <v>2095.3330000000001</v>
      </c>
      <c r="C52" s="27">
        <v>23</v>
      </c>
      <c r="D52" s="27"/>
      <c r="E52" s="27"/>
      <c r="F52" s="27"/>
    </row>
    <row r="54" spans="1:6" x14ac:dyDescent="0.35">
      <c r="A54">
        <v>39</v>
      </c>
      <c r="B54">
        <f>(A54-$B$78)^2</f>
        <v>3.3611111111111196</v>
      </c>
    </row>
    <row r="55" spans="1:6" x14ac:dyDescent="0.35">
      <c r="A55">
        <v>55</v>
      </c>
      <c r="B55">
        <f t="shared" ref="B55:B77" si="10">(A55-$B$78)^2</f>
        <v>200.69444444444437</v>
      </c>
    </row>
    <row r="56" spans="1:6" x14ac:dyDescent="0.35">
      <c r="A56">
        <v>40</v>
      </c>
      <c r="B56">
        <f t="shared" si="10"/>
        <v>0.69444444444444842</v>
      </c>
    </row>
    <row r="57" spans="1:6" x14ac:dyDescent="0.35">
      <c r="A57">
        <v>32</v>
      </c>
      <c r="B57">
        <f t="shared" si="10"/>
        <v>78.027777777777814</v>
      </c>
    </row>
    <row r="58" spans="1:6" x14ac:dyDescent="0.35">
      <c r="A58">
        <v>60</v>
      </c>
      <c r="B58">
        <f t="shared" si="10"/>
        <v>367.36111111111103</v>
      </c>
    </row>
    <row r="59" spans="1:6" x14ac:dyDescent="0.35">
      <c r="A59">
        <v>35</v>
      </c>
      <c r="B59">
        <f t="shared" si="10"/>
        <v>34.027777777777807</v>
      </c>
    </row>
    <row r="60" spans="1:6" x14ac:dyDescent="0.35">
      <c r="A60">
        <v>44</v>
      </c>
      <c r="B60">
        <f t="shared" si="10"/>
        <v>10.027777777777763</v>
      </c>
    </row>
    <row r="61" spans="1:6" x14ac:dyDescent="0.35">
      <c r="A61">
        <v>22</v>
      </c>
      <c r="B61">
        <f t="shared" si="10"/>
        <v>354.69444444444451</v>
      </c>
    </row>
    <row r="62" spans="1:6" x14ac:dyDescent="0.35">
      <c r="A62">
        <v>41</v>
      </c>
      <c r="B62">
        <f t="shared" si="10"/>
        <v>2.7777777777776989E-2</v>
      </c>
    </row>
    <row r="63" spans="1:6" x14ac:dyDescent="0.35">
      <c r="A63">
        <v>47</v>
      </c>
      <c r="B63">
        <f t="shared" si="10"/>
        <v>38.02777777777775</v>
      </c>
      <c r="D63" s="25" t="s">
        <v>233</v>
      </c>
      <c r="E63" s="25">
        <f>SUM(B54:B77)</f>
        <v>2095.3333333333339</v>
      </c>
    </row>
    <row r="64" spans="1:6" x14ac:dyDescent="0.35">
      <c r="A64">
        <v>37</v>
      </c>
      <c r="B64">
        <f t="shared" si="10"/>
        <v>14.694444444444462</v>
      </c>
    </row>
    <row r="65" spans="1:2" x14ac:dyDescent="0.35">
      <c r="A65">
        <v>43</v>
      </c>
      <c r="B65">
        <f t="shared" si="10"/>
        <v>4.694444444444434</v>
      </c>
    </row>
    <row r="66" spans="1:2" x14ac:dyDescent="0.35">
      <c r="A66">
        <v>50</v>
      </c>
      <c r="B66">
        <f t="shared" si="10"/>
        <v>84.027777777777729</v>
      </c>
    </row>
    <row r="67" spans="1:2" x14ac:dyDescent="0.35">
      <c r="A67">
        <v>34</v>
      </c>
      <c r="B67">
        <f t="shared" si="10"/>
        <v>46.694444444444478</v>
      </c>
    </row>
    <row r="68" spans="1:2" x14ac:dyDescent="0.35">
      <c r="A68">
        <v>45</v>
      </c>
      <c r="B68">
        <f t="shared" si="10"/>
        <v>17.361111111111093</v>
      </c>
    </row>
    <row r="69" spans="1:2" x14ac:dyDescent="0.35">
      <c r="A69">
        <v>31</v>
      </c>
      <c r="B69">
        <f t="shared" si="10"/>
        <v>96.694444444444485</v>
      </c>
    </row>
    <row r="70" spans="1:2" x14ac:dyDescent="0.35">
      <c r="A70">
        <v>47</v>
      </c>
      <c r="B70">
        <f t="shared" si="10"/>
        <v>38.02777777777775</v>
      </c>
    </row>
    <row r="71" spans="1:2" x14ac:dyDescent="0.35">
      <c r="A71">
        <v>46</v>
      </c>
      <c r="B71">
        <f t="shared" si="10"/>
        <v>26.694444444444422</v>
      </c>
    </row>
    <row r="72" spans="1:2" x14ac:dyDescent="0.35">
      <c r="A72">
        <v>36</v>
      </c>
      <c r="B72">
        <f t="shared" si="10"/>
        <v>23.361111111111136</v>
      </c>
    </row>
    <row r="73" spans="1:2" x14ac:dyDescent="0.35">
      <c r="A73">
        <v>29</v>
      </c>
      <c r="B73">
        <f t="shared" si="10"/>
        <v>140.02777777777783</v>
      </c>
    </row>
    <row r="74" spans="1:2" x14ac:dyDescent="0.35">
      <c r="A74">
        <v>54</v>
      </c>
      <c r="B74">
        <f t="shared" si="10"/>
        <v>173.36111111111106</v>
      </c>
    </row>
    <row r="75" spans="1:2" x14ac:dyDescent="0.35">
      <c r="A75">
        <v>50</v>
      </c>
      <c r="B75">
        <f t="shared" si="10"/>
        <v>84.027777777777729</v>
      </c>
    </row>
    <row r="76" spans="1:2" x14ac:dyDescent="0.35">
      <c r="A76">
        <v>38</v>
      </c>
      <c r="B76">
        <f t="shared" si="10"/>
        <v>8.027777777777791</v>
      </c>
    </row>
    <row r="77" spans="1:2" x14ac:dyDescent="0.35">
      <c r="A77">
        <v>25</v>
      </c>
      <c r="B77">
        <f t="shared" si="10"/>
        <v>250.69444444444451</v>
      </c>
    </row>
    <row r="78" spans="1:2" x14ac:dyDescent="0.35">
      <c r="A78" t="s">
        <v>181</v>
      </c>
      <c r="B78">
        <f>AVERAGE(A54:A77)</f>
        <v>40.833333333333336</v>
      </c>
    </row>
    <row r="79" spans="1:2" x14ac:dyDescent="0.35">
      <c r="A79" t="s">
        <v>193</v>
      </c>
      <c r="B79">
        <f>SUM(A54:A77)</f>
        <v>980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8D62-A5FF-4238-9C5D-92879A51FBDB}">
  <dimension ref="A1:K84"/>
  <sheetViews>
    <sheetView tabSelected="1" workbookViewId="0">
      <selection activeCell="F62" sqref="F62"/>
    </sheetView>
  </sheetViews>
  <sheetFormatPr defaultRowHeight="14.5" x14ac:dyDescent="0.35"/>
  <cols>
    <col min="1" max="1" width="20.1796875" customWidth="1"/>
    <col min="2" max="2" width="14.26953125" customWidth="1"/>
    <col min="4" max="4" width="14" customWidth="1"/>
    <col min="5" max="5" width="10.7265625" customWidth="1"/>
    <col min="9" max="9" width="10.453125" customWidth="1"/>
    <col min="10" max="10" width="10.26953125" customWidth="1"/>
  </cols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224</v>
      </c>
      <c r="J1" t="s">
        <v>225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47</v>
      </c>
      <c r="J2">
        <v>41</v>
      </c>
      <c r="K2">
        <f>I2+J2</f>
        <v>88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46</v>
      </c>
      <c r="J3">
        <v>47</v>
      </c>
      <c r="K3">
        <f t="shared" ref="K3:K9" si="0">I3+J3</f>
        <v>93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36</v>
      </c>
      <c r="J4">
        <v>37</v>
      </c>
      <c r="K4">
        <f t="shared" si="0"/>
        <v>73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29</v>
      </c>
      <c r="J5">
        <v>43</v>
      </c>
      <c r="K5">
        <f t="shared" si="0"/>
        <v>72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54</v>
      </c>
      <c r="J6">
        <v>50</v>
      </c>
      <c r="K6">
        <f t="shared" si="0"/>
        <v>104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50</v>
      </c>
      <c r="J7">
        <v>34</v>
      </c>
      <c r="K7">
        <f t="shared" si="0"/>
        <v>84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38</v>
      </c>
      <c r="J8">
        <v>45</v>
      </c>
      <c r="K8">
        <f t="shared" si="0"/>
        <v>83</v>
      </c>
    </row>
    <row r="9" spans="1:11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25</v>
      </c>
      <c r="J9">
        <v>31</v>
      </c>
      <c r="K9">
        <f t="shared" si="0"/>
        <v>56</v>
      </c>
    </row>
    <row r="10" spans="1:11" x14ac:dyDescent="0.35">
      <c r="H10" t="s">
        <v>236</v>
      </c>
      <c r="I10">
        <f>SUM(I2:I9)</f>
        <v>325</v>
      </c>
      <c r="J10">
        <f>SUM(J2:J9)</f>
        <v>328</v>
      </c>
      <c r="K10">
        <f>SUM(K2:K9)</f>
        <v>653</v>
      </c>
    </row>
    <row r="12" spans="1:11" x14ac:dyDescent="0.35">
      <c r="B12" t="s">
        <v>160</v>
      </c>
      <c r="C12" t="s">
        <v>161</v>
      </c>
      <c r="D12" t="s">
        <v>162</v>
      </c>
      <c r="E12" t="s">
        <v>163</v>
      </c>
      <c r="F12" t="s">
        <v>165</v>
      </c>
      <c r="G12" t="s">
        <v>39</v>
      </c>
    </row>
    <row r="13" spans="1:11" x14ac:dyDescent="0.35">
      <c r="A13" t="s">
        <v>167</v>
      </c>
      <c r="B13">
        <v>1</v>
      </c>
      <c r="C13">
        <v>1</v>
      </c>
      <c r="D13">
        <v>1</v>
      </c>
      <c r="E13">
        <v>1</v>
      </c>
      <c r="F13">
        <v>1</v>
      </c>
      <c r="G13">
        <v>88</v>
      </c>
    </row>
    <row r="14" spans="1:11" x14ac:dyDescent="0.35">
      <c r="A14" t="s">
        <v>168</v>
      </c>
      <c r="B14">
        <v>1</v>
      </c>
      <c r="C14">
        <v>1</v>
      </c>
      <c r="D14">
        <v>-1</v>
      </c>
      <c r="E14">
        <v>1</v>
      </c>
      <c r="F14">
        <v>-1</v>
      </c>
      <c r="G14">
        <v>93</v>
      </c>
    </row>
    <row r="15" spans="1:11" x14ac:dyDescent="0.35">
      <c r="A15" t="s">
        <v>169</v>
      </c>
      <c r="B15">
        <v>1</v>
      </c>
      <c r="C15">
        <v>-1</v>
      </c>
      <c r="D15">
        <v>1</v>
      </c>
      <c r="E15">
        <v>-1</v>
      </c>
      <c r="F15">
        <v>-1</v>
      </c>
      <c r="G15">
        <v>73</v>
      </c>
    </row>
    <row r="16" spans="1:11" x14ac:dyDescent="0.35">
      <c r="A16" t="s">
        <v>170</v>
      </c>
      <c r="B16">
        <v>1</v>
      </c>
      <c r="C16">
        <v>-1</v>
      </c>
      <c r="D16">
        <v>-1</v>
      </c>
      <c r="E16">
        <v>-1</v>
      </c>
      <c r="F16">
        <v>1</v>
      </c>
      <c r="G16">
        <v>72</v>
      </c>
    </row>
    <row r="17" spans="1:7" x14ac:dyDescent="0.35">
      <c r="A17" t="s">
        <v>172</v>
      </c>
      <c r="B17">
        <v>-1</v>
      </c>
      <c r="C17">
        <v>1</v>
      </c>
      <c r="D17">
        <v>1</v>
      </c>
      <c r="E17">
        <v>-1</v>
      </c>
      <c r="F17">
        <v>1</v>
      </c>
      <c r="G17">
        <v>104</v>
      </c>
    </row>
    <row r="18" spans="1:7" x14ac:dyDescent="0.35">
      <c r="A18" t="s">
        <v>171</v>
      </c>
      <c r="B18">
        <v>-1</v>
      </c>
      <c r="C18">
        <v>1</v>
      </c>
      <c r="D18">
        <v>-1</v>
      </c>
      <c r="E18">
        <v>-1</v>
      </c>
      <c r="F18">
        <v>-1</v>
      </c>
      <c r="G18">
        <v>84</v>
      </c>
    </row>
    <row r="19" spans="1:7" x14ac:dyDescent="0.35">
      <c r="A19" t="s">
        <v>173</v>
      </c>
      <c r="B19">
        <v>-1</v>
      </c>
      <c r="C19">
        <v>-1</v>
      </c>
      <c r="D19">
        <v>1</v>
      </c>
      <c r="E19">
        <v>1</v>
      </c>
      <c r="F19">
        <v>-1</v>
      </c>
      <c r="G19">
        <v>83</v>
      </c>
    </row>
    <row r="20" spans="1:7" x14ac:dyDescent="0.35">
      <c r="A20" t="s">
        <v>199</v>
      </c>
      <c r="B20">
        <v>-1</v>
      </c>
      <c r="C20">
        <v>-1</v>
      </c>
      <c r="D20">
        <v>-1</v>
      </c>
      <c r="E20">
        <v>1</v>
      </c>
      <c r="F20">
        <v>1</v>
      </c>
      <c r="G20">
        <v>56</v>
      </c>
    </row>
    <row r="22" spans="1:7" x14ac:dyDescent="0.35">
      <c r="D22" t="s">
        <v>178</v>
      </c>
    </row>
    <row r="23" spans="1:7" x14ac:dyDescent="0.35">
      <c r="B23" t="s">
        <v>160</v>
      </c>
      <c r="C23" t="s">
        <v>161</v>
      </c>
      <c r="D23" t="s">
        <v>162</v>
      </c>
      <c r="E23" t="s">
        <v>163</v>
      </c>
      <c r="F23" t="s">
        <v>165</v>
      </c>
    </row>
    <row r="24" spans="1:7" x14ac:dyDescent="0.35">
      <c r="B24">
        <f>B13*$G$13+B14*$G$14+B15*$G$15+B16*$G$16+B17*$G$17+B18*$G$18+B19*$G$19+B20*$G$20</f>
        <v>-1</v>
      </c>
      <c r="C24">
        <f t="shared" ref="C24:F24" si="1">C13*$G$13+C14*$G$14+C15*$G$15+C16*$G$16+C17*$G$17+C18*$G$18+C19*$G$19+C20*$G$20</f>
        <v>85</v>
      </c>
      <c r="D24">
        <f t="shared" si="1"/>
        <v>43</v>
      </c>
      <c r="E24">
        <f t="shared" si="1"/>
        <v>-13</v>
      </c>
      <c r="F24">
        <f t="shared" si="1"/>
        <v>-13</v>
      </c>
    </row>
    <row r="27" spans="1:7" x14ac:dyDescent="0.35">
      <c r="B27" t="s">
        <v>166</v>
      </c>
      <c r="C27" t="s">
        <v>164</v>
      </c>
      <c r="D27" t="s">
        <v>224</v>
      </c>
      <c r="E27" t="s">
        <v>225</v>
      </c>
    </row>
    <row r="28" spans="1:7" x14ac:dyDescent="0.35">
      <c r="A28" t="s">
        <v>167</v>
      </c>
      <c r="B28">
        <v>1</v>
      </c>
      <c r="C28">
        <v>1</v>
      </c>
      <c r="D28">
        <v>47</v>
      </c>
      <c r="E28">
        <v>41</v>
      </c>
    </row>
    <row r="29" spans="1:7" x14ac:dyDescent="0.35">
      <c r="A29" t="s">
        <v>168</v>
      </c>
      <c r="B29">
        <v>-1</v>
      </c>
      <c r="C29">
        <v>-1</v>
      </c>
      <c r="D29">
        <v>46</v>
      </c>
      <c r="E29">
        <v>47</v>
      </c>
    </row>
    <row r="30" spans="1:7" x14ac:dyDescent="0.35">
      <c r="A30" t="s">
        <v>169</v>
      </c>
      <c r="B30">
        <v>-1</v>
      </c>
      <c r="C30">
        <v>1</v>
      </c>
      <c r="D30">
        <v>36</v>
      </c>
      <c r="E30">
        <v>37</v>
      </c>
    </row>
    <row r="31" spans="1:7" x14ac:dyDescent="0.35">
      <c r="A31" t="s">
        <v>170</v>
      </c>
      <c r="B31">
        <v>1</v>
      </c>
      <c r="C31">
        <v>-1</v>
      </c>
      <c r="D31">
        <v>29</v>
      </c>
      <c r="E31">
        <v>43</v>
      </c>
    </row>
    <row r="32" spans="1:7" x14ac:dyDescent="0.35">
      <c r="A32" t="s">
        <v>172</v>
      </c>
      <c r="B32">
        <v>-1</v>
      </c>
      <c r="C32">
        <v>-1</v>
      </c>
      <c r="D32">
        <v>54</v>
      </c>
      <c r="E32">
        <v>50</v>
      </c>
    </row>
    <row r="33" spans="1:10" x14ac:dyDescent="0.35">
      <c r="A33" t="s">
        <v>171</v>
      </c>
      <c r="B33">
        <v>1</v>
      </c>
      <c r="C33">
        <v>1</v>
      </c>
      <c r="D33">
        <v>50</v>
      </c>
      <c r="E33">
        <v>34</v>
      </c>
    </row>
    <row r="34" spans="1:10" x14ac:dyDescent="0.35">
      <c r="A34" t="s">
        <v>173</v>
      </c>
      <c r="B34">
        <v>1</v>
      </c>
      <c r="C34">
        <v>-1</v>
      </c>
      <c r="D34">
        <v>38</v>
      </c>
      <c r="E34">
        <v>45</v>
      </c>
    </row>
    <row r="35" spans="1:10" x14ac:dyDescent="0.35">
      <c r="A35" t="s">
        <v>199</v>
      </c>
      <c r="B35">
        <v>-1</v>
      </c>
      <c r="C35">
        <v>1</v>
      </c>
      <c r="D35">
        <v>25</v>
      </c>
      <c r="E35">
        <v>31</v>
      </c>
    </row>
    <row r="37" spans="1:10" x14ac:dyDescent="0.35">
      <c r="A37" t="s">
        <v>204</v>
      </c>
      <c r="B37" t="s">
        <v>201</v>
      </c>
    </row>
    <row r="38" spans="1:10" x14ac:dyDescent="0.35">
      <c r="A38">
        <f>B28*$D$28+B29*$D$29+B30*$D$30+B31*$D$31+B32*$D$32+B33*$D$33+B34*$D$34+B35*$D$35</f>
        <v>3</v>
      </c>
      <c r="B38">
        <f>C28*$D$28+C29*$D$29+C30*$D$30+C31*$D$31+C32*$D$32+C33*$D$33+C34*$D$34+C35*$D$35</f>
        <v>-9</v>
      </c>
    </row>
    <row r="40" spans="1:10" x14ac:dyDescent="0.35">
      <c r="A40" t="s">
        <v>202</v>
      </c>
      <c r="B40" t="s">
        <v>203</v>
      </c>
    </row>
    <row r="41" spans="1:10" x14ac:dyDescent="0.35">
      <c r="A41">
        <f>B28*$E$28+B29*$E$29+B30*$E$30+B31*$E$31+B32*$E$32+B33*$E$33+B34*$E$34+B35*$E$35</f>
        <v>-2</v>
      </c>
      <c r="B41">
        <f>C28*$E$28+C29*$E$29+C30*$E$30+C31*$E$31+C32*$E$32+C33*$E$33+C34*$E$34+C35*$E$35</f>
        <v>-42</v>
      </c>
    </row>
    <row r="43" spans="1:10" x14ac:dyDescent="0.35">
      <c r="E43" t="s">
        <v>179</v>
      </c>
    </row>
    <row r="44" spans="1:10" x14ac:dyDescent="0.35">
      <c r="B44" t="s">
        <v>160</v>
      </c>
      <c r="C44" t="s">
        <v>161</v>
      </c>
      <c r="D44" t="s">
        <v>162</v>
      </c>
      <c r="E44" t="s">
        <v>163</v>
      </c>
      <c r="F44" t="s">
        <v>165</v>
      </c>
      <c r="G44" t="s">
        <v>204</v>
      </c>
      <c r="H44" t="s">
        <v>202</v>
      </c>
      <c r="I44" t="s">
        <v>201</v>
      </c>
      <c r="J44" t="s">
        <v>203</v>
      </c>
    </row>
    <row r="45" spans="1:10" x14ac:dyDescent="0.35">
      <c r="B45">
        <f>B24/8</f>
        <v>-0.125</v>
      </c>
      <c r="C45">
        <f t="shared" ref="C45:F45" si="2">C24/8</f>
        <v>10.625</v>
      </c>
      <c r="D45">
        <f t="shared" si="2"/>
        <v>5.375</v>
      </c>
      <c r="E45">
        <f t="shared" si="2"/>
        <v>-1.625</v>
      </c>
      <c r="F45">
        <f t="shared" si="2"/>
        <v>-1.625</v>
      </c>
      <c r="G45">
        <f>A38/4</f>
        <v>0.75</v>
      </c>
      <c r="H45">
        <f>B38/4</f>
        <v>-2.25</v>
      </c>
      <c r="I45">
        <f>A41/4</f>
        <v>-0.5</v>
      </c>
      <c r="J45">
        <f>B41/4</f>
        <v>-10.5</v>
      </c>
    </row>
    <row r="47" spans="1:10" x14ac:dyDescent="0.35">
      <c r="E47" t="s">
        <v>180</v>
      </c>
    </row>
    <row r="48" spans="1:10" x14ac:dyDescent="0.35">
      <c r="B48" t="s">
        <v>160</v>
      </c>
      <c r="C48" t="s">
        <v>161</v>
      </c>
      <c r="D48" t="s">
        <v>162</v>
      </c>
      <c r="E48" t="s">
        <v>163</v>
      </c>
      <c r="F48" t="s">
        <v>165</v>
      </c>
      <c r="G48" t="s">
        <v>204</v>
      </c>
      <c r="H48" t="s">
        <v>203</v>
      </c>
      <c r="I48" t="s">
        <v>202</v>
      </c>
      <c r="J48" t="s">
        <v>201</v>
      </c>
    </row>
    <row r="49" spans="1:10" x14ac:dyDescent="0.35">
      <c r="B49">
        <f>B24^2/16</f>
        <v>6.25E-2</v>
      </c>
      <c r="C49">
        <f t="shared" ref="C49:F49" si="3">C24^2/16</f>
        <v>451.5625</v>
      </c>
      <c r="D49">
        <f t="shared" si="3"/>
        <v>115.5625</v>
      </c>
      <c r="E49">
        <f t="shared" si="3"/>
        <v>10.5625</v>
      </c>
      <c r="F49">
        <f t="shared" si="3"/>
        <v>10.5625</v>
      </c>
      <c r="G49">
        <f>A38^2/8</f>
        <v>1.125</v>
      </c>
      <c r="H49">
        <f>B41^2/8</f>
        <v>220.5</v>
      </c>
      <c r="I49">
        <f>A41^2/8</f>
        <v>0.5</v>
      </c>
      <c r="J49">
        <f>B38^2/8</f>
        <v>10.125</v>
      </c>
    </row>
    <row r="51" spans="1:10" x14ac:dyDescent="0.35">
      <c r="A51" t="s">
        <v>212</v>
      </c>
    </row>
    <row r="53" spans="1:10" x14ac:dyDescent="0.35">
      <c r="A53" s="21" t="s">
        <v>30</v>
      </c>
      <c r="B53" s="21" t="s">
        <v>31</v>
      </c>
      <c r="C53" s="21" t="s">
        <v>70</v>
      </c>
      <c r="D53" s="21" t="s">
        <v>33</v>
      </c>
      <c r="E53" s="21" t="s">
        <v>205</v>
      </c>
      <c r="F53" s="21" t="s">
        <v>21</v>
      </c>
    </row>
    <row r="54" spans="1:10" x14ac:dyDescent="0.35">
      <c r="A54" s="21" t="s">
        <v>206</v>
      </c>
      <c r="B54" s="21">
        <f>(I10^2+J10^2)/8-(K10^2)/16</f>
        <v>0.5625</v>
      </c>
      <c r="C54" s="21">
        <v>1</v>
      </c>
      <c r="D54" s="21">
        <f>B54/C54</f>
        <v>0.5625</v>
      </c>
      <c r="E54" s="21"/>
      <c r="F54" s="21"/>
    </row>
    <row r="55" spans="1:10" ht="28" customHeight="1" x14ac:dyDescent="0.35">
      <c r="A55" s="24" t="s">
        <v>249</v>
      </c>
      <c r="B55" s="21">
        <f>G49+H49</f>
        <v>221.625</v>
      </c>
      <c r="C55" s="21">
        <v>2</v>
      </c>
      <c r="D55" s="21">
        <f t="shared" ref="D55:D63" si="4">B55/C55</f>
        <v>110.8125</v>
      </c>
      <c r="E55" s="21"/>
      <c r="F55" s="21"/>
    </row>
    <row r="56" spans="1:10" x14ac:dyDescent="0.35">
      <c r="A56" s="21" t="s">
        <v>160</v>
      </c>
      <c r="B56" s="21">
        <v>6.25E-2</v>
      </c>
      <c r="C56" s="21">
        <v>1</v>
      </c>
      <c r="D56" s="21">
        <f t="shared" si="4"/>
        <v>6.25E-2</v>
      </c>
      <c r="E56" s="21">
        <f>D56/$D$63</f>
        <v>1.3869687077668026E-3</v>
      </c>
      <c r="F56" s="21">
        <f>_xlfn.F.INV.RT(0.05,C56,$C$63)</f>
        <v>6.607890973703368</v>
      </c>
    </row>
    <row r="57" spans="1:10" x14ac:dyDescent="0.35">
      <c r="A57" s="24" t="s">
        <v>161</v>
      </c>
      <c r="B57" s="21">
        <v>451.56299999999999</v>
      </c>
      <c r="C57" s="21">
        <v>1</v>
      </c>
      <c r="D57" s="21">
        <f t="shared" si="4"/>
        <v>451.56299999999999</v>
      </c>
      <c r="E57" s="21">
        <f t="shared" ref="E57:E62" si="5">D57/$D$63</f>
        <v>10.02086000936481</v>
      </c>
      <c r="F57" s="21">
        <f t="shared" ref="F57:F62" si="6">_xlfn.F.INV.RT(0.05,C57,$C$63)</f>
        <v>6.607890973703368</v>
      </c>
    </row>
    <row r="58" spans="1:10" x14ac:dyDescent="0.35">
      <c r="A58" s="21" t="s">
        <v>162</v>
      </c>
      <c r="B58" s="21">
        <v>115.563</v>
      </c>
      <c r="C58" s="21">
        <v>1</v>
      </c>
      <c r="D58" s="21">
        <f t="shared" si="4"/>
        <v>115.563</v>
      </c>
      <c r="E58" s="21">
        <f t="shared" si="5"/>
        <v>2.5645162364104803</v>
      </c>
      <c r="F58" s="21">
        <f t="shared" si="6"/>
        <v>6.607890973703368</v>
      </c>
    </row>
    <row r="59" spans="1:10" x14ac:dyDescent="0.35">
      <c r="A59" s="24" t="s">
        <v>163</v>
      </c>
      <c r="B59" s="21">
        <v>10.5625</v>
      </c>
      <c r="C59" s="21">
        <v>1</v>
      </c>
      <c r="D59" s="21">
        <f t="shared" si="4"/>
        <v>10.5625</v>
      </c>
      <c r="E59" s="21">
        <f t="shared" si="5"/>
        <v>0.23439771161258965</v>
      </c>
      <c r="F59" s="21">
        <f t="shared" si="6"/>
        <v>6.607890973703368</v>
      </c>
    </row>
    <row r="60" spans="1:10" x14ac:dyDescent="0.35">
      <c r="A60" s="21" t="s">
        <v>201</v>
      </c>
      <c r="B60" s="21">
        <v>10.125</v>
      </c>
      <c r="C60" s="21">
        <v>1</v>
      </c>
      <c r="D60" s="21">
        <f t="shared" si="4"/>
        <v>10.125</v>
      </c>
      <c r="E60" s="21">
        <f t="shared" si="5"/>
        <v>0.22468893065822201</v>
      </c>
      <c r="F60" s="21">
        <f t="shared" si="6"/>
        <v>6.607890973703368</v>
      </c>
    </row>
    <row r="61" spans="1:10" x14ac:dyDescent="0.35">
      <c r="A61" s="24" t="s">
        <v>202</v>
      </c>
      <c r="B61" s="21">
        <v>0.5</v>
      </c>
      <c r="C61" s="21">
        <v>1</v>
      </c>
      <c r="D61" s="21">
        <f t="shared" si="4"/>
        <v>0.5</v>
      </c>
      <c r="E61" s="21">
        <f t="shared" si="5"/>
        <v>1.109574966213442E-2</v>
      </c>
      <c r="F61" s="21">
        <f t="shared" si="6"/>
        <v>6.607890973703368</v>
      </c>
    </row>
    <row r="62" spans="1:10" x14ac:dyDescent="0.35">
      <c r="A62" s="21" t="s">
        <v>165</v>
      </c>
      <c r="B62" s="21">
        <v>10.5625</v>
      </c>
      <c r="C62" s="21">
        <v>1</v>
      </c>
      <c r="D62" s="21">
        <f t="shared" si="4"/>
        <v>10.5625</v>
      </c>
      <c r="E62" s="21">
        <f t="shared" si="5"/>
        <v>0.23439771161258965</v>
      </c>
      <c r="F62" s="21">
        <f t="shared" si="6"/>
        <v>6.607890973703368</v>
      </c>
    </row>
    <row r="63" spans="1:10" x14ac:dyDescent="0.35">
      <c r="A63" s="24" t="s">
        <v>38</v>
      </c>
      <c r="B63" s="21">
        <f>B64-B54-B55-B56-B57-B58-B59-B60-B61-B62</f>
        <v>225.31150000000002</v>
      </c>
      <c r="C63" s="21">
        <f>C64-C54-C55-C56-C57-C58-C59-C60-C61-C62</f>
        <v>5</v>
      </c>
      <c r="D63" s="21">
        <f t="shared" si="4"/>
        <v>45.062300000000008</v>
      </c>
      <c r="E63" s="21"/>
      <c r="F63" s="21"/>
    </row>
    <row r="64" spans="1:10" x14ac:dyDescent="0.35">
      <c r="A64" s="21" t="s">
        <v>39</v>
      </c>
      <c r="B64" s="21">
        <v>1046.4375</v>
      </c>
      <c r="C64" s="21">
        <v>15</v>
      </c>
      <c r="D64" s="21"/>
      <c r="E64" s="21"/>
      <c r="F64" s="21"/>
    </row>
    <row r="67" spans="1:5" x14ac:dyDescent="0.35">
      <c r="A67">
        <v>47</v>
      </c>
      <c r="B67">
        <f>(A67-$B$83)^2</f>
        <v>38.28515625</v>
      </c>
    </row>
    <row r="68" spans="1:5" x14ac:dyDescent="0.35">
      <c r="A68">
        <v>46</v>
      </c>
      <c r="B68">
        <f t="shared" ref="B68:B82" si="7">(A68-$B$83)^2</f>
        <v>26.91015625</v>
      </c>
    </row>
    <row r="69" spans="1:5" x14ac:dyDescent="0.35">
      <c r="A69">
        <v>36</v>
      </c>
      <c r="B69">
        <f t="shared" si="7"/>
        <v>23.16015625</v>
      </c>
    </row>
    <row r="70" spans="1:5" x14ac:dyDescent="0.35">
      <c r="A70">
        <v>29</v>
      </c>
      <c r="B70">
        <f t="shared" si="7"/>
        <v>139.53515625</v>
      </c>
    </row>
    <row r="71" spans="1:5" x14ac:dyDescent="0.35">
      <c r="A71">
        <v>54</v>
      </c>
      <c r="B71">
        <f t="shared" si="7"/>
        <v>173.91015625</v>
      </c>
    </row>
    <row r="72" spans="1:5" x14ac:dyDescent="0.35">
      <c r="A72">
        <v>50</v>
      </c>
      <c r="B72">
        <f t="shared" si="7"/>
        <v>84.41015625</v>
      </c>
    </row>
    <row r="73" spans="1:5" x14ac:dyDescent="0.35">
      <c r="A73">
        <v>38</v>
      </c>
      <c r="B73">
        <f t="shared" si="7"/>
        <v>7.91015625</v>
      </c>
    </row>
    <row r="74" spans="1:5" x14ac:dyDescent="0.35">
      <c r="A74">
        <v>25</v>
      </c>
      <c r="B74">
        <f t="shared" si="7"/>
        <v>250.03515625</v>
      </c>
      <c r="D74" t="s">
        <v>188</v>
      </c>
      <c r="E74">
        <f>SUM(B67:B82)</f>
        <v>1046.4375</v>
      </c>
    </row>
    <row r="75" spans="1:5" x14ac:dyDescent="0.35">
      <c r="A75">
        <v>41</v>
      </c>
      <c r="B75">
        <f t="shared" si="7"/>
        <v>3.515625E-2</v>
      </c>
    </row>
    <row r="76" spans="1:5" x14ac:dyDescent="0.35">
      <c r="A76">
        <v>47</v>
      </c>
      <c r="B76">
        <f t="shared" si="7"/>
        <v>38.28515625</v>
      </c>
    </row>
    <row r="77" spans="1:5" x14ac:dyDescent="0.35">
      <c r="A77">
        <v>37</v>
      </c>
      <c r="B77">
        <f t="shared" si="7"/>
        <v>14.53515625</v>
      </c>
    </row>
    <row r="78" spans="1:5" x14ac:dyDescent="0.35">
      <c r="A78">
        <v>43</v>
      </c>
      <c r="B78">
        <f t="shared" si="7"/>
        <v>4.78515625</v>
      </c>
    </row>
    <row r="79" spans="1:5" x14ac:dyDescent="0.35">
      <c r="A79">
        <v>50</v>
      </c>
      <c r="B79">
        <f t="shared" si="7"/>
        <v>84.41015625</v>
      </c>
    </row>
    <row r="80" spans="1:5" x14ac:dyDescent="0.35">
      <c r="A80">
        <v>34</v>
      </c>
      <c r="B80">
        <f t="shared" si="7"/>
        <v>46.41015625</v>
      </c>
    </row>
    <row r="81" spans="1:2" x14ac:dyDescent="0.35">
      <c r="A81">
        <v>45</v>
      </c>
      <c r="B81">
        <f t="shared" si="7"/>
        <v>17.53515625</v>
      </c>
    </row>
    <row r="82" spans="1:2" x14ac:dyDescent="0.35">
      <c r="A82">
        <v>31</v>
      </c>
      <c r="B82">
        <f t="shared" si="7"/>
        <v>96.28515625</v>
      </c>
    </row>
    <row r="83" spans="1:2" x14ac:dyDescent="0.35">
      <c r="A83" t="s">
        <v>181</v>
      </c>
      <c r="B83">
        <f>AVERAGE(A67:A82)</f>
        <v>40.8125</v>
      </c>
    </row>
    <row r="84" spans="1:2" x14ac:dyDescent="0.35">
      <c r="A84" t="s">
        <v>193</v>
      </c>
      <c r="B84">
        <f>SUM(A67:A82)</f>
        <v>653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251F-F142-4A57-AE7C-87188EA78F08}">
  <dimension ref="A1:K57"/>
  <sheetViews>
    <sheetView topLeftCell="A25" workbookViewId="0">
      <selection activeCell="G62" sqref="G62"/>
    </sheetView>
  </sheetViews>
  <sheetFormatPr defaultRowHeight="14.5" x14ac:dyDescent="0.35"/>
  <cols>
    <col min="1" max="1" width="20.26953125" customWidth="1"/>
    <col min="2" max="2" width="15.1796875" customWidth="1"/>
    <col min="9" max="9" width="12.1796875" customWidth="1"/>
    <col min="10" max="10" width="12.453125" customWidth="1"/>
  </cols>
  <sheetData>
    <row r="1" spans="1:11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209</v>
      </c>
      <c r="J1" t="s">
        <v>210</v>
      </c>
      <c r="K1" t="s">
        <v>39</v>
      </c>
    </row>
    <row r="2" spans="1:11" x14ac:dyDescent="0.35">
      <c r="A2" t="s">
        <v>167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15</v>
      </c>
      <c r="J2">
        <v>23</v>
      </c>
      <c r="K2">
        <f>I2+J2</f>
        <v>38</v>
      </c>
    </row>
    <row r="3" spans="1:11" x14ac:dyDescent="0.35">
      <c r="A3" t="s">
        <v>168</v>
      </c>
      <c r="B3">
        <v>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16</v>
      </c>
      <c r="J3">
        <v>24</v>
      </c>
      <c r="K3">
        <f t="shared" ref="K3:K10" si="0">I3+J3</f>
        <v>40</v>
      </c>
    </row>
    <row r="4" spans="1:11" x14ac:dyDescent="0.35">
      <c r="A4" t="s">
        <v>169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15</v>
      </c>
      <c r="J4">
        <v>21</v>
      </c>
      <c r="K4">
        <f t="shared" si="0"/>
        <v>36</v>
      </c>
    </row>
    <row r="5" spans="1:11" x14ac:dyDescent="0.35">
      <c r="A5" t="s">
        <v>170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18</v>
      </c>
      <c r="J5">
        <v>25</v>
      </c>
      <c r="K5">
        <f t="shared" si="0"/>
        <v>43</v>
      </c>
    </row>
    <row r="6" spans="1:11" x14ac:dyDescent="0.35">
      <c r="A6" t="s">
        <v>172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-1</v>
      </c>
      <c r="I6">
        <v>20</v>
      </c>
      <c r="J6">
        <v>17</v>
      </c>
      <c r="K6">
        <f t="shared" si="0"/>
        <v>37</v>
      </c>
    </row>
    <row r="7" spans="1:11" x14ac:dyDescent="0.35">
      <c r="A7" t="s">
        <v>171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  <c r="I7">
        <v>13</v>
      </c>
      <c r="J7">
        <v>13</v>
      </c>
      <c r="K7">
        <f t="shared" si="0"/>
        <v>26</v>
      </c>
    </row>
    <row r="8" spans="1:11" x14ac:dyDescent="0.35">
      <c r="A8" t="s">
        <v>173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1</v>
      </c>
      <c r="I8">
        <v>17</v>
      </c>
      <c r="J8">
        <v>19</v>
      </c>
      <c r="K8">
        <f t="shared" si="0"/>
        <v>36</v>
      </c>
    </row>
    <row r="9" spans="1:11" x14ac:dyDescent="0.35">
      <c r="A9" t="s">
        <v>199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12</v>
      </c>
      <c r="J9">
        <v>10</v>
      </c>
      <c r="K9">
        <f t="shared" si="0"/>
        <v>22</v>
      </c>
    </row>
    <row r="10" spans="1:11" x14ac:dyDescent="0.35">
      <c r="H10" t="s">
        <v>200</v>
      </c>
      <c r="I10">
        <f>SUM(I2:I9)</f>
        <v>126</v>
      </c>
      <c r="J10">
        <f>SUM(J2:J9)</f>
        <v>152</v>
      </c>
      <c r="K10">
        <f t="shared" si="0"/>
        <v>278</v>
      </c>
    </row>
    <row r="12" spans="1:11" x14ac:dyDescent="0.35">
      <c r="E12" t="s">
        <v>178</v>
      </c>
    </row>
    <row r="13" spans="1:11" x14ac:dyDescent="0.35">
      <c r="B13" t="s">
        <v>160</v>
      </c>
      <c r="C13" t="s">
        <v>161</v>
      </c>
      <c r="D13" t="s">
        <v>162</v>
      </c>
      <c r="E13" t="s">
        <v>163</v>
      </c>
      <c r="F13" t="s">
        <v>203</v>
      </c>
      <c r="G13" t="s">
        <v>165</v>
      </c>
      <c r="H13" t="s">
        <v>204</v>
      </c>
      <c r="I13" t="s">
        <v>201</v>
      </c>
      <c r="J13" t="s">
        <v>202</v>
      </c>
    </row>
    <row r="14" spans="1:11" x14ac:dyDescent="0.35">
      <c r="B14">
        <f>B2*$K$2+B3*$K$3+B4*$K$4+B5*$K$5+B6*$K$6+B7*$K$7+B8*$K$8+B9*$K$9</f>
        <v>36</v>
      </c>
      <c r="C14">
        <f t="shared" ref="C14:E14" si="1">C2*$K$2+C3*$K$3+C4*$K$4+C5*$K$5+C6*$K$6+C7*$K$7+C8*$K$8+C9*$K$9</f>
        <v>4</v>
      </c>
      <c r="D14">
        <f t="shared" si="1"/>
        <v>16</v>
      </c>
      <c r="E14">
        <f t="shared" si="1"/>
        <v>-6</v>
      </c>
      <c r="F14">
        <f>F2*$J$2+F3*$J$3+F4*$J$4+F5*$J$5+F6*$J$6+F7*$J$7+F8*$J$8+F9*$J$9</f>
        <v>-18</v>
      </c>
      <c r="G14">
        <f>G2*$K$2+G3*$K$3+G4*$K$4+G5*$K$5+G6*$K$6+G7*$K$7+G8*$K$8+G9*$K$9</f>
        <v>2</v>
      </c>
      <c r="H14">
        <f>H2*$I$2+H3*$I$3+H4*$I$4+H5*$I$5+H6*$I$6+H7*$I$7+H8*$I$8+H9*$I$9</f>
        <v>0</v>
      </c>
      <c r="I14">
        <f>F2*$I$2+F3*$I$3+F4*$I$4+F5*$I$5+F6*$I$6+F7*$I$7+F8*$I$8+F9*$I$9</f>
        <v>-16</v>
      </c>
      <c r="J14">
        <f>H2*$J$2+H3*$J$3+H4*$J$4+H5*$J$5+H6*$J$6+H7*$J$7+H8*$J$8+H9*$J$9</f>
        <v>8</v>
      </c>
    </row>
    <row r="16" spans="1:11" x14ac:dyDescent="0.35">
      <c r="E16" t="s">
        <v>179</v>
      </c>
    </row>
    <row r="17" spans="1:10" x14ac:dyDescent="0.35">
      <c r="B17" t="s">
        <v>160</v>
      </c>
      <c r="C17" t="s">
        <v>161</v>
      </c>
      <c r="D17" t="s">
        <v>162</v>
      </c>
      <c r="E17" t="s">
        <v>163</v>
      </c>
      <c r="F17" t="s">
        <v>203</v>
      </c>
      <c r="G17" t="s">
        <v>165</v>
      </c>
      <c r="H17" t="s">
        <v>204</v>
      </c>
      <c r="I17" t="s">
        <v>201</v>
      </c>
      <c r="J17" t="s">
        <v>202</v>
      </c>
    </row>
    <row r="18" spans="1:10" x14ac:dyDescent="0.35">
      <c r="B18">
        <f>B14/8</f>
        <v>4.5</v>
      </c>
      <c r="C18">
        <f t="shared" ref="C18:E18" si="2">C14/8</f>
        <v>0.5</v>
      </c>
      <c r="D18">
        <f t="shared" si="2"/>
        <v>2</v>
      </c>
      <c r="E18">
        <f t="shared" si="2"/>
        <v>-0.75</v>
      </c>
      <c r="F18">
        <f>F14/4</f>
        <v>-4.5</v>
      </c>
      <c r="G18">
        <f>G14/8</f>
        <v>0.25</v>
      </c>
      <c r="H18">
        <v>0</v>
      </c>
      <c r="I18">
        <f>I14/4</f>
        <v>-4</v>
      </c>
      <c r="J18">
        <f>J14/4</f>
        <v>2</v>
      </c>
    </row>
    <row r="20" spans="1:10" x14ac:dyDescent="0.35">
      <c r="E20" t="s">
        <v>180</v>
      </c>
    </row>
    <row r="21" spans="1:10" x14ac:dyDescent="0.35">
      <c r="B21" t="s">
        <v>160</v>
      </c>
      <c r="C21" t="s">
        <v>161</v>
      </c>
      <c r="D21" t="s">
        <v>162</v>
      </c>
      <c r="E21" t="s">
        <v>163</v>
      </c>
      <c r="F21" t="s">
        <v>203</v>
      </c>
      <c r="G21" t="s">
        <v>165</v>
      </c>
      <c r="H21" t="s">
        <v>204</v>
      </c>
      <c r="I21" t="s">
        <v>201</v>
      </c>
      <c r="J21" t="s">
        <v>202</v>
      </c>
    </row>
    <row r="22" spans="1:10" x14ac:dyDescent="0.35">
      <c r="B22">
        <f>(B14^2)/16</f>
        <v>81</v>
      </c>
      <c r="C22">
        <f t="shared" ref="C22:E22" si="3">(C14^2)/16</f>
        <v>1</v>
      </c>
      <c r="D22">
        <f t="shared" si="3"/>
        <v>16</v>
      </c>
      <c r="E22">
        <f t="shared" si="3"/>
        <v>2.25</v>
      </c>
      <c r="F22">
        <f>(F14^2)/8</f>
        <v>40.5</v>
      </c>
      <c r="G22">
        <f>(G14^2)/16</f>
        <v>0.25</v>
      </c>
      <c r="H22">
        <v>0</v>
      </c>
      <c r="I22">
        <f>(I14^2)/8</f>
        <v>32</v>
      </c>
      <c r="J22">
        <f>(J14^2)/8</f>
        <v>8</v>
      </c>
    </row>
    <row r="24" spans="1:10" x14ac:dyDescent="0.35">
      <c r="A24">
        <v>15</v>
      </c>
      <c r="B24">
        <f>(A24-$B$40)^2</f>
        <v>5.640625</v>
      </c>
    </row>
    <row r="25" spans="1:10" x14ac:dyDescent="0.35">
      <c r="A25">
        <v>16</v>
      </c>
      <c r="B25">
        <f t="shared" ref="B25:B39" si="4">(A25-$B$40)^2</f>
        <v>1.890625</v>
      </c>
    </row>
    <row r="26" spans="1:10" x14ac:dyDescent="0.35">
      <c r="A26">
        <v>15</v>
      </c>
      <c r="B26">
        <f t="shared" si="4"/>
        <v>5.640625</v>
      </c>
    </row>
    <row r="27" spans="1:10" x14ac:dyDescent="0.35">
      <c r="A27">
        <v>18</v>
      </c>
      <c r="B27">
        <f t="shared" si="4"/>
        <v>0.390625</v>
      </c>
    </row>
    <row r="28" spans="1:10" x14ac:dyDescent="0.35">
      <c r="A28">
        <v>20</v>
      </c>
      <c r="B28">
        <f t="shared" si="4"/>
        <v>6.890625</v>
      </c>
    </row>
    <row r="29" spans="1:10" x14ac:dyDescent="0.35">
      <c r="A29">
        <v>13</v>
      </c>
      <c r="B29">
        <f t="shared" si="4"/>
        <v>19.140625</v>
      </c>
    </row>
    <row r="30" spans="1:10" x14ac:dyDescent="0.35">
      <c r="A30">
        <v>17</v>
      </c>
      <c r="B30">
        <f t="shared" si="4"/>
        <v>0.140625</v>
      </c>
      <c r="D30" t="s">
        <v>188</v>
      </c>
      <c r="E30">
        <f>SUM(B24:B39)</f>
        <v>291.75</v>
      </c>
    </row>
    <row r="31" spans="1:10" x14ac:dyDescent="0.35">
      <c r="A31">
        <v>12</v>
      </c>
      <c r="B31">
        <f t="shared" si="4"/>
        <v>28.890625</v>
      </c>
    </row>
    <row r="32" spans="1:10" x14ac:dyDescent="0.35">
      <c r="A32">
        <v>23</v>
      </c>
      <c r="B32">
        <f t="shared" si="4"/>
        <v>31.640625</v>
      </c>
    </row>
    <row r="33" spans="1:6" x14ac:dyDescent="0.35">
      <c r="A33">
        <v>24</v>
      </c>
      <c r="B33">
        <f t="shared" si="4"/>
        <v>43.890625</v>
      </c>
    </row>
    <row r="34" spans="1:6" x14ac:dyDescent="0.35">
      <c r="A34">
        <v>21</v>
      </c>
      <c r="B34">
        <f t="shared" si="4"/>
        <v>13.140625</v>
      </c>
    </row>
    <row r="35" spans="1:6" x14ac:dyDescent="0.35">
      <c r="A35">
        <v>25</v>
      </c>
      <c r="B35">
        <f t="shared" si="4"/>
        <v>58.140625</v>
      </c>
    </row>
    <row r="36" spans="1:6" x14ac:dyDescent="0.35">
      <c r="A36">
        <v>17</v>
      </c>
      <c r="B36">
        <f t="shared" si="4"/>
        <v>0.140625</v>
      </c>
    </row>
    <row r="37" spans="1:6" x14ac:dyDescent="0.35">
      <c r="A37">
        <v>13</v>
      </c>
      <c r="B37">
        <f t="shared" si="4"/>
        <v>19.140625</v>
      </c>
    </row>
    <row r="38" spans="1:6" x14ac:dyDescent="0.35">
      <c r="A38">
        <v>19</v>
      </c>
      <c r="B38">
        <f t="shared" si="4"/>
        <v>2.640625</v>
      </c>
    </row>
    <row r="39" spans="1:6" x14ac:dyDescent="0.35">
      <c r="A39">
        <v>10</v>
      </c>
      <c r="B39">
        <f t="shared" si="4"/>
        <v>54.390625</v>
      </c>
    </row>
    <row r="40" spans="1:6" x14ac:dyDescent="0.35">
      <c r="A40" t="s">
        <v>211</v>
      </c>
      <c r="B40">
        <f>AVERAGE(A24:A39)</f>
        <v>17.375</v>
      </c>
    </row>
    <row r="41" spans="1:6" x14ac:dyDescent="0.35">
      <c r="A41" t="s">
        <v>39</v>
      </c>
      <c r="B41">
        <f>SUM(A24:A39)</f>
        <v>278</v>
      </c>
    </row>
    <row r="43" spans="1:6" x14ac:dyDescent="0.35">
      <c r="A43" t="s">
        <v>212</v>
      </c>
    </row>
    <row r="45" spans="1:6" x14ac:dyDescent="0.35">
      <c r="A45" s="21" t="s">
        <v>30</v>
      </c>
      <c r="B45" s="21" t="s">
        <v>31</v>
      </c>
      <c r="C45" s="21" t="s">
        <v>70</v>
      </c>
      <c r="D45" s="21" t="s">
        <v>33</v>
      </c>
      <c r="E45" s="21" t="s">
        <v>205</v>
      </c>
      <c r="F45" s="21" t="s">
        <v>21</v>
      </c>
    </row>
    <row r="46" spans="1:6" x14ac:dyDescent="0.35">
      <c r="A46" s="21" t="s">
        <v>206</v>
      </c>
      <c r="B46" s="21">
        <f>(I10^2+J10^2)/8-(K10^2)/16</f>
        <v>42.25</v>
      </c>
      <c r="C46" s="21">
        <v>1</v>
      </c>
      <c r="D46" s="21">
        <f>B46/C46</f>
        <v>42.25</v>
      </c>
      <c r="E46" s="21"/>
      <c r="F46" s="21"/>
    </row>
    <row r="47" spans="1:6" x14ac:dyDescent="0.35">
      <c r="A47" s="21" t="s">
        <v>207</v>
      </c>
      <c r="B47" s="21">
        <v>40.5</v>
      </c>
      <c r="C47" s="21">
        <v>2</v>
      </c>
      <c r="D47" s="21">
        <f>B47/C47</f>
        <v>20.25</v>
      </c>
      <c r="E47" s="21"/>
      <c r="F47" s="21"/>
    </row>
    <row r="48" spans="1:6" ht="29" x14ac:dyDescent="0.35">
      <c r="A48" s="24" t="s">
        <v>213</v>
      </c>
      <c r="B48" s="21"/>
      <c r="C48" s="21"/>
      <c r="D48" s="21"/>
      <c r="E48" s="21"/>
      <c r="F48" s="21"/>
    </row>
    <row r="49" spans="1:6" x14ac:dyDescent="0.35">
      <c r="A49" s="21" t="s">
        <v>160</v>
      </c>
      <c r="B49" s="21">
        <v>81</v>
      </c>
      <c r="C49" s="21">
        <v>1</v>
      </c>
      <c r="D49" s="21">
        <f>B49/C49</f>
        <v>81</v>
      </c>
      <c r="E49" s="21">
        <f>D49/$D$56</f>
        <v>5.9124087591240881</v>
      </c>
      <c r="F49" s="21">
        <f>_xlfn.F.INV.RT(0.05,1,5)</f>
        <v>6.607890973703368</v>
      </c>
    </row>
    <row r="50" spans="1:6" x14ac:dyDescent="0.35">
      <c r="A50" s="21" t="s">
        <v>161</v>
      </c>
      <c r="B50" s="21">
        <v>1</v>
      </c>
      <c r="C50" s="21">
        <v>1</v>
      </c>
      <c r="D50" s="21">
        <f t="shared" ref="D50:D56" si="5">B50/C50</f>
        <v>1</v>
      </c>
      <c r="E50" s="21">
        <f t="shared" ref="E50:E55" si="6">D50/$D$56</f>
        <v>7.2992700729927015E-2</v>
      </c>
      <c r="F50" s="21">
        <f t="shared" ref="F50:F55" si="7">_xlfn.F.INV.RT(0.05,1,5)</f>
        <v>6.607890973703368</v>
      </c>
    </row>
    <row r="51" spans="1:6" x14ac:dyDescent="0.35">
      <c r="A51" s="21" t="s">
        <v>162</v>
      </c>
      <c r="B51" s="21">
        <v>16</v>
      </c>
      <c r="C51" s="21">
        <v>1</v>
      </c>
      <c r="D51" s="21">
        <f t="shared" si="5"/>
        <v>16</v>
      </c>
      <c r="E51" s="21">
        <f t="shared" si="6"/>
        <v>1.1678832116788322</v>
      </c>
      <c r="F51" s="21">
        <f t="shared" si="7"/>
        <v>6.607890973703368</v>
      </c>
    </row>
    <row r="52" spans="1:6" x14ac:dyDescent="0.35">
      <c r="A52" s="21" t="s">
        <v>163</v>
      </c>
      <c r="B52" s="21">
        <v>2.25</v>
      </c>
      <c r="C52" s="21">
        <v>1</v>
      </c>
      <c r="D52" s="21">
        <f t="shared" si="5"/>
        <v>2.25</v>
      </c>
      <c r="E52" s="21">
        <f t="shared" si="6"/>
        <v>0.16423357664233579</v>
      </c>
      <c r="F52" s="21">
        <f t="shared" si="7"/>
        <v>6.607890973703368</v>
      </c>
    </row>
    <row r="53" spans="1:6" x14ac:dyDescent="0.35">
      <c r="A53" s="21" t="s">
        <v>201</v>
      </c>
      <c r="B53" s="21">
        <v>32</v>
      </c>
      <c r="C53" s="21">
        <v>1</v>
      </c>
      <c r="D53" s="21">
        <f t="shared" si="5"/>
        <v>32</v>
      </c>
      <c r="E53" s="21">
        <f t="shared" si="6"/>
        <v>2.3357664233576645</v>
      </c>
      <c r="F53" s="21">
        <f t="shared" si="7"/>
        <v>6.607890973703368</v>
      </c>
    </row>
    <row r="54" spans="1:6" x14ac:dyDescent="0.35">
      <c r="A54" s="21" t="s">
        <v>165</v>
      </c>
      <c r="B54" s="21">
        <v>0.25</v>
      </c>
      <c r="C54" s="21">
        <v>1</v>
      </c>
      <c r="D54" s="21">
        <f t="shared" si="5"/>
        <v>0.25</v>
      </c>
      <c r="E54" s="21">
        <f t="shared" si="6"/>
        <v>1.8248175182481754E-2</v>
      </c>
      <c r="F54" s="21">
        <f t="shared" si="7"/>
        <v>6.607890973703368</v>
      </c>
    </row>
    <row r="55" spans="1:6" x14ac:dyDescent="0.35">
      <c r="A55" s="21" t="s">
        <v>202</v>
      </c>
      <c r="B55" s="21">
        <v>8</v>
      </c>
      <c r="C55" s="21">
        <v>1</v>
      </c>
      <c r="D55" s="21">
        <f t="shared" si="5"/>
        <v>8</v>
      </c>
      <c r="E55" s="21">
        <f t="shared" si="6"/>
        <v>0.58394160583941612</v>
      </c>
      <c r="F55" s="21">
        <f t="shared" si="7"/>
        <v>6.607890973703368</v>
      </c>
    </row>
    <row r="56" spans="1:6" x14ac:dyDescent="0.35">
      <c r="A56" s="21" t="s">
        <v>38</v>
      </c>
      <c r="B56" s="21">
        <f>B57-B46-B47-B49-B50-B51-B52-B53-B54-B55</f>
        <v>68.5</v>
      </c>
      <c r="C56" s="21">
        <v>5</v>
      </c>
      <c r="D56" s="21">
        <f t="shared" si="5"/>
        <v>13.7</v>
      </c>
      <c r="E56" s="21"/>
      <c r="F56" s="21"/>
    </row>
    <row r="57" spans="1:6" x14ac:dyDescent="0.35">
      <c r="A57" s="21" t="s">
        <v>39</v>
      </c>
      <c r="B57" s="21">
        <v>291.75</v>
      </c>
      <c r="C57" s="21">
        <v>15</v>
      </c>
      <c r="D57" s="21"/>
      <c r="E57" s="21"/>
      <c r="F5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7FAB-787C-4E9C-8A54-A08E0F7BCD00}">
  <dimension ref="A1:N30"/>
  <sheetViews>
    <sheetView topLeftCell="A22" workbookViewId="0">
      <selection activeCell="A32" sqref="A32"/>
    </sheetView>
  </sheetViews>
  <sheetFormatPr defaultRowHeight="14.5" x14ac:dyDescent="0.35"/>
  <cols>
    <col min="1" max="1" width="18.54296875" customWidth="1"/>
    <col min="2" max="2" width="15.90625" customWidth="1"/>
    <col min="3" max="3" width="16.81640625" customWidth="1"/>
    <col min="4" max="4" width="15.54296875" customWidth="1"/>
    <col min="5" max="5" width="11.6328125" customWidth="1"/>
  </cols>
  <sheetData>
    <row r="1" spans="1:14" x14ac:dyDescent="0.35">
      <c r="A1" s="2">
        <v>17</v>
      </c>
      <c r="B1" s="2">
        <v>20</v>
      </c>
      <c r="C1" s="7">
        <v>16</v>
      </c>
      <c r="D1" s="7">
        <v>21</v>
      </c>
      <c r="E1" s="3">
        <v>24</v>
      </c>
      <c r="F1" s="3">
        <v>22</v>
      </c>
      <c r="G1" s="7" t="s">
        <v>0</v>
      </c>
      <c r="H1" s="7">
        <v>2</v>
      </c>
    </row>
    <row r="2" spans="1:14" x14ac:dyDescent="0.35">
      <c r="A2" s="1">
        <v>16</v>
      </c>
      <c r="B2" s="1">
        <v>12</v>
      </c>
      <c r="C2" s="5">
        <v>18</v>
      </c>
      <c r="D2" s="5">
        <v>21</v>
      </c>
      <c r="E2" s="4">
        <v>25</v>
      </c>
      <c r="F2" s="4">
        <v>23</v>
      </c>
      <c r="G2" s="7" t="s">
        <v>1</v>
      </c>
      <c r="H2" s="7">
        <v>3</v>
      </c>
    </row>
    <row r="3" spans="1:14" x14ac:dyDescent="0.35">
      <c r="G3" s="7" t="s">
        <v>2</v>
      </c>
      <c r="H3" s="7">
        <v>2</v>
      </c>
    </row>
    <row r="5" spans="1:14" x14ac:dyDescent="0.35">
      <c r="A5" s="5">
        <v>289</v>
      </c>
      <c r="B5" s="5">
        <v>400</v>
      </c>
      <c r="C5" s="5">
        <v>256</v>
      </c>
      <c r="D5" s="5">
        <v>441</v>
      </c>
      <c r="E5" s="5">
        <v>576</v>
      </c>
      <c r="F5" s="5">
        <v>484</v>
      </c>
      <c r="G5" s="5"/>
    </row>
    <row r="6" spans="1:14" x14ac:dyDescent="0.35">
      <c r="A6" s="5">
        <v>256</v>
      </c>
      <c r="B6" s="5">
        <v>144</v>
      </c>
      <c r="C6" s="5">
        <v>324</v>
      </c>
      <c r="D6" s="5">
        <v>441</v>
      </c>
      <c r="E6" s="5">
        <v>625</v>
      </c>
      <c r="F6" s="5">
        <v>529</v>
      </c>
      <c r="G6" s="5">
        <f>SUM(A5:F6)</f>
        <v>4765</v>
      </c>
    </row>
    <row r="9" spans="1:14" x14ac:dyDescent="0.35">
      <c r="A9" s="3"/>
      <c r="B9" s="3"/>
      <c r="C9" s="3" t="s">
        <v>41</v>
      </c>
      <c r="D9" s="3"/>
      <c r="E9" s="3"/>
      <c r="F9" s="3"/>
      <c r="I9" s="4"/>
      <c r="J9" s="4"/>
      <c r="K9" s="4" t="s">
        <v>18</v>
      </c>
      <c r="L9" s="4" t="s">
        <v>19</v>
      </c>
      <c r="M9" s="4" t="s">
        <v>20</v>
      </c>
      <c r="N9" s="4" t="s">
        <v>40</v>
      </c>
    </row>
    <row r="10" spans="1:14" x14ac:dyDescent="0.35">
      <c r="A10" s="3" t="s">
        <v>42</v>
      </c>
      <c r="B10" s="3">
        <v>40</v>
      </c>
      <c r="C10" s="3">
        <v>60</v>
      </c>
      <c r="D10" s="3">
        <v>80</v>
      </c>
      <c r="E10" s="3"/>
      <c r="F10" s="3" t="s">
        <v>5</v>
      </c>
      <c r="I10" s="4" t="s">
        <v>27</v>
      </c>
      <c r="J10" s="4">
        <f>G6-G19/(H1*H2*H3)</f>
        <v>162.91666666666697</v>
      </c>
      <c r="K10" s="4">
        <f>H1*H2*H3-1</f>
        <v>11</v>
      </c>
      <c r="L10" s="4"/>
      <c r="M10" s="4"/>
      <c r="N10" s="4"/>
    </row>
    <row r="11" spans="1:14" x14ac:dyDescent="0.35">
      <c r="A11" s="3">
        <v>50</v>
      </c>
      <c r="B11" s="3">
        <f>SUM(A1:B1)</f>
        <v>37</v>
      </c>
      <c r="C11" s="3">
        <f>SUM(C1:D1)</f>
        <v>37</v>
      </c>
      <c r="D11" s="3">
        <f>SUM(E1:F1)</f>
        <v>46</v>
      </c>
      <c r="E11" s="3"/>
      <c r="F11" s="3">
        <f>SUM(B11:D11)</f>
        <v>120</v>
      </c>
      <c r="I11" s="4" t="s">
        <v>28</v>
      </c>
      <c r="J11" s="4">
        <f>G17/(H2*H3)-G19/(H1*H2*H3)</f>
        <v>2.0833333333339397</v>
      </c>
      <c r="K11" s="4">
        <f>H1-1</f>
        <v>1</v>
      </c>
      <c r="L11" s="4">
        <f>J11/K11</f>
        <v>2.0833333333339397</v>
      </c>
      <c r="M11" s="4">
        <f>L11/L15</f>
        <v>0.37313432835831756</v>
      </c>
      <c r="N11" s="4"/>
    </row>
    <row r="12" spans="1:14" x14ac:dyDescent="0.35">
      <c r="A12" s="3">
        <v>100</v>
      </c>
      <c r="B12" s="3">
        <f>SUM(A2:B2)</f>
        <v>28</v>
      </c>
      <c r="C12" s="3">
        <f>SUM(C2:D2)</f>
        <v>39</v>
      </c>
      <c r="D12" s="3">
        <f>SUM(E2:F2)</f>
        <v>48</v>
      </c>
      <c r="E12" s="3"/>
      <c r="F12" s="3">
        <f>SUM(B12:D12)</f>
        <v>115</v>
      </c>
      <c r="I12" s="4" t="s">
        <v>29</v>
      </c>
      <c r="J12" s="4">
        <f>G18/(H1*H3)-G19/(H1*H2*H3)</f>
        <v>107.16666666666697</v>
      </c>
      <c r="K12" s="4">
        <f>H2-1</f>
        <v>2</v>
      </c>
      <c r="L12" s="4">
        <f>J12/K12</f>
        <v>53.583333333333485</v>
      </c>
      <c r="M12" s="4">
        <f>L12/L15</f>
        <v>9.5970149253731627</v>
      </c>
      <c r="N12" s="4"/>
    </row>
    <row r="13" spans="1:14" x14ac:dyDescent="0.35">
      <c r="I13" s="4" t="s">
        <v>15</v>
      </c>
      <c r="J13" s="4">
        <f>G21/H3-G19/(H1*H2*H3)</f>
        <v>129.41666666666697</v>
      </c>
      <c r="K13" s="4"/>
      <c r="L13" s="4"/>
      <c r="M13" s="4"/>
      <c r="N13" s="4"/>
    </row>
    <row r="14" spans="1:14" x14ac:dyDescent="0.35">
      <c r="A14" s="6" t="s">
        <v>6</v>
      </c>
      <c r="B14" s="6">
        <f>SUM(B11:B12)</f>
        <v>65</v>
      </c>
      <c r="C14" s="6">
        <f>SUM(C11:C12)</f>
        <v>76</v>
      </c>
      <c r="D14" s="6">
        <f>SUM(D11:D12)</f>
        <v>94</v>
      </c>
      <c r="E14" s="6"/>
      <c r="F14" s="6">
        <f>SUM(F11:F12)</f>
        <v>235</v>
      </c>
      <c r="I14" s="4" t="s">
        <v>16</v>
      </c>
      <c r="J14" s="4">
        <f>J13-(J11+J12)</f>
        <v>20.16666666666606</v>
      </c>
      <c r="K14" s="4">
        <f>(H1-1)*(H2-1)</f>
        <v>2</v>
      </c>
      <c r="L14" s="4">
        <f>J14/K14</f>
        <v>10.08333333333303</v>
      </c>
      <c r="M14" s="4">
        <f>L14/L15</f>
        <v>1.805970149253677</v>
      </c>
      <c r="N14" s="4"/>
    </row>
    <row r="15" spans="1:14" x14ac:dyDescent="0.35">
      <c r="A15" s="6"/>
      <c r="B15" s="6"/>
      <c r="C15" s="6"/>
      <c r="D15" s="6"/>
      <c r="E15" s="6"/>
      <c r="F15" s="6" t="s">
        <v>7</v>
      </c>
      <c r="I15" s="4" t="s">
        <v>17</v>
      </c>
      <c r="J15" s="4">
        <f>J10-J13</f>
        <v>33.5</v>
      </c>
      <c r="K15" s="4">
        <f>K10-(K11+K12+K14)</f>
        <v>6</v>
      </c>
      <c r="L15" s="4">
        <f>J15/K15</f>
        <v>5.583333333333333</v>
      </c>
      <c r="M15" s="4"/>
      <c r="N15" s="4"/>
    </row>
    <row r="17" spans="1:7" x14ac:dyDescent="0.35">
      <c r="A17" s="4" t="s">
        <v>5</v>
      </c>
      <c r="B17" s="4">
        <v>14400</v>
      </c>
      <c r="C17" s="4">
        <v>13225</v>
      </c>
      <c r="D17" s="4"/>
      <c r="E17" s="4"/>
      <c r="F17" s="4" t="s">
        <v>23</v>
      </c>
      <c r="G17" s="4">
        <f>SUM(B17:C17)</f>
        <v>27625</v>
      </c>
    </row>
    <row r="18" spans="1:7" x14ac:dyDescent="0.35">
      <c r="A18" s="4" t="s">
        <v>6</v>
      </c>
      <c r="B18" s="4">
        <v>4225</v>
      </c>
      <c r="C18" s="4">
        <v>5776</v>
      </c>
      <c r="D18" s="4">
        <v>8836</v>
      </c>
      <c r="E18" s="4"/>
      <c r="F18" s="4" t="s">
        <v>23</v>
      </c>
      <c r="G18" s="4">
        <f>SUM(B18:D18)</f>
        <v>18837</v>
      </c>
    </row>
    <row r="19" spans="1:7" x14ac:dyDescent="0.35">
      <c r="A19" s="4"/>
      <c r="B19" s="4"/>
      <c r="C19" s="4"/>
      <c r="D19" s="4"/>
      <c r="E19" s="4"/>
      <c r="F19" s="4" t="s">
        <v>43</v>
      </c>
      <c r="G19" s="4">
        <v>55225</v>
      </c>
    </row>
    <row r="20" spans="1:7" x14ac:dyDescent="0.35">
      <c r="A20" s="4" t="s">
        <v>26</v>
      </c>
      <c r="B20" s="4">
        <v>1369</v>
      </c>
      <c r="C20" s="4">
        <v>1369</v>
      </c>
      <c r="D20" s="4">
        <v>2116</v>
      </c>
      <c r="E20" s="4"/>
      <c r="F20" s="4"/>
      <c r="G20" s="4"/>
    </row>
    <row r="21" spans="1:7" x14ac:dyDescent="0.35">
      <c r="A21" s="4"/>
      <c r="B21" s="4">
        <v>784</v>
      </c>
      <c r="C21" s="4">
        <v>1521</v>
      </c>
      <c r="D21" s="4">
        <v>2304</v>
      </c>
      <c r="E21" s="4"/>
      <c r="F21" s="4" t="s">
        <v>23</v>
      </c>
      <c r="G21" s="4">
        <f>SUM(B20:D21)</f>
        <v>9463</v>
      </c>
    </row>
    <row r="23" spans="1:7" x14ac:dyDescent="0.35">
      <c r="A23" s="2" t="s">
        <v>30</v>
      </c>
      <c r="B23" s="2" t="s">
        <v>31</v>
      </c>
      <c r="C23" s="2" t="s">
        <v>32</v>
      </c>
      <c r="D23" s="2" t="s">
        <v>33</v>
      </c>
      <c r="E23" s="2" t="s">
        <v>34</v>
      </c>
      <c r="F23" s="2" t="s">
        <v>21</v>
      </c>
      <c r="G23" s="2" t="s">
        <v>89</v>
      </c>
    </row>
    <row r="24" spans="1:7" x14ac:dyDescent="0.35">
      <c r="A24" s="2" t="s">
        <v>35</v>
      </c>
      <c r="B24" s="2">
        <v>2.0830000000000002</v>
      </c>
      <c r="C24" s="2">
        <v>1</v>
      </c>
      <c r="D24" s="2">
        <v>2.0830000000000002</v>
      </c>
      <c r="E24" s="2">
        <v>0.373</v>
      </c>
      <c r="F24" s="2">
        <f>_xlfn.F.INV.RT(0.05,C24,C27)</f>
        <v>5.9873776072737011</v>
      </c>
      <c r="G24" s="2">
        <f>_xlfn.F.DIST.RT(E24,C24,$C$27)</f>
        <v>0.56377742161898803</v>
      </c>
    </row>
    <row r="25" spans="1:7" x14ac:dyDescent="0.35">
      <c r="A25" s="2" t="s">
        <v>36</v>
      </c>
      <c r="B25" s="2">
        <v>107.167</v>
      </c>
      <c r="C25" s="2">
        <v>2</v>
      </c>
      <c r="D25" s="2">
        <v>53.582999999999998</v>
      </c>
      <c r="E25" s="2">
        <v>9.5969999999999995</v>
      </c>
      <c r="F25" s="2">
        <f>_xlfn.F.INV.RT(0.05,C25,C27)</f>
        <v>5.1432528497847176</v>
      </c>
      <c r="G25" s="2">
        <f>_xlfn.F.DIST.RT(E25,C25,$C$27)</f>
        <v>1.350710811447688E-2</v>
      </c>
    </row>
    <row r="26" spans="1:7" x14ac:dyDescent="0.35">
      <c r="A26" s="2" t="s">
        <v>37</v>
      </c>
      <c r="B26" s="2">
        <v>20.167000000000002</v>
      </c>
      <c r="C26" s="2">
        <v>2</v>
      </c>
      <c r="D26" s="2">
        <v>10.08</v>
      </c>
      <c r="E26" s="2">
        <v>1.806</v>
      </c>
      <c r="F26" s="2">
        <f>_xlfn.F.INV.RT(0.05,C26,C27)</f>
        <v>5.1432528497847176</v>
      </c>
      <c r="G26" s="2">
        <f>_xlfn.F.DIST.RT(E26,C26,$C$27)</f>
        <v>0.24322738171516287</v>
      </c>
    </row>
    <row r="27" spans="1:7" x14ac:dyDescent="0.35">
      <c r="A27" s="2" t="s">
        <v>38</v>
      </c>
      <c r="B27" s="2">
        <v>33.5</v>
      </c>
      <c r="C27" s="2">
        <v>6</v>
      </c>
      <c r="D27" s="2">
        <v>5.5830000000000002</v>
      </c>
      <c r="E27" s="2"/>
      <c r="F27" s="2"/>
      <c r="G27" s="2"/>
    </row>
    <row r="28" spans="1:7" x14ac:dyDescent="0.35">
      <c r="A28" s="2" t="s">
        <v>39</v>
      </c>
      <c r="B28" s="2">
        <v>162.917</v>
      </c>
      <c r="C28" s="2">
        <v>11</v>
      </c>
      <c r="D28" s="2"/>
      <c r="E28" s="2"/>
      <c r="F28" s="2"/>
      <c r="G28" s="2"/>
    </row>
    <row r="30" spans="1:7" x14ac:dyDescent="0.35">
      <c r="A30" s="5" t="s">
        <v>91</v>
      </c>
      <c r="B30" s="5"/>
      <c r="C30" s="5"/>
      <c r="D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E16-AF46-470F-891A-71ABE151FD05}">
  <dimension ref="A1:H53"/>
  <sheetViews>
    <sheetView topLeftCell="A31" workbookViewId="0">
      <selection activeCell="D38" sqref="D38"/>
    </sheetView>
  </sheetViews>
  <sheetFormatPr defaultRowHeight="14.5" x14ac:dyDescent="0.35"/>
  <cols>
    <col min="1" max="1" width="16.1796875" customWidth="1"/>
    <col min="2" max="2" width="14.6328125" customWidth="1"/>
    <col min="3" max="3" width="17.26953125" customWidth="1"/>
    <col min="4" max="4" width="11.90625" customWidth="1"/>
  </cols>
  <sheetData>
    <row r="1" spans="1:8" x14ac:dyDescent="0.35">
      <c r="A1" s="1">
        <v>26</v>
      </c>
      <c r="B1" s="1">
        <v>32</v>
      </c>
      <c r="C1" s="7">
        <v>26</v>
      </c>
      <c r="D1" s="7">
        <v>20</v>
      </c>
      <c r="E1" s="3">
        <v>28</v>
      </c>
      <c r="F1" s="3">
        <v>18</v>
      </c>
      <c r="G1" t="s">
        <v>0</v>
      </c>
      <c r="H1">
        <v>4</v>
      </c>
    </row>
    <row r="2" spans="1:8" x14ac:dyDescent="0.35">
      <c r="A2" s="2">
        <v>38</v>
      </c>
      <c r="B2" s="2">
        <v>37</v>
      </c>
      <c r="C2" s="4">
        <v>27</v>
      </c>
      <c r="D2" s="4">
        <v>30</v>
      </c>
      <c r="E2" s="6">
        <v>33</v>
      </c>
      <c r="F2" s="6">
        <v>33</v>
      </c>
      <c r="G2" t="s">
        <v>1</v>
      </c>
      <c r="H2">
        <v>3</v>
      </c>
    </row>
    <row r="3" spans="1:8" x14ac:dyDescent="0.35">
      <c r="A3" s="1">
        <v>26</v>
      </c>
      <c r="B3" s="1">
        <v>35</v>
      </c>
      <c r="C3" s="7">
        <v>26</v>
      </c>
      <c r="D3" s="7">
        <v>26</v>
      </c>
      <c r="E3" s="3">
        <v>29</v>
      </c>
      <c r="F3" s="3">
        <v>26</v>
      </c>
      <c r="G3" t="s">
        <v>2</v>
      </c>
      <c r="H3">
        <v>2</v>
      </c>
    </row>
    <row r="4" spans="1:8" x14ac:dyDescent="0.35">
      <c r="A4" s="2">
        <v>38</v>
      </c>
      <c r="B4" s="2">
        <v>40</v>
      </c>
      <c r="C4" s="4">
        <v>29</v>
      </c>
      <c r="D4" s="4">
        <v>28</v>
      </c>
      <c r="E4" s="6">
        <v>34</v>
      </c>
      <c r="F4" s="6">
        <v>35</v>
      </c>
    </row>
    <row r="6" spans="1:8" x14ac:dyDescent="0.35">
      <c r="A6">
        <f>A1^2</f>
        <v>676</v>
      </c>
      <c r="B6">
        <v>1024</v>
      </c>
      <c r="C6">
        <v>676</v>
      </c>
      <c r="D6">
        <v>400</v>
      </c>
      <c r="E6">
        <v>784</v>
      </c>
      <c r="F6">
        <v>324</v>
      </c>
    </row>
    <row r="7" spans="1:8" x14ac:dyDescent="0.35">
      <c r="A7">
        <v>1444</v>
      </c>
      <c r="B7">
        <v>1369</v>
      </c>
      <c r="C7">
        <v>729</v>
      </c>
      <c r="D7">
        <v>900</v>
      </c>
      <c r="E7">
        <v>1089</v>
      </c>
      <c r="F7">
        <v>1089</v>
      </c>
    </row>
    <row r="8" spans="1:8" x14ac:dyDescent="0.35">
      <c r="A8">
        <v>1444</v>
      </c>
      <c r="B8">
        <v>1225</v>
      </c>
      <c r="C8">
        <v>676</v>
      </c>
      <c r="D8">
        <v>676</v>
      </c>
      <c r="E8">
        <v>841</v>
      </c>
      <c r="F8">
        <v>676</v>
      </c>
    </row>
    <row r="9" spans="1:8" x14ac:dyDescent="0.35">
      <c r="A9">
        <v>1444</v>
      </c>
      <c r="B9">
        <v>1600</v>
      </c>
      <c r="C9">
        <v>841</v>
      </c>
      <c r="D9">
        <v>784</v>
      </c>
      <c r="E9">
        <v>1156</v>
      </c>
      <c r="F9">
        <v>1225</v>
      </c>
      <c r="G9">
        <f>SUM(A6:F9)</f>
        <v>23092</v>
      </c>
    </row>
    <row r="10" spans="1:8" x14ac:dyDescent="0.35">
      <c r="C10" t="s">
        <v>44</v>
      </c>
    </row>
    <row r="11" spans="1:8" x14ac:dyDescent="0.35">
      <c r="A11" t="s">
        <v>45</v>
      </c>
      <c r="B11">
        <v>1</v>
      </c>
      <c r="C11">
        <v>2</v>
      </c>
      <c r="D11">
        <v>3</v>
      </c>
      <c r="F11" t="s">
        <v>5</v>
      </c>
    </row>
    <row r="12" spans="1:8" x14ac:dyDescent="0.35">
      <c r="A12" t="s">
        <v>20</v>
      </c>
      <c r="B12">
        <f>SUM(A1:B1)</f>
        <v>58</v>
      </c>
      <c r="C12">
        <f>SUM(C1:D1)</f>
        <v>46</v>
      </c>
      <c r="D12">
        <f>SUM(E1:F1)</f>
        <v>46</v>
      </c>
      <c r="F12">
        <f>SUM(B12:D12)</f>
        <v>150</v>
      </c>
    </row>
    <row r="13" spans="1:8" x14ac:dyDescent="0.35">
      <c r="A13" t="s">
        <v>46</v>
      </c>
      <c r="B13">
        <f>SUM(A2:B2)</f>
        <v>75</v>
      </c>
      <c r="C13">
        <f>SUM(C2:D2)</f>
        <v>57</v>
      </c>
      <c r="D13">
        <f>SUM(E2:F2)</f>
        <v>66</v>
      </c>
      <c r="F13">
        <f>SUM(B13:D13)</f>
        <v>198</v>
      </c>
    </row>
    <row r="14" spans="1:8" x14ac:dyDescent="0.35">
      <c r="A14" t="s">
        <v>47</v>
      </c>
      <c r="B14">
        <f>SUM(A3:B3)</f>
        <v>61</v>
      </c>
      <c r="C14">
        <f>SUM(C3:D3)</f>
        <v>52</v>
      </c>
      <c r="D14">
        <f>SUM(E3:F3)</f>
        <v>55</v>
      </c>
      <c r="F14">
        <f>SUM(B14:D14)</f>
        <v>168</v>
      </c>
    </row>
    <row r="15" spans="1:8" x14ac:dyDescent="0.35">
      <c r="A15" t="s">
        <v>46</v>
      </c>
      <c r="B15">
        <f>SUM(A4:B4)</f>
        <v>78</v>
      </c>
      <c r="C15">
        <f>SUM(C4:D4)</f>
        <v>57</v>
      </c>
      <c r="D15">
        <f>SUM(E4:F4)</f>
        <v>69</v>
      </c>
      <c r="F15">
        <f>SUM(B15:D15)</f>
        <v>204</v>
      </c>
    </row>
    <row r="17" spans="1:7" x14ac:dyDescent="0.35">
      <c r="A17" t="s">
        <v>6</v>
      </c>
      <c r="B17">
        <f>SUM(B12:B15)</f>
        <v>272</v>
      </c>
      <c r="C17">
        <f>SUM(C12:C15)</f>
        <v>212</v>
      </c>
      <c r="D17">
        <f>SUM(D12:D15)</f>
        <v>236</v>
      </c>
      <c r="F17">
        <f>SUM(F12:F15)</f>
        <v>720</v>
      </c>
    </row>
    <row r="18" spans="1:7" x14ac:dyDescent="0.35">
      <c r="F18" t="s">
        <v>7</v>
      </c>
    </row>
    <row r="20" spans="1:7" x14ac:dyDescent="0.35">
      <c r="A20" t="s">
        <v>48</v>
      </c>
      <c r="B20">
        <f>B17^2</f>
        <v>73984</v>
      </c>
      <c r="C20">
        <f>C17^2</f>
        <v>44944</v>
      </c>
      <c r="D20">
        <f>D17^2</f>
        <v>55696</v>
      </c>
      <c r="F20" t="s">
        <v>23</v>
      </c>
      <c r="G20">
        <f>SUM(B20:D20)</f>
        <v>174624</v>
      </c>
    </row>
    <row r="21" spans="1:7" x14ac:dyDescent="0.35">
      <c r="A21" t="s">
        <v>25</v>
      </c>
      <c r="B21">
        <f>F12^2</f>
        <v>22500</v>
      </c>
      <c r="C21">
        <f>F13^2</f>
        <v>39204</v>
      </c>
      <c r="D21">
        <f>F14^2</f>
        <v>28224</v>
      </c>
      <c r="E21">
        <f>F15^2</f>
        <v>41616</v>
      </c>
      <c r="F21" t="s">
        <v>23</v>
      </c>
      <c r="G21">
        <f>SUM(B21:E21)</f>
        <v>131544</v>
      </c>
    </row>
    <row r="22" spans="1:7" x14ac:dyDescent="0.35">
      <c r="F22" t="s">
        <v>49</v>
      </c>
      <c r="G22">
        <f>F17^2</f>
        <v>518400</v>
      </c>
    </row>
    <row r="25" spans="1:7" x14ac:dyDescent="0.35">
      <c r="A25" t="s">
        <v>26</v>
      </c>
      <c r="B25">
        <f t="shared" ref="B25:D28" si="0">B12^2</f>
        <v>3364</v>
      </c>
      <c r="C25">
        <f t="shared" si="0"/>
        <v>2116</v>
      </c>
      <c r="D25">
        <f t="shared" si="0"/>
        <v>2116</v>
      </c>
    </row>
    <row r="26" spans="1:7" x14ac:dyDescent="0.35">
      <c r="B26">
        <f t="shared" si="0"/>
        <v>5625</v>
      </c>
      <c r="C26">
        <f t="shared" si="0"/>
        <v>3249</v>
      </c>
      <c r="D26">
        <f t="shared" si="0"/>
        <v>4356</v>
      </c>
    </row>
    <row r="27" spans="1:7" x14ac:dyDescent="0.35">
      <c r="B27">
        <f t="shared" si="0"/>
        <v>3721</v>
      </c>
      <c r="C27">
        <f t="shared" si="0"/>
        <v>2704</v>
      </c>
      <c r="D27">
        <f t="shared" si="0"/>
        <v>3025</v>
      </c>
    </row>
    <row r="28" spans="1:7" x14ac:dyDescent="0.35">
      <c r="B28">
        <f t="shared" si="0"/>
        <v>6084</v>
      </c>
      <c r="C28">
        <f t="shared" si="0"/>
        <v>3249</v>
      </c>
      <c r="D28">
        <f t="shared" si="0"/>
        <v>4761</v>
      </c>
      <c r="F28" t="s">
        <v>50</v>
      </c>
      <c r="G28">
        <f>SUM(B25:D28)</f>
        <v>44370</v>
      </c>
    </row>
    <row r="30" spans="1:7" x14ac:dyDescent="0.35">
      <c r="B30" t="s">
        <v>31</v>
      </c>
      <c r="C30" t="s">
        <v>32</v>
      </c>
      <c r="D30" t="s">
        <v>33</v>
      </c>
      <c r="E30" t="s">
        <v>20</v>
      </c>
      <c r="F30" t="s">
        <v>21</v>
      </c>
    </row>
    <row r="31" spans="1:7" x14ac:dyDescent="0.35">
      <c r="A31" t="s">
        <v>51</v>
      </c>
      <c r="B31">
        <v>724</v>
      </c>
      <c r="C31">
        <f>H1*H2*H3-1</f>
        <v>23</v>
      </c>
    </row>
    <row r="32" spans="1:7" x14ac:dyDescent="0.35">
      <c r="A32" t="s">
        <v>52</v>
      </c>
      <c r="B32">
        <f>G21/(H2*H3)-G22/(H1*H2*H3)</f>
        <v>324</v>
      </c>
      <c r="C32">
        <f>H1-1</f>
        <v>3</v>
      </c>
      <c r="D32">
        <f>B32/C32</f>
        <v>108</v>
      </c>
      <c r="E32">
        <f>D32/D36</f>
        <v>9.3237410071942435</v>
      </c>
    </row>
    <row r="33" spans="1:7" x14ac:dyDescent="0.35">
      <c r="A33" t="s">
        <v>53</v>
      </c>
      <c r="B33">
        <f>G20/(H1*H3)-G22/(H1*H2*H3)</f>
        <v>228</v>
      </c>
      <c r="C33">
        <f>H2-1</f>
        <v>2</v>
      </c>
      <c r="D33">
        <f>B33/C33</f>
        <v>114</v>
      </c>
      <c r="E33">
        <f>D33/D36</f>
        <v>9.8417266187050352</v>
      </c>
    </row>
    <row r="34" spans="1:7" x14ac:dyDescent="0.35">
      <c r="A34" t="s">
        <v>54</v>
      </c>
      <c r="B34">
        <f>G28/H3-G22/(H1*H2*H3)</f>
        <v>585</v>
      </c>
    </row>
    <row r="35" spans="1:7" x14ac:dyDescent="0.35">
      <c r="A35" t="s">
        <v>55</v>
      </c>
      <c r="B35">
        <f>B34-(B32+B33)</f>
        <v>33</v>
      </c>
      <c r="C35">
        <f>(H1-1)*(H2-1)</f>
        <v>6</v>
      </c>
      <c r="D35">
        <f>B35/C35</f>
        <v>5.5</v>
      </c>
      <c r="E35">
        <f>D35/D36</f>
        <v>0.47482014388489208</v>
      </c>
    </row>
    <row r="36" spans="1:7" x14ac:dyDescent="0.35">
      <c r="A36" t="s">
        <v>56</v>
      </c>
      <c r="B36">
        <f>B31-(B32+B33+B35)</f>
        <v>139</v>
      </c>
      <c r="C36">
        <f>C31-(C32+C33+C35)</f>
        <v>12</v>
      </c>
      <c r="D36">
        <f>B36/C36</f>
        <v>11.583333333333334</v>
      </c>
    </row>
    <row r="38" spans="1:7" x14ac:dyDescent="0.35">
      <c r="A38" t="s">
        <v>30</v>
      </c>
      <c r="B38" t="s">
        <v>69</v>
      </c>
      <c r="C38" t="s">
        <v>70</v>
      </c>
      <c r="D38" t="s">
        <v>126</v>
      </c>
      <c r="E38" t="s">
        <v>34</v>
      </c>
      <c r="F38" t="s">
        <v>21</v>
      </c>
      <c r="G38" t="s">
        <v>40</v>
      </c>
    </row>
    <row r="39" spans="1:7" x14ac:dyDescent="0.35">
      <c r="A39" t="s">
        <v>92</v>
      </c>
      <c r="B39">
        <v>324</v>
      </c>
      <c r="C39">
        <v>3</v>
      </c>
      <c r="D39">
        <v>108</v>
      </c>
      <c r="E39">
        <v>9.3237410000000001</v>
      </c>
      <c r="F39">
        <f>_xlfn.F.INV.RT(0.05,C39,C42)</f>
        <v>3.4902948194976045</v>
      </c>
      <c r="G39">
        <f>_xlfn.F.DIST.RT(E39,C39,$C$42)</f>
        <v>1.8498004147848306E-3</v>
      </c>
    </row>
    <row r="40" spans="1:7" x14ac:dyDescent="0.35">
      <c r="A40" t="s">
        <v>93</v>
      </c>
      <c r="B40">
        <v>228</v>
      </c>
      <c r="C40">
        <v>2</v>
      </c>
      <c r="D40">
        <v>114</v>
      </c>
      <c r="E40">
        <v>9.8417270000000006</v>
      </c>
      <c r="F40">
        <f>_xlfn.F.INV.RT(0.05,C40,C42)</f>
        <v>3.8852938346523942</v>
      </c>
      <c r="G40">
        <f>_xlfn.F.DIST.RT(E40,C40,$C$42)</f>
        <v>2.9518368719290747E-3</v>
      </c>
    </row>
    <row r="41" spans="1:7" x14ac:dyDescent="0.35">
      <c r="A41" t="s">
        <v>37</v>
      </c>
      <c r="B41">
        <v>33</v>
      </c>
      <c r="C41">
        <v>6</v>
      </c>
      <c r="D41">
        <v>5.5</v>
      </c>
      <c r="E41">
        <v>0.47482000000000002</v>
      </c>
      <c r="F41">
        <f>_xlfn.F.INV.RT(0.05,C41,C42)</f>
        <v>2.996120377517109</v>
      </c>
      <c r="G41">
        <f>_xlfn.F.DIST.RT(E41,C41,$C$42)</f>
        <v>0.8145590468108217</v>
      </c>
    </row>
    <row r="42" spans="1:7" x14ac:dyDescent="0.35">
      <c r="A42" t="s">
        <v>38</v>
      </c>
      <c r="B42">
        <v>139</v>
      </c>
      <c r="C42">
        <v>12</v>
      </c>
      <c r="D42">
        <v>11.583</v>
      </c>
    </row>
    <row r="43" spans="1:7" x14ac:dyDescent="0.35">
      <c r="A43" t="s">
        <v>39</v>
      </c>
      <c r="B43">
        <v>724</v>
      </c>
      <c r="C43">
        <v>23</v>
      </c>
    </row>
    <row r="45" spans="1:7" x14ac:dyDescent="0.35">
      <c r="A45" t="s">
        <v>94</v>
      </c>
    </row>
    <row r="47" spans="1:7" x14ac:dyDescent="0.35">
      <c r="A47" t="s">
        <v>95</v>
      </c>
    </row>
    <row r="49" spans="1:4" x14ac:dyDescent="0.35">
      <c r="A49" t="s">
        <v>96</v>
      </c>
      <c r="B49">
        <f>SUM(A1:B1)/2</f>
        <v>29</v>
      </c>
      <c r="C49">
        <f>SUM(C1:D1)/2</f>
        <v>23</v>
      </c>
      <c r="D49">
        <f>SUM(E1:F1)/2</f>
        <v>23</v>
      </c>
    </row>
    <row r="50" spans="1:4" x14ac:dyDescent="0.35">
      <c r="A50" t="s">
        <v>97</v>
      </c>
      <c r="B50">
        <f>SUM(A2:B2)/2</f>
        <v>37.5</v>
      </c>
      <c r="C50">
        <f>SUM(C2:D2)/2</f>
        <v>28.5</v>
      </c>
      <c r="D50">
        <f>SUM(E2:F2)/2</f>
        <v>33</v>
      </c>
    </row>
    <row r="51" spans="1:4" x14ac:dyDescent="0.35">
      <c r="A51" t="s">
        <v>98</v>
      </c>
      <c r="B51">
        <f>SUM(A3:B3)/2</f>
        <v>30.5</v>
      </c>
      <c r="C51">
        <f>SUM(C3:D3)/2</f>
        <v>26</v>
      </c>
      <c r="D51">
        <f>SUM(E3:F3)/2</f>
        <v>27.5</v>
      </c>
    </row>
    <row r="52" spans="1:4" x14ac:dyDescent="0.35">
      <c r="A52" t="s">
        <v>99</v>
      </c>
      <c r="B52">
        <f>SUM(A4:B4)/2</f>
        <v>39</v>
      </c>
      <c r="C52">
        <f>SUM(C4:D4)/2</f>
        <v>28.5</v>
      </c>
      <c r="D52">
        <f>SUM(E4:F4)/2</f>
        <v>34.5</v>
      </c>
    </row>
    <row r="53" spans="1:4" x14ac:dyDescent="0.35">
      <c r="A53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8470-61EC-4D04-B9FB-A1CD2B3824F6}">
  <dimension ref="A1:K41"/>
  <sheetViews>
    <sheetView topLeftCell="A16" workbookViewId="0">
      <selection activeCell="J29" sqref="J29"/>
    </sheetView>
  </sheetViews>
  <sheetFormatPr defaultRowHeight="14.5" x14ac:dyDescent="0.35"/>
  <cols>
    <col min="1" max="1" width="16.7265625" customWidth="1"/>
    <col min="2" max="2" width="14.6328125" customWidth="1"/>
    <col min="3" max="3" width="16" customWidth="1"/>
    <col min="4" max="4" width="15.1796875" customWidth="1"/>
    <col min="7" max="7" width="11.81640625" bestFit="1" customWidth="1"/>
  </cols>
  <sheetData>
    <row r="1" spans="1:11" x14ac:dyDescent="0.35">
      <c r="A1">
        <v>280</v>
      </c>
      <c r="B1">
        <v>290</v>
      </c>
      <c r="C1">
        <v>285</v>
      </c>
      <c r="D1">
        <v>300</v>
      </c>
      <c r="E1">
        <v>310</v>
      </c>
      <c r="F1">
        <v>295</v>
      </c>
      <c r="G1">
        <v>290</v>
      </c>
      <c r="H1">
        <v>285</v>
      </c>
      <c r="I1">
        <v>290</v>
      </c>
      <c r="J1" t="s">
        <v>0</v>
      </c>
      <c r="K1">
        <v>2</v>
      </c>
    </row>
    <row r="2" spans="1:11" x14ac:dyDescent="0.35">
      <c r="A2">
        <v>230</v>
      </c>
      <c r="B2">
        <v>235</v>
      </c>
      <c r="C2">
        <v>240</v>
      </c>
      <c r="D2">
        <v>260</v>
      </c>
      <c r="E2">
        <v>240</v>
      </c>
      <c r="F2">
        <v>235</v>
      </c>
      <c r="G2">
        <v>220</v>
      </c>
      <c r="H2">
        <v>225</v>
      </c>
      <c r="I2">
        <v>230</v>
      </c>
      <c r="J2" t="s">
        <v>1</v>
      </c>
      <c r="K2">
        <v>3</v>
      </c>
    </row>
    <row r="3" spans="1:11" x14ac:dyDescent="0.35">
      <c r="J3" t="s">
        <v>2</v>
      </c>
      <c r="K3">
        <v>3</v>
      </c>
    </row>
    <row r="4" spans="1:11" x14ac:dyDescent="0.35">
      <c r="A4">
        <f t="shared" ref="A4:I4" si="0">A1^2</f>
        <v>78400</v>
      </c>
      <c r="B4">
        <f t="shared" si="0"/>
        <v>84100</v>
      </c>
      <c r="C4">
        <f t="shared" si="0"/>
        <v>81225</v>
      </c>
      <c r="D4">
        <f t="shared" si="0"/>
        <v>90000</v>
      </c>
      <c r="E4">
        <f t="shared" si="0"/>
        <v>96100</v>
      </c>
      <c r="F4">
        <f t="shared" si="0"/>
        <v>87025</v>
      </c>
      <c r="G4">
        <f t="shared" si="0"/>
        <v>84100</v>
      </c>
      <c r="H4">
        <f t="shared" si="0"/>
        <v>81225</v>
      </c>
      <c r="I4">
        <f t="shared" si="0"/>
        <v>84100</v>
      </c>
    </row>
    <row r="5" spans="1:11" x14ac:dyDescent="0.35">
      <c r="A5">
        <f t="shared" ref="A5:I5" si="1">A2^2</f>
        <v>52900</v>
      </c>
      <c r="B5">
        <f t="shared" si="1"/>
        <v>55225</v>
      </c>
      <c r="C5">
        <f t="shared" si="1"/>
        <v>57600</v>
      </c>
      <c r="D5">
        <f t="shared" si="1"/>
        <v>67600</v>
      </c>
      <c r="E5">
        <f t="shared" si="1"/>
        <v>57600</v>
      </c>
      <c r="F5">
        <f t="shared" si="1"/>
        <v>55225</v>
      </c>
      <c r="G5">
        <f t="shared" si="1"/>
        <v>48400</v>
      </c>
      <c r="H5">
        <f t="shared" si="1"/>
        <v>50625</v>
      </c>
      <c r="I5">
        <f t="shared" si="1"/>
        <v>52900</v>
      </c>
      <c r="J5">
        <f>SUM(A4:I5)</f>
        <v>1264350</v>
      </c>
    </row>
    <row r="7" spans="1:11" x14ac:dyDescent="0.35">
      <c r="C7" t="s">
        <v>57</v>
      </c>
    </row>
    <row r="8" spans="1:11" x14ac:dyDescent="0.35">
      <c r="A8" t="s">
        <v>58</v>
      </c>
      <c r="B8">
        <v>1</v>
      </c>
      <c r="C8">
        <v>2</v>
      </c>
      <c r="D8">
        <v>3</v>
      </c>
      <c r="F8" t="s">
        <v>5</v>
      </c>
    </row>
    <row r="9" spans="1:11" x14ac:dyDescent="0.35">
      <c r="A9">
        <v>1</v>
      </c>
      <c r="B9">
        <f>SUM(A1:C1)</f>
        <v>855</v>
      </c>
      <c r="C9">
        <f>SUM(D1:F1)</f>
        <v>905</v>
      </c>
      <c r="D9">
        <f>SUM(G1:I1)</f>
        <v>865</v>
      </c>
      <c r="F9">
        <f>SUM(B9:D9)</f>
        <v>2625</v>
      </c>
    </row>
    <row r="10" spans="1:11" x14ac:dyDescent="0.35">
      <c r="A10">
        <v>2</v>
      </c>
      <c r="B10">
        <f>SUM(A2:C2)</f>
        <v>705</v>
      </c>
      <c r="C10">
        <f>SUM(D2:F2)</f>
        <v>735</v>
      </c>
      <c r="D10">
        <f>SUM(G2:I2)</f>
        <v>675</v>
      </c>
      <c r="F10">
        <f>SUM(B10:D10)</f>
        <v>2115</v>
      </c>
    </row>
    <row r="12" spans="1:11" x14ac:dyDescent="0.35">
      <c r="A12" t="s">
        <v>6</v>
      </c>
      <c r="B12">
        <f>SUM(B9:B10)</f>
        <v>1560</v>
      </c>
      <c r="C12">
        <f>SUM(C9:C10)</f>
        <v>1640</v>
      </c>
      <c r="D12">
        <f>SUM(D9:D10)</f>
        <v>1540</v>
      </c>
      <c r="F12">
        <f>SUM(F9:F10)</f>
        <v>4740</v>
      </c>
    </row>
    <row r="13" spans="1:11" x14ac:dyDescent="0.35">
      <c r="F13" t="s">
        <v>7</v>
      </c>
    </row>
    <row r="15" spans="1:11" x14ac:dyDescent="0.35">
      <c r="A15" t="s">
        <v>8</v>
      </c>
      <c r="B15">
        <f>B12^2</f>
        <v>2433600</v>
      </c>
      <c r="C15">
        <f>C12^2</f>
        <v>2689600</v>
      </c>
      <c r="D15">
        <f>D12^2</f>
        <v>2371600</v>
      </c>
      <c r="F15" t="s">
        <v>23</v>
      </c>
      <c r="G15">
        <f>SUM(B15:D15)</f>
        <v>7494800</v>
      </c>
    </row>
    <row r="16" spans="1:11" x14ac:dyDescent="0.35">
      <c r="A16" t="s">
        <v>25</v>
      </c>
      <c r="B16">
        <f>F9^2</f>
        <v>6890625</v>
      </c>
      <c r="C16">
        <f>F10^2</f>
        <v>4473225</v>
      </c>
      <c r="F16" t="s">
        <v>23</v>
      </c>
      <c r="G16">
        <f>SUM(B16:C16)</f>
        <v>11363850</v>
      </c>
    </row>
    <row r="17" spans="1:7" x14ac:dyDescent="0.35">
      <c r="F17" t="s">
        <v>49</v>
      </c>
      <c r="G17">
        <f>F12^2</f>
        <v>22467600</v>
      </c>
    </row>
    <row r="19" spans="1:7" x14ac:dyDescent="0.35">
      <c r="A19" t="s">
        <v>26</v>
      </c>
      <c r="B19">
        <f t="shared" ref="B19:D20" si="2">B9^2</f>
        <v>731025</v>
      </c>
      <c r="C19">
        <f t="shared" si="2"/>
        <v>819025</v>
      </c>
      <c r="D19">
        <f t="shared" si="2"/>
        <v>748225</v>
      </c>
    </row>
    <row r="20" spans="1:7" x14ac:dyDescent="0.35">
      <c r="B20">
        <f t="shared" si="2"/>
        <v>497025</v>
      </c>
      <c r="C20">
        <f t="shared" si="2"/>
        <v>540225</v>
      </c>
      <c r="D20">
        <f t="shared" si="2"/>
        <v>455625</v>
      </c>
      <c r="F20" t="s">
        <v>23</v>
      </c>
      <c r="G20">
        <f>SUM(B19:D20)</f>
        <v>3791150</v>
      </c>
    </row>
    <row r="22" spans="1:7" x14ac:dyDescent="0.35">
      <c r="B22" t="s">
        <v>31</v>
      </c>
      <c r="C22" t="s">
        <v>32</v>
      </c>
      <c r="D22" t="s">
        <v>33</v>
      </c>
      <c r="E22" t="s">
        <v>20</v>
      </c>
    </row>
    <row r="23" spans="1:7" x14ac:dyDescent="0.35">
      <c r="A23" t="s">
        <v>51</v>
      </c>
      <c r="B23">
        <f>J5-G17/(K1*K2*K3)</f>
        <v>16150</v>
      </c>
      <c r="C23">
        <f>K1*K2*K3-1</f>
        <v>17</v>
      </c>
    </row>
    <row r="24" spans="1:7" x14ac:dyDescent="0.35">
      <c r="A24" t="s">
        <v>52</v>
      </c>
      <c r="B24">
        <f>G16/(K2*K3)-G17/(K1*K2*K3)</f>
        <v>14450</v>
      </c>
      <c r="C24">
        <f>K1-1</f>
        <v>1</v>
      </c>
      <c r="D24">
        <f>B24/C24</f>
        <v>14450</v>
      </c>
      <c r="E24">
        <f>D24/D28</f>
        <v>273.78947368424406</v>
      </c>
    </row>
    <row r="25" spans="1:7" x14ac:dyDescent="0.35">
      <c r="A25" t="s">
        <v>53</v>
      </c>
      <c r="B25">
        <f>G15/(K1*K3)-G17/(K1*K2*K3)</f>
        <v>933.33333333325572</v>
      </c>
      <c r="C25">
        <f>K2-1</f>
        <v>2</v>
      </c>
      <c r="D25">
        <f>B25/C25</f>
        <v>466.66666666662786</v>
      </c>
      <c r="E25">
        <f>D25/D28</f>
        <v>8.842105263158242</v>
      </c>
    </row>
    <row r="26" spans="1:7" x14ac:dyDescent="0.35">
      <c r="A26" t="s">
        <v>54</v>
      </c>
      <c r="B26">
        <f>G20/K3-G17/(K1*K2*K3)</f>
        <v>15516.666666666744</v>
      </c>
    </row>
    <row r="27" spans="1:7" x14ac:dyDescent="0.35">
      <c r="A27" t="s">
        <v>55</v>
      </c>
      <c r="B27">
        <f>B26-(B24+B25)</f>
        <v>133.33333333348855</v>
      </c>
      <c r="C27">
        <f>(K1-1)*(K2-1)</f>
        <v>2</v>
      </c>
      <c r="D27">
        <f>B27/C27</f>
        <v>66.666666666744277</v>
      </c>
      <c r="E27">
        <f>D27/D28</f>
        <v>1.2631578947384674</v>
      </c>
    </row>
    <row r="28" spans="1:7" x14ac:dyDescent="0.35">
      <c r="A28" t="s">
        <v>56</v>
      </c>
      <c r="B28">
        <f>B23-B26</f>
        <v>633.33333333325572</v>
      </c>
      <c r="C28">
        <f>C23-(C24+C25+C27)</f>
        <v>12</v>
      </c>
      <c r="D28">
        <f>B28/C28</f>
        <v>52.777777777771313</v>
      </c>
    </row>
    <row r="30" spans="1:7" x14ac:dyDescent="0.35">
      <c r="A30" t="s">
        <v>30</v>
      </c>
      <c r="B30" t="s">
        <v>69</v>
      </c>
      <c r="C30" t="s">
        <v>70</v>
      </c>
      <c r="D30" t="s">
        <v>71</v>
      </c>
      <c r="E30" t="s">
        <v>34</v>
      </c>
      <c r="F30" t="s">
        <v>21</v>
      </c>
      <c r="G30" t="s">
        <v>40</v>
      </c>
    </row>
    <row r="31" spans="1:7" x14ac:dyDescent="0.35">
      <c r="A31" t="s">
        <v>101</v>
      </c>
      <c r="B31">
        <f>14450</f>
        <v>14450</v>
      </c>
      <c r="C31">
        <v>1</v>
      </c>
      <c r="D31">
        <v>14450</v>
      </c>
      <c r="E31">
        <v>273.79000000000002</v>
      </c>
      <c r="F31">
        <f>_xlfn.F.INV.RT(0.05,C31,C34)</f>
        <v>4.7472253467225149</v>
      </c>
      <c r="G31">
        <f>_xlfn.F.DIST.RT(E31,C31,$C$34)</f>
        <v>1.2591612961010644E-9</v>
      </c>
    </row>
    <row r="32" spans="1:7" x14ac:dyDescent="0.35">
      <c r="A32" t="s">
        <v>102</v>
      </c>
      <c r="B32">
        <v>933.33</v>
      </c>
      <c r="C32">
        <v>2</v>
      </c>
      <c r="D32">
        <v>466.67</v>
      </c>
      <c r="E32">
        <v>8.84</v>
      </c>
      <c r="F32">
        <f>_xlfn.F.INV.RT(0.05,C32,C34)</f>
        <v>3.8852938346523942</v>
      </c>
      <c r="G32">
        <f>_xlfn.F.DIST.RT(E32,C32,$C$34)</f>
        <v>4.3682159132718817E-3</v>
      </c>
    </row>
    <row r="33" spans="1:7" x14ac:dyDescent="0.35">
      <c r="A33" t="s">
        <v>37</v>
      </c>
      <c r="B33">
        <v>133.33000000000001</v>
      </c>
      <c r="C33">
        <v>2</v>
      </c>
      <c r="D33">
        <v>66.67</v>
      </c>
      <c r="E33">
        <v>1.26</v>
      </c>
      <c r="F33">
        <f>_xlfn.F.INV.RT(0.05,C33,C34)</f>
        <v>3.8852938346523942</v>
      </c>
      <c r="G33">
        <f>_xlfn.F.DIST.RT(E33,C33,$C$34)</f>
        <v>0.3186308177103569</v>
      </c>
    </row>
    <row r="34" spans="1:7" x14ac:dyDescent="0.35">
      <c r="A34" t="s">
        <v>38</v>
      </c>
      <c r="B34">
        <v>633.33000000000004</v>
      </c>
      <c r="C34">
        <v>12</v>
      </c>
      <c r="D34">
        <v>52.78</v>
      </c>
    </row>
    <row r="35" spans="1:7" x14ac:dyDescent="0.35">
      <c r="A35" t="s">
        <v>39</v>
      </c>
      <c r="B35">
        <v>16150</v>
      </c>
      <c r="C35">
        <v>17</v>
      </c>
    </row>
    <row r="37" spans="1:7" x14ac:dyDescent="0.35">
      <c r="A37" t="s">
        <v>103</v>
      </c>
    </row>
    <row r="38" spans="1:7" x14ac:dyDescent="0.35">
      <c r="A38" t="s">
        <v>90</v>
      </c>
      <c r="C38" t="s">
        <v>102</v>
      </c>
    </row>
    <row r="39" spans="1:7" x14ac:dyDescent="0.35">
      <c r="A39" t="s">
        <v>104</v>
      </c>
      <c r="B39">
        <v>1</v>
      </c>
      <c r="C39">
        <v>2</v>
      </c>
      <c r="D39">
        <v>3</v>
      </c>
    </row>
    <row r="40" spans="1:7" x14ac:dyDescent="0.35">
      <c r="A40">
        <v>1</v>
      </c>
      <c r="B40">
        <v>285</v>
      </c>
      <c r="C40">
        <v>301.67</v>
      </c>
      <c r="D40">
        <v>288.33</v>
      </c>
    </row>
    <row r="41" spans="1:7" x14ac:dyDescent="0.35">
      <c r="A41">
        <v>2</v>
      </c>
      <c r="B41">
        <f>SUM(A2:C2)/3</f>
        <v>235</v>
      </c>
      <c r="C41">
        <v>245</v>
      </c>
      <c r="D41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77C7-9B21-4B37-9DEC-251AF974C972}">
  <dimension ref="A1:K39"/>
  <sheetViews>
    <sheetView topLeftCell="A19" workbookViewId="0">
      <selection activeCell="D30" sqref="D30"/>
    </sheetView>
  </sheetViews>
  <sheetFormatPr defaultRowHeight="14.5" x14ac:dyDescent="0.35"/>
  <cols>
    <col min="1" max="1" width="17.6328125" customWidth="1"/>
    <col min="2" max="2" width="16.26953125" customWidth="1"/>
    <col min="3" max="3" width="17.1796875" customWidth="1"/>
    <col min="4" max="4" width="15.26953125" customWidth="1"/>
    <col min="7" max="7" width="9.81640625" bestFit="1" customWidth="1"/>
  </cols>
  <sheetData>
    <row r="1" spans="1:11" x14ac:dyDescent="0.35">
      <c r="A1">
        <v>580</v>
      </c>
      <c r="B1">
        <v>568</v>
      </c>
      <c r="C1">
        <v>570</v>
      </c>
      <c r="D1">
        <v>1090</v>
      </c>
      <c r="E1">
        <v>1087</v>
      </c>
      <c r="F1">
        <v>1085</v>
      </c>
      <c r="G1">
        <v>1392</v>
      </c>
      <c r="H1">
        <v>1380</v>
      </c>
      <c r="I1">
        <v>1386</v>
      </c>
      <c r="J1" t="s">
        <v>0</v>
      </c>
      <c r="K1">
        <v>2</v>
      </c>
    </row>
    <row r="2" spans="1:11" x14ac:dyDescent="0.35">
      <c r="A2">
        <v>530</v>
      </c>
      <c r="B2">
        <v>579</v>
      </c>
      <c r="C2">
        <v>564</v>
      </c>
      <c r="D2">
        <v>1035</v>
      </c>
      <c r="E2">
        <v>1000</v>
      </c>
      <c r="F2">
        <v>1045</v>
      </c>
      <c r="G2">
        <v>1312</v>
      </c>
      <c r="H2">
        <v>1299</v>
      </c>
      <c r="I2">
        <v>867</v>
      </c>
      <c r="J2" t="s">
        <v>1</v>
      </c>
      <c r="K2">
        <v>3</v>
      </c>
    </row>
    <row r="3" spans="1:11" x14ac:dyDescent="0.35">
      <c r="J3" t="s">
        <v>2</v>
      </c>
      <c r="K3">
        <v>3</v>
      </c>
    </row>
    <row r="5" spans="1:11" x14ac:dyDescent="0.35">
      <c r="A5">
        <f t="shared" ref="A5:I5" si="0">A1^2</f>
        <v>336400</v>
      </c>
      <c r="B5">
        <f t="shared" si="0"/>
        <v>322624</v>
      </c>
      <c r="C5">
        <f t="shared" si="0"/>
        <v>324900</v>
      </c>
      <c r="D5">
        <f t="shared" si="0"/>
        <v>1188100</v>
      </c>
      <c r="E5">
        <f t="shared" si="0"/>
        <v>1181569</v>
      </c>
      <c r="F5">
        <f t="shared" si="0"/>
        <v>1177225</v>
      </c>
      <c r="G5">
        <f t="shared" si="0"/>
        <v>1937664</v>
      </c>
      <c r="H5">
        <f t="shared" si="0"/>
        <v>1904400</v>
      </c>
      <c r="I5">
        <f t="shared" si="0"/>
        <v>1920996</v>
      </c>
    </row>
    <row r="6" spans="1:11" x14ac:dyDescent="0.35">
      <c r="A6">
        <f t="shared" ref="A6:I6" si="1">A2^2</f>
        <v>280900</v>
      </c>
      <c r="B6">
        <f t="shared" si="1"/>
        <v>335241</v>
      </c>
      <c r="C6">
        <f t="shared" si="1"/>
        <v>318096</v>
      </c>
      <c r="D6">
        <f t="shared" si="1"/>
        <v>1071225</v>
      </c>
      <c r="E6">
        <f t="shared" si="1"/>
        <v>1000000</v>
      </c>
      <c r="F6">
        <f t="shared" si="1"/>
        <v>1092025</v>
      </c>
      <c r="G6">
        <f t="shared" si="1"/>
        <v>1721344</v>
      </c>
      <c r="H6">
        <f t="shared" si="1"/>
        <v>1687401</v>
      </c>
      <c r="I6">
        <f t="shared" si="1"/>
        <v>751689</v>
      </c>
      <c r="J6">
        <f>SUM(A5:I6)</f>
        <v>18551799</v>
      </c>
    </row>
    <row r="8" spans="1:11" x14ac:dyDescent="0.35">
      <c r="C8" t="s">
        <v>42</v>
      </c>
    </row>
    <row r="9" spans="1:11" x14ac:dyDescent="0.35">
      <c r="A9" t="s">
        <v>58</v>
      </c>
      <c r="B9">
        <v>100</v>
      </c>
      <c r="C9">
        <v>125</v>
      </c>
      <c r="D9">
        <v>150</v>
      </c>
      <c r="F9" t="s">
        <v>5</v>
      </c>
    </row>
    <row r="10" spans="1:11" x14ac:dyDescent="0.35">
      <c r="A10">
        <v>1</v>
      </c>
      <c r="B10">
        <f>SUM(A1:C1)</f>
        <v>1718</v>
      </c>
      <c r="C10">
        <f>SUM(D1:F1)</f>
        <v>3262</v>
      </c>
      <c r="D10">
        <f>SUM(G1:I1)</f>
        <v>4158</v>
      </c>
      <c r="F10">
        <f>SUM(B10:D10)</f>
        <v>9138</v>
      </c>
    </row>
    <row r="11" spans="1:11" x14ac:dyDescent="0.35">
      <c r="A11">
        <v>2</v>
      </c>
      <c r="B11">
        <f>SUM(A2:C2)</f>
        <v>1673</v>
      </c>
      <c r="C11">
        <f>SUM(D2:F2)</f>
        <v>3080</v>
      </c>
      <c r="D11">
        <f>SUM(G2:I2)</f>
        <v>3478</v>
      </c>
      <c r="F11">
        <f>SUM(B11:D11)</f>
        <v>8231</v>
      </c>
    </row>
    <row r="13" spans="1:11" x14ac:dyDescent="0.35">
      <c r="A13" t="s">
        <v>6</v>
      </c>
      <c r="B13">
        <f>SUM(B10:B11)</f>
        <v>3391</v>
      </c>
      <c r="C13">
        <f>SUM(C10:C11)</f>
        <v>6342</v>
      </c>
      <c r="D13">
        <f>SUM(D10:D11)</f>
        <v>7636</v>
      </c>
      <c r="F13">
        <f>SUM(F10:F11)</f>
        <v>17369</v>
      </c>
      <c r="G13" t="s">
        <v>7</v>
      </c>
    </row>
    <row r="15" spans="1:11" x14ac:dyDescent="0.35">
      <c r="A15" t="s">
        <v>8</v>
      </c>
      <c r="B15">
        <f>B13^2</f>
        <v>11498881</v>
      </c>
      <c r="C15">
        <f>C13^2</f>
        <v>40220964</v>
      </c>
      <c r="D15">
        <f>D13^2</f>
        <v>58308496</v>
      </c>
      <c r="F15" t="s">
        <v>23</v>
      </c>
      <c r="G15">
        <f>SUM(B15:D15)</f>
        <v>110028341</v>
      </c>
    </row>
    <row r="16" spans="1:11" x14ac:dyDescent="0.35">
      <c r="A16" t="s">
        <v>25</v>
      </c>
      <c r="B16">
        <f>F10^2</f>
        <v>83503044</v>
      </c>
      <c r="C16">
        <f>F11^2</f>
        <v>67749361</v>
      </c>
      <c r="F16" t="s">
        <v>23</v>
      </c>
      <c r="G16">
        <f>SUM(B16:C16)</f>
        <v>151252405</v>
      </c>
    </row>
    <row r="17" spans="1:7" x14ac:dyDescent="0.35">
      <c r="F17" t="s">
        <v>59</v>
      </c>
      <c r="G17">
        <f>F13^2</f>
        <v>301682161</v>
      </c>
    </row>
    <row r="19" spans="1:7" x14ac:dyDescent="0.35">
      <c r="A19" t="s">
        <v>26</v>
      </c>
      <c r="B19">
        <f t="shared" ref="B19:D20" si="2">B10^2</f>
        <v>2951524</v>
      </c>
      <c r="C19">
        <f t="shared" si="2"/>
        <v>10640644</v>
      </c>
      <c r="D19">
        <f t="shared" si="2"/>
        <v>17288964</v>
      </c>
    </row>
    <row r="20" spans="1:7" x14ac:dyDescent="0.35">
      <c r="B20">
        <f t="shared" si="2"/>
        <v>2798929</v>
      </c>
      <c r="C20">
        <f t="shared" si="2"/>
        <v>9486400</v>
      </c>
      <c r="D20">
        <f t="shared" si="2"/>
        <v>12096484</v>
      </c>
      <c r="F20" t="s">
        <v>23</v>
      </c>
      <c r="G20">
        <f>SUM(B19:D20)</f>
        <v>55262945</v>
      </c>
    </row>
    <row r="22" spans="1:7" x14ac:dyDescent="0.35">
      <c r="B22" t="s">
        <v>31</v>
      </c>
      <c r="C22" t="s">
        <v>32</v>
      </c>
      <c r="D22" t="s">
        <v>33</v>
      </c>
      <c r="E22" t="s">
        <v>20</v>
      </c>
    </row>
    <row r="23" spans="1:7" x14ac:dyDescent="0.35">
      <c r="A23" t="s">
        <v>51</v>
      </c>
      <c r="B23">
        <f>J6-G17/(K1*K2*K3)</f>
        <v>1791678.944444444</v>
      </c>
      <c r="C23">
        <f>K1*K2*K3-1</f>
        <v>17</v>
      </c>
    </row>
    <row r="24" spans="1:7" x14ac:dyDescent="0.35">
      <c r="A24" t="s">
        <v>52</v>
      </c>
      <c r="B24">
        <f>G16/(K2*K3)-G17/(K1*K2*K3)</f>
        <v>45702.722222220153</v>
      </c>
      <c r="C24">
        <f>K1-1</f>
        <v>1</v>
      </c>
      <c r="D24">
        <f>B24/C24</f>
        <v>45702.722222220153</v>
      </c>
      <c r="E24">
        <f>D24/D28</f>
        <v>4.1923547338271714</v>
      </c>
    </row>
    <row r="25" spans="1:7" x14ac:dyDescent="0.35">
      <c r="A25" t="s">
        <v>53</v>
      </c>
      <c r="B25">
        <f>G15/(K1*K3)-G17/(K1*K2*K3)</f>
        <v>1577936.7777777761</v>
      </c>
      <c r="C25">
        <f>K2-1</f>
        <v>2</v>
      </c>
      <c r="D25">
        <f>B25/C25</f>
        <v>788968.38888888806</v>
      </c>
      <c r="E25">
        <f>D25/D28</f>
        <v>72.372830307910874</v>
      </c>
    </row>
    <row r="26" spans="1:7" x14ac:dyDescent="0.35">
      <c r="A26" t="s">
        <v>54</v>
      </c>
      <c r="B26">
        <f>G20/K3-G17/(K1*K2*K3)</f>
        <v>1660861.6111111119</v>
      </c>
    </row>
    <row r="27" spans="1:7" x14ac:dyDescent="0.35">
      <c r="A27" t="s">
        <v>55</v>
      </c>
      <c r="B27">
        <f>B26-(B24+B25)</f>
        <v>37222.111111115664</v>
      </c>
      <c r="C27">
        <f>(K1-1)*(K2-1)</f>
        <v>2</v>
      </c>
      <c r="D27">
        <f>B27/C27</f>
        <v>18611.055555557832</v>
      </c>
      <c r="E27">
        <f>D27/D28</f>
        <v>1.7072100537138002</v>
      </c>
    </row>
    <row r="28" spans="1:7" x14ac:dyDescent="0.35">
      <c r="A28" t="s">
        <v>56</v>
      </c>
      <c r="B28">
        <f>B23-B26</f>
        <v>130817.33333333209</v>
      </c>
      <c r="C28">
        <f>C23-(C24+C25+C27)</f>
        <v>12</v>
      </c>
      <c r="D28">
        <f>B28/C28</f>
        <v>10901.444444444342</v>
      </c>
    </row>
    <row r="30" spans="1:7" x14ac:dyDescent="0.35">
      <c r="A30" t="s">
        <v>30</v>
      </c>
      <c r="B30" t="s">
        <v>69</v>
      </c>
      <c r="C30" t="s">
        <v>70</v>
      </c>
      <c r="D30" t="s">
        <v>126</v>
      </c>
      <c r="E30" t="s">
        <v>34</v>
      </c>
      <c r="F30" t="s">
        <v>21</v>
      </c>
      <c r="G30" t="s">
        <v>40</v>
      </c>
    </row>
    <row r="31" spans="1:7" x14ac:dyDescent="0.35">
      <c r="A31" t="s">
        <v>101</v>
      </c>
      <c r="B31">
        <v>45702.720000000001</v>
      </c>
      <c r="C31">
        <v>1</v>
      </c>
      <c r="D31">
        <v>45702.720000000001</v>
      </c>
      <c r="E31">
        <v>4.1923550000000001</v>
      </c>
      <c r="F31">
        <f>_xlfn.F.INV.RT(0.05,C31,$C$34)</f>
        <v>4.7472253467225149</v>
      </c>
      <c r="G31">
        <f>_xlfn.F.DIST.RT(E31,C31,$C$34)</f>
        <v>6.3147078042743346E-2</v>
      </c>
    </row>
    <row r="32" spans="1:7" x14ac:dyDescent="0.35">
      <c r="A32" t="s">
        <v>74</v>
      </c>
      <c r="B32">
        <v>1577936.78</v>
      </c>
      <c r="C32">
        <v>2</v>
      </c>
      <c r="D32">
        <v>788968.39</v>
      </c>
      <c r="E32">
        <v>72.372829999999993</v>
      </c>
      <c r="F32">
        <f>_xlfn.F.INV.RT(0.05,C32,$C$34)</f>
        <v>3.8852938346523942</v>
      </c>
      <c r="G32">
        <f t="shared" ref="G32:G33" si="3">_xlfn.F.DIST.RT(E32,C32,$C$34)</f>
        <v>2.0133270437527644E-7</v>
      </c>
    </row>
    <row r="33" spans="1:7" x14ac:dyDescent="0.35">
      <c r="A33" t="s">
        <v>37</v>
      </c>
      <c r="B33">
        <v>37222.11</v>
      </c>
      <c r="C33">
        <v>2</v>
      </c>
      <c r="D33">
        <v>18611.060000000001</v>
      </c>
      <c r="E33">
        <v>1.7072099999999999</v>
      </c>
      <c r="F33">
        <f>_xlfn.F.INV.RT(0.05,C33,$C$34)</f>
        <v>3.8852938346523942</v>
      </c>
      <c r="G33">
        <f t="shared" si="3"/>
        <v>0.22259958356538001</v>
      </c>
    </row>
    <row r="34" spans="1:7" x14ac:dyDescent="0.35">
      <c r="A34" t="s">
        <v>38</v>
      </c>
      <c r="B34">
        <v>130817.33</v>
      </c>
      <c r="C34">
        <v>12</v>
      </c>
      <c r="D34">
        <v>10901.44</v>
      </c>
    </row>
    <row r="35" spans="1:7" x14ac:dyDescent="0.35">
      <c r="A35" t="s">
        <v>39</v>
      </c>
      <c r="B35">
        <v>1791678.94</v>
      </c>
      <c r="C35">
        <v>17</v>
      </c>
    </row>
    <row r="37" spans="1:7" x14ac:dyDescent="0.35">
      <c r="A37" t="s">
        <v>105</v>
      </c>
    </row>
    <row r="39" spans="1:7" x14ac:dyDescent="0.35">
      <c r="A39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1B4B-7A97-4A3D-AB12-9E993E0DB9C5}">
  <dimension ref="A1:H50"/>
  <sheetViews>
    <sheetView topLeftCell="A25" workbookViewId="0">
      <selection activeCell="J33" sqref="J33"/>
    </sheetView>
  </sheetViews>
  <sheetFormatPr defaultRowHeight="14.5" x14ac:dyDescent="0.35"/>
  <cols>
    <col min="1" max="1" width="17.08984375" customWidth="1"/>
    <col min="2" max="2" width="14.54296875" customWidth="1"/>
    <col min="3" max="3" width="19.1796875" customWidth="1"/>
    <col min="4" max="4" width="12.81640625" customWidth="1"/>
  </cols>
  <sheetData>
    <row r="1" spans="1:8" x14ac:dyDescent="0.35">
      <c r="A1">
        <v>90.4</v>
      </c>
      <c r="B1">
        <v>90.2</v>
      </c>
      <c r="C1">
        <v>90.7</v>
      </c>
      <c r="D1">
        <v>90.6</v>
      </c>
      <c r="E1">
        <v>90.2</v>
      </c>
      <c r="F1">
        <v>90.4</v>
      </c>
      <c r="G1" t="s">
        <v>0</v>
      </c>
      <c r="H1">
        <v>3</v>
      </c>
    </row>
    <row r="2" spans="1:8" x14ac:dyDescent="0.35">
      <c r="A2">
        <v>90.1</v>
      </c>
      <c r="B2">
        <v>90.3</v>
      </c>
      <c r="C2">
        <v>90.5</v>
      </c>
      <c r="D2">
        <v>90.6</v>
      </c>
      <c r="E2">
        <v>89.9</v>
      </c>
      <c r="F2">
        <v>90.1</v>
      </c>
      <c r="G2" t="s">
        <v>1</v>
      </c>
      <c r="H2">
        <v>3</v>
      </c>
    </row>
    <row r="3" spans="1:8" x14ac:dyDescent="0.35">
      <c r="A3">
        <v>90.5</v>
      </c>
      <c r="B3">
        <v>90.7</v>
      </c>
      <c r="C3">
        <v>90.8</v>
      </c>
      <c r="D3">
        <v>90.9</v>
      </c>
      <c r="E3">
        <v>90.4</v>
      </c>
      <c r="F3">
        <v>90.1</v>
      </c>
      <c r="G3" t="s">
        <v>2</v>
      </c>
      <c r="H3">
        <v>2</v>
      </c>
    </row>
    <row r="5" spans="1:8" x14ac:dyDescent="0.35">
      <c r="A5">
        <f t="shared" ref="A5:F7" si="0">A1^2</f>
        <v>8172.1600000000008</v>
      </c>
      <c r="B5">
        <f t="shared" si="0"/>
        <v>8136.0400000000009</v>
      </c>
      <c r="C5">
        <f t="shared" si="0"/>
        <v>8226.49</v>
      </c>
      <c r="D5">
        <f t="shared" si="0"/>
        <v>8208.3599999999988</v>
      </c>
      <c r="E5">
        <f t="shared" si="0"/>
        <v>8136.0400000000009</v>
      </c>
      <c r="F5">
        <f t="shared" si="0"/>
        <v>8172.1600000000008</v>
      </c>
    </row>
    <row r="6" spans="1:8" x14ac:dyDescent="0.35">
      <c r="A6">
        <f t="shared" si="0"/>
        <v>8118.0099999999993</v>
      </c>
      <c r="B6">
        <f t="shared" si="0"/>
        <v>8154.0899999999992</v>
      </c>
      <c r="C6">
        <f t="shared" si="0"/>
        <v>8190.25</v>
      </c>
      <c r="D6">
        <f t="shared" si="0"/>
        <v>8208.3599999999988</v>
      </c>
      <c r="E6">
        <f t="shared" si="0"/>
        <v>8082.0100000000011</v>
      </c>
      <c r="F6">
        <f t="shared" si="0"/>
        <v>8118.0099999999993</v>
      </c>
    </row>
    <row r="7" spans="1:8" x14ac:dyDescent="0.35">
      <c r="A7">
        <f t="shared" si="0"/>
        <v>8190.25</v>
      </c>
      <c r="B7">
        <f t="shared" si="0"/>
        <v>8226.49</v>
      </c>
      <c r="C7">
        <f t="shared" si="0"/>
        <v>8244.64</v>
      </c>
      <c r="D7">
        <f t="shared" si="0"/>
        <v>8262.8100000000013</v>
      </c>
      <c r="E7">
        <f t="shared" si="0"/>
        <v>8172.1600000000008</v>
      </c>
      <c r="F7">
        <f t="shared" si="0"/>
        <v>8118.0099999999993</v>
      </c>
      <c r="G7">
        <f>SUM(A5:F7)</f>
        <v>147136.34</v>
      </c>
    </row>
    <row r="9" spans="1:8" x14ac:dyDescent="0.35">
      <c r="C9" t="s">
        <v>60</v>
      </c>
    </row>
    <row r="10" spans="1:8" x14ac:dyDescent="0.35">
      <c r="A10" t="s">
        <v>42</v>
      </c>
      <c r="B10">
        <v>200</v>
      </c>
      <c r="C10">
        <v>215</v>
      </c>
      <c r="D10">
        <v>230</v>
      </c>
      <c r="F10" t="s">
        <v>5</v>
      </c>
    </row>
    <row r="11" spans="1:8" x14ac:dyDescent="0.35">
      <c r="A11">
        <v>150</v>
      </c>
      <c r="B11">
        <f>SUM(A1:B1)</f>
        <v>180.60000000000002</v>
      </c>
      <c r="C11">
        <f>SUM(C1:D1)</f>
        <v>181.3</v>
      </c>
      <c r="D11">
        <f>SUM(E1:F1)</f>
        <v>180.60000000000002</v>
      </c>
      <c r="F11">
        <f>SUM(B11:D11)</f>
        <v>542.5</v>
      </c>
    </row>
    <row r="12" spans="1:8" x14ac:dyDescent="0.35">
      <c r="A12">
        <v>160</v>
      </c>
      <c r="B12">
        <f>SUM(A2:B2)</f>
        <v>180.39999999999998</v>
      </c>
      <c r="C12">
        <f>SUM(C2:D2)</f>
        <v>181.1</v>
      </c>
      <c r="D12">
        <f>SUM(E2:F2)</f>
        <v>180</v>
      </c>
      <c r="F12">
        <f>SUM(B12:D12)</f>
        <v>541.5</v>
      </c>
    </row>
    <row r="13" spans="1:8" x14ac:dyDescent="0.35">
      <c r="A13">
        <v>170</v>
      </c>
      <c r="B13">
        <f>SUM(A3:B3)</f>
        <v>181.2</v>
      </c>
      <c r="C13">
        <f>SUM(C3:D3)</f>
        <v>181.7</v>
      </c>
      <c r="D13">
        <f>SUM(E3:F3)</f>
        <v>180.5</v>
      </c>
      <c r="F13">
        <f>SUM(B13:D13)</f>
        <v>543.4</v>
      </c>
    </row>
    <row r="15" spans="1:8" x14ac:dyDescent="0.35">
      <c r="A15" t="s">
        <v>6</v>
      </c>
      <c r="B15">
        <f>SUM(B11:B13)</f>
        <v>542.20000000000005</v>
      </c>
      <c r="C15">
        <f>SUM(C11:C13)</f>
        <v>544.09999999999991</v>
      </c>
      <c r="D15">
        <f>SUM(D11:D13)</f>
        <v>541.1</v>
      </c>
      <c r="F15">
        <f>SUM(F11:F13)</f>
        <v>1627.4</v>
      </c>
    </row>
    <row r="16" spans="1:8" x14ac:dyDescent="0.35">
      <c r="F16" t="s">
        <v>7</v>
      </c>
    </row>
    <row r="18" spans="1:7" x14ac:dyDescent="0.35">
      <c r="A18" t="s">
        <v>8</v>
      </c>
      <c r="B18">
        <f>B15^2</f>
        <v>293980.84000000003</v>
      </c>
      <c r="C18">
        <f>C15^2</f>
        <v>296044.80999999988</v>
      </c>
      <c r="D18">
        <f>D15^2</f>
        <v>292789.21000000002</v>
      </c>
      <c r="F18" t="s">
        <v>23</v>
      </c>
      <c r="G18">
        <f>SUM(B18:D18)</f>
        <v>882814.85999999987</v>
      </c>
    </row>
    <row r="19" spans="1:7" x14ac:dyDescent="0.35">
      <c r="A19" t="s">
        <v>25</v>
      </c>
      <c r="B19">
        <f>F11^2</f>
        <v>294306.25</v>
      </c>
      <c r="C19">
        <f>F12^2</f>
        <v>293222.25</v>
      </c>
      <c r="D19">
        <f>F13^2</f>
        <v>295283.56</v>
      </c>
      <c r="F19" t="s">
        <v>23</v>
      </c>
      <c r="G19">
        <f>SUM(B19:D19)</f>
        <v>882812.06</v>
      </c>
    </row>
    <row r="20" spans="1:7" x14ac:dyDescent="0.35">
      <c r="F20" t="s">
        <v>59</v>
      </c>
      <c r="G20">
        <f>F15^2</f>
        <v>2648430.7600000002</v>
      </c>
    </row>
    <row r="22" spans="1:7" x14ac:dyDescent="0.35">
      <c r="A22" t="s">
        <v>26</v>
      </c>
      <c r="B22">
        <f t="shared" ref="B22:D24" si="1">B11^2</f>
        <v>32616.360000000008</v>
      </c>
      <c r="C22">
        <f t="shared" si="1"/>
        <v>32869.69</v>
      </c>
      <c r="D22">
        <f t="shared" si="1"/>
        <v>32616.360000000008</v>
      </c>
    </row>
    <row r="23" spans="1:7" x14ac:dyDescent="0.35">
      <c r="B23">
        <f t="shared" si="1"/>
        <v>32544.159999999993</v>
      </c>
      <c r="C23">
        <f t="shared" si="1"/>
        <v>32797.21</v>
      </c>
      <c r="D23">
        <f t="shared" si="1"/>
        <v>32400</v>
      </c>
    </row>
    <row r="24" spans="1:7" x14ac:dyDescent="0.35">
      <c r="B24">
        <f t="shared" si="1"/>
        <v>32833.439999999995</v>
      </c>
      <c r="C24">
        <f t="shared" si="1"/>
        <v>33014.89</v>
      </c>
      <c r="D24">
        <f t="shared" si="1"/>
        <v>32580.25</v>
      </c>
      <c r="F24" t="s">
        <v>23</v>
      </c>
      <c r="G24">
        <f>SUM(B22:D24)</f>
        <v>294272.36</v>
      </c>
    </row>
    <row r="26" spans="1:7" x14ac:dyDescent="0.35">
      <c r="B26" t="s">
        <v>31</v>
      </c>
      <c r="C26" t="s">
        <v>32</v>
      </c>
      <c r="D26" t="s">
        <v>33</v>
      </c>
      <c r="E26" t="s">
        <v>20</v>
      </c>
    </row>
    <row r="27" spans="1:7" x14ac:dyDescent="0.35">
      <c r="A27" t="s">
        <v>51</v>
      </c>
      <c r="B27">
        <f>G7-G20/(H1*H2*H3)</f>
        <v>1.2977777777705342</v>
      </c>
      <c r="C27">
        <f>H1*H2*H3-1</f>
        <v>17</v>
      </c>
    </row>
    <row r="28" spans="1:7" x14ac:dyDescent="0.35">
      <c r="A28" t="s">
        <v>52</v>
      </c>
      <c r="B28">
        <f>G19/(H2*H3)-G20/(H1*H2*H3)</f>
        <v>0.30111111112637445</v>
      </c>
      <c r="C28">
        <f>H1-1</f>
        <v>2</v>
      </c>
      <c r="D28">
        <f>B28/C28</f>
        <v>0.15055555556318723</v>
      </c>
      <c r="E28">
        <f>D28/D32</f>
        <v>8.4687500002444267</v>
      </c>
    </row>
    <row r="29" spans="1:7" x14ac:dyDescent="0.35">
      <c r="A29" t="s">
        <v>53</v>
      </c>
      <c r="B29">
        <f>G18/(H1*H3)-G20/(H1*H2*H3)</f>
        <v>0.76777777774259448</v>
      </c>
      <c r="C29">
        <f>H2-1</f>
        <v>2</v>
      </c>
      <c r="D29">
        <f>B29/C29</f>
        <v>0.38388888887129724</v>
      </c>
      <c r="E29">
        <f>D29/D32</f>
        <v>21.593749998539124</v>
      </c>
    </row>
    <row r="30" spans="1:7" x14ac:dyDescent="0.35">
      <c r="A30" t="s">
        <v>54</v>
      </c>
      <c r="B30">
        <f>G24/H3-G20/(H1*H2*H3)</f>
        <v>1.1377777777670417</v>
      </c>
    </row>
    <row r="31" spans="1:7" x14ac:dyDescent="0.35">
      <c r="A31" t="s">
        <v>55</v>
      </c>
      <c r="B31">
        <f>B30-(B28+B29)</f>
        <v>6.8888888898072764E-2</v>
      </c>
      <c r="C31">
        <f>(H1-1)*(H2-1)</f>
        <v>4</v>
      </c>
      <c r="D31">
        <f>B31/C31</f>
        <v>1.7222222224518191E-2</v>
      </c>
      <c r="E31">
        <f>D31/D32</f>
        <v>0.9687500001080025</v>
      </c>
    </row>
    <row r="32" spans="1:7" x14ac:dyDescent="0.35">
      <c r="A32" t="s">
        <v>56</v>
      </c>
      <c r="B32">
        <f>B27-B30</f>
        <v>0.16000000000349246</v>
      </c>
      <c r="C32">
        <f>C27-(C28+C29+C31)</f>
        <v>9</v>
      </c>
      <c r="D32">
        <f>B32/C32</f>
        <v>1.7777777778165828E-2</v>
      </c>
    </row>
    <row r="34" spans="1:7" x14ac:dyDescent="0.35">
      <c r="A34" t="s">
        <v>30</v>
      </c>
      <c r="B34" t="s">
        <v>69</v>
      </c>
      <c r="C34" t="s">
        <v>70</v>
      </c>
      <c r="D34" t="s">
        <v>71</v>
      </c>
      <c r="E34" t="s">
        <v>21</v>
      </c>
      <c r="F34" t="s">
        <v>34</v>
      </c>
      <c r="G34" t="s">
        <v>40</v>
      </c>
    </row>
    <row r="35" spans="1:7" x14ac:dyDescent="0.35">
      <c r="A35" t="s">
        <v>107</v>
      </c>
      <c r="B35">
        <v>0.30099999999999999</v>
      </c>
      <c r="C35">
        <v>2</v>
      </c>
      <c r="D35">
        <v>0.151</v>
      </c>
      <c r="E35">
        <f>_xlfn.F.INV.RT(0.05,C35,$C$38)</f>
        <v>4.2564947290937507</v>
      </c>
      <c r="F35">
        <v>8.4689999999999994</v>
      </c>
      <c r="G35">
        <f>_xlfn.F.DIST.RT(F35,C35,$C$38)</f>
        <v>8.5384119816593711E-3</v>
      </c>
    </row>
    <row r="36" spans="1:7" x14ac:dyDescent="0.35">
      <c r="A36" t="s">
        <v>108</v>
      </c>
      <c r="B36">
        <v>0.76800000000000002</v>
      </c>
      <c r="C36">
        <v>2</v>
      </c>
      <c r="D36">
        <v>0.38400000000000001</v>
      </c>
      <c r="E36">
        <f>_xlfn.F.INV.RT(0.05,C36,$C$38)</f>
        <v>4.2564947290937507</v>
      </c>
      <c r="F36">
        <v>21.594000000000001</v>
      </c>
      <c r="G36">
        <f>_xlfn.F.DIST.RT(F36,C36,$C$38)</f>
        <v>3.6730204874483343E-4</v>
      </c>
    </row>
    <row r="37" spans="1:7" x14ac:dyDescent="0.35">
      <c r="A37" t="s">
        <v>37</v>
      </c>
      <c r="B37">
        <v>6.9000000000000006E-2</v>
      </c>
      <c r="C37">
        <v>4</v>
      </c>
      <c r="D37">
        <v>1.7000000000000001E-2</v>
      </c>
      <c r="E37">
        <f>_xlfn.F.INV.RT(0.05,C37,$C$38)</f>
        <v>3.6330885114190816</v>
      </c>
      <c r="F37">
        <v>0.96799999999999997</v>
      </c>
      <c r="G37">
        <f>_xlfn.F.DIST.RT(F37,C37,$C$38)</f>
        <v>0.47035245329612341</v>
      </c>
    </row>
    <row r="38" spans="1:7" x14ac:dyDescent="0.35">
      <c r="A38" t="s">
        <v>38</v>
      </c>
      <c r="B38">
        <v>0.16</v>
      </c>
      <c r="C38">
        <v>9</v>
      </c>
      <c r="D38">
        <v>1.7999999999999999E-2</v>
      </c>
    </row>
    <row r="39" spans="1:7" x14ac:dyDescent="0.35">
      <c r="A39" t="s">
        <v>39</v>
      </c>
      <c r="B39">
        <v>1.298</v>
      </c>
      <c r="C39">
        <v>17</v>
      </c>
    </row>
    <row r="41" spans="1:7" x14ac:dyDescent="0.35">
      <c r="A41" t="s">
        <v>109</v>
      </c>
    </row>
    <row r="43" spans="1:7" x14ac:dyDescent="0.35">
      <c r="A43" t="s">
        <v>90</v>
      </c>
    </row>
    <row r="44" spans="1:7" x14ac:dyDescent="0.35">
      <c r="C44" t="s">
        <v>110</v>
      </c>
    </row>
    <row r="45" spans="1:7" x14ac:dyDescent="0.35">
      <c r="A45" t="s">
        <v>107</v>
      </c>
      <c r="B45">
        <v>200</v>
      </c>
      <c r="C45">
        <v>215</v>
      </c>
      <c r="D45">
        <v>230</v>
      </c>
    </row>
    <row r="46" spans="1:7" x14ac:dyDescent="0.35">
      <c r="A46">
        <v>150</v>
      </c>
      <c r="B46">
        <f>SUM(A1:B1)/2</f>
        <v>90.300000000000011</v>
      </c>
      <c r="C46">
        <f>SUM(C1:D1)/2</f>
        <v>90.65</v>
      </c>
      <c r="D46">
        <f>SUM(E1:F1)/2</f>
        <v>90.300000000000011</v>
      </c>
    </row>
    <row r="47" spans="1:7" x14ac:dyDescent="0.35">
      <c r="A47">
        <v>160</v>
      </c>
      <c r="B47">
        <f>SUM(A2:B2)/2</f>
        <v>90.199999999999989</v>
      </c>
      <c r="C47">
        <f>SUM(C2:D2)/2</f>
        <v>90.55</v>
      </c>
      <c r="D47">
        <f>SUM(E2:F2)/2</f>
        <v>90</v>
      </c>
    </row>
    <row r="48" spans="1:7" x14ac:dyDescent="0.35">
      <c r="A48">
        <v>170</v>
      </c>
      <c r="B48">
        <f>SUM(A3:B3)/2</f>
        <v>90.6</v>
      </c>
      <c r="C48" s="5">
        <f>SUM(C3:D3)/2</f>
        <v>90.85</v>
      </c>
      <c r="D48">
        <f>SUM(E3:F3)/2</f>
        <v>90.25</v>
      </c>
    </row>
    <row r="50" spans="1:1" x14ac:dyDescent="0.35">
      <c r="A50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CE01-D740-417C-951A-0B7628F39223}">
  <dimension ref="A1:J41"/>
  <sheetViews>
    <sheetView topLeftCell="A25" workbookViewId="0">
      <selection activeCell="D42" sqref="D42"/>
    </sheetView>
  </sheetViews>
  <sheetFormatPr defaultRowHeight="14.5" x14ac:dyDescent="0.35"/>
  <cols>
    <col min="1" max="1" width="18.6328125" customWidth="1"/>
    <col min="2" max="2" width="14.6328125" customWidth="1"/>
    <col min="3" max="3" width="16.90625" customWidth="1"/>
    <col min="4" max="4" width="13.08984375" customWidth="1"/>
    <col min="5" max="5" width="13.36328125" customWidth="1"/>
    <col min="6" max="6" width="11.453125" customWidth="1"/>
  </cols>
  <sheetData>
    <row r="1" spans="1:10" x14ac:dyDescent="0.35">
      <c r="A1">
        <v>109</v>
      </c>
      <c r="B1">
        <v>110</v>
      </c>
      <c r="C1">
        <v>110</v>
      </c>
      <c r="D1">
        <v>115</v>
      </c>
      <c r="E1">
        <v>108</v>
      </c>
      <c r="F1">
        <v>109</v>
      </c>
      <c r="G1">
        <v>110</v>
      </c>
      <c r="H1">
        <v>108</v>
      </c>
      <c r="I1" t="s">
        <v>0</v>
      </c>
      <c r="J1">
        <v>3</v>
      </c>
    </row>
    <row r="2" spans="1:10" x14ac:dyDescent="0.35">
      <c r="A2">
        <v>110</v>
      </c>
      <c r="B2">
        <v>112</v>
      </c>
      <c r="C2">
        <v>110</v>
      </c>
      <c r="D2">
        <v>111</v>
      </c>
      <c r="E2">
        <v>111</v>
      </c>
      <c r="F2">
        <v>109</v>
      </c>
      <c r="G2">
        <v>114</v>
      </c>
      <c r="H2">
        <v>112</v>
      </c>
      <c r="I2" t="s">
        <v>1</v>
      </c>
      <c r="J2">
        <v>4</v>
      </c>
    </row>
    <row r="3" spans="1:10" x14ac:dyDescent="0.35">
      <c r="A3">
        <v>116</v>
      </c>
      <c r="B3">
        <v>114</v>
      </c>
      <c r="C3">
        <v>112</v>
      </c>
      <c r="D3">
        <v>115</v>
      </c>
      <c r="E3">
        <v>114</v>
      </c>
      <c r="F3">
        <v>119</v>
      </c>
      <c r="G3">
        <v>120</v>
      </c>
      <c r="H3">
        <v>117</v>
      </c>
      <c r="I3" t="s">
        <v>2</v>
      </c>
      <c r="J3">
        <v>2</v>
      </c>
    </row>
    <row r="5" spans="1:10" x14ac:dyDescent="0.35">
      <c r="A5">
        <f t="shared" ref="A5:H7" si="0">A1^2</f>
        <v>11881</v>
      </c>
      <c r="B5">
        <f t="shared" si="0"/>
        <v>12100</v>
      </c>
      <c r="C5">
        <f t="shared" si="0"/>
        <v>12100</v>
      </c>
      <c r="D5">
        <f t="shared" si="0"/>
        <v>13225</v>
      </c>
      <c r="E5">
        <f t="shared" si="0"/>
        <v>11664</v>
      </c>
      <c r="F5">
        <f t="shared" si="0"/>
        <v>11881</v>
      </c>
      <c r="G5">
        <f t="shared" si="0"/>
        <v>12100</v>
      </c>
      <c r="H5">
        <f t="shared" si="0"/>
        <v>11664</v>
      </c>
    </row>
    <row r="6" spans="1:10" x14ac:dyDescent="0.35">
      <c r="A6">
        <f t="shared" si="0"/>
        <v>12100</v>
      </c>
      <c r="B6">
        <f t="shared" si="0"/>
        <v>12544</v>
      </c>
      <c r="C6">
        <f t="shared" si="0"/>
        <v>12100</v>
      </c>
      <c r="D6">
        <f t="shared" si="0"/>
        <v>12321</v>
      </c>
      <c r="E6">
        <f t="shared" si="0"/>
        <v>12321</v>
      </c>
      <c r="F6">
        <f t="shared" si="0"/>
        <v>11881</v>
      </c>
      <c r="G6">
        <f t="shared" si="0"/>
        <v>12996</v>
      </c>
      <c r="H6">
        <f t="shared" si="0"/>
        <v>12544</v>
      </c>
    </row>
    <row r="7" spans="1:10" x14ac:dyDescent="0.35">
      <c r="A7">
        <f t="shared" si="0"/>
        <v>13456</v>
      </c>
      <c r="B7">
        <f t="shared" si="0"/>
        <v>12996</v>
      </c>
      <c r="C7">
        <f t="shared" si="0"/>
        <v>12544</v>
      </c>
      <c r="D7">
        <f t="shared" si="0"/>
        <v>13225</v>
      </c>
      <c r="E7">
        <f t="shared" si="0"/>
        <v>12996</v>
      </c>
      <c r="F7">
        <f t="shared" si="0"/>
        <v>14161</v>
      </c>
      <c r="G7">
        <f t="shared" si="0"/>
        <v>14400</v>
      </c>
      <c r="H7">
        <f t="shared" si="0"/>
        <v>13689</v>
      </c>
      <c r="I7" t="s">
        <v>23</v>
      </c>
      <c r="J7">
        <f>SUM(A5:H7)</f>
        <v>302889</v>
      </c>
    </row>
    <row r="9" spans="1:10" x14ac:dyDescent="0.35">
      <c r="C9" t="s">
        <v>62</v>
      </c>
    </row>
    <row r="10" spans="1:10" x14ac:dyDescent="0.35">
      <c r="A10" t="s">
        <v>61</v>
      </c>
      <c r="B10">
        <v>1</v>
      </c>
      <c r="C10">
        <v>2</v>
      </c>
      <c r="D10">
        <v>3</v>
      </c>
      <c r="E10">
        <v>4</v>
      </c>
      <c r="G10" t="s">
        <v>5</v>
      </c>
    </row>
    <row r="11" spans="1:10" x14ac:dyDescent="0.35">
      <c r="A11">
        <v>1</v>
      </c>
      <c r="B11">
        <f>SUM(A1:B1)</f>
        <v>219</v>
      </c>
      <c r="C11">
        <f>SUM(C1:D1)</f>
        <v>225</v>
      </c>
      <c r="D11">
        <f>SUM(E1:F1)</f>
        <v>217</v>
      </c>
      <c r="E11">
        <f>SUM(G1:H1)</f>
        <v>218</v>
      </c>
      <c r="G11">
        <f>SUM(B11:E11)</f>
        <v>879</v>
      </c>
    </row>
    <row r="12" spans="1:10" x14ac:dyDescent="0.35">
      <c r="A12">
        <v>2</v>
      </c>
      <c r="B12">
        <f>SUM(A2:B2)</f>
        <v>222</v>
      </c>
      <c r="C12">
        <f>SUM(C2:D2)</f>
        <v>221</v>
      </c>
      <c r="D12">
        <f>SUM(E2:F2)</f>
        <v>220</v>
      </c>
      <c r="E12">
        <f>SUM(G2:H2)</f>
        <v>226</v>
      </c>
      <c r="G12">
        <f>SUM(B12:E12)</f>
        <v>889</v>
      </c>
    </row>
    <row r="13" spans="1:10" x14ac:dyDescent="0.35">
      <c r="A13">
        <v>3</v>
      </c>
      <c r="B13">
        <f>SUM(A3:B3)</f>
        <v>230</v>
      </c>
      <c r="C13">
        <f>SUM(C3:D3)</f>
        <v>227</v>
      </c>
      <c r="D13">
        <f>SUM(E3:F3)</f>
        <v>233</v>
      </c>
      <c r="E13">
        <f>SUM(G3:H3)</f>
        <v>237</v>
      </c>
      <c r="G13">
        <f>SUM(B13:E13)</f>
        <v>927</v>
      </c>
    </row>
    <row r="15" spans="1:10" x14ac:dyDescent="0.35">
      <c r="A15" t="s">
        <v>6</v>
      </c>
      <c r="B15">
        <f>SUM(B11:B13)</f>
        <v>671</v>
      </c>
      <c r="C15">
        <f>SUM(C11:C13)</f>
        <v>673</v>
      </c>
      <c r="D15">
        <f>SUM(D11:D13)</f>
        <v>670</v>
      </c>
      <c r="E15">
        <f>SUM(E11:E13)</f>
        <v>681</v>
      </c>
      <c r="G15">
        <f>SUM(G11:G13)</f>
        <v>2695</v>
      </c>
    </row>
    <row r="16" spans="1:10" x14ac:dyDescent="0.35">
      <c r="G16" t="s">
        <v>7</v>
      </c>
    </row>
    <row r="18" spans="1:8" x14ac:dyDescent="0.35">
      <c r="A18" t="s">
        <v>48</v>
      </c>
      <c r="B18">
        <f>B15^2</f>
        <v>450241</v>
      </c>
      <c r="C18">
        <f>C15^2</f>
        <v>452929</v>
      </c>
      <c r="D18">
        <f>D15^2</f>
        <v>448900</v>
      </c>
      <c r="E18">
        <f>E15^2</f>
        <v>463761</v>
      </c>
      <c r="G18" t="s">
        <v>23</v>
      </c>
      <c r="H18">
        <f>SUM(B18:E18)</f>
        <v>1815831</v>
      </c>
    </row>
    <row r="19" spans="1:8" x14ac:dyDescent="0.35">
      <c r="A19" t="s">
        <v>63</v>
      </c>
      <c r="B19">
        <f>G11^2</f>
        <v>772641</v>
      </c>
      <c r="C19">
        <f>G12^2</f>
        <v>790321</v>
      </c>
      <c r="D19">
        <f>G13^2</f>
        <v>859329</v>
      </c>
      <c r="G19" t="s">
        <v>23</v>
      </c>
      <c r="H19">
        <f>SUM(B19:D19)</f>
        <v>2422291</v>
      </c>
    </row>
    <row r="20" spans="1:8" x14ac:dyDescent="0.35">
      <c r="G20" t="s">
        <v>49</v>
      </c>
      <c r="H20">
        <f>G15^2</f>
        <v>7263025</v>
      </c>
    </row>
    <row r="22" spans="1:8" x14ac:dyDescent="0.35">
      <c r="A22" t="s">
        <v>26</v>
      </c>
      <c r="B22">
        <f t="shared" ref="B22:E24" si="1">B11^2</f>
        <v>47961</v>
      </c>
      <c r="C22">
        <f t="shared" si="1"/>
        <v>50625</v>
      </c>
      <c r="D22">
        <f t="shared" si="1"/>
        <v>47089</v>
      </c>
      <c r="E22">
        <f t="shared" si="1"/>
        <v>47524</v>
      </c>
    </row>
    <row r="23" spans="1:8" x14ac:dyDescent="0.35">
      <c r="B23">
        <f t="shared" si="1"/>
        <v>49284</v>
      </c>
      <c r="C23">
        <f t="shared" si="1"/>
        <v>48841</v>
      </c>
      <c r="D23">
        <f t="shared" si="1"/>
        <v>48400</v>
      </c>
      <c r="E23">
        <f t="shared" si="1"/>
        <v>51076</v>
      </c>
    </row>
    <row r="24" spans="1:8" x14ac:dyDescent="0.35">
      <c r="B24">
        <f t="shared" si="1"/>
        <v>52900</v>
      </c>
      <c r="C24">
        <f t="shared" si="1"/>
        <v>51529</v>
      </c>
      <c r="D24">
        <f t="shared" si="1"/>
        <v>54289</v>
      </c>
      <c r="E24">
        <f t="shared" si="1"/>
        <v>56169</v>
      </c>
      <c r="G24" t="s">
        <v>23</v>
      </c>
      <c r="H24">
        <f>SUM(B22:E24)</f>
        <v>605687</v>
      </c>
    </row>
    <row r="26" spans="1:8" x14ac:dyDescent="0.35">
      <c r="B26" t="s">
        <v>31</v>
      </c>
      <c r="C26" t="s">
        <v>32</v>
      </c>
      <c r="D26" t="s">
        <v>33</v>
      </c>
      <c r="E26" t="s">
        <v>20</v>
      </c>
      <c r="F26" t="s">
        <v>21</v>
      </c>
      <c r="G26" t="s">
        <v>40</v>
      </c>
    </row>
    <row r="27" spans="1:8" x14ac:dyDescent="0.35">
      <c r="A27" t="s">
        <v>51</v>
      </c>
      <c r="B27">
        <f>J7-H20/(J1*J2*J3)</f>
        <v>262.95833333331393</v>
      </c>
      <c r="C27">
        <f>J1*J2*J3-1</f>
        <v>23</v>
      </c>
    </row>
    <row r="28" spans="1:8" x14ac:dyDescent="0.35">
      <c r="A28" t="s">
        <v>52</v>
      </c>
      <c r="B28">
        <f>H19/(J2*J3)-H20/(J1*J2*J3)</f>
        <v>160.33333333331393</v>
      </c>
      <c r="C28">
        <f>J1-1</f>
        <v>2</v>
      </c>
      <c r="D28">
        <f>B28/C28</f>
        <v>80.166666666656965</v>
      </c>
      <c r="E28">
        <f>D28/D32</f>
        <v>21.142857142854584</v>
      </c>
    </row>
    <row r="29" spans="1:8" x14ac:dyDescent="0.35">
      <c r="A29" t="s">
        <v>53</v>
      </c>
      <c r="B29">
        <f>H18/(J1*J3)-H20/(J1*J2*J3)</f>
        <v>12.458333333313931</v>
      </c>
      <c r="C29">
        <f>J2-1</f>
        <v>3</v>
      </c>
      <c r="D29">
        <f>B29/C29</f>
        <v>4.15277777777131</v>
      </c>
      <c r="E29">
        <f>D29/D32</f>
        <v>1.0952380952363894</v>
      </c>
    </row>
    <row r="30" spans="1:8" x14ac:dyDescent="0.35">
      <c r="A30" t="s">
        <v>54</v>
      </c>
      <c r="B30">
        <f>H24/J3-H20/(J1*J2*J3)</f>
        <v>217.45833333331393</v>
      </c>
    </row>
    <row r="31" spans="1:8" x14ac:dyDescent="0.35">
      <c r="A31" t="s">
        <v>55</v>
      </c>
      <c r="B31">
        <f>B30-(B28+B29)</f>
        <v>44.666666666686069</v>
      </c>
      <c r="C31">
        <f>(J1-1)*(J2-1)</f>
        <v>6</v>
      </c>
      <c r="D31">
        <f>B31/C31</f>
        <v>7.4444444444476785</v>
      </c>
      <c r="E31">
        <f>D31/D32</f>
        <v>1.9633699633708164</v>
      </c>
    </row>
    <row r="32" spans="1:8" x14ac:dyDescent="0.35">
      <c r="A32" t="s">
        <v>56</v>
      </c>
      <c r="B32">
        <f>B27-B30</f>
        <v>45.5</v>
      </c>
      <c r="C32">
        <f>C27-(C28+C29+C31)</f>
        <v>12</v>
      </c>
      <c r="D32">
        <f>B32/C32</f>
        <v>3.7916666666666665</v>
      </c>
    </row>
    <row r="34" spans="1:7" x14ac:dyDescent="0.35">
      <c r="A34" t="s">
        <v>30</v>
      </c>
      <c r="B34" t="s">
        <v>69</v>
      </c>
      <c r="C34" t="s">
        <v>70</v>
      </c>
      <c r="D34" t="s">
        <v>115</v>
      </c>
      <c r="E34" t="s">
        <v>34</v>
      </c>
      <c r="F34" t="s">
        <v>21</v>
      </c>
      <c r="G34" t="s">
        <v>40</v>
      </c>
    </row>
    <row r="35" spans="1:7" x14ac:dyDescent="0.35">
      <c r="A35" t="s">
        <v>112</v>
      </c>
      <c r="B35">
        <v>160.33000000000001</v>
      </c>
      <c r="C35">
        <v>2</v>
      </c>
      <c r="D35">
        <v>80.17</v>
      </c>
      <c r="E35">
        <v>21.14</v>
      </c>
      <c r="F35">
        <f>_xlfn.F.INV.RT(0.05,C35,$C$38)</f>
        <v>3.8852938346523942</v>
      </c>
      <c r="G35">
        <f>_xlfn.F.DIST.RT(E35,C35,$C$38)</f>
        <v>1.167477292746579E-4</v>
      </c>
    </row>
    <row r="36" spans="1:7" x14ac:dyDescent="0.35">
      <c r="A36" t="s">
        <v>113</v>
      </c>
      <c r="B36">
        <v>12.46</v>
      </c>
      <c r="C36">
        <v>3</v>
      </c>
      <c r="D36">
        <v>4.1500000000000004</v>
      </c>
      <c r="E36">
        <v>1.1000000000000001</v>
      </c>
      <c r="F36">
        <f>_xlfn.F.INV.RT(0.05,C36,$C$37)</f>
        <v>4.7570626630894131</v>
      </c>
      <c r="G36">
        <f t="shared" ref="G36:G37" si="2">_xlfn.F.DIST.RT(E36,C36,$C$38)</f>
        <v>0.38697215263590862</v>
      </c>
    </row>
    <row r="37" spans="1:7" x14ac:dyDescent="0.35">
      <c r="A37" t="s">
        <v>37</v>
      </c>
      <c r="B37">
        <v>44.67</v>
      </c>
      <c r="C37">
        <v>6</v>
      </c>
      <c r="D37">
        <v>7.44</v>
      </c>
      <c r="E37">
        <v>1.96</v>
      </c>
      <c r="F37">
        <f>_xlfn.F.INV.RT(0.05,C37,$C$38)</f>
        <v>2.996120377517109</v>
      </c>
      <c r="G37">
        <f t="shared" si="2"/>
        <v>0.15126069089623223</v>
      </c>
    </row>
    <row r="38" spans="1:7" x14ac:dyDescent="0.35">
      <c r="A38" t="s">
        <v>114</v>
      </c>
      <c r="B38">
        <v>45.5</v>
      </c>
      <c r="C38">
        <v>12</v>
      </c>
      <c r="D38">
        <v>3.79</v>
      </c>
    </row>
    <row r="39" spans="1:7" x14ac:dyDescent="0.35">
      <c r="A39" t="s">
        <v>39</v>
      </c>
      <c r="B39">
        <v>262.95999999999998</v>
      </c>
      <c r="C39">
        <v>13</v>
      </c>
    </row>
    <row r="41" spans="1:7" x14ac:dyDescent="0.35">
      <c r="A4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0B78-647E-484C-B194-F7BB0464BE3C}">
  <dimension ref="A1:J47"/>
  <sheetViews>
    <sheetView topLeftCell="A24" workbookViewId="0">
      <selection activeCell="B51" sqref="B51"/>
    </sheetView>
  </sheetViews>
  <sheetFormatPr defaultRowHeight="14.5" x14ac:dyDescent="0.35"/>
  <cols>
    <col min="1" max="1" width="16.54296875" customWidth="1"/>
    <col min="2" max="2" width="15.36328125" customWidth="1"/>
    <col min="3" max="3" width="17.1796875" customWidth="1"/>
    <col min="4" max="4" width="12.90625" customWidth="1"/>
    <col min="6" max="6" width="11.1796875" customWidth="1"/>
  </cols>
  <sheetData>
    <row r="1" spans="1:10" x14ac:dyDescent="0.35">
      <c r="A1">
        <v>17.899999999999999</v>
      </c>
      <c r="B1">
        <v>18.100000000000001</v>
      </c>
      <c r="C1">
        <v>17.8</v>
      </c>
      <c r="D1">
        <v>17.8</v>
      </c>
      <c r="E1">
        <v>18.100000000000001</v>
      </c>
      <c r="F1">
        <v>18.2</v>
      </c>
      <c r="G1">
        <v>17.8</v>
      </c>
      <c r="H1">
        <v>17.899999999999999</v>
      </c>
      <c r="I1" t="s">
        <v>0</v>
      </c>
      <c r="J1">
        <v>3</v>
      </c>
    </row>
    <row r="2" spans="1:10" x14ac:dyDescent="0.35">
      <c r="A2">
        <v>18.2</v>
      </c>
      <c r="B2">
        <v>18</v>
      </c>
      <c r="C2">
        <v>18</v>
      </c>
      <c r="D2">
        <v>18.3</v>
      </c>
      <c r="E2">
        <v>18.399999999999999</v>
      </c>
      <c r="F2">
        <v>18.100000000000001</v>
      </c>
      <c r="G2">
        <v>18.100000000000001</v>
      </c>
      <c r="H2">
        <v>18.5</v>
      </c>
      <c r="I2" t="s">
        <v>1</v>
      </c>
      <c r="J2">
        <v>4</v>
      </c>
    </row>
    <row r="3" spans="1:10" x14ac:dyDescent="0.35">
      <c r="A3">
        <v>18</v>
      </c>
      <c r="B3">
        <v>17.8</v>
      </c>
      <c r="C3">
        <v>17.8</v>
      </c>
      <c r="D3">
        <v>18</v>
      </c>
      <c r="E3">
        <v>18.100000000000001</v>
      </c>
      <c r="F3">
        <v>18.3</v>
      </c>
      <c r="G3">
        <v>18.100000000000001</v>
      </c>
      <c r="H3">
        <v>17.899999999999999</v>
      </c>
      <c r="I3" t="s">
        <v>2</v>
      </c>
      <c r="J3">
        <v>2</v>
      </c>
    </row>
    <row r="5" spans="1:10" x14ac:dyDescent="0.35">
      <c r="A5">
        <f t="shared" ref="A5:H7" si="0">A1^2</f>
        <v>320.40999999999997</v>
      </c>
      <c r="B5">
        <f t="shared" si="0"/>
        <v>327.61000000000007</v>
      </c>
      <c r="C5">
        <f t="shared" si="0"/>
        <v>316.84000000000003</v>
      </c>
      <c r="D5">
        <f t="shared" si="0"/>
        <v>316.84000000000003</v>
      </c>
      <c r="E5">
        <f t="shared" si="0"/>
        <v>327.61000000000007</v>
      </c>
      <c r="F5">
        <f t="shared" si="0"/>
        <v>331.23999999999995</v>
      </c>
      <c r="G5">
        <f t="shared" si="0"/>
        <v>316.84000000000003</v>
      </c>
      <c r="H5">
        <f t="shared" si="0"/>
        <v>320.40999999999997</v>
      </c>
    </row>
    <row r="6" spans="1:10" x14ac:dyDescent="0.35">
      <c r="A6">
        <f t="shared" si="0"/>
        <v>331.23999999999995</v>
      </c>
      <c r="B6">
        <f t="shared" si="0"/>
        <v>324</v>
      </c>
      <c r="C6">
        <f t="shared" si="0"/>
        <v>324</v>
      </c>
      <c r="D6">
        <f t="shared" si="0"/>
        <v>334.89000000000004</v>
      </c>
      <c r="E6">
        <f t="shared" si="0"/>
        <v>338.55999999999995</v>
      </c>
      <c r="F6">
        <f t="shared" si="0"/>
        <v>327.61000000000007</v>
      </c>
      <c r="G6">
        <f t="shared" si="0"/>
        <v>327.61000000000007</v>
      </c>
      <c r="H6">
        <f t="shared" si="0"/>
        <v>342.25</v>
      </c>
    </row>
    <row r="7" spans="1:10" x14ac:dyDescent="0.35">
      <c r="A7">
        <f t="shared" si="0"/>
        <v>324</v>
      </c>
      <c r="B7">
        <f t="shared" si="0"/>
        <v>316.84000000000003</v>
      </c>
      <c r="C7">
        <f t="shared" si="0"/>
        <v>316.84000000000003</v>
      </c>
      <c r="D7">
        <f t="shared" si="0"/>
        <v>324</v>
      </c>
      <c r="E7">
        <f t="shared" si="0"/>
        <v>327.61000000000007</v>
      </c>
      <c r="F7">
        <f t="shared" si="0"/>
        <v>334.89000000000004</v>
      </c>
      <c r="G7">
        <f t="shared" si="0"/>
        <v>327.61000000000007</v>
      </c>
      <c r="H7">
        <f t="shared" si="0"/>
        <v>320.40999999999997</v>
      </c>
      <c r="I7">
        <f>SUM(A5:H7)</f>
        <v>7820.1599999999989</v>
      </c>
    </row>
    <row r="9" spans="1:10" x14ac:dyDescent="0.35">
      <c r="C9" t="s">
        <v>3</v>
      </c>
    </row>
    <row r="10" spans="1:10" x14ac:dyDescent="0.35">
      <c r="A10" t="s">
        <v>24</v>
      </c>
      <c r="B10">
        <v>1</v>
      </c>
      <c r="C10">
        <v>2</v>
      </c>
      <c r="D10">
        <v>3</v>
      </c>
      <c r="E10">
        <v>4</v>
      </c>
      <c r="G10" t="s">
        <v>5</v>
      </c>
    </row>
    <row r="11" spans="1:10" x14ac:dyDescent="0.35">
      <c r="A11">
        <v>1</v>
      </c>
      <c r="B11">
        <f>SUM(A1:B1)</f>
        <v>36</v>
      </c>
      <c r="C11">
        <f>SUM(C1:D1)</f>
        <v>35.6</v>
      </c>
      <c r="D11">
        <f>SUM(E1:F1)</f>
        <v>36.299999999999997</v>
      </c>
      <c r="E11">
        <f>SUM(G1:H1)</f>
        <v>35.700000000000003</v>
      </c>
      <c r="G11">
        <f>SUM(B11:E11)</f>
        <v>143.6</v>
      </c>
    </row>
    <row r="12" spans="1:10" x14ac:dyDescent="0.35">
      <c r="A12">
        <v>2</v>
      </c>
      <c r="B12">
        <f>SUM(A2:B2)</f>
        <v>36.200000000000003</v>
      </c>
      <c r="C12">
        <f>SUM(C2:D2)</f>
        <v>36.299999999999997</v>
      </c>
      <c r="D12">
        <f>SUM(E2:F2)</f>
        <v>36.5</v>
      </c>
      <c r="E12">
        <f>SUM(G2:H2)</f>
        <v>36.6</v>
      </c>
      <c r="G12">
        <f>SUM(B12:E12)</f>
        <v>145.6</v>
      </c>
    </row>
    <row r="13" spans="1:10" x14ac:dyDescent="0.35">
      <c r="A13">
        <v>3</v>
      </c>
      <c r="B13">
        <f>SUM(A3:B3)</f>
        <v>35.799999999999997</v>
      </c>
      <c r="C13">
        <f>SUM(C3:D3)</f>
        <v>35.799999999999997</v>
      </c>
      <c r="D13">
        <f>SUM(E3:F3)</f>
        <v>36.400000000000006</v>
      </c>
      <c r="E13">
        <f>SUM(G3:H3)</f>
        <v>36</v>
      </c>
      <c r="G13">
        <f>SUM(B13:E13)</f>
        <v>144</v>
      </c>
    </row>
    <row r="15" spans="1:10" x14ac:dyDescent="0.35">
      <c r="A15" t="s">
        <v>6</v>
      </c>
      <c r="B15">
        <f>SUM(B11:B13)</f>
        <v>108</v>
      </c>
      <c r="C15">
        <f>SUM(C11:C13)</f>
        <v>107.7</v>
      </c>
      <c r="D15">
        <f>SUM(D11:D13)</f>
        <v>109.2</v>
      </c>
      <c r="E15">
        <f>SUM(E11:E13)</f>
        <v>108.30000000000001</v>
      </c>
      <c r="G15">
        <f>SUM(G11:G13)</f>
        <v>433.2</v>
      </c>
    </row>
    <row r="16" spans="1:10" x14ac:dyDescent="0.35">
      <c r="G16" t="s">
        <v>7</v>
      </c>
    </row>
    <row r="18" spans="1:8" x14ac:dyDescent="0.35">
      <c r="A18" t="s">
        <v>8</v>
      </c>
      <c r="B18">
        <f>B15^2</f>
        <v>11664</v>
      </c>
      <c r="C18">
        <f>C15^2</f>
        <v>11599.29</v>
      </c>
      <c r="D18">
        <f>D15^2</f>
        <v>11924.640000000001</v>
      </c>
      <c r="E18">
        <f>E15^2</f>
        <v>11728.890000000003</v>
      </c>
      <c r="G18" t="s">
        <v>23</v>
      </c>
      <c r="H18">
        <f>SUM(B18:E18)</f>
        <v>46916.820000000007</v>
      </c>
    </row>
    <row r="19" spans="1:8" x14ac:dyDescent="0.35">
      <c r="A19" t="s">
        <v>25</v>
      </c>
      <c r="B19">
        <f>G11^2</f>
        <v>20620.96</v>
      </c>
      <c r="C19">
        <f>G12^2</f>
        <v>21199.359999999997</v>
      </c>
      <c r="D19">
        <f>G13^2</f>
        <v>20736</v>
      </c>
      <c r="G19" t="s">
        <v>23</v>
      </c>
      <c r="H19">
        <f>SUM(B19:D19)</f>
        <v>62556.319999999992</v>
      </c>
    </row>
    <row r="20" spans="1:8" x14ac:dyDescent="0.35">
      <c r="G20" t="s">
        <v>59</v>
      </c>
      <c r="H20">
        <f>G15^2</f>
        <v>187662.24</v>
      </c>
    </row>
    <row r="22" spans="1:8" x14ac:dyDescent="0.35">
      <c r="A22" t="s">
        <v>64</v>
      </c>
      <c r="B22">
        <f t="shared" ref="B22:E24" si="1">B11^2</f>
        <v>1296</v>
      </c>
      <c r="C22">
        <f t="shared" si="1"/>
        <v>1267.3600000000001</v>
      </c>
      <c r="D22">
        <f t="shared" si="1"/>
        <v>1317.6899999999998</v>
      </c>
      <c r="E22">
        <f t="shared" si="1"/>
        <v>1274.4900000000002</v>
      </c>
    </row>
    <row r="23" spans="1:8" x14ac:dyDescent="0.35">
      <c r="B23">
        <f t="shared" si="1"/>
        <v>1310.4400000000003</v>
      </c>
      <c r="C23">
        <f t="shared" si="1"/>
        <v>1317.6899999999998</v>
      </c>
      <c r="D23">
        <f t="shared" si="1"/>
        <v>1332.25</v>
      </c>
      <c r="E23">
        <f t="shared" si="1"/>
        <v>1339.5600000000002</v>
      </c>
    </row>
    <row r="24" spans="1:8" x14ac:dyDescent="0.35">
      <c r="B24">
        <f t="shared" si="1"/>
        <v>1281.6399999999999</v>
      </c>
      <c r="C24">
        <f t="shared" si="1"/>
        <v>1281.6399999999999</v>
      </c>
      <c r="D24">
        <f t="shared" si="1"/>
        <v>1324.9600000000005</v>
      </c>
      <c r="E24">
        <f t="shared" si="1"/>
        <v>1296</v>
      </c>
      <c r="G24" t="s">
        <v>23</v>
      </c>
      <c r="H24">
        <f>SUM(B22:E24)</f>
        <v>15639.720000000001</v>
      </c>
    </row>
    <row r="26" spans="1:8" x14ac:dyDescent="0.35">
      <c r="B26" t="s">
        <v>31</v>
      </c>
      <c r="C26" t="s">
        <v>32</v>
      </c>
      <c r="D26" t="s">
        <v>33</v>
      </c>
      <c r="E26" t="s">
        <v>20</v>
      </c>
    </row>
    <row r="27" spans="1:8" x14ac:dyDescent="0.35">
      <c r="A27" t="s">
        <v>51</v>
      </c>
      <c r="B27">
        <f>I7-H20/(J1*J2*J3)</f>
        <v>0.8999999999996362</v>
      </c>
      <c r="C27">
        <f>J1*J2*J3-1</f>
        <v>23</v>
      </c>
    </row>
    <row r="28" spans="1:8" x14ac:dyDescent="0.35">
      <c r="A28" t="s">
        <v>52</v>
      </c>
      <c r="B28">
        <f>H19/(J2*J3)-H20/(J1*J2*J3)</f>
        <v>0.27999999999974534</v>
      </c>
      <c r="C28">
        <f>J1-1</f>
        <v>2</v>
      </c>
      <c r="D28">
        <f>B28/C28</f>
        <v>0.13999999999987267</v>
      </c>
      <c r="E28">
        <f>D28/D32</f>
        <v>5.6000000000254655</v>
      </c>
    </row>
    <row r="29" spans="1:8" x14ac:dyDescent="0.35">
      <c r="A29" t="s">
        <v>53</v>
      </c>
      <c r="B29">
        <f>H18/(J1*J3)-H20/(J1*J2*J3)</f>
        <v>0.21000000000185537</v>
      </c>
      <c r="C29">
        <f>J2-1</f>
        <v>3</v>
      </c>
      <c r="D29">
        <f>B29/C29</f>
        <v>7.0000000000618456E-2</v>
      </c>
      <c r="E29">
        <f>D29/D32</f>
        <v>2.8000000000400176</v>
      </c>
    </row>
    <row r="30" spans="1:8" x14ac:dyDescent="0.35">
      <c r="A30" t="s">
        <v>54</v>
      </c>
      <c r="B30">
        <f>H24/J3-H20/(J1*J2*J3)</f>
        <v>0.60000000000127329</v>
      </c>
    </row>
    <row r="31" spans="1:8" x14ac:dyDescent="0.35">
      <c r="A31" t="s">
        <v>55</v>
      </c>
      <c r="B31">
        <f>B30-(B28+B29)</f>
        <v>0.10999999999967258</v>
      </c>
      <c r="C31">
        <f>(J1-1)*(J2-1)</f>
        <v>6</v>
      </c>
      <c r="D31">
        <f>B31/C31</f>
        <v>1.8333333333278762E-2</v>
      </c>
      <c r="E31">
        <f>D31/D32</f>
        <v>0.73333333333515227</v>
      </c>
    </row>
    <row r="32" spans="1:8" x14ac:dyDescent="0.35">
      <c r="A32" t="s">
        <v>56</v>
      </c>
      <c r="B32">
        <f>B27-B30</f>
        <v>0.29999999999836291</v>
      </c>
      <c r="C32">
        <f>C27-(C28+C29+C31)</f>
        <v>12</v>
      </c>
      <c r="D32">
        <f>B32/C32</f>
        <v>2.4999999999863576E-2</v>
      </c>
    </row>
    <row r="34" spans="1:10" x14ac:dyDescent="0.35">
      <c r="A34" t="s">
        <v>30</v>
      </c>
      <c r="B34" t="s">
        <v>69</v>
      </c>
      <c r="C34" t="s">
        <v>70</v>
      </c>
      <c r="D34" t="s">
        <v>115</v>
      </c>
      <c r="E34" t="s">
        <v>34</v>
      </c>
      <c r="F34" t="s">
        <v>21</v>
      </c>
    </row>
    <row r="35" spans="1:10" x14ac:dyDescent="0.35">
      <c r="A35" t="s">
        <v>35</v>
      </c>
      <c r="B35">
        <v>0.28000000000000003</v>
      </c>
      <c r="C35">
        <v>2</v>
      </c>
      <c r="D35">
        <v>0.14000000000000001</v>
      </c>
      <c r="E35">
        <v>5.6</v>
      </c>
      <c r="F35">
        <f>_xlfn.F.INV.RT(0.05,C35,$C$38)</f>
        <v>3.8852938346523942</v>
      </c>
    </row>
    <row r="36" spans="1:10" x14ac:dyDescent="0.35">
      <c r="A36" t="s">
        <v>117</v>
      </c>
      <c r="B36">
        <v>0.21</v>
      </c>
      <c r="C36">
        <v>3</v>
      </c>
      <c r="D36">
        <v>7.0000000000000007E-2</v>
      </c>
      <c r="E36">
        <v>2.8</v>
      </c>
      <c r="F36">
        <f>_xlfn.F.INV.RT(0.05,C36,$C$38)</f>
        <v>3.4902948194976045</v>
      </c>
    </row>
    <row r="37" spans="1:10" x14ac:dyDescent="0.35">
      <c r="A37" t="s">
        <v>37</v>
      </c>
      <c r="B37">
        <v>0.11</v>
      </c>
      <c r="C37">
        <v>6</v>
      </c>
      <c r="D37">
        <v>1.83E-2</v>
      </c>
      <c r="E37">
        <v>0.73299999999999998</v>
      </c>
      <c r="F37">
        <f>_xlfn.F.INV.RT(0.05,C37,$C$38)</f>
        <v>2.996120377517109</v>
      </c>
    </row>
    <row r="38" spans="1:10" x14ac:dyDescent="0.35">
      <c r="A38" t="s">
        <v>38</v>
      </c>
      <c r="B38">
        <v>0.3</v>
      </c>
      <c r="C38">
        <v>12</v>
      </c>
      <c r="D38">
        <v>2.5000000000000001E-2</v>
      </c>
    </row>
    <row r="39" spans="1:10" x14ac:dyDescent="0.35">
      <c r="A39" t="s">
        <v>39</v>
      </c>
      <c r="B39">
        <v>0.9</v>
      </c>
      <c r="C39">
        <v>23</v>
      </c>
    </row>
    <row r="41" spans="1:10" x14ac:dyDescent="0.35">
      <c r="A41" t="s">
        <v>118</v>
      </c>
    </row>
    <row r="42" spans="1:10" x14ac:dyDescent="0.35">
      <c r="G42" s="10"/>
      <c r="H42" s="10"/>
      <c r="I42" s="10" t="s">
        <v>123</v>
      </c>
      <c r="J42" s="10" t="s">
        <v>124</v>
      </c>
    </row>
    <row r="43" spans="1:10" x14ac:dyDescent="0.35">
      <c r="A43" t="s">
        <v>90</v>
      </c>
      <c r="B43" t="s">
        <v>119</v>
      </c>
      <c r="C43">
        <f>SUM(A1:B1)/2</f>
        <v>18</v>
      </c>
      <c r="D43">
        <f>SUM(A2:B2)/2</f>
        <v>18.100000000000001</v>
      </c>
      <c r="E43">
        <f>SUM(A3:B3)/2</f>
        <v>17.899999999999999</v>
      </c>
      <c r="G43" s="10" t="s">
        <v>100</v>
      </c>
      <c r="H43" s="10">
        <f>I43-J43</f>
        <v>0.20000000000000284</v>
      </c>
      <c r="I43" s="10">
        <f>MAX(C43:E43)</f>
        <v>18.100000000000001</v>
      </c>
      <c r="J43" s="10">
        <f>MIN(C43:E43)</f>
        <v>17.899999999999999</v>
      </c>
    </row>
    <row r="44" spans="1:10" x14ac:dyDescent="0.35">
      <c r="B44" t="s">
        <v>120</v>
      </c>
      <c r="C44">
        <f>SUM(C1:D1)/2</f>
        <v>17.8</v>
      </c>
      <c r="D44">
        <f>SUM(C2:D2)/2</f>
        <v>18.149999999999999</v>
      </c>
      <c r="E44">
        <f>SUM(C3:D3)/2</f>
        <v>17.899999999999999</v>
      </c>
      <c r="G44" s="10" t="s">
        <v>100</v>
      </c>
      <c r="H44" s="10">
        <f>I44-J44</f>
        <v>0.34999999999999787</v>
      </c>
      <c r="I44" s="10">
        <f>MAX(C44:E44)</f>
        <v>18.149999999999999</v>
      </c>
      <c r="J44" s="10">
        <f>MIN(C44:E44)</f>
        <v>17.8</v>
      </c>
    </row>
    <row r="45" spans="1:10" x14ac:dyDescent="0.35">
      <c r="B45" s="5" t="s">
        <v>121</v>
      </c>
      <c r="C45" s="5">
        <f>SUM(E1:F1)/2</f>
        <v>18.149999999999999</v>
      </c>
      <c r="D45" s="5">
        <f>SUM(E2:F2)/2</f>
        <v>18.25</v>
      </c>
      <c r="E45" s="5">
        <f>SUM(E3:F3)/2</f>
        <v>18.200000000000003</v>
      </c>
      <c r="F45" s="5"/>
      <c r="G45" s="5" t="s">
        <v>100</v>
      </c>
      <c r="H45" s="5">
        <f>I45-J45</f>
        <v>0.10000000000000142</v>
      </c>
      <c r="I45" s="5">
        <f>MAX(C45:E45)</f>
        <v>18.25</v>
      </c>
      <c r="J45" s="5">
        <f>MIN(C45:E45)</f>
        <v>18.149999999999999</v>
      </c>
    </row>
    <row r="46" spans="1:10" x14ac:dyDescent="0.35">
      <c r="B46" t="s">
        <v>122</v>
      </c>
      <c r="C46">
        <f>SUM(G1:H1)/2</f>
        <v>17.850000000000001</v>
      </c>
      <c r="D46">
        <f>SUM(G2:H2)/2</f>
        <v>18.3</v>
      </c>
      <c r="E46">
        <f>SUM(G3:H3)/2</f>
        <v>18</v>
      </c>
      <c r="G46" s="10" t="s">
        <v>100</v>
      </c>
      <c r="H46" s="10">
        <f>I46-J46</f>
        <v>0.44999999999999929</v>
      </c>
      <c r="I46" s="10">
        <f>MAX(C46:E46)</f>
        <v>18.3</v>
      </c>
      <c r="J46" s="10">
        <f>MIN(C46:E46)</f>
        <v>17.850000000000001</v>
      </c>
    </row>
    <row r="47" spans="1:10" x14ac:dyDescent="0.35">
      <c r="A4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AN1</vt:lpstr>
      <vt:lpstr>AN2</vt:lpstr>
      <vt:lpstr>AN3</vt:lpstr>
      <vt:lpstr>AN4</vt:lpstr>
      <vt:lpstr>AN5</vt:lpstr>
      <vt:lpstr>AN6</vt:lpstr>
      <vt:lpstr>AN7</vt:lpstr>
      <vt:lpstr>AN8</vt:lpstr>
      <vt:lpstr>AN9</vt:lpstr>
      <vt:lpstr>BD2018</vt:lpstr>
      <vt:lpstr>BD2</vt:lpstr>
      <vt:lpstr>BD3</vt:lpstr>
      <vt:lpstr>BD4</vt:lpstr>
      <vt:lpstr>2D2017</vt:lpstr>
      <vt:lpstr>2D2018</vt:lpstr>
      <vt:lpstr>2D2019</vt:lpstr>
      <vt:lpstr>2D2020</vt:lpstr>
      <vt:lpstr>2D2016</vt:lpstr>
      <vt:lpstr>CFD2007</vt:lpstr>
      <vt:lpstr>CFD200 8</vt:lpstr>
      <vt:lpstr>CFD2010</vt:lpstr>
      <vt:lpstr>CFD2015</vt:lpstr>
      <vt:lpstr>CF2012</vt:lpstr>
      <vt:lpstr>CFD2019</vt:lpstr>
      <vt:lpstr>CFD2020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2022-11-15T08:12:36Z</dcterms:modified>
</cp:coreProperties>
</file>