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\Documents\"/>
    </mc:Choice>
  </mc:AlternateContent>
  <xr:revisionPtr revIDLastSave="0" documentId="13_ncr:1_{B22AC158-BD75-479F-8CD7-4E7D5B7856F8}" xr6:coauthVersionLast="45" xr6:coauthVersionMax="45" xr10:uidLastSave="{00000000-0000-0000-0000-000000000000}"/>
  <bookViews>
    <workbookView xWindow="-110" yWindow="-110" windowWidth="19420" windowHeight="11020" activeTab="2" xr2:uid="{83FC6838-D491-4C41-A641-1098CFE6C91D}"/>
  </bookViews>
  <sheets>
    <sheet name="DATA" sheetId="49" r:id="rId1"/>
    <sheet name="DATA NORMALISED" sheetId="10" r:id="rId2"/>
    <sheet name="Financial Projections" sheetId="3" r:id="rId3"/>
    <sheet name="Ratio Analysis for FRAN" sheetId="16" r:id="rId4"/>
    <sheet name="Ratio analysis for Competitor" sheetId="43" r:id="rId5"/>
    <sheet name="NASDAQ Composite index (Values)" sheetId="5" r:id="rId6"/>
    <sheet name="NASDAQ Composite Index Return" sheetId="7" r:id="rId7"/>
    <sheet name="Risk free returns" sheetId="6" r:id="rId8"/>
    <sheet name="FRAN Stock Price" sheetId="11" r:id="rId9"/>
    <sheet name="FRAN % Changes in Stock Prices" sheetId="12" r:id="rId10"/>
    <sheet name="Excess Return" sheetId="8" state="hidden" r:id="rId11"/>
    <sheet name="Cost of Equity" sheetId="9" r:id="rId12"/>
    <sheet name="WACC" sheetId="18" r:id="rId13"/>
    <sheet name="Free Cash Flow" sheetId="14" r:id="rId14"/>
    <sheet name="Cost of debt after Forecast" sheetId="36" r:id="rId15"/>
    <sheet name="New Cost of Equity" sheetId="35" r:id="rId16"/>
    <sheet name="New WACC" sheetId="34" r:id="rId17"/>
    <sheet name="Terminal Value" sheetId="17" r:id="rId18"/>
    <sheet name="Present Value" sheetId="19" r:id="rId19"/>
    <sheet name="Value Earnings Capitalization" sheetId="37" r:id="rId20"/>
    <sheet name="PE MULTIPLE FOR FRAN" sheetId="21" r:id="rId21"/>
    <sheet name="PE MULTIPLE FOR COMPETITOR" sheetId="23" r:id="rId22"/>
    <sheet name="Net Assest Value FRAN" sheetId="20" r:id="rId23"/>
    <sheet name="NAV FOR COMPETITOR" sheetId="22" r:id="rId24"/>
    <sheet name="PB Value Multiple for FRAN" sheetId="28" r:id="rId25"/>
    <sheet name="PB Value Multiple - competitor" sheetId="31" r:id="rId26"/>
    <sheet name="Final Value" sheetId="41" r:id="rId27"/>
    <sheet name="ALTMAN Z SCORE" sheetId="45" r:id="rId28"/>
    <sheet name="Price to Sales Ratio for compet" sheetId="33" state="hidden" r:id="rId29"/>
    <sheet name="Income statement for competitor" sheetId="25" state="hidden" r:id="rId30"/>
    <sheet name="Balanced Sheet for competitor" sheetId="26" state="hidden" r:id="rId31"/>
  </sheet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45" l="1"/>
  <c r="C9" i="45"/>
  <c r="C8" i="45"/>
  <c r="C7" i="45"/>
  <c r="C6" i="45"/>
  <c r="C5" i="45"/>
  <c r="C4" i="45"/>
  <c r="C3" i="45"/>
  <c r="D15" i="45" l="1"/>
  <c r="F15" i="45" s="1"/>
  <c r="D16" i="45"/>
  <c r="F16" i="45" s="1"/>
  <c r="D13" i="45"/>
  <c r="F13" i="45" s="1"/>
  <c r="D14" i="45"/>
  <c r="F14" i="45" s="1"/>
  <c r="D17" i="45"/>
  <c r="F17" i="45" s="1"/>
  <c r="F18" i="9"/>
  <c r="H9" i="35" s="1"/>
  <c r="C19" i="45" l="1"/>
  <c r="C20" i="45" s="1"/>
  <c r="C37" i="34"/>
  <c r="C33" i="34"/>
  <c r="C32" i="34"/>
  <c r="E3" i="35"/>
  <c r="E2" i="35"/>
  <c r="F6" i="36"/>
  <c r="C18" i="9"/>
  <c r="C14" i="9"/>
  <c r="B14" i="43" l="1"/>
  <c r="C8" i="43"/>
  <c r="C18" i="43" l="1"/>
  <c r="C17" i="43"/>
  <c r="C14" i="43"/>
  <c r="C11" i="43"/>
  <c r="C5" i="43"/>
  <c r="C4" i="43"/>
  <c r="B18" i="43"/>
  <c r="B17" i="43"/>
  <c r="B16" i="43"/>
  <c r="B13" i="43"/>
  <c r="B11" i="43"/>
  <c r="B10" i="43"/>
  <c r="B8" i="43"/>
  <c r="B7" i="43"/>
  <c r="B4" i="43"/>
  <c r="B3" i="43"/>
  <c r="C5" i="22" l="1"/>
  <c r="C4" i="22"/>
  <c r="C8" i="22"/>
  <c r="E7" i="33"/>
  <c r="C5" i="23"/>
  <c r="E12" i="41"/>
  <c r="C3" i="28"/>
  <c r="C4" i="20"/>
  <c r="C5" i="20"/>
  <c r="C5" i="21"/>
  <c r="D5" i="37" l="1"/>
  <c r="D3" i="37"/>
  <c r="D4" i="37"/>
  <c r="D3" i="31"/>
  <c r="D5" i="31" s="1"/>
  <c r="D7" i="37"/>
  <c r="D8" i="37" s="1"/>
  <c r="D6" i="37" l="1"/>
  <c r="D9" i="37"/>
  <c r="D10" i="37" s="1"/>
  <c r="D15" i="37" l="1"/>
  <c r="B20" i="34" l="1"/>
  <c r="C17" i="34"/>
  <c r="C25" i="34" s="1"/>
  <c r="F4" i="36"/>
  <c r="C22" i="34" s="1"/>
  <c r="C31" i="34" s="1"/>
  <c r="F3" i="36"/>
  <c r="C4" i="31"/>
  <c r="C28" i="34" l="1"/>
  <c r="K5" i="14"/>
  <c r="C15" i="9" l="1"/>
  <c r="E8" i="33" l="1"/>
  <c r="E9" i="33"/>
  <c r="D7" i="31" l="1"/>
  <c r="C7" i="23"/>
  <c r="C9" i="23" s="1"/>
  <c r="C6" i="22"/>
  <c r="C9" i="22" s="1"/>
  <c r="D8" i="31" l="1"/>
  <c r="E5" i="33"/>
  <c r="E11" i="33" s="1"/>
  <c r="C7" i="28"/>
  <c r="C3" i="21"/>
  <c r="C7" i="21" l="1"/>
  <c r="C4" i="28"/>
  <c r="C5" i="28" s="1"/>
  <c r="C6" i="20"/>
  <c r="C9" i="20" s="1"/>
  <c r="C3" i="41" s="1"/>
  <c r="E3" i="41" s="1"/>
  <c r="C9" i="21" l="1"/>
  <c r="C13" i="21"/>
  <c r="C6" i="41" s="1"/>
  <c r="E6" i="41" s="1"/>
  <c r="C12" i="28"/>
  <c r="C7" i="41" s="1"/>
  <c r="E7" i="41" s="1"/>
  <c r="C8" i="28"/>
  <c r="E13" i="16"/>
  <c r="F13" i="16"/>
  <c r="G13" i="16"/>
  <c r="H13" i="16"/>
  <c r="D13" i="16"/>
  <c r="E17" i="16" l="1"/>
  <c r="F17" i="16"/>
  <c r="G17" i="16"/>
  <c r="H17" i="16"/>
  <c r="D17" i="16"/>
  <c r="D34" i="18" l="1"/>
  <c r="D15" i="18"/>
  <c r="D20" i="18" s="1"/>
  <c r="D42" i="18"/>
  <c r="D44" i="18" s="1"/>
  <c r="D46" i="18" s="1"/>
  <c r="D29" i="18"/>
  <c r="D28" i="18"/>
  <c r="D6" i="18"/>
  <c r="D8" i="18" s="1"/>
  <c r="D31" i="18"/>
  <c r="D35" i="18" s="1"/>
  <c r="D21" i="18"/>
  <c r="C21" i="18"/>
  <c r="D18" i="18"/>
  <c r="D26" i="18" s="1"/>
  <c r="D36" i="18" l="1"/>
  <c r="A43" i="3"/>
  <c r="K9" i="14"/>
  <c r="K6" i="14"/>
  <c r="H16" i="16"/>
  <c r="G16" i="16"/>
  <c r="F16" i="16"/>
  <c r="E16" i="16"/>
  <c r="D16" i="16"/>
  <c r="H10" i="16"/>
  <c r="G10" i="16"/>
  <c r="F10" i="16"/>
  <c r="E10" i="16"/>
  <c r="D10" i="16"/>
  <c r="H5" i="16"/>
  <c r="G5" i="16"/>
  <c r="F5" i="16"/>
  <c r="E5" i="16"/>
  <c r="H4" i="16"/>
  <c r="G4" i="16"/>
  <c r="F4" i="16"/>
  <c r="E4" i="16"/>
  <c r="D4" i="16"/>
  <c r="K7" i="14" l="1"/>
  <c r="C4" i="12"/>
  <c r="D5" i="8" s="1"/>
  <c r="C5" i="12"/>
  <c r="D6" i="8" s="1"/>
  <c r="C6" i="12"/>
  <c r="D7" i="8" s="1"/>
  <c r="C7" i="12"/>
  <c r="D8" i="8" s="1"/>
  <c r="C8" i="12"/>
  <c r="D9" i="8" s="1"/>
  <c r="C9" i="12"/>
  <c r="D10" i="8" s="1"/>
  <c r="C10" i="12"/>
  <c r="D11" i="8" s="1"/>
  <c r="C11" i="12"/>
  <c r="D12" i="8" s="1"/>
  <c r="C12" i="12"/>
  <c r="D13" i="8" s="1"/>
  <c r="C13" i="12"/>
  <c r="D14" i="8" s="1"/>
  <c r="C14" i="12"/>
  <c r="D15" i="8" s="1"/>
  <c r="C15" i="12"/>
  <c r="D16" i="8" s="1"/>
  <c r="C16" i="12"/>
  <c r="D17" i="8" s="1"/>
  <c r="C17" i="12"/>
  <c r="D18" i="8" s="1"/>
  <c r="C18" i="12"/>
  <c r="D19" i="8" s="1"/>
  <c r="C19" i="12"/>
  <c r="D20" i="8" s="1"/>
  <c r="C20" i="12"/>
  <c r="D21" i="8" s="1"/>
  <c r="C21" i="12"/>
  <c r="D22" i="8" s="1"/>
  <c r="C22" i="12"/>
  <c r="D23" i="8" s="1"/>
  <c r="C23" i="12"/>
  <c r="D24" i="8" s="1"/>
  <c r="C24" i="12"/>
  <c r="D25" i="8" s="1"/>
  <c r="C25" i="12"/>
  <c r="D26" i="8" s="1"/>
  <c r="C26" i="12"/>
  <c r="D27" i="8" s="1"/>
  <c r="C27" i="12"/>
  <c r="D28" i="8" s="1"/>
  <c r="C28" i="12"/>
  <c r="D29" i="8" s="1"/>
  <c r="C29" i="12"/>
  <c r="D30" i="8" s="1"/>
  <c r="C30" i="12"/>
  <c r="D31" i="8" s="1"/>
  <c r="C31" i="12"/>
  <c r="D32" i="8" s="1"/>
  <c r="C32" i="12"/>
  <c r="D33" i="8" s="1"/>
  <c r="C33" i="12"/>
  <c r="D34" i="8" s="1"/>
  <c r="C34" i="12"/>
  <c r="D35" i="8" s="1"/>
  <c r="C35" i="12"/>
  <c r="D36" i="8" s="1"/>
  <c r="C36" i="12"/>
  <c r="D37" i="8" s="1"/>
  <c r="C37" i="12"/>
  <c r="D38" i="8" s="1"/>
  <c r="C38" i="12"/>
  <c r="D39" i="8" s="1"/>
  <c r="C39" i="12"/>
  <c r="D40" i="8" s="1"/>
  <c r="C40" i="12"/>
  <c r="D41" i="8" s="1"/>
  <c r="C41" i="12"/>
  <c r="D42" i="8" s="1"/>
  <c r="C42" i="12"/>
  <c r="D43" i="8" s="1"/>
  <c r="C43" i="12"/>
  <c r="D44" i="8" s="1"/>
  <c r="C44" i="12"/>
  <c r="D45" i="8" s="1"/>
  <c r="C45" i="12"/>
  <c r="D46" i="8" s="1"/>
  <c r="C46" i="12"/>
  <c r="D47" i="8" s="1"/>
  <c r="C47" i="12"/>
  <c r="D48" i="8" s="1"/>
  <c r="C48" i="12"/>
  <c r="D49" i="8" s="1"/>
  <c r="C49" i="12"/>
  <c r="D50" i="8" s="1"/>
  <c r="C50" i="12"/>
  <c r="D51" i="8" s="1"/>
  <c r="C51" i="12"/>
  <c r="D52" i="8" s="1"/>
  <c r="C52" i="12"/>
  <c r="D53" i="8" s="1"/>
  <c r="C53" i="12"/>
  <c r="D54" i="8" s="1"/>
  <c r="C54" i="12"/>
  <c r="D55" i="8" s="1"/>
  <c r="C55" i="12"/>
  <c r="D56" i="8" s="1"/>
  <c r="C56" i="12"/>
  <c r="D57" i="8" s="1"/>
  <c r="C57" i="12"/>
  <c r="D58" i="8" s="1"/>
  <c r="C58" i="12"/>
  <c r="D59" i="8" s="1"/>
  <c r="C59" i="12"/>
  <c r="D60" i="8" s="1"/>
  <c r="C60" i="12"/>
  <c r="D61" i="8" s="1"/>
  <c r="C61" i="12"/>
  <c r="D62" i="8" s="1"/>
  <c r="C62" i="12"/>
  <c r="D63" i="8" s="1"/>
  <c r="C3" i="12"/>
  <c r="D4" i="8" s="1"/>
  <c r="E5" i="8" l="1"/>
  <c r="I5" i="8" s="1"/>
  <c r="E6" i="8"/>
  <c r="I6" i="8" s="1"/>
  <c r="E7" i="8"/>
  <c r="I7" i="8" s="1"/>
  <c r="E8" i="8"/>
  <c r="I8" i="8" s="1"/>
  <c r="E9" i="8"/>
  <c r="I9" i="8" s="1"/>
  <c r="E10" i="8"/>
  <c r="I10" i="8" s="1"/>
  <c r="E11" i="8"/>
  <c r="I11" i="8" s="1"/>
  <c r="E12" i="8"/>
  <c r="I12" i="8" s="1"/>
  <c r="E13" i="8"/>
  <c r="I13" i="8" s="1"/>
  <c r="E14" i="8"/>
  <c r="I14" i="8" s="1"/>
  <c r="E15" i="8"/>
  <c r="I15" i="8" s="1"/>
  <c r="E16" i="8"/>
  <c r="I16" i="8" s="1"/>
  <c r="E17" i="8"/>
  <c r="I17" i="8" s="1"/>
  <c r="E18" i="8"/>
  <c r="I18" i="8" s="1"/>
  <c r="E19" i="8"/>
  <c r="I19" i="8" s="1"/>
  <c r="E20" i="8"/>
  <c r="I20" i="8" s="1"/>
  <c r="E21" i="8"/>
  <c r="I21" i="8" s="1"/>
  <c r="E22" i="8"/>
  <c r="I22" i="8" s="1"/>
  <c r="E23" i="8"/>
  <c r="I23" i="8" s="1"/>
  <c r="E24" i="8"/>
  <c r="I24" i="8" s="1"/>
  <c r="E25" i="8"/>
  <c r="I25" i="8" s="1"/>
  <c r="E26" i="8"/>
  <c r="I26" i="8" s="1"/>
  <c r="E27" i="8"/>
  <c r="I27" i="8" s="1"/>
  <c r="E28" i="8"/>
  <c r="I28" i="8" s="1"/>
  <c r="E29" i="8"/>
  <c r="I29" i="8" s="1"/>
  <c r="E30" i="8"/>
  <c r="I30" i="8" s="1"/>
  <c r="E31" i="8"/>
  <c r="I31" i="8" s="1"/>
  <c r="E32" i="8"/>
  <c r="I32" i="8" s="1"/>
  <c r="E33" i="8"/>
  <c r="I33" i="8" s="1"/>
  <c r="E34" i="8"/>
  <c r="I34" i="8" s="1"/>
  <c r="E35" i="8"/>
  <c r="I35" i="8" s="1"/>
  <c r="E36" i="8"/>
  <c r="I36" i="8" s="1"/>
  <c r="E37" i="8"/>
  <c r="I37" i="8" s="1"/>
  <c r="E38" i="8"/>
  <c r="I38" i="8" s="1"/>
  <c r="E39" i="8"/>
  <c r="I39" i="8" s="1"/>
  <c r="E40" i="8"/>
  <c r="I40" i="8" s="1"/>
  <c r="E41" i="8"/>
  <c r="I41" i="8" s="1"/>
  <c r="E42" i="8"/>
  <c r="I42" i="8" s="1"/>
  <c r="E43" i="8"/>
  <c r="I43" i="8" s="1"/>
  <c r="E44" i="8"/>
  <c r="I44" i="8" s="1"/>
  <c r="E45" i="8"/>
  <c r="I45" i="8" s="1"/>
  <c r="E46" i="8"/>
  <c r="I46" i="8" s="1"/>
  <c r="E47" i="8"/>
  <c r="I47" i="8" s="1"/>
  <c r="E48" i="8"/>
  <c r="I48" i="8" s="1"/>
  <c r="E49" i="8"/>
  <c r="I49" i="8" s="1"/>
  <c r="E50" i="8"/>
  <c r="I50" i="8" s="1"/>
  <c r="E51" i="8"/>
  <c r="I51" i="8" s="1"/>
  <c r="E52" i="8"/>
  <c r="I52" i="8" s="1"/>
  <c r="E53" i="8"/>
  <c r="I53" i="8" s="1"/>
  <c r="E54" i="8"/>
  <c r="I54" i="8" s="1"/>
  <c r="E55" i="8"/>
  <c r="I55" i="8" s="1"/>
  <c r="E56" i="8"/>
  <c r="I56" i="8" s="1"/>
  <c r="E57" i="8"/>
  <c r="I57" i="8" s="1"/>
  <c r="E58" i="8"/>
  <c r="I58" i="8" s="1"/>
  <c r="E59" i="8"/>
  <c r="I59" i="8" s="1"/>
  <c r="E60" i="8"/>
  <c r="E61" i="8"/>
  <c r="I61" i="8" s="1"/>
  <c r="E62" i="8"/>
  <c r="I62" i="8" s="1"/>
  <c r="E63" i="8"/>
  <c r="E4" i="8"/>
  <c r="I4" i="8" s="1"/>
  <c r="C4" i="7"/>
  <c r="C5" i="8" s="1"/>
  <c r="C5" i="7"/>
  <c r="C6" i="8" s="1"/>
  <c r="C6" i="7"/>
  <c r="C7" i="8" s="1"/>
  <c r="C7" i="7"/>
  <c r="C8" i="8" s="1"/>
  <c r="C8" i="7"/>
  <c r="C9" i="8" s="1"/>
  <c r="C9" i="7"/>
  <c r="C10" i="8" s="1"/>
  <c r="C10" i="7"/>
  <c r="C11" i="8" s="1"/>
  <c r="C11" i="7"/>
  <c r="C12" i="8" s="1"/>
  <c r="C12" i="7"/>
  <c r="C13" i="8" s="1"/>
  <c r="C13" i="7"/>
  <c r="C14" i="8" s="1"/>
  <c r="C14" i="7"/>
  <c r="C15" i="8" s="1"/>
  <c r="C15" i="7"/>
  <c r="C16" i="8" s="1"/>
  <c r="C16" i="7"/>
  <c r="C17" i="8" s="1"/>
  <c r="C17" i="7"/>
  <c r="C18" i="8" s="1"/>
  <c r="C18" i="7"/>
  <c r="C19" i="8" s="1"/>
  <c r="C19" i="7"/>
  <c r="C20" i="8" s="1"/>
  <c r="C20" i="7"/>
  <c r="C21" i="8" s="1"/>
  <c r="C21" i="7"/>
  <c r="C22" i="8" s="1"/>
  <c r="C22" i="7"/>
  <c r="C23" i="8" s="1"/>
  <c r="C23" i="7"/>
  <c r="C24" i="8" s="1"/>
  <c r="C24" i="7"/>
  <c r="C25" i="8" s="1"/>
  <c r="C25" i="7"/>
  <c r="C26" i="8" s="1"/>
  <c r="C26" i="7"/>
  <c r="C27" i="8" s="1"/>
  <c r="C27" i="7"/>
  <c r="C28" i="8" s="1"/>
  <c r="C28" i="7"/>
  <c r="C29" i="8" s="1"/>
  <c r="C29" i="7"/>
  <c r="C30" i="8" s="1"/>
  <c r="C30" i="7"/>
  <c r="C31" i="8" s="1"/>
  <c r="C31" i="7"/>
  <c r="C32" i="8" s="1"/>
  <c r="C32" i="7"/>
  <c r="C33" i="8" s="1"/>
  <c r="C33" i="7"/>
  <c r="C34" i="8" s="1"/>
  <c r="C34" i="7"/>
  <c r="C35" i="8" s="1"/>
  <c r="C35" i="7"/>
  <c r="C36" i="8" s="1"/>
  <c r="C36" i="7"/>
  <c r="C37" i="8" s="1"/>
  <c r="C37" i="7"/>
  <c r="C38" i="8" s="1"/>
  <c r="C38" i="7"/>
  <c r="C39" i="8" s="1"/>
  <c r="C39" i="7"/>
  <c r="C40" i="8" s="1"/>
  <c r="C40" i="7"/>
  <c r="C41" i="8" s="1"/>
  <c r="C41" i="7"/>
  <c r="C42" i="8" s="1"/>
  <c r="C42" i="7"/>
  <c r="C43" i="8" s="1"/>
  <c r="C43" i="7"/>
  <c r="C44" i="8" s="1"/>
  <c r="C44" i="7"/>
  <c r="C45" i="8" s="1"/>
  <c r="C45" i="7"/>
  <c r="C46" i="8" s="1"/>
  <c r="C46" i="7"/>
  <c r="C47" i="8" s="1"/>
  <c r="C47" i="7"/>
  <c r="C48" i="8" s="1"/>
  <c r="C48" i="7"/>
  <c r="C49" i="8" s="1"/>
  <c r="C49" i="7"/>
  <c r="C50" i="8" s="1"/>
  <c r="C50" i="7"/>
  <c r="C51" i="8" s="1"/>
  <c r="C51" i="7"/>
  <c r="C52" i="8" s="1"/>
  <c r="C52" i="7"/>
  <c r="C53" i="8" s="1"/>
  <c r="C53" i="7"/>
  <c r="C54" i="8" s="1"/>
  <c r="C54" i="7"/>
  <c r="C55" i="8" s="1"/>
  <c r="C55" i="7"/>
  <c r="C56" i="8" s="1"/>
  <c r="C56" i="7"/>
  <c r="C57" i="8" s="1"/>
  <c r="C57" i="7"/>
  <c r="C58" i="8" s="1"/>
  <c r="C58" i="7"/>
  <c r="C59" i="8" s="1"/>
  <c r="C59" i="7"/>
  <c r="C60" i="8" s="1"/>
  <c r="C60" i="7"/>
  <c r="C61" i="8" s="1"/>
  <c r="C61" i="7"/>
  <c r="C62" i="8" s="1"/>
  <c r="C62" i="7"/>
  <c r="C63" i="8" s="1"/>
  <c r="C3" i="7"/>
  <c r="H44" i="8" l="1"/>
  <c r="H28" i="8"/>
  <c r="H12" i="8"/>
  <c r="H52" i="8"/>
  <c r="H36" i="8"/>
  <c r="H20" i="8"/>
  <c r="C3" i="9"/>
  <c r="C4" i="8"/>
  <c r="I63" i="8"/>
  <c r="H60" i="8"/>
  <c r="I60" i="8"/>
  <c r="H63" i="8"/>
  <c r="H43" i="8"/>
  <c r="H19" i="8"/>
  <c r="H58" i="8"/>
  <c r="H18" i="8"/>
  <c r="H33" i="8"/>
  <c r="H4" i="8"/>
  <c r="H56" i="8"/>
  <c r="H48" i="8"/>
  <c r="H40" i="8"/>
  <c r="H32" i="8"/>
  <c r="H24" i="8"/>
  <c r="H16" i="8"/>
  <c r="H8" i="8"/>
  <c r="H51" i="8"/>
  <c r="H11" i="8"/>
  <c r="H42" i="8"/>
  <c r="H26" i="8"/>
  <c r="H49" i="8"/>
  <c r="H9" i="8"/>
  <c r="H55" i="8"/>
  <c r="H47" i="8"/>
  <c r="H39" i="8"/>
  <c r="H31" i="8"/>
  <c r="H23" i="8"/>
  <c r="H15" i="8"/>
  <c r="H7" i="8"/>
  <c r="H59" i="8"/>
  <c r="H50" i="8"/>
  <c r="H10" i="8"/>
  <c r="H25" i="8"/>
  <c r="H62" i="8"/>
  <c r="H54" i="8"/>
  <c r="H46" i="8"/>
  <c r="H38" i="8"/>
  <c r="H30" i="8"/>
  <c r="H22" i="8"/>
  <c r="H14" i="8"/>
  <c r="H6" i="8"/>
  <c r="H35" i="8"/>
  <c r="H27" i="8"/>
  <c r="H34" i="8"/>
  <c r="H57" i="8"/>
  <c r="H41" i="8"/>
  <c r="H17" i="8"/>
  <c r="H61" i="8"/>
  <c r="H53" i="8"/>
  <c r="H45" i="8"/>
  <c r="H37" i="8"/>
  <c r="H29" i="8"/>
  <c r="H21" i="8"/>
  <c r="H13" i="8"/>
  <c r="H5" i="8"/>
  <c r="C3" i="3" l="1"/>
  <c r="C23" i="3" l="1"/>
  <c r="C6" i="3"/>
  <c r="C5" i="3"/>
  <c r="C4" i="3"/>
  <c r="J69" i="3" l="1"/>
  <c r="K69" i="3"/>
  <c r="L69" i="3"/>
  <c r="M69" i="3"/>
  <c r="I68" i="3" l="1"/>
  <c r="D5" i="16" s="1"/>
  <c r="K58" i="3"/>
  <c r="L58" i="3"/>
  <c r="M58" i="3"/>
  <c r="J58" i="3"/>
  <c r="I58" i="3"/>
  <c r="C24" i="3" s="1"/>
  <c r="K61" i="3"/>
  <c r="F7" i="16" s="1"/>
  <c r="L61" i="3"/>
  <c r="G7" i="16" s="1"/>
  <c r="M61" i="3"/>
  <c r="H7" i="16" s="1"/>
  <c r="J61" i="3"/>
  <c r="E7" i="16" s="1"/>
  <c r="I61" i="3"/>
  <c r="C25" i="3" l="1"/>
  <c r="D7" i="16"/>
  <c r="I69" i="3"/>
  <c r="G35" i="3"/>
  <c r="G61" i="3" l="1"/>
  <c r="G39" i="3"/>
  <c r="G40" i="3"/>
  <c r="G57" i="3"/>
  <c r="I6" i="14" s="1"/>
  <c r="G36" i="3"/>
  <c r="G37" i="3" s="1"/>
  <c r="G38" i="3"/>
  <c r="G58" i="3"/>
  <c r="I5" i="14" s="1"/>
  <c r="F35" i="3"/>
  <c r="G74" i="3" l="1"/>
  <c r="G59" i="3"/>
  <c r="G41" i="3"/>
  <c r="I9" i="14"/>
  <c r="F57" i="3"/>
  <c r="H6" i="14" s="1"/>
  <c r="F40" i="3"/>
  <c r="F39" i="3"/>
  <c r="F58" i="3"/>
  <c r="F38" i="3"/>
  <c r="F36" i="3"/>
  <c r="F37" i="3" s="1"/>
  <c r="F61" i="3"/>
  <c r="E35" i="3"/>
  <c r="F74" i="3" l="1"/>
  <c r="H5" i="14"/>
  <c r="F59" i="3"/>
  <c r="E57" i="3"/>
  <c r="G6" i="14" s="1"/>
  <c r="E39" i="3"/>
  <c r="E40" i="3"/>
  <c r="F41" i="3"/>
  <c r="E58" i="3"/>
  <c r="E38" i="3"/>
  <c r="E36" i="3"/>
  <c r="E37" i="3" s="1"/>
  <c r="E61" i="3"/>
  <c r="D35" i="3"/>
  <c r="E74" i="3" l="1"/>
  <c r="G5" i="14"/>
  <c r="E59" i="3"/>
  <c r="H9" i="14"/>
  <c r="D57" i="3"/>
  <c r="F6" i="14" s="1"/>
  <c r="D39" i="3"/>
  <c r="D40" i="3"/>
  <c r="E41" i="3"/>
  <c r="D58" i="3"/>
  <c r="D36" i="3"/>
  <c r="D37" i="3" s="1"/>
  <c r="D38" i="3"/>
  <c r="D61" i="3"/>
  <c r="C35" i="3"/>
  <c r="D74" i="3" l="1"/>
  <c r="F5" i="14"/>
  <c r="D59" i="3"/>
  <c r="C39" i="3"/>
  <c r="C40" i="3"/>
  <c r="D41" i="3"/>
  <c r="G9" i="14"/>
  <c r="C36" i="3"/>
  <c r="C37" i="3" s="1"/>
  <c r="C58" i="3"/>
  <c r="C38" i="3"/>
  <c r="C57" i="3"/>
  <c r="E6" i="14" s="1"/>
  <c r="C61" i="3"/>
  <c r="C74" i="3" l="1"/>
  <c r="E5" i="14"/>
  <c r="C59" i="3"/>
  <c r="F9" i="14"/>
  <c r="C41" i="3"/>
  <c r="E9" i="14" s="1"/>
  <c r="C5" i="9"/>
  <c r="C2" i="9"/>
  <c r="C4" i="9" l="1"/>
  <c r="C16" i="9" s="1"/>
  <c r="D14" i="37" l="1"/>
  <c r="D16" i="37" s="1"/>
  <c r="D18" i="37" s="1"/>
  <c r="C4" i="41" s="1"/>
  <c r="E4" i="41" s="1"/>
  <c r="D39" i="18"/>
  <c r="D50" i="18" s="1"/>
  <c r="E2" i="19" s="1"/>
  <c r="E10" i="19" s="1"/>
  <c r="E11" i="19" l="1"/>
  <c r="E7" i="19"/>
  <c r="E12" i="19"/>
  <c r="E8" i="19"/>
  <c r="E9" i="19"/>
  <c r="E7" i="14"/>
  <c r="F7" i="14"/>
  <c r="G7" i="14"/>
  <c r="F8" i="14" s="1"/>
  <c r="F10" i="14" s="1"/>
  <c r="F11" i="14" s="1"/>
  <c r="D10" i="19" s="1"/>
  <c r="F10" i="19" s="1"/>
  <c r="H7" i="14"/>
  <c r="I7" i="14"/>
  <c r="I8" i="14" s="1"/>
  <c r="I10" i="14" s="1"/>
  <c r="I11" i="14" s="1"/>
  <c r="D7" i="19" s="1"/>
  <c r="H8" i="14"/>
  <c r="H10" i="14" s="1"/>
  <c r="H11" i="14" s="1"/>
  <c r="D8" i="19" s="1"/>
  <c r="F7" i="19" l="1"/>
  <c r="F8" i="19"/>
  <c r="E8" i="14"/>
  <c r="E10" i="14" s="1"/>
  <c r="E11" i="14" s="1"/>
  <c r="D4" i="17"/>
  <c r="D9" i="17" s="1"/>
  <c r="D11" i="19"/>
  <c r="F11" i="19" s="1"/>
  <c r="G8" i="14"/>
  <c r="G10" i="14" s="1"/>
  <c r="G11" i="14" s="1"/>
  <c r="D9" i="19" s="1"/>
  <c r="F9" i="19" s="1"/>
  <c r="F69" i="3" l="1"/>
  <c r="F63" i="3"/>
  <c r="G69" i="3"/>
  <c r="G63" i="3"/>
  <c r="E7" i="35"/>
  <c r="C36" i="34"/>
  <c r="C45" i="3"/>
  <c r="D47" i="3"/>
  <c r="D46" i="3"/>
  <c r="D48" i="3"/>
  <c r="E4" i="35"/>
  <c r="C40" i="34"/>
  <c r="C44" i="34"/>
  <c r="E10" i="41"/>
  <c r="D12" i="19"/>
  <c r="F12" i="19"/>
  <c r="F13" i="19"/>
  <c r="F17" i="19"/>
  <c r="C5" i="41"/>
  <c r="E5" i="41"/>
  <c r="G45" i="3"/>
  <c r="H11" i="35"/>
  <c r="H10" i="35"/>
  <c r="H8" i="35"/>
  <c r="F48" i="3"/>
  <c r="F46" i="3"/>
  <c r="F47" i="3"/>
  <c r="F38" i="34"/>
  <c r="C13" i="34"/>
  <c r="C14" i="34"/>
  <c r="C19" i="34"/>
  <c r="C47" i="3"/>
  <c r="C44" i="3"/>
  <c r="C46" i="3"/>
  <c r="C48" i="3"/>
  <c r="F68" i="3"/>
  <c r="F75" i="3"/>
  <c r="F76" i="3"/>
  <c r="F62" i="3"/>
  <c r="F42" i="3"/>
  <c r="F44" i="3"/>
  <c r="F45" i="3"/>
  <c r="C41" i="34"/>
  <c r="E45" i="3"/>
  <c r="E5" i="35"/>
  <c r="C39" i="34"/>
  <c r="C43" i="34"/>
  <c r="C47" i="34"/>
  <c r="D6" i="17"/>
  <c r="D11" i="17"/>
  <c r="D13" i="17"/>
  <c r="D16" i="17"/>
  <c r="E69" i="3"/>
  <c r="E63" i="3"/>
  <c r="D42" i="3"/>
  <c r="D44" i="3"/>
  <c r="D45" i="3"/>
  <c r="C7" i="34"/>
  <c r="C42" i="3"/>
  <c r="C6" i="34"/>
  <c r="C20" i="34"/>
  <c r="E47" i="3"/>
  <c r="E68" i="3"/>
  <c r="E75" i="3"/>
  <c r="E76" i="3"/>
  <c r="E62" i="3"/>
  <c r="E42" i="3"/>
  <c r="E44" i="3"/>
  <c r="E46" i="3"/>
  <c r="E48" i="3"/>
  <c r="E11" i="35"/>
  <c r="G47" i="3"/>
  <c r="D68" i="3"/>
  <c r="D75" i="3"/>
  <c r="D76" i="3"/>
  <c r="D62" i="3"/>
  <c r="D63" i="3"/>
  <c r="D69" i="3"/>
  <c r="G68" i="3"/>
  <c r="G75" i="3"/>
  <c r="G76" i="3"/>
  <c r="G62" i="3"/>
  <c r="G42" i="3"/>
  <c r="G44" i="3"/>
  <c r="G46" i="3"/>
  <c r="G48" i="3"/>
  <c r="G67" i="3"/>
  <c r="F67" i="3"/>
  <c r="E67" i="3"/>
  <c r="D67" i="3"/>
  <c r="C67" i="3"/>
  <c r="C68" i="3"/>
  <c r="C75" i="3"/>
  <c r="C76" i="3"/>
  <c r="C62" i="3"/>
  <c r="C63" i="3"/>
  <c r="C6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6D55D7-7895-485C-B6A8-95C19582BACD}" keepAlive="1" name="Query - project" description="Connection to the 'project' query in the workbook." type="5" refreshedVersion="6" background="1">
    <dbPr connection="Provider=Microsoft.Mashup.OleDb.1;Data Source=$Workbook$;Location=project;Extended Properties=&quot;&quot;" command="SELECT * FROM [project]"/>
  </connection>
</connections>
</file>

<file path=xl/sharedStrings.xml><?xml version="1.0" encoding="utf-8"?>
<sst xmlns="http://schemas.openxmlformats.org/spreadsheetml/2006/main" count="651" uniqueCount="390">
  <si>
    <t>COMPREHENSIVE NET INCOME STATEMENT</t>
  </si>
  <si>
    <t>Consolidated Balance Sheet</t>
  </si>
  <si>
    <t>ITEM</t>
  </si>
  <si>
    <t>USD('000)</t>
  </si>
  <si>
    <t>Net sale</t>
  </si>
  <si>
    <t>Fixed Asset</t>
  </si>
  <si>
    <t>Cost of goods sold and occupancy costs</t>
  </si>
  <si>
    <t>Total Current Asset</t>
  </si>
  <si>
    <t>Gross profit</t>
  </si>
  <si>
    <t>Total Asset</t>
  </si>
  <si>
    <t>Selling, general, and administrative expense</t>
  </si>
  <si>
    <t>Current Liabilities</t>
  </si>
  <si>
    <t>Earnings Before Interest and Tax</t>
  </si>
  <si>
    <t>Long Term (Debt)</t>
  </si>
  <si>
    <t>Interest expense(Income)</t>
  </si>
  <si>
    <t>Total Liabilities</t>
  </si>
  <si>
    <t xml:space="preserve">Other income (expense) </t>
  </si>
  <si>
    <t>Common Stock</t>
  </si>
  <si>
    <t>Earnings Before Tax</t>
  </si>
  <si>
    <t>Additional Paid In Capital</t>
  </si>
  <si>
    <t>Income tax expense</t>
  </si>
  <si>
    <t>Treasury Stock</t>
  </si>
  <si>
    <t>Net Income</t>
  </si>
  <si>
    <t>Retained Earnings</t>
  </si>
  <si>
    <t>Total Stockholder Equity</t>
  </si>
  <si>
    <t>Total liablities and shareholders equity</t>
  </si>
  <si>
    <t>Basic Earnings per share</t>
  </si>
  <si>
    <t>Basic Shares</t>
  </si>
  <si>
    <t>Assumptions</t>
  </si>
  <si>
    <t>Rate</t>
  </si>
  <si>
    <t>Varies With Sales</t>
  </si>
  <si>
    <t>Average Sales Growth</t>
  </si>
  <si>
    <t>Yes</t>
  </si>
  <si>
    <t>Exceptional Cost - Calculated as a % of sales</t>
  </si>
  <si>
    <t>No</t>
  </si>
  <si>
    <t>First Year</t>
  </si>
  <si>
    <t>Second Year</t>
  </si>
  <si>
    <t>Years After</t>
  </si>
  <si>
    <t>Restructuring Cost - Calculated as a % of sales</t>
  </si>
  <si>
    <t>Income from operation</t>
  </si>
  <si>
    <t>Interest expense</t>
  </si>
  <si>
    <t>No, long term debt</t>
  </si>
  <si>
    <t>Income before income tax expense</t>
  </si>
  <si>
    <t xml:space="preserve">No </t>
  </si>
  <si>
    <t>Income tax Rate</t>
  </si>
  <si>
    <t>Yes; but not directly with sales revenue as it is moderated by tax payment plan</t>
  </si>
  <si>
    <t>Total Fixed Asset</t>
  </si>
  <si>
    <t>Yes, since it operates to full capacity</t>
  </si>
  <si>
    <t>Long Term Liabilities</t>
  </si>
  <si>
    <t>No, constant for the forecasted five years</t>
  </si>
  <si>
    <t>Dividend Payout Ratio</t>
  </si>
  <si>
    <t>No, of profit after tax</t>
  </si>
  <si>
    <t>PROJECTED</t>
  </si>
  <si>
    <t>ACTUAL</t>
  </si>
  <si>
    <t>Exceptional Cost</t>
  </si>
  <si>
    <t>Restructuring Cost</t>
  </si>
  <si>
    <t>Dividend</t>
  </si>
  <si>
    <t>NORMALISED ACTUAL</t>
  </si>
  <si>
    <t>TRIAL ASSET BALANCES</t>
  </si>
  <si>
    <t>TRIAL ASSETS</t>
  </si>
  <si>
    <t>TRIAL LIABILITIES AND EQUITY</t>
  </si>
  <si>
    <t>PLUG: DEBT (EXTERNAL FINANCING)</t>
  </si>
  <si>
    <t>Date</t>
  </si>
  <si>
    <t>Value</t>
  </si>
  <si>
    <t>31/12/2013</t>
  </si>
  <si>
    <t>31/01/2014</t>
  </si>
  <si>
    <t>28/02/2014</t>
  </si>
  <si>
    <t>31/03/2014</t>
  </si>
  <si>
    <t>30/04/2014</t>
  </si>
  <si>
    <t>30/05/2014</t>
  </si>
  <si>
    <t>30/06/2014</t>
  </si>
  <si>
    <t>31/07/2014</t>
  </si>
  <si>
    <t>29/08/2014</t>
  </si>
  <si>
    <t>30/09/2014</t>
  </si>
  <si>
    <t>30/10/2014</t>
  </si>
  <si>
    <t>30/11/2014</t>
  </si>
  <si>
    <t>31/12/2014</t>
  </si>
  <si>
    <t>30/01/2015</t>
  </si>
  <si>
    <t>27/02/2015</t>
  </si>
  <si>
    <t>31/03/2015</t>
  </si>
  <si>
    <t>30/04/2015</t>
  </si>
  <si>
    <t>30/05/2015</t>
  </si>
  <si>
    <t>30/06/2015</t>
  </si>
  <si>
    <t>31/07/2015</t>
  </si>
  <si>
    <t>31/08/2015</t>
  </si>
  <si>
    <t>30/09/2015</t>
  </si>
  <si>
    <t>30/10/2015</t>
  </si>
  <si>
    <t>30/11/2015</t>
  </si>
  <si>
    <t>31/12/2015</t>
  </si>
  <si>
    <t>29/01/2016</t>
  </si>
  <si>
    <t>29/02/2016</t>
  </si>
  <si>
    <t>31/03/2016</t>
  </si>
  <si>
    <t>29/04/2016</t>
  </si>
  <si>
    <t>31/05/2016</t>
  </si>
  <si>
    <t>30/06/2016</t>
  </si>
  <si>
    <t>29/07/2016</t>
  </si>
  <si>
    <t>29/08/2016</t>
  </si>
  <si>
    <t>29/09/2016</t>
  </si>
  <si>
    <t>31/10/2016</t>
  </si>
  <si>
    <t>30/11/2016</t>
  </si>
  <si>
    <t>30/12/2016</t>
  </si>
  <si>
    <t>31/01/2017</t>
  </si>
  <si>
    <t>28/02/2017</t>
  </si>
  <si>
    <t>31/03/2017</t>
  </si>
  <si>
    <t>28/04/2017</t>
  </si>
  <si>
    <t>31/05/2017</t>
  </si>
  <si>
    <t>30/06/2017</t>
  </si>
  <si>
    <t>31/07/2017</t>
  </si>
  <si>
    <t>31/08/2017</t>
  </si>
  <si>
    <t>29/09/2017</t>
  </si>
  <si>
    <t>31/10/2017</t>
  </si>
  <si>
    <t>30/11/2017</t>
  </si>
  <si>
    <t>29/12/2017</t>
  </si>
  <si>
    <t>31/01/2018</t>
  </si>
  <si>
    <t>28/02/2018</t>
  </si>
  <si>
    <t>29/03/2018</t>
  </si>
  <si>
    <t>30/04/2018</t>
  </si>
  <si>
    <t>31/05/2018</t>
  </si>
  <si>
    <t>29/06/2018</t>
  </si>
  <si>
    <t>31/07/2018</t>
  </si>
  <si>
    <t>31/08/2018</t>
  </si>
  <si>
    <t>28/09/2018</t>
  </si>
  <si>
    <t>31/10/2018</t>
  </si>
  <si>
    <t>30/11/2018</t>
  </si>
  <si>
    <t>31/12/2018</t>
  </si>
  <si>
    <t>30/01/2019</t>
  </si>
  <si>
    <t>Return</t>
  </si>
  <si>
    <t>Yields(%)</t>
  </si>
  <si>
    <t>Close*</t>
  </si>
  <si>
    <t>Percentage Values on Raw Values</t>
  </si>
  <si>
    <t>Excess Returns</t>
  </si>
  <si>
    <t>Month</t>
  </si>
  <si>
    <t>Return on Market (Rm)</t>
  </si>
  <si>
    <t>Return on Stock (Rj)</t>
  </si>
  <si>
    <t>Risk-free return (Rf)</t>
  </si>
  <si>
    <t xml:space="preserve">Periods </t>
  </si>
  <si>
    <t>Excess Return on Market (Rm - Rf)</t>
  </si>
  <si>
    <t>Excess Return on Stock (Rj - Rf)</t>
  </si>
  <si>
    <t>covariance between market returns and individual stock returns</t>
  </si>
  <si>
    <t>variance between market returns and individual stock returns</t>
  </si>
  <si>
    <t>Beta</t>
  </si>
  <si>
    <t>Slope</t>
  </si>
  <si>
    <t>CAPM</t>
  </si>
  <si>
    <t>Rf</t>
  </si>
  <si>
    <t>Dec 2018 annual T-bill rate</t>
  </si>
  <si>
    <t>Rm</t>
  </si>
  <si>
    <t>Dec 2018 annual market return</t>
  </si>
  <si>
    <t>βj</t>
  </si>
  <si>
    <t xml:space="preserve">Estimated from historical returns </t>
  </si>
  <si>
    <t>Rj</t>
  </si>
  <si>
    <t>&lt;--- =Rf + Be*(Rm - Rf)</t>
  </si>
  <si>
    <t>Interest expense (From notes)</t>
  </si>
  <si>
    <t>$'000</t>
  </si>
  <si>
    <t>Interest income</t>
  </si>
  <si>
    <t xml:space="preserve">Interest Expense  </t>
  </si>
  <si>
    <t>Net Interest expense</t>
  </si>
  <si>
    <t>Interest bearing liabilities  (Value of Debt)</t>
  </si>
  <si>
    <t>Short Term Loan</t>
  </si>
  <si>
    <t>Long term Loan</t>
  </si>
  <si>
    <t>Total</t>
  </si>
  <si>
    <t xml:space="preserve">Analysis of Interest Expense </t>
  </si>
  <si>
    <t xml:space="preserve">Total debt </t>
  </si>
  <si>
    <t xml:space="preserve"> interest rate, kd</t>
  </si>
  <si>
    <t xml:space="preserve">Effective Tax Rate </t>
  </si>
  <si>
    <t>$m</t>
  </si>
  <si>
    <t>(Loss)/Profit before Taxation</t>
  </si>
  <si>
    <t>Income Tax Expense</t>
  </si>
  <si>
    <t>Effective tax rate (used as proxy for Tc)</t>
  </si>
  <si>
    <t>&lt;--- =C29/C28</t>
  </si>
  <si>
    <t>After-tax Cost of Debt</t>
  </si>
  <si>
    <r>
      <t>Cost of debt, k</t>
    </r>
    <r>
      <rPr>
        <vertAlign val="subscript"/>
        <sz val="11"/>
        <color theme="1"/>
        <rFont val="Calibri"/>
        <family val="2"/>
        <scheme val="minor"/>
      </rPr>
      <t>d</t>
    </r>
  </si>
  <si>
    <r>
      <t>Corporate tax rate, T</t>
    </r>
    <r>
      <rPr>
        <vertAlign val="subscript"/>
        <sz val="11"/>
        <color theme="1"/>
        <rFont val="Calibri"/>
        <family val="2"/>
        <scheme val="minor"/>
      </rPr>
      <t>c</t>
    </r>
  </si>
  <si>
    <t>&lt;--- Effective tax rate for 2018</t>
  </si>
  <si>
    <r>
      <t>After-tax cost of debt, k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(1-T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</t>
    </r>
  </si>
  <si>
    <t>Calculating the WACC for PBC</t>
  </si>
  <si>
    <t>Cost of equity, ke</t>
  </si>
  <si>
    <t>from CAPM</t>
  </si>
  <si>
    <t>After-tax cost of debt, kdt</t>
  </si>
  <si>
    <t>from FRAN financial statements</t>
  </si>
  <si>
    <t>Dec 2018 equity value, E</t>
  </si>
  <si>
    <t>Dec 2018 debt value, D</t>
  </si>
  <si>
    <t>Dec 2018 total capital, V</t>
  </si>
  <si>
    <t>Percentage of equity, E/V</t>
  </si>
  <si>
    <t>Percentage of debt, D/V</t>
  </si>
  <si>
    <t>Using CAPM cost of equity:</t>
  </si>
  <si>
    <t>WACC</t>
  </si>
  <si>
    <t>&lt;--- =E/V*ke + D/V*kdt</t>
  </si>
  <si>
    <t>USD'000</t>
  </si>
  <si>
    <t>NET OPERATING WORKING CAPITAL</t>
  </si>
  <si>
    <t>NET PLANT AND EQUIPMENT</t>
  </si>
  <si>
    <t>NET OPERATING CAPITAL</t>
  </si>
  <si>
    <t>INVESTMENT IN OPERATING CAPITAL</t>
  </si>
  <si>
    <t>NET OPERATING PROFIT AFTER TAX</t>
  </si>
  <si>
    <t>FREE CASH FLOW</t>
  </si>
  <si>
    <t>Tax Rate</t>
  </si>
  <si>
    <t>Before Cost of Debt</t>
  </si>
  <si>
    <t>After Tax Cost of Debt</t>
  </si>
  <si>
    <t>After Cost of Debt</t>
  </si>
  <si>
    <t>Old Cost of Equity</t>
  </si>
  <si>
    <t>2023 Total Debt Value</t>
  </si>
  <si>
    <t>2023 Total Equity Value</t>
  </si>
  <si>
    <t>New Cost of Equity</t>
  </si>
  <si>
    <t>from projections</t>
  </si>
  <si>
    <t>interest rate, kd</t>
  </si>
  <si>
    <t>&lt;--- Effective tax rate for 2023</t>
  </si>
  <si>
    <t>from New CAPM</t>
  </si>
  <si>
    <t>from calculated cost of debt</t>
  </si>
  <si>
    <t>INPUT</t>
  </si>
  <si>
    <t>FCF FOR 2023</t>
  </si>
  <si>
    <t>NEW WACC</t>
  </si>
  <si>
    <t>FCF GROWTH RATE</t>
  </si>
  <si>
    <t>CAPITALISATION RATE (ke-g)</t>
  </si>
  <si>
    <t>TERMINAL VALUE</t>
  </si>
  <si>
    <t>Outstanding Shares</t>
  </si>
  <si>
    <t>Terminal Value/share</t>
  </si>
  <si>
    <t>PERIOD</t>
  </si>
  <si>
    <t>FCF</t>
  </si>
  <si>
    <t>DISCOUNTING FACTOR</t>
  </si>
  <si>
    <t>PRESENT VALUE</t>
  </si>
  <si>
    <t>(1+WACC)^n</t>
  </si>
  <si>
    <t>(FCF*DISCOUNTING FACTOR)</t>
  </si>
  <si>
    <t xml:space="preserve"> (TERMINAL VALUE)</t>
  </si>
  <si>
    <t>Present Value per share</t>
  </si>
  <si>
    <t>$</t>
  </si>
  <si>
    <t>Share Price for 2018</t>
  </si>
  <si>
    <t>Net Income for 2018</t>
  </si>
  <si>
    <t>Outstanding Shares for 2018</t>
  </si>
  <si>
    <t>Earning Per Share</t>
  </si>
  <si>
    <t>PE RATIO for 2018</t>
  </si>
  <si>
    <t>Average PE Ratio of the Industry</t>
  </si>
  <si>
    <t>Value Per Share</t>
  </si>
  <si>
    <t>Share holders equity</t>
  </si>
  <si>
    <t>Book Value per share</t>
  </si>
  <si>
    <t>Stock price</t>
  </si>
  <si>
    <t>Price - to - Book Value per share</t>
  </si>
  <si>
    <t>Average Price - to - Book Value per share for the industry</t>
  </si>
  <si>
    <t>Value per Share</t>
  </si>
  <si>
    <t>ASSETS</t>
  </si>
  <si>
    <t>LIABILITIES</t>
  </si>
  <si>
    <t>NET ASSET</t>
  </si>
  <si>
    <t>OUTSTANDING SHARES</t>
  </si>
  <si>
    <t>NET ASSET VALUE</t>
  </si>
  <si>
    <t xml:space="preserve"> </t>
  </si>
  <si>
    <t>Inputs</t>
  </si>
  <si>
    <t>Recent PAT</t>
  </si>
  <si>
    <t>Shares outstanding</t>
  </si>
  <si>
    <t>Total equity</t>
  </si>
  <si>
    <t>EPS</t>
  </si>
  <si>
    <t>Earnings payout ratio</t>
  </si>
  <si>
    <t>&lt;--- Div policy for coming years</t>
  </si>
  <si>
    <t>Profit retention ratio, b</t>
  </si>
  <si>
    <t>ROE</t>
  </si>
  <si>
    <t>Calculated Growth rate, g</t>
  </si>
  <si>
    <t>&lt;--- = ROE x b</t>
  </si>
  <si>
    <t xml:space="preserve">Industry growth rate </t>
  </si>
  <si>
    <t>Estimated groth rate</t>
  </si>
  <si>
    <t>Projected earnings for the coming year, E1</t>
  </si>
  <si>
    <t>&lt;--- = EPS*(1+g)</t>
  </si>
  <si>
    <t xml:space="preserve">Capitalisation rate </t>
  </si>
  <si>
    <t>&lt;--- = ke-g</t>
  </si>
  <si>
    <t xml:space="preserve">Value per share of equity </t>
  </si>
  <si>
    <t>&lt;--- = E1/(ke-g)</t>
  </si>
  <si>
    <t>NET ASSET VALUE/share</t>
  </si>
  <si>
    <t xml:space="preserve">Price - to - Book Value </t>
  </si>
  <si>
    <t>Valuation method</t>
  </si>
  <si>
    <t xml:space="preserve">Value </t>
  </si>
  <si>
    <t>Weight</t>
  </si>
  <si>
    <t>Weighted average</t>
  </si>
  <si>
    <t>Net asset</t>
  </si>
  <si>
    <t>Earnings capitalisation</t>
  </si>
  <si>
    <t>FCFF</t>
  </si>
  <si>
    <t>PE Multiple Valuation</t>
  </si>
  <si>
    <t>Price - to - book value Multiple Valuation</t>
  </si>
  <si>
    <t>Weighted average price</t>
  </si>
  <si>
    <t>Current market price</t>
  </si>
  <si>
    <t>Share is undervalued; it would be worthwhile to buy a stake in it at the current market price.</t>
  </si>
  <si>
    <t>Revenue for 2018</t>
  </si>
  <si>
    <t>Revenue Per Share</t>
  </si>
  <si>
    <t>PRICE TO SALES RATIO for 2018</t>
  </si>
  <si>
    <t>Breakdown -Income Statement</t>
  </si>
  <si>
    <t>Total Revenue</t>
  </si>
  <si>
    <t>Cost of Revenue</t>
  </si>
  <si>
    <t>Gross Profit</t>
  </si>
  <si>
    <t>Operating Expenses</t>
  </si>
  <si>
    <t>Research Development</t>
  </si>
  <si>
    <t>-</t>
  </si>
  <si>
    <t>Selling General and Administrative</t>
  </si>
  <si>
    <t>Total Operating Expenses</t>
  </si>
  <si>
    <t>Operating Income or Loss</t>
  </si>
  <si>
    <t>Interest Expense</t>
  </si>
  <si>
    <t>Total Other Income/Expenses Net</t>
  </si>
  <si>
    <t>Income Before Tax</t>
  </si>
  <si>
    <t>Income from Continuing Operations</t>
  </si>
  <si>
    <t>Net Income available to common shareholders</t>
  </si>
  <si>
    <t>Reported EPS</t>
  </si>
  <si>
    <t>Basic</t>
  </si>
  <si>
    <t>Diluted</t>
  </si>
  <si>
    <t>Weighted average shares outstanding</t>
  </si>
  <si>
    <t>EBITDA</t>
  </si>
  <si>
    <t>Breakdown-Balance Sheet</t>
  </si>
  <si>
    <t>Assets</t>
  </si>
  <si>
    <t>Current Assets</t>
  </si>
  <si>
    <t>Cash</t>
  </si>
  <si>
    <t>Cash And Cash Equivalents</t>
  </si>
  <si>
    <t>Short Term Investments</t>
  </si>
  <si>
    <t>Total Cash</t>
  </si>
  <si>
    <t>Net Receivables</t>
  </si>
  <si>
    <t>Inventory</t>
  </si>
  <si>
    <t>Other Current Assets</t>
  </si>
  <si>
    <t>Total Current Assets</t>
  </si>
  <si>
    <t>Non-current assets</t>
  </si>
  <si>
    <t>Property, plant and equipment</t>
  </si>
  <si>
    <t>Gross property, plant and equipment</t>
  </si>
  <si>
    <t>Accumulated Depreciation</t>
  </si>
  <si>
    <t>Net property, plant and equipment</t>
  </si>
  <si>
    <t>Equity and other investments</t>
  </si>
  <si>
    <t>Goodwill</t>
  </si>
  <si>
    <t>Intangible Assets</t>
  </si>
  <si>
    <t>Other long-term assets</t>
  </si>
  <si>
    <t>Total non-current assets</t>
  </si>
  <si>
    <t>Total Assets</t>
  </si>
  <si>
    <t>Liabilities and stockholders' equity</t>
  </si>
  <si>
    <t>Liabilities</t>
  </si>
  <si>
    <t>Accounts Payable</t>
  </si>
  <si>
    <t>Taxes payable</t>
  </si>
  <si>
    <t>Accrued liabilities</t>
  </si>
  <si>
    <t>Deferred revenues</t>
  </si>
  <si>
    <t>Other Current Liabilities</t>
  </si>
  <si>
    <t>Total Current Liabilities</t>
  </si>
  <si>
    <t>Non-current liabilities</t>
  </si>
  <si>
    <t>Long Term Debt</t>
  </si>
  <si>
    <t>Deferred taxes liabilities</t>
  </si>
  <si>
    <t>Other long-term liabilities</t>
  </si>
  <si>
    <t>Total non-current liabilities</t>
  </si>
  <si>
    <t>Stockholders' Equity</t>
  </si>
  <si>
    <t>Accumulated other comprehensive income</t>
  </si>
  <si>
    <t>Total stockholders' equity</t>
  </si>
  <si>
    <t>Total liabilities and stockholders' equity</t>
  </si>
  <si>
    <t>Financial analysis ratio</t>
  </si>
  <si>
    <t>Formulas</t>
  </si>
  <si>
    <t>2018</t>
  </si>
  <si>
    <t>2017</t>
  </si>
  <si>
    <t>2016</t>
  </si>
  <si>
    <t>2015</t>
  </si>
  <si>
    <t>2014</t>
  </si>
  <si>
    <t>Profitabilty ratio</t>
  </si>
  <si>
    <t>NET INCOME MARGIN</t>
  </si>
  <si>
    <t>Net Income/Sales</t>
  </si>
  <si>
    <t>Return on equity</t>
  </si>
  <si>
    <t>Total Earnings/Average Total Equity</t>
  </si>
  <si>
    <t>Liquidity ratio</t>
  </si>
  <si>
    <t>Current ratio</t>
  </si>
  <si>
    <t>Current Asset/Current Liabilities</t>
  </si>
  <si>
    <t>Efficiency ratio</t>
  </si>
  <si>
    <t>Asset Turnover</t>
  </si>
  <si>
    <t>Total Revenue/Average Total Assets</t>
  </si>
  <si>
    <t>Market value ratio</t>
  </si>
  <si>
    <t>Earnings Per Share</t>
  </si>
  <si>
    <t>Total Earnings/Total Outstanding Shares</t>
  </si>
  <si>
    <t>Leverage</t>
  </si>
  <si>
    <t>Total Debt Ratio</t>
  </si>
  <si>
    <t>Total Liabilities/Total Assets</t>
  </si>
  <si>
    <t>Debt to Equity Ratio</t>
  </si>
  <si>
    <t>Total Liabilities/Total Equity</t>
  </si>
  <si>
    <t>Inputs from normalised recent financials:</t>
  </si>
  <si>
    <t>Current assets</t>
  </si>
  <si>
    <t>Total assets</t>
  </si>
  <si>
    <t>Current liabilities</t>
  </si>
  <si>
    <t>Total liabilities</t>
  </si>
  <si>
    <t>Retained earnings (or income surplus)</t>
  </si>
  <si>
    <t>Total equity (or shareholders' fund)</t>
  </si>
  <si>
    <t>Earnings before interest and tax</t>
  </si>
  <si>
    <t>Sales revenue</t>
  </si>
  <si>
    <t xml:space="preserve">Factor </t>
  </si>
  <si>
    <t>Factor value</t>
  </si>
  <si>
    <t>Coefficient</t>
  </si>
  <si>
    <t>Product</t>
  </si>
  <si>
    <t>T1</t>
  </si>
  <si>
    <t>NWC/TA</t>
  </si>
  <si>
    <t>T2</t>
  </si>
  <si>
    <t>RE/TA</t>
  </si>
  <si>
    <t>T3</t>
  </si>
  <si>
    <t>EBIT/TA</t>
  </si>
  <si>
    <t>T4</t>
  </si>
  <si>
    <t>Equity/TL</t>
  </si>
  <si>
    <t>T5</t>
  </si>
  <si>
    <t>Sales/TA</t>
  </si>
  <si>
    <t>Z-score</t>
  </si>
  <si>
    <t>&lt;--- = SUMPRODUCT(Factor_values, Coefficient)</t>
  </si>
  <si>
    <t>What is the status?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</si>
</sst>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#,##0.000"/>
    <numFmt numFmtId="166" formatCode="0.0000000000000000%"/>
    <numFmt numFmtId="167" formatCode="_(* #,##0.0000_);_(* \(#,##0.0000\);_(* &quot;-&quot;??_);_(@_)"/>
    <numFmt numFmtId="168" formatCode="_(* #,##0_);_(* \(#,##0\);_(* &quot;-&quot;??_);_(@_)"/>
    <numFmt numFmtId="169" formatCode="0.0%"/>
    <numFmt numFmtId="170" formatCode="0.0000"/>
    <numFmt numFmtId="171" formatCode="_(* #,##0.0000_);_(* \(#,##0.0000\);_(* &quot;-&quot;????_);_(@_)"/>
    <numFmt numFmtId="172" formatCode="0.0000%"/>
    <numFmt numFmtId="173" formatCode="_(* #,##0.0_);_(* \(#,##0.0\);_(* &quot;-&quot;??_);_(@_)"/>
    <numFmt numFmtId="174" formatCode="0.00000000000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7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i/>
      <sz val="12"/>
      <color rgb="FF7F7F7F"/>
      <name val="Times New Roman"/>
      <family val="2"/>
    </font>
    <font>
      <sz val="10"/>
      <color rgb="FF000000"/>
      <name val="Arial"/>
      <family val="2"/>
    </font>
    <font>
      <vertAlign val="subscript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rgb="FFE0E4E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1" fillId="6" borderId="0" applyNumberFormat="0" applyBorder="0" applyAlignment="0" applyProtection="0"/>
    <xf numFmtId="0" fontId="18" fillId="11" borderId="45" applyNumberFormat="0" applyAlignment="0" applyProtection="0"/>
    <xf numFmtId="0" fontId="19" fillId="12" borderId="46" applyNumberFormat="0" applyAlignment="0" applyProtection="0"/>
  </cellStyleXfs>
  <cellXfs count="325">
    <xf numFmtId="0" fontId="0" fillId="0" borderId="0" xfId="0"/>
    <xf numFmtId="0" fontId="0" fillId="0" borderId="0" xfId="0" applyBorder="1"/>
    <xf numFmtId="3" fontId="0" fillId="0" borderId="0" xfId="0" applyNumberFormat="1" applyBorder="1"/>
    <xf numFmtId="9" fontId="0" fillId="0" borderId="0" xfId="2" applyFont="1" applyBorder="1"/>
    <xf numFmtId="43" fontId="0" fillId="0" borderId="0" xfId="1" applyFont="1" applyBorder="1"/>
    <xf numFmtId="43" fontId="0" fillId="0" borderId="0" xfId="0" applyNumberFormat="1" applyBorder="1"/>
    <xf numFmtId="43" fontId="0" fillId="0" borderId="0" xfId="0" applyNumberFormat="1"/>
    <xf numFmtId="0" fontId="0" fillId="0" borderId="1" xfId="0" applyBorder="1"/>
    <xf numFmtId="0" fontId="2" fillId="0" borderId="1" xfId="0" applyFont="1" applyBorder="1"/>
    <xf numFmtId="0" fontId="2" fillId="0" borderId="0" xfId="0" applyFont="1" applyFill="1"/>
    <xf numFmtId="9" fontId="0" fillId="0" borderId="0" xfId="2" applyFont="1"/>
    <xf numFmtId="9" fontId="0" fillId="0" borderId="0" xfId="0" applyNumberFormat="1"/>
    <xf numFmtId="6" fontId="0" fillId="0" borderId="0" xfId="0" applyNumberFormat="1"/>
    <xf numFmtId="3" fontId="0" fillId="0" borderId="0" xfId="0" applyNumberFormat="1" applyFill="1" applyBorder="1"/>
    <xf numFmtId="2" fontId="0" fillId="0" borderId="0" xfId="0" applyNumberFormat="1" applyFill="1" applyBorder="1"/>
    <xf numFmtId="14" fontId="0" fillId="0" borderId="0" xfId="0" applyNumberFormat="1"/>
    <xf numFmtId="37" fontId="3" fillId="0" borderId="0" xfId="1" applyNumberFormat="1" applyFont="1" applyBorder="1"/>
    <xf numFmtId="16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0" fontId="0" fillId="0" borderId="5" xfId="0" applyBorder="1"/>
    <xf numFmtId="0" fontId="0" fillId="0" borderId="7" xfId="0" applyBorder="1"/>
    <xf numFmtId="166" fontId="0" fillId="0" borderId="0" xfId="0" applyNumberFormat="1"/>
    <xf numFmtId="43" fontId="0" fillId="4" borderId="0" xfId="1" applyFont="1" applyFill="1" applyBorder="1"/>
    <xf numFmtId="0" fontId="0" fillId="4" borderId="0" xfId="0" applyFill="1" applyBorder="1"/>
    <xf numFmtId="43" fontId="0" fillId="4" borderId="0" xfId="0" applyNumberFormat="1" applyFill="1" applyBorder="1"/>
    <xf numFmtId="43" fontId="2" fillId="4" borderId="0" xfId="0" applyNumberFormat="1" applyFont="1" applyFill="1" applyBorder="1"/>
    <xf numFmtId="2" fontId="0" fillId="4" borderId="0" xfId="0" applyNumberFormat="1" applyFill="1" applyBorder="1"/>
    <xf numFmtId="3" fontId="0" fillId="4" borderId="0" xfId="0" applyNumberFormat="1" applyFill="1" applyBorder="1"/>
    <xf numFmtId="39" fontId="3" fillId="4" borderId="0" xfId="1" applyNumberFormat="1" applyFont="1" applyFill="1" applyBorder="1"/>
    <xf numFmtId="0" fontId="0" fillId="0" borderId="0" xfId="0" applyFill="1" applyBorder="1"/>
    <xf numFmtId="0" fontId="0" fillId="0" borderId="12" xfId="0" applyBorder="1"/>
    <xf numFmtId="10" fontId="0" fillId="0" borderId="5" xfId="2" applyNumberFormat="1" applyFont="1" applyBorder="1"/>
    <xf numFmtId="10" fontId="0" fillId="0" borderId="7" xfId="2" applyNumberFormat="1" applyFont="1" applyBorder="1"/>
    <xf numFmtId="0" fontId="0" fillId="0" borderId="13" xfId="0" applyBorder="1"/>
    <xf numFmtId="0" fontId="4" fillId="0" borderId="5" xfId="0" applyFont="1" applyBorder="1"/>
    <xf numFmtId="9" fontId="0" fillId="0" borderId="13" xfId="2" applyFont="1" applyBorder="1"/>
    <xf numFmtId="17" fontId="0" fillId="0" borderId="4" xfId="0" applyNumberFormat="1" applyBorder="1"/>
    <xf numFmtId="9" fontId="0" fillId="0" borderId="5" xfId="2" applyFont="1" applyBorder="1"/>
    <xf numFmtId="17" fontId="0" fillId="0" borderId="6" xfId="0" applyNumberFormat="1" applyBorder="1"/>
    <xf numFmtId="9" fontId="0" fillId="0" borderId="7" xfId="2" applyFont="1" applyBorder="1"/>
    <xf numFmtId="0" fontId="0" fillId="0" borderId="14" xfId="0" applyBorder="1"/>
    <xf numFmtId="43" fontId="0" fillId="0" borderId="15" xfId="0" applyNumberFormat="1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15" xfId="0" applyBorder="1"/>
    <xf numFmtId="43" fontId="0" fillId="0" borderId="20" xfId="0" applyNumberFormat="1" applyBorder="1"/>
    <xf numFmtId="43" fontId="0" fillId="0" borderId="21" xfId="0" applyNumberFormat="1" applyBorder="1"/>
    <xf numFmtId="0" fontId="0" fillId="0" borderId="22" xfId="0" applyBorder="1"/>
    <xf numFmtId="0" fontId="0" fillId="0" borderId="25" xfId="0" applyBorder="1"/>
    <xf numFmtId="43" fontId="0" fillId="0" borderId="26" xfId="0" applyNumberFormat="1" applyBorder="1"/>
    <xf numFmtId="0" fontId="2" fillId="0" borderId="20" xfId="0" applyFont="1" applyBorder="1"/>
    <xf numFmtId="0" fontId="2" fillId="0" borderId="22" xfId="0" applyFont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2" fillId="0" borderId="19" xfId="0" applyFont="1" applyBorder="1"/>
    <xf numFmtId="0" fontId="2" fillId="0" borderId="16" xfId="0" applyFont="1" applyBorder="1"/>
    <xf numFmtId="0" fontId="2" fillId="0" borderId="16" xfId="0" applyFont="1" applyBorder="1" applyAlignment="1">
      <alignment horizontal="center"/>
    </xf>
    <xf numFmtId="2" fontId="0" fillId="0" borderId="11" xfId="0" applyNumberFormat="1" applyBorder="1"/>
    <xf numFmtId="2" fontId="2" fillId="0" borderId="11" xfId="1" applyNumberFormat="1" applyFont="1" applyBorder="1"/>
    <xf numFmtId="2" fontId="0" fillId="0" borderId="11" xfId="1" applyNumberFormat="1" applyFont="1" applyBorder="1"/>
    <xf numFmtId="0" fontId="0" fillId="0" borderId="0" xfId="0"/>
    <xf numFmtId="0" fontId="0" fillId="0" borderId="11" xfId="0" applyBorder="1"/>
    <xf numFmtId="10" fontId="0" fillId="5" borderId="11" xfId="0" applyNumberFormat="1" applyFill="1" applyBorder="1"/>
    <xf numFmtId="10" fontId="0" fillId="5" borderId="11" xfId="2" applyNumberFormat="1" applyFont="1" applyFill="1" applyBorder="1"/>
    <xf numFmtId="0" fontId="2" fillId="0" borderId="11" xfId="0" applyFont="1" applyBorder="1"/>
    <xf numFmtId="1" fontId="0" fillId="0" borderId="11" xfId="0" applyNumberFormat="1" applyBorder="1" applyAlignment="1">
      <alignment horizontal="center"/>
    </xf>
    <xf numFmtId="0" fontId="7" fillId="0" borderId="11" xfId="0" applyFont="1" applyBorder="1" applyAlignment="1">
      <alignment horizontal="center"/>
    </xf>
    <xf numFmtId="168" fontId="0" fillId="0" borderId="11" xfId="1" applyNumberFormat="1" applyFont="1" applyBorder="1"/>
    <xf numFmtId="168" fontId="0" fillId="0" borderId="11" xfId="0" applyNumberFormat="1" applyBorder="1"/>
    <xf numFmtId="10" fontId="0" fillId="0" borderId="11" xfId="2" applyNumberFormat="1" applyFont="1" applyBorder="1"/>
    <xf numFmtId="169" fontId="0" fillId="0" borderId="11" xfId="2" applyNumberFormat="1" applyFont="1" applyBorder="1"/>
    <xf numFmtId="0" fontId="7" fillId="0" borderId="11" xfId="0" applyFont="1" applyBorder="1"/>
    <xf numFmtId="2" fontId="0" fillId="5" borderId="11" xfId="2" applyNumberFormat="1" applyFont="1" applyFill="1" applyBorder="1"/>
    <xf numFmtId="0" fontId="0" fillId="0" borderId="18" xfId="0" applyBorder="1"/>
    <xf numFmtId="10" fontId="0" fillId="0" borderId="18" xfId="2" applyNumberFormat="1" applyFont="1" applyBorder="1"/>
    <xf numFmtId="0" fontId="0" fillId="0" borderId="14" xfId="0" applyFont="1" applyBorder="1"/>
    <xf numFmtId="0" fontId="2" fillId="0" borderId="25" xfId="0" applyFont="1" applyBorder="1"/>
    <xf numFmtId="0" fontId="2" fillId="0" borderId="26" xfId="0" quotePrefix="1" applyFont="1" applyBorder="1"/>
    <xf numFmtId="43" fontId="0" fillId="0" borderId="22" xfId="0" applyNumberFormat="1" applyBorder="1"/>
    <xf numFmtId="43" fontId="0" fillId="0" borderId="26" xfId="0" applyNumberFormat="1" applyFont="1" applyBorder="1"/>
    <xf numFmtId="10" fontId="0" fillId="0" borderId="15" xfId="2" applyNumberFormat="1" applyFont="1" applyBorder="1"/>
    <xf numFmtId="9" fontId="0" fillId="0" borderId="15" xfId="2" applyFont="1" applyBorder="1"/>
    <xf numFmtId="10" fontId="0" fillId="0" borderId="15" xfId="0" applyNumberFormat="1" applyBorder="1"/>
    <xf numFmtId="0" fontId="0" fillId="0" borderId="24" xfId="0" applyBorder="1"/>
    <xf numFmtId="0" fontId="2" fillId="0" borderId="24" xfId="0" applyFont="1" applyBorder="1" applyAlignment="1">
      <alignment horizontal="center" vertical="center"/>
    </xf>
    <xf numFmtId="0" fontId="0" fillId="0" borderId="28" xfId="0" applyFill="1" applyBorder="1"/>
    <xf numFmtId="4" fontId="13" fillId="2" borderId="30" xfId="0" applyNumberFormat="1" applyFont="1" applyFill="1" applyBorder="1" applyAlignment="1">
      <alignment horizontal="right" vertical="center"/>
    </xf>
    <xf numFmtId="0" fontId="6" fillId="0" borderId="5" xfId="0" applyFont="1" applyBorder="1"/>
    <xf numFmtId="4" fontId="13" fillId="0" borderId="5" xfId="0" applyNumberFormat="1" applyFont="1" applyBorder="1"/>
    <xf numFmtId="0" fontId="6" fillId="0" borderId="7" xfId="0" applyFont="1" applyBorder="1"/>
    <xf numFmtId="14" fontId="6" fillId="0" borderId="28" xfId="0" applyNumberFormat="1" applyFont="1" applyBorder="1"/>
    <xf numFmtId="14" fontId="6" fillId="0" borderId="29" xfId="0" applyNumberFormat="1" applyFont="1" applyBorder="1"/>
    <xf numFmtId="0" fontId="14" fillId="0" borderId="27" xfId="0" applyFont="1" applyBorder="1"/>
    <xf numFmtId="4" fontId="13" fillId="2" borderId="5" xfId="0" applyNumberFormat="1" applyFont="1" applyFill="1" applyBorder="1" applyAlignment="1">
      <alignment horizontal="right" vertical="center"/>
    </xf>
    <xf numFmtId="0" fontId="14" fillId="0" borderId="11" xfId="0" applyFont="1" applyBorder="1"/>
    <xf numFmtId="0" fontId="14" fillId="0" borderId="10" xfId="0" applyFont="1" applyBorder="1"/>
    <xf numFmtId="0" fontId="2" fillId="0" borderId="8" xfId="0" applyFont="1" applyBorder="1"/>
    <xf numFmtId="9" fontId="2" fillId="0" borderId="10" xfId="2" applyFont="1" applyBorder="1"/>
    <xf numFmtId="10" fontId="0" fillId="0" borderId="10" xfId="2" applyNumberFormat="1" applyFont="1" applyBorder="1"/>
    <xf numFmtId="14" fontId="0" fillId="0" borderId="28" xfId="0" applyNumberFormat="1" applyBorder="1"/>
    <xf numFmtId="14" fontId="0" fillId="0" borderId="29" xfId="0" applyNumberFormat="1" applyBorder="1"/>
    <xf numFmtId="0" fontId="14" fillId="0" borderId="28" xfId="0" applyFont="1" applyBorder="1"/>
    <xf numFmtId="0" fontId="14" fillId="0" borderId="29" xfId="0" applyFont="1" applyBorder="1"/>
    <xf numFmtId="10" fontId="6" fillId="3" borderId="27" xfId="2" applyNumberFormat="1" applyFont="1" applyFill="1" applyBorder="1"/>
    <xf numFmtId="10" fontId="6" fillId="3" borderId="28" xfId="2" applyNumberFormat="1" applyFont="1" applyFill="1" applyBorder="1"/>
    <xf numFmtId="2" fontId="6" fillId="3" borderId="28" xfId="0" applyNumberFormat="1" applyFont="1" applyFill="1" applyBorder="1"/>
    <xf numFmtId="0" fontId="6" fillId="0" borderId="28" xfId="0" applyFont="1" applyBorder="1"/>
    <xf numFmtId="10" fontId="6" fillId="3" borderId="29" xfId="2" applyNumberFormat="1" applyFont="1" applyFill="1" applyBorder="1"/>
    <xf numFmtId="168" fontId="11" fillId="0" borderId="11" xfId="0" applyNumberFormat="1" applyFont="1" applyBorder="1"/>
    <xf numFmtId="0" fontId="2" fillId="0" borderId="2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8" xfId="0" applyFont="1" applyFill="1" applyBorder="1"/>
    <xf numFmtId="0" fontId="0" fillId="0" borderId="5" xfId="0" applyFill="1" applyBorder="1"/>
    <xf numFmtId="2" fontId="0" fillId="0" borderId="28" xfId="0" applyNumberFormat="1" applyFill="1" applyBorder="1"/>
    <xf numFmtId="2" fontId="0" fillId="0" borderId="5" xfId="0" applyNumberFormat="1" applyFill="1" applyBorder="1"/>
    <xf numFmtId="164" fontId="0" fillId="0" borderId="28" xfId="0" applyNumberFormat="1" applyFill="1" applyBorder="1"/>
    <xf numFmtId="165" fontId="0" fillId="0" borderId="28" xfId="0" applyNumberFormat="1" applyFill="1" applyBorder="1"/>
    <xf numFmtId="0" fontId="2" fillId="0" borderId="5" xfId="0" applyFon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15" fillId="0" borderId="5" xfId="0" applyFont="1" applyFill="1" applyBorder="1"/>
    <xf numFmtId="0" fontId="15" fillId="0" borderId="28" xfId="0" applyFont="1" applyFill="1" applyBorder="1"/>
    <xf numFmtId="0" fontId="15" fillId="0" borderId="0" xfId="0" applyFont="1" applyFill="1" applyBorder="1"/>
    <xf numFmtId="0" fontId="2" fillId="0" borderId="0" xfId="0" applyFont="1" applyFill="1" applyBorder="1"/>
    <xf numFmtId="0" fontId="0" fillId="0" borderId="0" xfId="0" applyFill="1"/>
    <xf numFmtId="0" fontId="2" fillId="0" borderId="1" xfId="0" applyFont="1" applyFill="1" applyBorder="1"/>
    <xf numFmtId="43" fontId="0" fillId="0" borderId="0" xfId="1" applyFont="1" applyFill="1" applyBorder="1"/>
    <xf numFmtId="9" fontId="0" fillId="0" borderId="0" xfId="0" applyNumberFormat="1" applyBorder="1"/>
    <xf numFmtId="0" fontId="1" fillId="6" borderId="11" xfId="5" applyBorder="1"/>
    <xf numFmtId="0" fontId="1" fillId="6" borderId="0" xfId="5" applyBorder="1"/>
    <xf numFmtId="0" fontId="2" fillId="6" borderId="2" xfId="5" applyFont="1" applyBorder="1"/>
    <xf numFmtId="0" fontId="2" fillId="6" borderId="0" xfId="5" applyFont="1" applyBorder="1"/>
    <xf numFmtId="0" fontId="2" fillId="6" borderId="2" xfId="5" applyFont="1" applyBorder="1" applyAlignment="1">
      <alignment horizontal="center"/>
    </xf>
    <xf numFmtId="6" fontId="1" fillId="6" borderId="0" xfId="5" applyNumberFormat="1" applyBorder="1"/>
    <xf numFmtId="0" fontId="1" fillId="6" borderId="5" xfId="5" applyBorder="1"/>
    <xf numFmtId="6" fontId="1" fillId="6" borderId="5" xfId="5" applyNumberFormat="1" applyBorder="1"/>
    <xf numFmtId="0" fontId="2" fillId="0" borderId="5" xfId="0" applyFont="1" applyBorder="1"/>
    <xf numFmtId="0" fontId="2" fillId="0" borderId="7" xfId="0" applyFont="1" applyBorder="1"/>
    <xf numFmtId="0" fontId="2" fillId="0" borderId="11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8" xfId="0" applyBorder="1"/>
    <xf numFmtId="0" fontId="2" fillId="0" borderId="28" xfId="0" applyFont="1" applyBorder="1"/>
    <xf numFmtId="0" fontId="2" fillId="0" borderId="29" xfId="0" applyFont="1" applyBorder="1"/>
    <xf numFmtId="0" fontId="2" fillId="0" borderId="10" xfId="0" applyFont="1" applyBorder="1"/>
    <xf numFmtId="0" fontId="16" fillId="0" borderId="11" xfId="0" applyFont="1" applyBorder="1"/>
    <xf numFmtId="0" fontId="16" fillId="0" borderId="10" xfId="0" applyFont="1" applyBorder="1"/>
    <xf numFmtId="0" fontId="0" fillId="0" borderId="27" xfId="0" applyBorder="1"/>
    <xf numFmtId="0" fontId="2" fillId="6" borderId="4" xfId="5" applyFont="1" applyBorder="1"/>
    <xf numFmtId="0" fontId="2" fillId="6" borderId="5" xfId="5" applyFont="1" applyBorder="1"/>
    <xf numFmtId="0" fontId="2" fillId="6" borderId="32" xfId="5" applyFont="1" applyBorder="1" applyAlignment="1">
      <alignment horizontal="center"/>
    </xf>
    <xf numFmtId="0" fontId="2" fillId="6" borderId="5" xfId="5" applyFont="1" applyBorder="1" applyAlignment="1">
      <alignment horizontal="center"/>
    </xf>
    <xf numFmtId="2" fontId="0" fillId="0" borderId="0" xfId="0" applyNumberFormat="1" applyBorder="1"/>
    <xf numFmtId="0" fontId="2" fillId="6" borderId="13" xfId="5" applyFont="1" applyBorder="1"/>
    <xf numFmtId="43" fontId="1" fillId="6" borderId="5" xfId="5" applyNumberFormat="1" applyBorder="1"/>
    <xf numFmtId="0" fontId="2" fillId="6" borderId="27" xfId="5" applyFont="1" applyBorder="1"/>
    <xf numFmtId="0" fontId="2" fillId="6" borderId="28" xfId="5" applyFont="1" applyBorder="1"/>
    <xf numFmtId="0" fontId="1" fillId="6" borderId="28" xfId="5" applyBorder="1"/>
    <xf numFmtId="0" fontId="2" fillId="6" borderId="33" xfId="5" applyFont="1" applyBorder="1"/>
    <xf numFmtId="0" fontId="2" fillId="6" borderId="28" xfId="5" applyFont="1" applyBorder="1" applyAlignment="1">
      <alignment horizontal="center"/>
    </xf>
    <xf numFmtId="0" fontId="2" fillId="6" borderId="35" xfId="5" applyFont="1" applyBorder="1"/>
    <xf numFmtId="167" fontId="11" fillId="6" borderId="5" xfId="5" applyNumberFormat="1" applyFont="1" applyBorder="1"/>
    <xf numFmtId="3" fontId="1" fillId="6" borderId="28" xfId="5" applyNumberFormat="1" applyBorder="1"/>
    <xf numFmtId="2" fontId="1" fillId="6" borderId="28" xfId="5" applyNumberFormat="1" applyBorder="1"/>
    <xf numFmtId="6" fontId="16" fillId="6" borderId="5" xfId="5" applyNumberFormat="1" applyFont="1" applyBorder="1"/>
    <xf numFmtId="0" fontId="2" fillId="6" borderId="29" xfId="5" applyFont="1" applyBorder="1"/>
    <xf numFmtId="167" fontId="11" fillId="6" borderId="0" xfId="5" applyNumberFormat="1" applyFont="1" applyBorder="1"/>
    <xf numFmtId="6" fontId="16" fillId="6" borderId="0" xfId="5" applyNumberFormat="1" applyFont="1" applyBorder="1"/>
    <xf numFmtId="37" fontId="2" fillId="6" borderId="28" xfId="5" applyNumberFormat="1" applyFont="1" applyBorder="1"/>
    <xf numFmtId="37" fontId="2" fillId="6" borderId="29" xfId="5" applyNumberFormat="1" applyFont="1" applyBorder="1"/>
    <xf numFmtId="0" fontId="2" fillId="6" borderId="34" xfId="5" applyFont="1" applyBorder="1" applyAlignment="1">
      <alignment horizontal="center"/>
    </xf>
    <xf numFmtId="0" fontId="2" fillId="6" borderId="38" xfId="5" applyFont="1" applyBorder="1" applyAlignment="1">
      <alignment horizontal="center"/>
    </xf>
    <xf numFmtId="0" fontId="2" fillId="6" borderId="7" xfId="5" applyFont="1" applyBorder="1" applyAlignment="1">
      <alignment horizontal="center"/>
    </xf>
    <xf numFmtId="0" fontId="2" fillId="6" borderId="29" xfId="5" applyFont="1" applyBorder="1" applyAlignment="1">
      <alignment horizontal="center"/>
    </xf>
    <xf numFmtId="0" fontId="2" fillId="0" borderId="13" xfId="0" applyFont="1" applyBorder="1"/>
    <xf numFmtId="43" fontId="1" fillId="6" borderId="7" xfId="5" applyNumberFormat="1" applyBorder="1"/>
    <xf numFmtId="0" fontId="2" fillId="6" borderId="27" xfId="5" applyFont="1" applyBorder="1" applyAlignment="1">
      <alignment horizontal="center"/>
    </xf>
    <xf numFmtId="43" fontId="1" fillId="6" borderId="28" xfId="5" applyNumberFormat="1" applyBorder="1"/>
    <xf numFmtId="43" fontId="1" fillId="6" borderId="29" xfId="5" applyNumberFormat="1" applyBorder="1"/>
    <xf numFmtId="0" fontId="2" fillId="6" borderId="10" xfId="5" applyFont="1" applyBorder="1"/>
    <xf numFmtId="3" fontId="1" fillId="6" borderId="29" xfId="5" applyNumberFormat="1" applyBorder="1"/>
    <xf numFmtId="3" fontId="0" fillId="0" borderId="5" xfId="0" applyNumberFormat="1" applyBorder="1"/>
    <xf numFmtId="0" fontId="2" fillId="0" borderId="25" xfId="0" applyFont="1" applyBorder="1" applyAlignment="1">
      <alignment horizontal="center"/>
    </xf>
    <xf numFmtId="0" fontId="2" fillId="4" borderId="21" xfId="0" applyFont="1" applyFill="1" applyBorder="1"/>
    <xf numFmtId="3" fontId="0" fillId="0" borderId="15" xfId="0" applyNumberFormat="1" applyBorder="1"/>
    <xf numFmtId="43" fontId="2" fillId="4" borderId="26" xfId="0" applyNumberFormat="1" applyFont="1" applyFill="1" applyBorder="1"/>
    <xf numFmtId="43" fontId="12" fillId="4" borderId="39" xfId="0" applyNumberFormat="1" applyFont="1" applyFill="1" applyBorder="1"/>
    <xf numFmtId="0" fontId="2" fillId="4" borderId="40" xfId="0" applyFont="1" applyFill="1" applyBorder="1"/>
    <xf numFmtId="171" fontId="0" fillId="0" borderId="0" xfId="0" applyNumberFormat="1"/>
    <xf numFmtId="3" fontId="0" fillId="0" borderId="0" xfId="0" applyNumberFormat="1"/>
    <xf numFmtId="170" fontId="0" fillId="0" borderId="5" xfId="0" applyNumberFormat="1" applyBorder="1"/>
    <xf numFmtId="0" fontId="2" fillId="0" borderId="4" xfId="0" applyFont="1" applyBorder="1"/>
    <xf numFmtId="0" fontId="2" fillId="4" borderId="6" xfId="0" applyFont="1" applyFill="1" applyBorder="1"/>
    <xf numFmtId="170" fontId="0" fillId="4" borderId="7" xfId="0" applyNumberFormat="1" applyFill="1" applyBorder="1"/>
    <xf numFmtId="0" fontId="2" fillId="4" borderId="29" xfId="0" applyFont="1" applyFill="1" applyBorder="1"/>
    <xf numFmtId="43" fontId="0" fillId="0" borderId="5" xfId="1" applyFont="1" applyBorder="1"/>
    <xf numFmtId="168" fontId="0" fillId="0" borderId="5" xfId="1" applyNumberFormat="1" applyFont="1" applyBorder="1"/>
    <xf numFmtId="0" fontId="0" fillId="4" borderId="0" xfId="0" applyFill="1"/>
    <xf numFmtId="0" fontId="0" fillId="0" borderId="4" xfId="0" applyBorder="1"/>
    <xf numFmtId="0" fontId="0" fillId="0" borderId="0" xfId="0" applyBorder="1" applyAlignment="1">
      <alignment wrapText="1"/>
    </xf>
    <xf numFmtId="0" fontId="0" fillId="0" borderId="4" xfId="0" applyFont="1" applyBorder="1"/>
    <xf numFmtId="0" fontId="0" fillId="0" borderId="4" xfId="0" applyFont="1" applyFill="1" applyBorder="1" applyAlignment="1">
      <alignment horizontal="right"/>
    </xf>
    <xf numFmtId="43" fontId="0" fillId="0" borderId="13" xfId="1" applyFont="1" applyBorder="1"/>
    <xf numFmtId="9" fontId="0" fillId="0" borderId="13" xfId="0" applyNumberFormat="1" applyBorder="1"/>
    <xf numFmtId="9" fontId="0" fillId="0" borderId="5" xfId="0" applyNumberFormat="1" applyBorder="1"/>
    <xf numFmtId="0" fontId="2" fillId="0" borderId="12" xfId="0" applyFont="1" applyBorder="1"/>
    <xf numFmtId="10" fontId="0" fillId="0" borderId="5" xfId="0" applyNumberFormat="1" applyBorder="1"/>
    <xf numFmtId="9" fontId="0" fillId="5" borderId="11" xfId="2" applyNumberFormat="1" applyFont="1" applyFill="1" applyBorder="1"/>
    <xf numFmtId="43" fontId="0" fillId="0" borderId="11" xfId="1" applyFont="1" applyBorder="1"/>
    <xf numFmtId="173" fontId="0" fillId="0" borderId="11" xfId="0" applyNumberFormat="1" applyBorder="1"/>
    <xf numFmtId="172" fontId="2" fillId="4" borderId="7" xfId="0" applyNumberFormat="1" applyFont="1" applyFill="1" applyBorder="1"/>
    <xf numFmtId="169" fontId="2" fillId="4" borderId="7" xfId="0" applyNumberFormat="1" applyFont="1" applyFill="1" applyBorder="1"/>
    <xf numFmtId="0" fontId="2" fillId="4" borderId="14" xfId="0" applyFont="1" applyFill="1" applyBorder="1"/>
    <xf numFmtId="0" fontId="0" fillId="4" borderId="14" xfId="0" applyFill="1" applyBorder="1"/>
    <xf numFmtId="43" fontId="12" fillId="4" borderId="15" xfId="0" applyNumberFormat="1" applyFont="1" applyFill="1" applyBorder="1"/>
    <xf numFmtId="0" fontId="0" fillId="0" borderId="31" xfId="0" applyBorder="1"/>
    <xf numFmtId="43" fontId="0" fillId="0" borderId="5" xfId="0" applyNumberFormat="1" applyBorder="1"/>
    <xf numFmtId="0" fontId="0" fillId="0" borderId="41" xfId="0" applyBorder="1"/>
    <xf numFmtId="0" fontId="0" fillId="4" borderId="6" xfId="0" applyFill="1" applyBorder="1"/>
    <xf numFmtId="0" fontId="0" fillId="4" borderId="41" xfId="0" applyFill="1" applyBorder="1"/>
    <xf numFmtId="0" fontId="0" fillId="4" borderId="7" xfId="0" applyFill="1" applyBorder="1"/>
    <xf numFmtId="43" fontId="0" fillId="0" borderId="11" xfId="0" applyNumberFormat="1" applyBorder="1"/>
    <xf numFmtId="170" fontId="0" fillId="0" borderId="13" xfId="0" applyNumberFormat="1" applyBorder="1"/>
    <xf numFmtId="170" fontId="0" fillId="0" borderId="7" xfId="0" applyNumberFormat="1" applyBorder="1"/>
    <xf numFmtId="0" fontId="2" fillId="0" borderId="6" xfId="0" applyFont="1" applyBorder="1"/>
    <xf numFmtId="169" fontId="0" fillId="0" borderId="0" xfId="0" applyNumberFormat="1" applyBorder="1"/>
    <xf numFmtId="169" fontId="0" fillId="0" borderId="0" xfId="2" applyNumberFormat="1" applyFont="1" applyBorder="1"/>
    <xf numFmtId="10" fontId="0" fillId="0" borderId="0" xfId="0" applyNumberFormat="1" applyBorder="1"/>
    <xf numFmtId="43" fontId="2" fillId="4" borderId="42" xfId="1" applyFont="1" applyFill="1" applyBorder="1"/>
    <xf numFmtId="43" fontId="0" fillId="4" borderId="43" xfId="0" applyNumberFormat="1" applyFill="1" applyBorder="1"/>
    <xf numFmtId="2" fontId="0" fillId="7" borderId="44" xfId="0" applyNumberFormat="1" applyFill="1" applyBorder="1"/>
    <xf numFmtId="0" fontId="2" fillId="0" borderId="4" xfId="0" applyFont="1" applyFill="1" applyBorder="1"/>
    <xf numFmtId="0" fontId="2" fillId="4" borderId="4" xfId="0" applyFont="1" applyFill="1" applyBorder="1"/>
    <xf numFmtId="170" fontId="2" fillId="0" borderId="5" xfId="0" applyNumberFormat="1" applyFont="1" applyFill="1" applyBorder="1"/>
    <xf numFmtId="0" fontId="0" fillId="4" borderId="5" xfId="0" applyFill="1" applyBorder="1"/>
    <xf numFmtId="0" fontId="2" fillId="6" borderId="0" xfId="5" applyFont="1" applyBorder="1" applyAlignment="1">
      <alignment horizontal="center"/>
    </xf>
    <xf numFmtId="0" fontId="2" fillId="6" borderId="13" xfId="5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9" borderId="0" xfId="0" applyFill="1" applyBorder="1"/>
    <xf numFmtId="43" fontId="0" fillId="10" borderId="0" xfId="0" applyNumberFormat="1" applyFill="1" applyBorder="1"/>
    <xf numFmtId="174" fontId="0" fillId="0" borderId="0" xfId="0" applyNumberFormat="1"/>
    <xf numFmtId="0" fontId="18" fillId="11" borderId="45" xfId="6"/>
    <xf numFmtId="168" fontId="18" fillId="11" borderId="45" xfId="6" applyNumberFormat="1"/>
    <xf numFmtId="0" fontId="19" fillId="12" borderId="46" xfId="7" applyAlignment="1">
      <alignment horizontal="center"/>
    </xf>
    <xf numFmtId="167" fontId="20" fillId="12" borderId="46" xfId="7" applyNumberFormat="1" applyFont="1" applyAlignment="1">
      <alignment horizontal="right"/>
    </xf>
    <xf numFmtId="43" fontId="0" fillId="5" borderId="11" xfId="1" applyFont="1" applyFill="1" applyBorder="1"/>
    <xf numFmtId="0" fontId="0" fillId="5" borderId="11" xfId="0" applyFill="1" applyBorder="1" applyAlignment="1">
      <alignment horizontal="center"/>
    </xf>
    <xf numFmtId="0" fontId="0" fillId="13" borderId="0" xfId="0" applyFill="1"/>
    <xf numFmtId="43" fontId="0" fillId="0" borderId="28" xfId="1" applyFont="1" applyBorder="1"/>
    <xf numFmtId="43" fontId="0" fillId="0" borderId="27" xfId="1" applyFont="1" applyBorder="1"/>
    <xf numFmtId="43" fontId="16" fillId="0" borderId="11" xfId="1" applyFont="1" applyBorder="1"/>
    <xf numFmtId="43" fontId="16" fillId="0" borderId="10" xfId="1" applyFont="1" applyBorder="1"/>
    <xf numFmtId="4" fontId="1" fillId="6" borderId="28" xfId="5" applyNumberFormat="1" applyBorder="1"/>
    <xf numFmtId="4" fontId="1" fillId="6" borderId="5" xfId="5" applyNumberFormat="1" applyBorder="1"/>
    <xf numFmtId="4" fontId="1" fillId="6" borderId="28" xfId="1" applyNumberFormat="1" applyFill="1" applyBorder="1"/>
    <xf numFmtId="4" fontId="16" fillId="6" borderId="27" xfId="5" applyNumberFormat="1" applyFont="1" applyBorder="1"/>
    <xf numFmtId="4" fontId="16" fillId="6" borderId="13" xfId="5" applyNumberFormat="1" applyFont="1" applyBorder="1"/>
    <xf numFmtId="4" fontId="16" fillId="6" borderId="27" xfId="1" applyNumberFormat="1" applyFont="1" applyFill="1" applyBorder="1"/>
    <xf numFmtId="4" fontId="16" fillId="6" borderId="13" xfId="1" applyNumberFormat="1" applyFont="1" applyFill="1" applyBorder="1"/>
    <xf numFmtId="4" fontId="1" fillId="6" borderId="29" xfId="5" applyNumberFormat="1" applyBorder="1"/>
    <xf numFmtId="4" fontId="1" fillId="6" borderId="7" xfId="5" applyNumberFormat="1" applyBorder="1"/>
    <xf numFmtId="4" fontId="1" fillId="6" borderId="29" xfId="1" applyNumberFormat="1" applyFill="1" applyBorder="1"/>
    <xf numFmtId="4" fontId="1" fillId="6" borderId="7" xfId="1" applyNumberFormat="1" applyFill="1" applyBorder="1"/>
    <xf numFmtId="4" fontId="16" fillId="6" borderId="29" xfId="1" applyNumberFormat="1" applyFont="1" applyFill="1" applyBorder="1"/>
    <xf numFmtId="4" fontId="16" fillId="6" borderId="7" xfId="1" applyNumberFormat="1" applyFont="1" applyFill="1" applyBorder="1"/>
    <xf numFmtId="43" fontId="1" fillId="6" borderId="32" xfId="5" applyNumberFormat="1" applyBorder="1"/>
    <xf numFmtId="43" fontId="11" fillId="6" borderId="33" xfId="5" applyNumberFormat="1" applyFont="1" applyBorder="1"/>
    <xf numFmtId="43" fontId="11" fillId="6" borderId="13" xfId="5" applyNumberFormat="1" applyFont="1" applyBorder="1"/>
    <xf numFmtId="43" fontId="11" fillId="6" borderId="27" xfId="5" applyNumberFormat="1" applyFont="1" applyBorder="1"/>
    <xf numFmtId="43" fontId="11" fillId="6" borderId="4" xfId="5" applyNumberFormat="1" applyFont="1" applyBorder="1"/>
    <xf numFmtId="43" fontId="11" fillId="6" borderId="5" xfId="5" applyNumberFormat="1" applyFont="1" applyBorder="1"/>
    <xf numFmtId="43" fontId="11" fillId="6" borderId="28" xfId="5" applyNumberFormat="1" applyFont="1" applyBorder="1"/>
    <xf numFmtId="43" fontId="1" fillId="6" borderId="27" xfId="5" applyNumberFormat="1" applyBorder="1"/>
    <xf numFmtId="43" fontId="1" fillId="6" borderId="13" xfId="5" applyNumberFormat="1" applyBorder="1"/>
    <xf numFmtId="43" fontId="11" fillId="6" borderId="29" xfId="5" applyNumberFormat="1" applyFont="1" applyBorder="1"/>
    <xf numFmtId="43" fontId="11" fillId="6" borderId="7" xfId="5" applyNumberFormat="1" applyFont="1" applyBorder="1"/>
    <xf numFmtId="43" fontId="1" fillId="6" borderId="3" xfId="5" applyNumberFormat="1" applyBorder="1"/>
    <xf numFmtId="43" fontId="11" fillId="6" borderId="36" xfId="5" applyNumberFormat="1" applyFont="1" applyBorder="1"/>
    <xf numFmtId="43" fontId="11" fillId="6" borderId="37" xfId="5" applyNumberFormat="1" applyFont="1" applyBorder="1"/>
    <xf numFmtId="43" fontId="11" fillId="6" borderId="10" xfId="5" applyNumberFormat="1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6" borderId="8" xfId="5" applyFont="1" applyBorder="1" applyAlignment="1">
      <alignment horizontal="center"/>
    </xf>
    <xf numFmtId="0" fontId="2" fillId="6" borderId="9" xfId="5" applyFont="1" applyBorder="1" applyAlignment="1">
      <alignment horizontal="center"/>
    </xf>
    <xf numFmtId="0" fontId="2" fillId="6" borderId="10" xfId="5" applyFont="1" applyBorder="1" applyAlignment="1">
      <alignment horizontal="center"/>
    </xf>
    <xf numFmtId="0" fontId="2" fillId="6" borderId="11" xfId="5" applyFont="1" applyBorder="1" applyAlignment="1">
      <alignment horizontal="center"/>
    </xf>
    <xf numFmtId="0" fontId="2" fillId="6" borderId="1" xfId="5" applyFont="1" applyBorder="1" applyAlignment="1">
      <alignment horizontal="center"/>
    </xf>
    <xf numFmtId="0" fontId="2" fillId="6" borderId="0" xfId="5" applyFont="1" applyBorder="1" applyAlignment="1">
      <alignment horizontal="center"/>
    </xf>
    <xf numFmtId="0" fontId="2" fillId="6" borderId="12" xfId="5" applyFont="1" applyBorder="1" applyAlignment="1">
      <alignment horizontal="center"/>
    </xf>
    <xf numFmtId="0" fontId="2" fillId="6" borderId="31" xfId="5" applyFont="1" applyBorder="1" applyAlignment="1">
      <alignment horizontal="center"/>
    </xf>
    <xf numFmtId="0" fontId="2" fillId="6" borderId="13" xfId="5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9" borderId="28" xfId="0" applyFill="1" applyBorder="1"/>
    <xf numFmtId="0" fontId="0" fillId="10" borderId="28" xfId="0" applyFill="1" applyBorder="1"/>
    <xf numFmtId="0" fontId="0" fillId="9" borderId="5" xfId="0" applyFill="1" applyBorder="1"/>
    <xf numFmtId="43" fontId="0" fillId="10" borderId="4" xfId="0" applyNumberFormat="1" applyFill="1" applyBorder="1"/>
    <xf numFmtId="43" fontId="0" fillId="10" borderId="5" xfId="0" applyNumberFormat="1" applyFill="1" applyBorder="1"/>
    <xf numFmtId="43" fontId="0" fillId="10" borderId="28" xfId="0" applyNumberFormat="1" applyFill="1" applyBorder="1"/>
    <xf numFmtId="0" fontId="2" fillId="9" borderId="5" xfId="0" applyFont="1" applyFill="1" applyBorder="1"/>
    <xf numFmtId="0" fontId="0" fillId="10" borderId="5" xfId="0" applyFill="1" applyBorder="1"/>
    <xf numFmtId="0" fontId="17" fillId="8" borderId="5" xfId="0" applyFont="1" applyFill="1" applyBorder="1"/>
    <xf numFmtId="0" fontId="17" fillId="8" borderId="28" xfId="0" applyFont="1" applyFill="1" applyBorder="1"/>
    <xf numFmtId="0" fontId="7" fillId="8" borderId="28" xfId="0" applyFont="1" applyFill="1" applyBorder="1"/>
    <xf numFmtId="0" fontId="7" fillId="8" borderId="5" xfId="0" applyFont="1" applyFill="1" applyBorder="1"/>
    <xf numFmtId="0" fontId="7" fillId="8" borderId="0" xfId="0" applyFont="1" applyFill="1" applyBorder="1"/>
    <xf numFmtId="43" fontId="0" fillId="10" borderId="28" xfId="0" applyNumberFormat="1" applyFill="1" applyBorder="1" applyAlignment="1">
      <alignment wrapText="1"/>
    </xf>
    <xf numFmtId="43" fontId="0" fillId="0" borderId="28" xfId="0" applyNumberFormat="1" applyBorder="1"/>
    <xf numFmtId="43" fontId="0" fillId="9" borderId="28" xfId="0" applyNumberFormat="1" applyFill="1" applyBorder="1"/>
    <xf numFmtId="43" fontId="0" fillId="9" borderId="5" xfId="0" applyNumberFormat="1" applyFill="1" applyBorder="1"/>
    <xf numFmtId="43" fontId="0" fillId="9" borderId="0" xfId="0" applyNumberFormat="1" applyFill="1" applyBorder="1"/>
    <xf numFmtId="2" fontId="0" fillId="4" borderId="5" xfId="0" applyNumberFormat="1" applyFill="1" applyBorder="1"/>
    <xf numFmtId="2" fontId="0" fillId="0" borderId="5" xfId="0" applyNumberFormat="1" applyBorder="1"/>
    <xf numFmtId="2" fontId="0" fillId="4" borderId="7" xfId="0" applyNumberFormat="1" applyFill="1" applyBorder="1"/>
    <xf numFmtId="2" fontId="2" fillId="4" borderId="5" xfId="0" applyNumberFormat="1" applyFont="1" applyFill="1" applyBorder="1"/>
    <xf numFmtId="2" fontId="2" fillId="4" borderId="7" xfId="0" applyNumberFormat="1" applyFont="1" applyFill="1" applyBorder="1"/>
    <xf numFmtId="43" fontId="20" fillId="12" borderId="46" xfId="7" applyNumberFormat="1" applyFont="1" applyAlignment="1">
      <alignment horizontal="right"/>
    </xf>
    <xf numFmtId="43" fontId="0" fillId="0" borderId="0" xfId="0" applyNumberFormat="1" applyFill="1" applyBorder="1"/>
  </cellXfs>
  <cellStyles count="8">
    <cellStyle name="20% - Accent5" xfId="5" builtinId="46"/>
    <cellStyle name="Comma" xfId="1" builtinId="3"/>
    <cellStyle name="Explanatory Text 2" xfId="3" xr:uid="{2FBE0E75-9D18-4E3F-8372-CD525140566F}"/>
    <cellStyle name="Input" xfId="6" builtinId="20"/>
    <cellStyle name="Normal" xfId="0" builtinId="0"/>
    <cellStyle name="Normal 2" xfId="4" xr:uid="{6B7E9FB5-160F-4E63-B7F4-5EF0E147E825}"/>
    <cellStyle name="Output" xfId="7" builtinId="21"/>
    <cellStyle name="Percent" xfId="2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4472C4"/>
        </patternFill>
      </fill>
    </dxf>
    <dxf>
      <fill>
        <patternFill patternType="solid">
          <fgColor indexed="64"/>
          <bgColor rgb="FFB4C6E7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rgb="FFB4C6E7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colors>
    <mruColors>
      <color rgb="FF6600CC"/>
      <color rgb="FF00CC99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8</xdr:row>
      <xdr:rowOff>0</xdr:rowOff>
    </xdr:from>
    <xdr:ext cx="33509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91560F0-42AF-4449-A342-3A3A729117BE}"/>
                </a:ext>
              </a:extLst>
            </xdr:cNvPr>
            <xdr:cNvSpPr txBox="1"/>
          </xdr:nvSpPr>
          <xdr:spPr>
            <a:xfrm>
              <a:off x="1219200" y="1695450"/>
              <a:ext cx="3350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𝐹𝐶𝐹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91560F0-42AF-4449-A342-3A3A729117BE}"/>
                </a:ext>
              </a:extLst>
            </xdr:cNvPr>
            <xdr:cNvSpPr txBox="1"/>
          </xdr:nvSpPr>
          <xdr:spPr>
            <a:xfrm>
              <a:off x="1219200" y="1695450"/>
              <a:ext cx="3350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𝐹𝐶𝐹〗_1</a:t>
              </a:r>
              <a:endParaRPr lang="en-US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F2600C-1447-4771-BC1B-8B3468E58FB3}" name="Table3" displayName="Table3" ref="B2:D29" totalsRowShown="0" tableBorderDxfId="10">
  <autoFilter ref="B2:D29" xr:uid="{2FE78761-C8D9-4325-AAAF-B4B019373A40}"/>
  <tableColumns count="3">
    <tableColumn id="1" xr3:uid="{4B93B47C-F09E-4CDA-B42B-55DCA167B263}" name="Assumptions" dataDxfId="9"/>
    <tableColumn id="2" xr3:uid="{BF45D0FB-DD29-410F-A3BF-0FA2A53E8A1B}" name="Rate"/>
    <tableColumn id="3" xr3:uid="{879C1180-7219-4440-AF91-1FC46BA53BF4}" name="Varies With Sale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CDBE62-AC2A-4713-82FF-3A6306B16876}" name="Table2" displayName="Table2" ref="B2:H17" totalsRowShown="0" headerRowDxfId="8" tableBorderDxfId="7">
  <autoFilter ref="B2:H17" xr:uid="{2BBD942E-53A5-4332-BA42-8AE25FF63FA5}"/>
  <tableColumns count="7">
    <tableColumn id="1" xr3:uid="{236C344F-6BF0-4BD6-B949-B4B19FB3654A}" name="Financial analysis ratio" dataDxfId="6"/>
    <tableColumn id="2" xr3:uid="{395E7117-85FE-4824-91BA-D5C29574DF53}" name="Formulas" dataDxfId="5"/>
    <tableColumn id="3" xr3:uid="{9DC8750A-CD5E-471D-BFD7-489AB986F4C7}" name="2018" dataDxfId="4"/>
    <tableColumn id="4" xr3:uid="{1092F6E4-5339-4C90-A134-EC637944C6F9}" name="2017"/>
    <tableColumn id="5" xr3:uid="{B7255C71-BCE2-4F7D-A034-77CCAC49646D}" name="2016"/>
    <tableColumn id="6" xr3:uid="{88B65EA9-6C10-4620-9DC1-39C0835504AE}" name="2015"/>
    <tableColumn id="7" xr3:uid="{2BA93365-AB5C-4721-8BD4-3A8391186E90}" name="2014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42BE35-D5E0-499F-AA81-341FA3FCC581}" name="Table1" displayName="Table1" ref="B2:H18" totalsRowShown="0" headerRowDxfId="0" tableBorderDxfId="3">
  <autoFilter ref="B2:H18" xr:uid="{25796FFE-A7DD-41FB-8F2B-DE93AF416A3F}"/>
  <tableColumns count="7">
    <tableColumn id="1" xr3:uid="{8B351643-0B62-4882-B1B6-BA4E03D5B76C}" name="Financial analysis ratio" dataDxfId="2">
      <calculatedColumnFormula>'Ratio Analysis for FRAN'!B2</calculatedColumnFormula>
    </tableColumn>
    <tableColumn id="2" xr3:uid="{89043F3B-5D40-4BC6-950F-F31BAD6F2B03}" name="Formulas" dataDxfId="1"/>
    <tableColumn id="3" xr3:uid="{C3D07C1C-3066-4F19-94FE-1A0DE2CEE2F3}" name="2018"/>
    <tableColumn id="4" xr3:uid="{CBC319BF-D238-4C2D-87D9-AC65ACD27B2C}" name="2017"/>
    <tableColumn id="5" xr3:uid="{1F154CB9-D495-4F9F-86AB-CA62724AFA75}" name="2016"/>
    <tableColumn id="6" xr3:uid="{F7752318-F54D-4067-8AF0-4022FB54711E}" name="2015"/>
    <tableColumn id="7" xr3:uid="{50557F86-10BB-4E8C-B4B5-045C93E0EE52}" name="2014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5B11E-8451-4309-8C53-731048704D1C}">
  <sheetPr>
    <tabColor rgb="FF6600CC"/>
  </sheetPr>
  <dimension ref="B2:N20"/>
  <sheetViews>
    <sheetView workbookViewId="0">
      <selection activeCell="H1" sqref="H1:H1048576"/>
    </sheetView>
  </sheetViews>
  <sheetFormatPr defaultRowHeight="14.5" x14ac:dyDescent="0.35"/>
  <cols>
    <col min="1" max="1" width="8.7265625" style="62"/>
    <col min="2" max="2" width="37.54296875" style="62" bestFit="1" customWidth="1"/>
    <col min="3" max="7" width="9" style="62" bestFit="1" customWidth="1"/>
    <col min="8" max="8" width="8.7265625" style="252"/>
    <col min="9" max="9" width="33.453125" style="62" bestFit="1" customWidth="1"/>
    <col min="10" max="14" width="9" style="62" bestFit="1" customWidth="1"/>
    <col min="15" max="16384" width="8.7265625" style="62"/>
  </cols>
  <sheetData>
    <row r="2" spans="2:14" x14ac:dyDescent="0.35">
      <c r="B2" s="285" t="s">
        <v>0</v>
      </c>
      <c r="C2" s="286"/>
      <c r="D2" s="286"/>
      <c r="E2" s="286"/>
      <c r="F2" s="286"/>
      <c r="G2" s="287"/>
      <c r="I2" s="285" t="s">
        <v>1</v>
      </c>
      <c r="J2" s="286"/>
      <c r="K2" s="286"/>
      <c r="L2" s="286"/>
      <c r="M2" s="286"/>
      <c r="N2" s="287"/>
    </row>
    <row r="3" spans="2:14" x14ac:dyDescent="0.35">
      <c r="B3" s="144" t="s">
        <v>2</v>
      </c>
      <c r="C3" s="66">
        <v>2018</v>
      </c>
      <c r="D3" s="66">
        <v>2017</v>
      </c>
      <c r="E3" s="66">
        <v>2016</v>
      </c>
      <c r="F3" s="66">
        <v>2015</v>
      </c>
      <c r="G3" s="143">
        <v>2014</v>
      </c>
      <c r="I3" s="144" t="s">
        <v>2</v>
      </c>
      <c r="J3" s="66">
        <v>2018</v>
      </c>
      <c r="K3" s="66">
        <v>2017</v>
      </c>
      <c r="L3" s="66">
        <v>2016</v>
      </c>
      <c r="M3" s="66">
        <v>2015</v>
      </c>
      <c r="N3" s="143">
        <v>2014</v>
      </c>
    </row>
    <row r="4" spans="2:14" x14ac:dyDescent="0.35">
      <c r="B4" s="145"/>
      <c r="C4" s="66" t="s">
        <v>3</v>
      </c>
      <c r="D4" s="66" t="s">
        <v>3</v>
      </c>
      <c r="E4" s="66" t="s">
        <v>3</v>
      </c>
      <c r="F4" s="66" t="s">
        <v>3</v>
      </c>
      <c r="G4" s="149" t="s">
        <v>3</v>
      </c>
      <c r="I4" s="145"/>
      <c r="J4" s="66" t="s">
        <v>3</v>
      </c>
      <c r="K4" s="66" t="s">
        <v>3</v>
      </c>
      <c r="L4" s="66" t="s">
        <v>3</v>
      </c>
      <c r="M4" s="66" t="s">
        <v>3</v>
      </c>
      <c r="N4" s="149" t="s">
        <v>3</v>
      </c>
    </row>
    <row r="5" spans="2:14" x14ac:dyDescent="0.35">
      <c r="B5" s="146" t="s">
        <v>4</v>
      </c>
      <c r="C5" s="146">
        <v>471678</v>
      </c>
      <c r="D5" s="146">
        <v>487188</v>
      </c>
      <c r="E5" s="146">
        <v>439377</v>
      </c>
      <c r="F5" s="146">
        <v>377497</v>
      </c>
      <c r="G5" s="20">
        <v>340325</v>
      </c>
      <c r="I5" s="146" t="s">
        <v>5</v>
      </c>
      <c r="J5" s="146">
        <v>100737</v>
      </c>
      <c r="K5" s="146">
        <v>89518</v>
      </c>
      <c r="L5" s="146">
        <v>82808</v>
      </c>
      <c r="M5" s="146">
        <v>79646</v>
      </c>
      <c r="N5" s="20">
        <v>68120</v>
      </c>
    </row>
    <row r="6" spans="2:14" x14ac:dyDescent="0.35">
      <c r="B6" s="146" t="s">
        <v>6</v>
      </c>
      <c r="C6" s="146">
        <v>264915</v>
      </c>
      <c r="D6" s="146">
        <v>258561</v>
      </c>
      <c r="E6" s="146">
        <v>229673</v>
      </c>
      <c r="F6" s="146">
        <v>199919</v>
      </c>
      <c r="G6" s="20">
        <v>164260</v>
      </c>
      <c r="I6" s="146" t="s">
        <v>7</v>
      </c>
      <c r="J6" s="146">
        <v>84503</v>
      </c>
      <c r="K6" s="146">
        <v>100075</v>
      </c>
      <c r="L6" s="146">
        <v>110769</v>
      </c>
      <c r="M6" s="146">
        <v>85899</v>
      </c>
      <c r="N6" s="20">
        <v>82425</v>
      </c>
    </row>
    <row r="7" spans="2:14" x14ac:dyDescent="0.35">
      <c r="B7" s="147" t="s">
        <v>8</v>
      </c>
      <c r="C7" s="146">
        <v>206763</v>
      </c>
      <c r="D7" s="146">
        <v>228627</v>
      </c>
      <c r="E7" s="146">
        <v>209704</v>
      </c>
      <c r="F7" s="146">
        <v>177578</v>
      </c>
      <c r="G7" s="20">
        <v>176065</v>
      </c>
      <c r="I7" s="147" t="s">
        <v>9</v>
      </c>
      <c r="J7" s="152">
        <v>185240</v>
      </c>
      <c r="K7" s="152">
        <v>189593</v>
      </c>
      <c r="L7" s="152">
        <v>193577</v>
      </c>
      <c r="M7" s="152">
        <v>165545</v>
      </c>
      <c r="N7" s="34">
        <v>150545</v>
      </c>
    </row>
    <row r="8" spans="2:14" x14ac:dyDescent="0.35">
      <c r="B8" s="146" t="s">
        <v>10</v>
      </c>
      <c r="C8" s="146">
        <v>176801</v>
      </c>
      <c r="D8" s="146">
        <v>160702</v>
      </c>
      <c r="E8" s="146">
        <v>147387</v>
      </c>
      <c r="F8" s="146">
        <v>124804</v>
      </c>
      <c r="G8" s="20">
        <v>101795</v>
      </c>
      <c r="I8" s="146" t="s">
        <v>11</v>
      </c>
      <c r="J8" s="146">
        <v>70792</v>
      </c>
      <c r="K8" s="146">
        <v>73058</v>
      </c>
      <c r="L8" s="146">
        <v>67185</v>
      </c>
      <c r="M8" s="146">
        <v>56331</v>
      </c>
      <c r="N8" s="20">
        <v>47478</v>
      </c>
    </row>
    <row r="9" spans="2:14" x14ac:dyDescent="0.35">
      <c r="B9" s="146" t="s">
        <v>12</v>
      </c>
      <c r="C9" s="152">
        <v>29962</v>
      </c>
      <c r="D9" s="152">
        <v>67925</v>
      </c>
      <c r="E9" s="152">
        <v>62317</v>
      </c>
      <c r="F9" s="152">
        <v>52774</v>
      </c>
      <c r="G9" s="34">
        <v>74270</v>
      </c>
      <c r="I9" s="146" t="s">
        <v>13</v>
      </c>
      <c r="J9" s="146">
        <v>0</v>
      </c>
      <c r="K9" s="146">
        <v>0</v>
      </c>
      <c r="L9" s="146">
        <v>0</v>
      </c>
      <c r="M9" s="146">
        <v>0</v>
      </c>
      <c r="N9" s="20">
        <v>25000</v>
      </c>
    </row>
    <row r="10" spans="2:14" x14ac:dyDescent="0.35">
      <c r="B10" s="146" t="s">
        <v>14</v>
      </c>
      <c r="C10" s="146">
        <v>-452</v>
      </c>
      <c r="D10" s="146">
        <v>-464</v>
      </c>
      <c r="E10" s="146">
        <v>-457</v>
      </c>
      <c r="F10" s="146">
        <v>-623</v>
      </c>
      <c r="G10" s="20">
        <v>-588</v>
      </c>
      <c r="I10" s="147" t="s">
        <v>15</v>
      </c>
      <c r="J10" s="152">
        <v>70792</v>
      </c>
      <c r="K10" s="152">
        <v>73058</v>
      </c>
      <c r="L10" s="152">
        <v>67185</v>
      </c>
      <c r="M10" s="152">
        <v>56331</v>
      </c>
      <c r="N10" s="34">
        <v>72478</v>
      </c>
    </row>
    <row r="11" spans="2:14" x14ac:dyDescent="0.35">
      <c r="B11" s="146" t="s">
        <v>16</v>
      </c>
      <c r="C11" s="146">
        <v>346</v>
      </c>
      <c r="D11" s="146">
        <v>147</v>
      </c>
      <c r="E11" s="146">
        <v>-151</v>
      </c>
      <c r="F11" s="146">
        <v>88</v>
      </c>
      <c r="G11" s="20">
        <v>208</v>
      </c>
      <c r="I11" s="146" t="s">
        <v>17</v>
      </c>
      <c r="J11" s="146">
        <v>463</v>
      </c>
      <c r="K11" s="146">
        <v>461</v>
      </c>
      <c r="L11" s="146">
        <v>459</v>
      </c>
      <c r="M11" s="146">
        <v>455</v>
      </c>
      <c r="N11" s="20">
        <v>452</v>
      </c>
    </row>
    <row r="12" spans="2:14" x14ac:dyDescent="0.35">
      <c r="B12" s="146" t="s">
        <v>18</v>
      </c>
      <c r="C12" s="152">
        <v>29856</v>
      </c>
      <c r="D12" s="152">
        <v>67608</v>
      </c>
      <c r="E12" s="152">
        <v>61709</v>
      </c>
      <c r="F12" s="152">
        <v>52239</v>
      </c>
      <c r="G12" s="34">
        <v>73890</v>
      </c>
      <c r="I12" s="146" t="s">
        <v>19</v>
      </c>
      <c r="J12" s="146">
        <v>111439</v>
      </c>
      <c r="K12" s="146">
        <v>109008</v>
      </c>
      <c r="L12" s="146">
        <v>107693</v>
      </c>
      <c r="M12" s="146">
        <v>105498</v>
      </c>
      <c r="N12" s="20">
        <v>101192</v>
      </c>
    </row>
    <row r="13" spans="2:14" x14ac:dyDescent="0.35">
      <c r="B13" s="146" t="s">
        <v>20</v>
      </c>
      <c r="C13" s="146">
        <v>14295</v>
      </c>
      <c r="D13" s="146">
        <v>25607</v>
      </c>
      <c r="E13" s="146">
        <v>23557</v>
      </c>
      <c r="F13" s="146">
        <v>20131</v>
      </c>
      <c r="G13" s="20">
        <v>29051</v>
      </c>
      <c r="I13" s="146" t="s">
        <v>21</v>
      </c>
      <c r="J13" s="146">
        <v>-156499</v>
      </c>
      <c r="K13" s="146">
        <v>-136491</v>
      </c>
      <c r="L13" s="146">
        <v>-83316</v>
      </c>
      <c r="M13" s="146">
        <v>-63404</v>
      </c>
      <c r="N13" s="20">
        <v>-54873</v>
      </c>
    </row>
    <row r="14" spans="2:14" x14ac:dyDescent="0.35">
      <c r="B14" s="148" t="s">
        <v>22</v>
      </c>
      <c r="C14" s="150">
        <v>15561</v>
      </c>
      <c r="D14" s="150">
        <v>42001</v>
      </c>
      <c r="E14" s="150">
        <v>38152</v>
      </c>
      <c r="F14" s="150">
        <v>32108</v>
      </c>
      <c r="G14" s="151">
        <v>44839</v>
      </c>
      <c r="I14" s="146" t="s">
        <v>23</v>
      </c>
      <c r="J14" s="146">
        <v>159045</v>
      </c>
      <c r="K14" s="146">
        <v>143557</v>
      </c>
      <c r="L14" s="146">
        <v>101556</v>
      </c>
      <c r="M14" s="146">
        <v>63404</v>
      </c>
      <c r="N14" s="20">
        <v>31296</v>
      </c>
    </row>
    <row r="15" spans="2:14" x14ac:dyDescent="0.35">
      <c r="I15" s="147" t="s">
        <v>24</v>
      </c>
      <c r="J15" s="152">
        <v>114448</v>
      </c>
      <c r="K15" s="152">
        <v>116535</v>
      </c>
      <c r="L15" s="152">
        <v>126392</v>
      </c>
      <c r="M15" s="152">
        <v>109214</v>
      </c>
      <c r="N15" s="34">
        <v>78067</v>
      </c>
    </row>
    <row r="16" spans="2:14" x14ac:dyDescent="0.35">
      <c r="I16" s="148" t="s">
        <v>25</v>
      </c>
      <c r="J16" s="150">
        <v>185240</v>
      </c>
      <c r="K16" s="150">
        <v>189593</v>
      </c>
      <c r="L16" s="150">
        <v>193577</v>
      </c>
      <c r="M16" s="150">
        <v>165545</v>
      </c>
      <c r="N16" s="151">
        <v>150545</v>
      </c>
    </row>
    <row r="18" spans="2:14" x14ac:dyDescent="0.35">
      <c r="I18" s="1"/>
      <c r="J18" s="1"/>
      <c r="K18" s="1"/>
      <c r="L18" s="1"/>
      <c r="M18" s="1"/>
      <c r="N18" s="1"/>
    </row>
    <row r="19" spans="2:14" x14ac:dyDescent="0.35">
      <c r="B19" s="62" t="s">
        <v>26</v>
      </c>
      <c r="C19" s="62">
        <v>0.43</v>
      </c>
      <c r="D19" s="62">
        <v>1.0900000000000001</v>
      </c>
      <c r="E19" s="62">
        <v>0.91</v>
      </c>
      <c r="F19" s="62">
        <v>0.76</v>
      </c>
      <c r="G19" s="62">
        <v>1.03</v>
      </c>
    </row>
    <row r="20" spans="2:14" x14ac:dyDescent="0.35">
      <c r="B20" s="62" t="s">
        <v>27</v>
      </c>
      <c r="C20" s="62">
        <v>36168</v>
      </c>
      <c r="D20" s="62">
        <v>38429</v>
      </c>
      <c r="E20" s="62">
        <v>42013</v>
      </c>
      <c r="F20" s="62">
        <v>42259</v>
      </c>
      <c r="G20" s="62">
        <v>43372</v>
      </c>
    </row>
  </sheetData>
  <mergeCells count="2">
    <mergeCell ref="B2:G2"/>
    <mergeCell ref="I2:N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9420-517A-4E38-9096-5649CE5F8C3D}">
  <sheetPr>
    <tabColor theme="5" tint="0.59999389629810485"/>
  </sheetPr>
  <dimension ref="B2:C62"/>
  <sheetViews>
    <sheetView workbookViewId="0">
      <selection activeCell="E66" sqref="E66"/>
    </sheetView>
  </sheetViews>
  <sheetFormatPr defaultRowHeight="14.5" x14ac:dyDescent="0.35"/>
  <sheetData>
    <row r="2" spans="2:3" x14ac:dyDescent="0.35">
      <c r="B2" s="31" t="s">
        <v>62</v>
      </c>
      <c r="C2" s="36" t="s">
        <v>126</v>
      </c>
    </row>
    <row r="3" spans="2:3" x14ac:dyDescent="0.35">
      <c r="B3" s="37">
        <v>41640</v>
      </c>
      <c r="C3" s="38">
        <f>('FRAN Stock Price'!C4-'FRAN Stock Price'!C3)/'FRAN Stock Price'!C3</f>
        <v>3.2608695652173857E-2</v>
      </c>
    </row>
    <row r="4" spans="2:3" x14ac:dyDescent="0.35">
      <c r="B4" s="37">
        <v>41671</v>
      </c>
      <c r="C4" s="38">
        <f>('FRAN Stock Price'!C5-'FRAN Stock Price'!C4)/'FRAN Stock Price'!C4</f>
        <v>3.0000000000000016E-2</v>
      </c>
    </row>
    <row r="5" spans="2:3" x14ac:dyDescent="0.35">
      <c r="B5" s="37">
        <v>41699</v>
      </c>
      <c r="C5" s="38">
        <f>('FRAN Stock Price'!C6-'FRAN Stock Price'!C5)/'FRAN Stock Price'!C5</f>
        <v>-7.3071027082268758E-2</v>
      </c>
    </row>
    <row r="6" spans="2:3" x14ac:dyDescent="0.35">
      <c r="B6" s="37">
        <v>41730</v>
      </c>
      <c r="C6" s="38">
        <f>('FRAN Stock Price'!C7-'FRAN Stock Price'!C6)/'FRAN Stock Price'!C6</f>
        <v>-9.8125689084895315E-2</v>
      </c>
    </row>
    <row r="7" spans="2:3" x14ac:dyDescent="0.35">
      <c r="B7" s="37">
        <v>41760</v>
      </c>
      <c r="C7" s="38">
        <f>('FRAN Stock Price'!C8-'FRAN Stock Price'!C7)/'FRAN Stock Price'!C7</f>
        <v>-6.2347188264058585E-2</v>
      </c>
    </row>
    <row r="8" spans="2:3" x14ac:dyDescent="0.35">
      <c r="B8" s="37">
        <v>41791</v>
      </c>
      <c r="C8" s="38">
        <f>('FRAN Stock Price'!C9-'FRAN Stock Price'!C8)/'FRAN Stock Price'!C8</f>
        <v>-3.911342894393751E-2</v>
      </c>
    </row>
    <row r="9" spans="2:3" x14ac:dyDescent="0.35">
      <c r="B9" s="37">
        <v>41821</v>
      </c>
      <c r="C9" s="38">
        <f>('FRAN Stock Price'!C10-'FRAN Stock Price'!C9)/'FRAN Stock Price'!C9</f>
        <v>-0.13297150610583436</v>
      </c>
    </row>
    <row r="10" spans="2:3" x14ac:dyDescent="0.35">
      <c r="B10" s="37">
        <v>41852</v>
      </c>
      <c r="C10" s="38">
        <f>('FRAN Stock Price'!C11-'FRAN Stock Price'!C10)/'FRAN Stock Price'!C10</f>
        <v>9.5461658841940439E-2</v>
      </c>
    </row>
    <row r="11" spans="2:3" x14ac:dyDescent="0.35">
      <c r="B11" s="37">
        <v>41883</v>
      </c>
      <c r="C11" s="38">
        <f>('FRAN Stock Price'!C12-'FRAN Stock Price'!C11)/'FRAN Stock Price'!C11</f>
        <v>-5.0000000000000201E-3</v>
      </c>
    </row>
    <row r="12" spans="2:3" x14ac:dyDescent="0.35">
      <c r="B12" s="37">
        <v>41913</v>
      </c>
      <c r="C12" s="38">
        <f>('FRAN Stock Price'!C13-'FRAN Stock Price'!C12)/'FRAN Stock Price'!C12</f>
        <v>-0.14501076812634608</v>
      </c>
    </row>
    <row r="13" spans="2:3" x14ac:dyDescent="0.35">
      <c r="B13" s="37">
        <v>41944</v>
      </c>
      <c r="C13" s="38">
        <f>('FRAN Stock Price'!C14-'FRAN Stock Price'!C13)/'FRAN Stock Price'!C13</f>
        <v>6.4651553316540794E-2</v>
      </c>
    </row>
    <row r="14" spans="2:3" x14ac:dyDescent="0.35">
      <c r="B14" s="37">
        <v>41974</v>
      </c>
      <c r="C14" s="38">
        <f>('FRAN Stock Price'!C15-'FRAN Stock Price'!C14)/'FRAN Stock Price'!C14</f>
        <v>0.3170347003154575</v>
      </c>
    </row>
    <row r="15" spans="2:3" x14ac:dyDescent="0.35">
      <c r="B15" s="37">
        <v>42005</v>
      </c>
      <c r="C15" s="38">
        <f>('FRAN Stock Price'!C16-'FRAN Stock Price'!C15)/'FRAN Stock Price'!C15</f>
        <v>-5.029940119760485E-2</v>
      </c>
    </row>
    <row r="16" spans="2:3" x14ac:dyDescent="0.35">
      <c r="B16" s="37">
        <v>42036</v>
      </c>
      <c r="C16" s="38">
        <f>('FRAN Stock Price'!C17-'FRAN Stock Price'!C16)/'FRAN Stock Price'!C16</f>
        <v>-5.4854981084489274E-2</v>
      </c>
    </row>
    <row r="17" spans="2:3" x14ac:dyDescent="0.35">
      <c r="B17" s="37">
        <v>42064</v>
      </c>
      <c r="C17" s="38">
        <f>('FRAN Stock Price'!C18-'FRAN Stock Price'!C17)/'FRAN Stock Price'!C17</f>
        <v>0.18745830553702469</v>
      </c>
    </row>
    <row r="18" spans="2:3" x14ac:dyDescent="0.35">
      <c r="B18" s="37">
        <v>42095</v>
      </c>
      <c r="C18" s="38">
        <f>('FRAN Stock Price'!C19-'FRAN Stock Price'!C18)/'FRAN Stock Price'!C18</f>
        <v>-4.8876404494382013E-2</v>
      </c>
    </row>
    <row r="19" spans="2:3" x14ac:dyDescent="0.35">
      <c r="B19" s="37">
        <v>42125</v>
      </c>
      <c r="C19" s="38">
        <f>('FRAN Stock Price'!C20-'FRAN Stock Price'!C19)/'FRAN Stock Price'!C19</f>
        <v>-7.4424099232132335E-2</v>
      </c>
    </row>
    <row r="20" spans="2:3" x14ac:dyDescent="0.35">
      <c r="B20" s="37">
        <v>42156</v>
      </c>
      <c r="C20" s="38">
        <f>('FRAN Stock Price'!C21-'FRAN Stock Price'!C20)/'FRAN Stock Price'!C20</f>
        <v>-0.14039566049776647</v>
      </c>
    </row>
    <row r="21" spans="2:3" x14ac:dyDescent="0.35">
      <c r="B21" s="37">
        <v>42186</v>
      </c>
      <c r="C21" s="38">
        <f>('FRAN Stock Price'!C22-'FRAN Stock Price'!C21)/'FRAN Stock Price'!C21</f>
        <v>-9.7253155159613955E-2</v>
      </c>
    </row>
    <row r="22" spans="2:3" x14ac:dyDescent="0.35">
      <c r="B22" s="37">
        <v>42217</v>
      </c>
      <c r="C22" s="38">
        <f>('FRAN Stock Price'!C23-'FRAN Stock Price'!C22)/'FRAN Stock Price'!C22</f>
        <v>-7.5657894736842063E-2</v>
      </c>
    </row>
    <row r="23" spans="2:3" x14ac:dyDescent="0.35">
      <c r="B23" s="37">
        <v>42248</v>
      </c>
      <c r="C23" s="38">
        <f>('FRAN Stock Price'!C24-'FRAN Stock Price'!C23)/'FRAN Stock Price'!C23</f>
        <v>8.8078291814946585E-2</v>
      </c>
    </row>
    <row r="24" spans="2:3" x14ac:dyDescent="0.35">
      <c r="B24" s="37">
        <v>42278</v>
      </c>
      <c r="C24" s="38">
        <f>('FRAN Stock Price'!C25-'FRAN Stock Price'!C24)/'FRAN Stock Price'!C24</f>
        <v>0.161896974652494</v>
      </c>
    </row>
    <row r="25" spans="2:3" x14ac:dyDescent="0.35">
      <c r="B25" s="37">
        <v>42309</v>
      </c>
      <c r="C25" s="38">
        <f>('FRAN Stock Price'!C26-'FRAN Stock Price'!C25)/'FRAN Stock Price'!C25</f>
        <v>5.0668543279380633E-2</v>
      </c>
    </row>
    <row r="26" spans="2:3" x14ac:dyDescent="0.35">
      <c r="B26" s="37">
        <v>42339</v>
      </c>
      <c r="C26" s="38">
        <f>('FRAN Stock Price'!C27-'FRAN Stock Price'!C26)/'FRAN Stock Price'!C26</f>
        <v>0.1661085063630274</v>
      </c>
    </row>
    <row r="27" spans="2:3" x14ac:dyDescent="0.35">
      <c r="B27" s="37">
        <v>42370</v>
      </c>
      <c r="C27" s="38">
        <f>('FRAN Stock Price'!C28-'FRAN Stock Price'!C27)/'FRAN Stock Price'!C27</f>
        <v>4.7099368179207374E-2</v>
      </c>
    </row>
    <row r="28" spans="2:3" x14ac:dyDescent="0.35">
      <c r="B28" s="37">
        <v>42401</v>
      </c>
      <c r="C28" s="38">
        <f>('FRAN Stock Price'!C29-'FRAN Stock Price'!C28)/'FRAN Stock Price'!C28</f>
        <v>-8.2281952825012938E-3</v>
      </c>
    </row>
    <row r="29" spans="2:3" x14ac:dyDescent="0.35">
      <c r="B29" s="37">
        <v>42430</v>
      </c>
      <c r="C29" s="38">
        <f>('FRAN Stock Price'!C30-'FRAN Stock Price'!C29)/'FRAN Stock Price'!C29</f>
        <v>5.9734513274336189E-2</v>
      </c>
    </row>
    <row r="30" spans="2:3" x14ac:dyDescent="0.35">
      <c r="B30" s="37">
        <v>42461</v>
      </c>
      <c r="C30" s="38">
        <f>('FRAN Stock Price'!C31-'FRAN Stock Price'!C30)/'FRAN Stock Price'!C30</f>
        <v>-0.13361169102296452</v>
      </c>
    </row>
    <row r="31" spans="2:3" x14ac:dyDescent="0.35">
      <c r="B31" s="37">
        <v>42491</v>
      </c>
      <c r="C31" s="38">
        <f>('FRAN Stock Price'!C32-'FRAN Stock Price'!C31)/'FRAN Stock Price'!C31</f>
        <v>-0.37228915662650597</v>
      </c>
    </row>
    <row r="32" spans="2:3" x14ac:dyDescent="0.35">
      <c r="B32" s="37">
        <v>42522</v>
      </c>
      <c r="C32" s="38">
        <f>('FRAN Stock Price'!C33-'FRAN Stock Price'!C32)/'FRAN Stock Price'!C32</f>
        <v>6.0460652591170727E-2</v>
      </c>
    </row>
    <row r="33" spans="2:3" x14ac:dyDescent="0.35">
      <c r="B33" s="37">
        <v>42552</v>
      </c>
      <c r="C33" s="38">
        <f>('FRAN Stock Price'!C34-'FRAN Stock Price'!C33)/'FRAN Stock Price'!C33</f>
        <v>0.15022624434389154</v>
      </c>
    </row>
    <row r="34" spans="2:3" x14ac:dyDescent="0.35">
      <c r="B34" s="37">
        <v>42583</v>
      </c>
      <c r="C34" s="38">
        <f>('FRAN Stock Price'!C35-'FRAN Stock Price'!C34)/'FRAN Stock Price'!C34</f>
        <v>7.3957513768686076E-2</v>
      </c>
    </row>
    <row r="35" spans="2:3" x14ac:dyDescent="0.35">
      <c r="B35" s="37">
        <v>42614</v>
      </c>
      <c r="C35" s="38">
        <f>('FRAN Stock Price'!C36-'FRAN Stock Price'!C35)/'FRAN Stock Price'!C35</f>
        <v>0.1304029304029303</v>
      </c>
    </row>
    <row r="36" spans="2:3" x14ac:dyDescent="0.35">
      <c r="B36" s="37">
        <v>42644</v>
      </c>
      <c r="C36" s="38">
        <f>('FRAN Stock Price'!C37-'FRAN Stock Price'!C36)/'FRAN Stock Price'!C36</f>
        <v>4.1477640959170482E-2</v>
      </c>
    </row>
    <row r="37" spans="2:3" x14ac:dyDescent="0.35">
      <c r="B37" s="37">
        <v>42675</v>
      </c>
      <c r="C37" s="38">
        <f>('FRAN Stock Price'!C38-'FRAN Stock Price'!C37)/'FRAN Stock Price'!C37</f>
        <v>-5.6004978220286893E-3</v>
      </c>
    </row>
    <row r="38" spans="2:3" x14ac:dyDescent="0.35">
      <c r="B38" s="37">
        <v>42705</v>
      </c>
      <c r="C38" s="38">
        <f>('FRAN Stock Price'!C39-'FRAN Stock Price'!C38)/'FRAN Stock Price'!C38</f>
        <v>0.12828535669586996</v>
      </c>
    </row>
    <row r="39" spans="2:3" x14ac:dyDescent="0.35">
      <c r="B39" s="37">
        <v>42736</v>
      </c>
      <c r="C39" s="38">
        <f>('FRAN Stock Price'!C40-'FRAN Stock Price'!C39)/'FRAN Stock Price'!C39</f>
        <v>-3.2723239046034441E-2</v>
      </c>
    </row>
    <row r="40" spans="2:3" x14ac:dyDescent="0.35">
      <c r="B40" s="37">
        <v>42767</v>
      </c>
      <c r="C40" s="38">
        <f>('FRAN Stock Price'!C41-'FRAN Stock Price'!C40)/'FRAN Stock Price'!C40</f>
        <v>-2.6949541284403741E-2</v>
      </c>
    </row>
    <row r="41" spans="2:3" x14ac:dyDescent="0.35">
      <c r="B41" s="37">
        <v>42795</v>
      </c>
      <c r="C41" s="38">
        <f>('FRAN Stock Price'!C42-'FRAN Stock Price'!C41)/'FRAN Stock Price'!C41</f>
        <v>-9.5462581025338833E-2</v>
      </c>
    </row>
    <row r="42" spans="2:3" x14ac:dyDescent="0.35">
      <c r="B42" s="37">
        <v>42826</v>
      </c>
      <c r="C42" s="38">
        <f>('FRAN Stock Price'!C43-'FRAN Stock Price'!C42)/'FRAN Stock Price'!C42</f>
        <v>2.8013029315961051E-2</v>
      </c>
    </row>
    <row r="43" spans="2:3" x14ac:dyDescent="0.35">
      <c r="B43" s="37">
        <v>42856</v>
      </c>
      <c r="C43" s="38">
        <f>('FRAN Stock Price'!C44-'FRAN Stock Price'!C43)/'FRAN Stock Price'!C43</f>
        <v>-0.19771863117870736</v>
      </c>
    </row>
    <row r="44" spans="2:3" x14ac:dyDescent="0.35">
      <c r="B44" s="37">
        <v>42887</v>
      </c>
      <c r="C44" s="38">
        <f>('FRAN Stock Price'!C45-'FRAN Stock Price'!C44)/'FRAN Stock Price'!C44</f>
        <v>-0.13586097946287512</v>
      </c>
    </row>
    <row r="45" spans="2:3" x14ac:dyDescent="0.35">
      <c r="B45" s="37">
        <v>42917</v>
      </c>
      <c r="C45" s="38">
        <f>('FRAN Stock Price'!C46-'FRAN Stock Price'!C45)/'FRAN Stock Price'!C45</f>
        <v>-0.11060329067641679</v>
      </c>
    </row>
    <row r="46" spans="2:3" x14ac:dyDescent="0.35">
      <c r="B46" s="37">
        <v>42948</v>
      </c>
      <c r="C46" s="38">
        <f>('FRAN Stock Price'!C47-'FRAN Stock Price'!C46)/'FRAN Stock Price'!C46</f>
        <v>-0.25385405960945528</v>
      </c>
    </row>
    <row r="47" spans="2:3" x14ac:dyDescent="0.35">
      <c r="B47" s="37">
        <v>42979</v>
      </c>
      <c r="C47" s="38">
        <f>('FRAN Stock Price'!C48-'FRAN Stock Price'!C47)/'FRAN Stock Price'!C47</f>
        <v>1.3774104683195461E-2</v>
      </c>
    </row>
    <row r="48" spans="2:3" x14ac:dyDescent="0.35">
      <c r="B48" s="37">
        <v>43009</v>
      </c>
      <c r="C48" s="38">
        <f>('FRAN Stock Price'!C49-'FRAN Stock Price'!C48)/'FRAN Stock Price'!C48</f>
        <v>-0.12092391304347819</v>
      </c>
    </row>
    <row r="49" spans="2:3" x14ac:dyDescent="0.35">
      <c r="B49" s="37">
        <v>43040</v>
      </c>
      <c r="C49" s="38">
        <f>('FRAN Stock Price'!C50-'FRAN Stock Price'!C49)/'FRAN Stock Price'!C49</f>
        <v>0.14683153013910363</v>
      </c>
    </row>
    <row r="50" spans="2:3" x14ac:dyDescent="0.35">
      <c r="B50" s="37">
        <v>43070</v>
      </c>
      <c r="C50" s="38">
        <f>('FRAN Stock Price'!C51-'FRAN Stock Price'!C50)/'FRAN Stock Price'!C50</f>
        <v>-1.482479784366585E-2</v>
      </c>
    </row>
    <row r="51" spans="2:3" x14ac:dyDescent="0.35">
      <c r="B51" s="37">
        <v>43101</v>
      </c>
      <c r="C51" s="38">
        <f>('FRAN Stock Price'!C52-'FRAN Stock Price'!C51)/'FRAN Stock Price'!C51</f>
        <v>-0.20246238030095765</v>
      </c>
    </row>
    <row r="52" spans="2:3" x14ac:dyDescent="0.35">
      <c r="B52" s="37">
        <v>43132</v>
      </c>
      <c r="C52" s="38">
        <f>('FRAN Stock Price'!C53-'FRAN Stock Price'!C52)/'FRAN Stock Price'!C52</f>
        <v>-0.10634648370497414</v>
      </c>
    </row>
    <row r="53" spans="2:3" x14ac:dyDescent="0.35">
      <c r="B53" s="37">
        <v>43160</v>
      </c>
      <c r="C53" s="38">
        <f>('FRAN Stock Price'!C54-'FRAN Stock Price'!C53)/'FRAN Stock Price'!C53</f>
        <v>-7.8694817658349348E-2</v>
      </c>
    </row>
    <row r="54" spans="2:3" x14ac:dyDescent="0.35">
      <c r="B54" s="37">
        <v>43191</v>
      </c>
      <c r="C54" s="38">
        <f>('FRAN Stock Price'!C55-'FRAN Stock Price'!C54)/'FRAN Stock Price'!C54</f>
        <v>3.1249999999999951E-2</v>
      </c>
    </row>
    <row r="55" spans="2:3" x14ac:dyDescent="0.35">
      <c r="B55" s="37">
        <v>43221</v>
      </c>
      <c r="C55" s="38">
        <f>('FRAN Stock Price'!C56-'FRAN Stock Price'!C55)/'FRAN Stock Price'!C55</f>
        <v>0.19393939393939399</v>
      </c>
    </row>
    <row r="56" spans="2:3" x14ac:dyDescent="0.35">
      <c r="B56" s="37">
        <v>43252</v>
      </c>
      <c r="C56" s="38">
        <f>('FRAN Stock Price'!C57-'FRAN Stock Price'!C56)/'FRAN Stock Price'!C56</f>
        <v>0.27749576988155655</v>
      </c>
    </row>
    <row r="57" spans="2:3" x14ac:dyDescent="0.35">
      <c r="B57" s="37">
        <v>43282</v>
      </c>
      <c r="C57" s="38">
        <f>('FRAN Stock Price'!C58-'FRAN Stock Price'!C57)/'FRAN Stock Price'!C57</f>
        <v>7.8145695364238557E-2</v>
      </c>
    </row>
    <row r="58" spans="2:3" x14ac:dyDescent="0.35">
      <c r="B58" s="37">
        <v>43313</v>
      </c>
      <c r="C58" s="38">
        <f>('FRAN Stock Price'!C59-'FRAN Stock Price'!C58)/'FRAN Stock Price'!C58</f>
        <v>-0.22850122850122856</v>
      </c>
    </row>
    <row r="59" spans="2:3" x14ac:dyDescent="0.35">
      <c r="B59" s="37">
        <v>43344</v>
      </c>
      <c r="C59" s="38">
        <f>('FRAN Stock Price'!C60-'FRAN Stock Price'!C59)/'FRAN Stock Price'!C59</f>
        <v>-0.40923566878980888</v>
      </c>
    </row>
    <row r="60" spans="2:3" x14ac:dyDescent="0.35">
      <c r="B60" s="37">
        <v>43374</v>
      </c>
      <c r="C60" s="38">
        <f>('FRAN Stock Price'!C61-'FRAN Stock Price'!C60)/'FRAN Stock Price'!C60</f>
        <v>-0.18059299191374675</v>
      </c>
    </row>
    <row r="61" spans="2:3" x14ac:dyDescent="0.35">
      <c r="B61" s="37">
        <v>43405</v>
      </c>
      <c r="C61" s="38">
        <f>('FRAN Stock Price'!C62-'FRAN Stock Price'!C61)/'FRAN Stock Price'!C61</f>
        <v>-0.34539473684210525</v>
      </c>
    </row>
    <row r="62" spans="2:3" x14ac:dyDescent="0.35">
      <c r="B62" s="39">
        <v>43435</v>
      </c>
      <c r="C62" s="40">
        <f>('FRAN Stock Price'!C63-'FRAN Stock Price'!C62)/'FRAN Stock Price'!C62</f>
        <v>-0.51256281407035176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747E0-249D-464C-8D83-221AB6A174EE}">
  <dimension ref="B2:I63"/>
  <sheetViews>
    <sheetView topLeftCell="A43" workbookViewId="0">
      <selection activeCell="F9" sqref="F9"/>
    </sheetView>
  </sheetViews>
  <sheetFormatPr defaultRowHeight="14.5" x14ac:dyDescent="0.35"/>
  <cols>
    <col min="2" max="2" width="7.1796875" bestFit="1" customWidth="1"/>
    <col min="3" max="3" width="20.1796875" bestFit="1" customWidth="1"/>
    <col min="4" max="5" width="17.453125" bestFit="1" customWidth="1"/>
    <col min="6" max="6" width="17.453125" customWidth="1"/>
    <col min="7" max="7" width="13.1796875" bestFit="1" customWidth="1"/>
    <col min="8" max="8" width="29.54296875" bestFit="1" customWidth="1"/>
    <col min="9" max="9" width="26.54296875" bestFit="1" customWidth="1"/>
  </cols>
  <sheetData>
    <row r="2" spans="2:9" x14ac:dyDescent="0.35">
      <c r="B2" s="62"/>
      <c r="C2" s="297" t="s">
        <v>129</v>
      </c>
      <c r="D2" s="297"/>
      <c r="E2" s="297"/>
      <c r="F2" s="62"/>
      <c r="G2" s="62"/>
      <c r="H2" s="297" t="s">
        <v>130</v>
      </c>
      <c r="I2" s="297"/>
    </row>
    <row r="3" spans="2:9" x14ac:dyDescent="0.35">
      <c r="B3" s="62" t="s">
        <v>131</v>
      </c>
      <c r="C3" s="62" t="s">
        <v>132</v>
      </c>
      <c r="D3" s="62" t="s">
        <v>133</v>
      </c>
      <c r="E3" s="62" t="s">
        <v>134</v>
      </c>
      <c r="F3" s="62"/>
      <c r="G3" s="62" t="s">
        <v>135</v>
      </c>
      <c r="H3" s="62" t="s">
        <v>136</v>
      </c>
      <c r="I3" s="62" t="s">
        <v>137</v>
      </c>
    </row>
    <row r="4" spans="2:9" x14ac:dyDescent="0.35">
      <c r="B4" s="17">
        <v>43479</v>
      </c>
      <c r="C4" s="18">
        <f>'NASDAQ Composite Index Return'!C3</f>
        <v>-1.740896688446808E-2</v>
      </c>
      <c r="D4" s="18">
        <f>'FRAN % Changes in Stock Prices'!C3</f>
        <v>3.2608695652173857E-2</v>
      </c>
      <c r="E4" s="18">
        <f>'Risk free returns'!C3</f>
        <v>2.0000000000000001E-4</v>
      </c>
      <c r="F4" s="18"/>
      <c r="G4" s="62">
        <v>1</v>
      </c>
      <c r="H4" s="18">
        <f>C4-E4</f>
        <v>-1.7608966884468079E-2</v>
      </c>
      <c r="I4" s="18">
        <f>D4-E4</f>
        <v>3.2408695652173858E-2</v>
      </c>
    </row>
    <row r="5" spans="2:9" x14ac:dyDescent="0.35">
      <c r="B5" s="17">
        <v>43510</v>
      </c>
      <c r="C5" s="18">
        <f>'NASDAQ Composite Index Return'!C4</f>
        <v>4.9767595500553007E-2</v>
      </c>
      <c r="D5" s="18">
        <f>'FRAN % Changes in Stock Prices'!C4</f>
        <v>3.0000000000000016E-2</v>
      </c>
      <c r="E5" s="18">
        <f>'Risk free returns'!C4</f>
        <v>5.0000000000000001E-4</v>
      </c>
      <c r="F5" s="18"/>
      <c r="G5" s="62">
        <v>2</v>
      </c>
      <c r="H5" s="18">
        <f t="shared" ref="H5:H63" si="0">C5-E5</f>
        <v>4.9267595500553006E-2</v>
      </c>
      <c r="I5" s="18">
        <f t="shared" ref="I5:I63" si="1">D5-E5</f>
        <v>2.9500000000000016E-2</v>
      </c>
    </row>
    <row r="6" spans="2:9" x14ac:dyDescent="0.35">
      <c r="B6" s="17">
        <v>43538</v>
      </c>
      <c r="C6" s="18">
        <f>'NASDAQ Composite Index Return'!C5</f>
        <v>-2.5331207124279099E-2</v>
      </c>
      <c r="D6" s="18">
        <f>'FRAN % Changes in Stock Prices'!C5</f>
        <v>-7.3071027082268758E-2</v>
      </c>
      <c r="E6" s="18">
        <f>'Risk free returns'!C5</f>
        <v>5.0000000000000001E-4</v>
      </c>
      <c r="F6" s="18"/>
      <c r="G6" s="62">
        <v>3</v>
      </c>
      <c r="H6" s="18">
        <f t="shared" si="0"/>
        <v>-2.5831207124279099E-2</v>
      </c>
      <c r="I6" s="18">
        <f t="shared" si="1"/>
        <v>-7.3571027082268758E-2</v>
      </c>
    </row>
    <row r="7" spans="2:9" x14ac:dyDescent="0.35">
      <c r="B7" s="17">
        <v>43569</v>
      </c>
      <c r="C7" s="18">
        <f>'NASDAQ Composite Index Return'!C6</f>
        <v>-2.0107256815305924E-2</v>
      </c>
      <c r="D7" s="18">
        <f>'FRAN % Changes in Stock Prices'!C6</f>
        <v>-9.8125689084895315E-2</v>
      </c>
      <c r="E7" s="18">
        <f>'Risk free returns'!C6</f>
        <v>2.9999999999999997E-4</v>
      </c>
      <c r="F7" s="18"/>
      <c r="G7" s="62">
        <v>4</v>
      </c>
      <c r="H7" s="18">
        <f t="shared" si="0"/>
        <v>-2.0407256815305926E-2</v>
      </c>
      <c r="I7" s="18">
        <f t="shared" si="1"/>
        <v>-9.842568908489531E-2</v>
      </c>
    </row>
    <row r="8" spans="2:9" x14ac:dyDescent="0.35">
      <c r="B8" s="17">
        <v>43599</v>
      </c>
      <c r="C8" s="18">
        <f>'NASDAQ Composite Index Return'!C7</f>
        <v>3.1123633186466028E-2</v>
      </c>
      <c r="D8" s="18">
        <f>'FRAN % Changes in Stock Prices'!C7</f>
        <v>-6.2347188264058585E-2</v>
      </c>
      <c r="E8" s="18">
        <f>'Risk free returns'!C7</f>
        <v>4.0000000000000002E-4</v>
      </c>
      <c r="F8" s="18"/>
      <c r="G8" s="62">
        <v>5</v>
      </c>
      <c r="H8" s="18">
        <f t="shared" si="0"/>
        <v>3.0723633186466027E-2</v>
      </c>
      <c r="I8" s="18">
        <f t="shared" si="1"/>
        <v>-6.274718826405859E-2</v>
      </c>
    </row>
    <row r="9" spans="2:9" x14ac:dyDescent="0.35">
      <c r="B9" s="17">
        <v>43630</v>
      </c>
      <c r="C9" s="18">
        <f>'NASDAQ Composite Index Return'!C8</f>
        <v>3.902306933788563E-2</v>
      </c>
      <c r="D9" s="18">
        <f>'FRAN % Changes in Stock Prices'!C8</f>
        <v>-3.911342894393751E-2</v>
      </c>
      <c r="E9" s="18">
        <f>'Risk free returns'!C8</f>
        <v>4.0000000000000002E-4</v>
      </c>
      <c r="F9" s="18"/>
      <c r="G9" s="62">
        <v>6</v>
      </c>
      <c r="H9" s="18">
        <f t="shared" si="0"/>
        <v>3.8623069337885632E-2</v>
      </c>
      <c r="I9" s="18">
        <f t="shared" si="1"/>
        <v>-3.9513428943937508E-2</v>
      </c>
    </row>
    <row r="10" spans="2:9" x14ac:dyDescent="0.35">
      <c r="B10" s="17">
        <v>43660</v>
      </c>
      <c r="C10" s="18">
        <f>'NASDAQ Composite Index Return'!C9</f>
        <v>-8.7133815920504062E-3</v>
      </c>
      <c r="D10" s="18">
        <f>'FRAN % Changes in Stock Prices'!C9</f>
        <v>-0.13297150610583436</v>
      </c>
      <c r="E10" s="18">
        <f>'Risk free returns'!C9</f>
        <v>2.9999999999999997E-4</v>
      </c>
      <c r="F10" s="18"/>
      <c r="G10" s="62">
        <v>7</v>
      </c>
      <c r="H10" s="18">
        <f t="shared" si="0"/>
        <v>-9.0133815920504061E-3</v>
      </c>
      <c r="I10" s="18">
        <f t="shared" si="1"/>
        <v>-0.13327150610583435</v>
      </c>
    </row>
    <row r="11" spans="2:9" x14ac:dyDescent="0.35">
      <c r="B11" s="17">
        <v>43691</v>
      </c>
      <c r="C11" s="18">
        <f>'NASDAQ Composite Index Return'!C10</f>
        <v>4.8171871525632376E-2</v>
      </c>
      <c r="D11" s="18">
        <f>'FRAN % Changes in Stock Prices'!C10</f>
        <v>9.5461658841940439E-2</v>
      </c>
      <c r="E11" s="18">
        <f>'Risk free returns'!C10</f>
        <v>2.9999999999999997E-4</v>
      </c>
      <c r="F11" s="18"/>
      <c r="G11" s="62">
        <v>8</v>
      </c>
      <c r="H11" s="18">
        <f t="shared" si="0"/>
        <v>4.7871871525632374E-2</v>
      </c>
      <c r="I11" s="18">
        <f t="shared" si="1"/>
        <v>9.5161658841940444E-2</v>
      </c>
    </row>
    <row r="12" spans="2:9" x14ac:dyDescent="0.35">
      <c r="B12" s="17">
        <v>43722</v>
      </c>
      <c r="C12" s="18">
        <f>'NASDAQ Composite Index Return'!C11</f>
        <v>-1.8968288467848805E-2</v>
      </c>
      <c r="D12" s="18">
        <f>'FRAN % Changes in Stock Prices'!C11</f>
        <v>-5.0000000000000201E-3</v>
      </c>
      <c r="E12" s="18">
        <f>'Risk free returns'!C11</f>
        <v>2.0000000000000001E-4</v>
      </c>
      <c r="F12" s="18"/>
      <c r="G12" s="62">
        <v>9</v>
      </c>
      <c r="H12" s="18">
        <f t="shared" si="0"/>
        <v>-1.9168288467848803E-2</v>
      </c>
      <c r="I12" s="18">
        <f t="shared" si="1"/>
        <v>-5.2000000000000197E-3</v>
      </c>
    </row>
    <row r="13" spans="2:9" x14ac:dyDescent="0.35">
      <c r="B13" s="17">
        <v>43752</v>
      </c>
      <c r="C13" s="18">
        <f>'NASDAQ Composite Index Return'!C12</f>
        <v>3.0567090506790653E-2</v>
      </c>
      <c r="D13" s="18">
        <f>'FRAN % Changes in Stock Prices'!C12</f>
        <v>-0.14501076812634608</v>
      </c>
      <c r="E13" s="18">
        <f>'Risk free returns'!C12</f>
        <v>1E-4</v>
      </c>
      <c r="F13" s="18"/>
      <c r="G13" s="62">
        <v>10</v>
      </c>
      <c r="H13" s="18">
        <f t="shared" si="0"/>
        <v>3.0467090506790653E-2</v>
      </c>
      <c r="I13" s="18">
        <f t="shared" si="1"/>
        <v>-0.14511076812634607</v>
      </c>
    </row>
    <row r="14" spans="2:9" x14ac:dyDescent="0.35">
      <c r="B14" s="17">
        <v>43783</v>
      </c>
      <c r="C14" s="18">
        <f>'NASDAQ Composite Index Return'!C13</f>
        <v>3.4743907021340073E-2</v>
      </c>
      <c r="D14" s="18">
        <f>'FRAN % Changes in Stock Prices'!C13</f>
        <v>6.4651553316540794E-2</v>
      </c>
      <c r="E14" s="18">
        <f>'Risk free returns'!C13</f>
        <v>2.0000000000000001E-4</v>
      </c>
      <c r="F14" s="18"/>
      <c r="G14" s="62">
        <v>11</v>
      </c>
      <c r="H14" s="18">
        <f t="shared" si="0"/>
        <v>3.4543907021340074E-2</v>
      </c>
      <c r="I14" s="18">
        <f t="shared" si="1"/>
        <v>6.4451553316540788E-2</v>
      </c>
    </row>
    <row r="15" spans="2:9" x14ac:dyDescent="0.35">
      <c r="B15" s="17">
        <v>43813</v>
      </c>
      <c r="C15" s="18">
        <f>'NASDAQ Composite Index Return'!C14</f>
        <v>-1.1599433804363121E-2</v>
      </c>
      <c r="D15" s="18">
        <f>'FRAN % Changes in Stock Prices'!C14</f>
        <v>0.3170347003154575</v>
      </c>
      <c r="E15" s="18">
        <f>'Risk free returns'!C14</f>
        <v>4.0000000000000002E-4</v>
      </c>
      <c r="F15" s="18"/>
      <c r="G15" s="62">
        <v>12</v>
      </c>
      <c r="H15" s="18">
        <f t="shared" si="0"/>
        <v>-1.199943380436312E-2</v>
      </c>
      <c r="I15" s="18">
        <f t="shared" si="1"/>
        <v>0.31663470031545748</v>
      </c>
    </row>
    <row r="16" spans="2:9" x14ac:dyDescent="0.35">
      <c r="B16" s="17">
        <v>43480</v>
      </c>
      <c r="C16" s="18">
        <f>'NASDAQ Composite Index Return'!C15</f>
        <v>-2.128558084283064E-2</v>
      </c>
      <c r="D16" s="18">
        <f>'FRAN % Changes in Stock Prices'!C15</f>
        <v>-5.029940119760485E-2</v>
      </c>
      <c r="E16" s="18">
        <f>'Risk free returns'!C15</f>
        <v>2.0000000000000001E-4</v>
      </c>
      <c r="F16" s="18"/>
      <c r="G16" s="62">
        <v>13</v>
      </c>
      <c r="H16" s="18">
        <f t="shared" si="0"/>
        <v>-2.1485580842830639E-2</v>
      </c>
      <c r="I16" s="18">
        <f t="shared" si="1"/>
        <v>-5.0499401197604848E-2</v>
      </c>
    </row>
    <row r="17" spans="2:9" x14ac:dyDescent="0.35">
      <c r="B17" s="17">
        <v>43511</v>
      </c>
      <c r="C17" s="18">
        <f>'NASDAQ Composite Index Return'!C16</f>
        <v>7.0824711218193115E-2</v>
      </c>
      <c r="D17" s="18">
        <f>'FRAN % Changes in Stock Prices'!C16</f>
        <v>-5.4854981084489274E-2</v>
      </c>
      <c r="E17" s="18">
        <f>'Risk free returns'!C16</f>
        <v>2.0000000000000001E-4</v>
      </c>
      <c r="F17" s="18"/>
      <c r="G17" s="62">
        <v>14</v>
      </c>
      <c r="H17" s="18">
        <f t="shared" si="0"/>
        <v>7.0624711218193109E-2</v>
      </c>
      <c r="I17" s="18">
        <f t="shared" si="1"/>
        <v>-5.5054981084489273E-2</v>
      </c>
    </row>
    <row r="18" spans="2:9" x14ac:dyDescent="0.35">
      <c r="B18" s="17">
        <v>43539</v>
      </c>
      <c r="C18" s="18">
        <f>'NASDAQ Composite Index Return'!C17</f>
        <v>-1.2622046147346754E-2</v>
      </c>
      <c r="D18" s="18">
        <f>'FRAN % Changes in Stock Prices'!C17</f>
        <v>0.18745830553702469</v>
      </c>
      <c r="E18" s="18">
        <f>'Risk free returns'!C17</f>
        <v>2.9999999999999997E-4</v>
      </c>
      <c r="F18" s="18"/>
      <c r="G18" s="62">
        <v>15</v>
      </c>
      <c r="H18" s="18">
        <f t="shared" si="0"/>
        <v>-1.2922046147346754E-2</v>
      </c>
      <c r="I18" s="18">
        <f t="shared" si="1"/>
        <v>0.1871583055370247</v>
      </c>
    </row>
    <row r="19" spans="2:9" x14ac:dyDescent="0.35">
      <c r="B19" s="17">
        <v>43570</v>
      </c>
      <c r="C19" s="18">
        <f>'NASDAQ Composite Index Return'!C18</f>
        <v>8.2719919622238243E-3</v>
      </c>
      <c r="D19" s="18">
        <f>'FRAN % Changes in Stock Prices'!C18</f>
        <v>-4.8876404494382013E-2</v>
      </c>
      <c r="E19" s="18">
        <f>'Risk free returns'!C18</f>
        <v>1E-4</v>
      </c>
      <c r="F19" s="18"/>
      <c r="G19" s="62">
        <v>16</v>
      </c>
      <c r="H19" s="18">
        <f t="shared" si="0"/>
        <v>8.1719919622238249E-3</v>
      </c>
      <c r="I19" s="18">
        <f t="shared" si="1"/>
        <v>-4.8976404494382016E-2</v>
      </c>
    </row>
    <row r="20" spans="2:9" x14ac:dyDescent="0.35">
      <c r="B20" s="17">
        <v>43600</v>
      </c>
      <c r="C20" s="18">
        <f>'NASDAQ Composite Index Return'!C19</f>
        <v>2.6026947725573141E-2</v>
      </c>
      <c r="D20" s="18">
        <f>'FRAN % Changes in Stock Prices'!C19</f>
        <v>-7.4424099232132335E-2</v>
      </c>
      <c r="E20" s="18">
        <f>'Risk free returns'!C19</f>
        <v>1E-4</v>
      </c>
      <c r="F20" s="18"/>
      <c r="G20" s="62">
        <v>17</v>
      </c>
      <c r="H20" s="18">
        <f t="shared" si="0"/>
        <v>2.5926947725573142E-2</v>
      </c>
      <c r="I20" s="18">
        <f t="shared" si="1"/>
        <v>-7.4524099232132338E-2</v>
      </c>
    </row>
    <row r="21" spans="2:9" x14ac:dyDescent="0.35">
      <c r="B21" s="17">
        <v>43631</v>
      </c>
      <c r="C21" s="18">
        <f>'NASDAQ Composite Index Return'!C20</f>
        <v>-1.6402246732267731E-2</v>
      </c>
      <c r="D21" s="18">
        <f>'FRAN % Changes in Stock Prices'!C20</f>
        <v>-0.14039566049776647</v>
      </c>
      <c r="E21" s="18">
        <f>'Risk free returns'!C20</f>
        <v>1E-4</v>
      </c>
      <c r="F21" s="18"/>
      <c r="G21" s="62">
        <v>18</v>
      </c>
      <c r="H21" s="18">
        <f t="shared" si="0"/>
        <v>-1.6502246732267731E-2</v>
      </c>
      <c r="I21" s="18">
        <f t="shared" si="1"/>
        <v>-0.14049566049776646</v>
      </c>
    </row>
    <row r="22" spans="2:9" x14ac:dyDescent="0.35">
      <c r="B22" s="17">
        <v>43661</v>
      </c>
      <c r="C22" s="18">
        <f>'NASDAQ Composite Index Return'!C21</f>
        <v>2.8356396834547701E-2</v>
      </c>
      <c r="D22" s="18">
        <f>'FRAN % Changes in Stock Prices'!C21</f>
        <v>-9.7253155159613955E-2</v>
      </c>
      <c r="E22" s="18">
        <f>'Risk free returns'!C21</f>
        <v>8.0000000000000004E-4</v>
      </c>
      <c r="F22" s="18"/>
      <c r="G22" s="62">
        <v>19</v>
      </c>
      <c r="H22" s="18">
        <f t="shared" si="0"/>
        <v>2.7556396834547702E-2</v>
      </c>
      <c r="I22" s="18">
        <f t="shared" si="1"/>
        <v>-9.805315515961395E-2</v>
      </c>
    </row>
    <row r="23" spans="2:9" x14ac:dyDescent="0.35">
      <c r="B23" s="17">
        <v>43692</v>
      </c>
      <c r="C23" s="18">
        <f>'NASDAQ Composite Index Return'!C22</f>
        <v>-6.8594155106145333E-2</v>
      </c>
      <c r="D23" s="18">
        <f>'FRAN % Changes in Stock Prices'!C22</f>
        <v>-7.5657894736842063E-2</v>
      </c>
      <c r="E23" s="18">
        <f>'Risk free returns'!C22</f>
        <v>8.0000000000000004E-4</v>
      </c>
      <c r="F23" s="18"/>
      <c r="G23" s="62">
        <v>20</v>
      </c>
      <c r="H23" s="18">
        <f t="shared" si="0"/>
        <v>-6.9394155106145328E-2</v>
      </c>
      <c r="I23" s="18">
        <f t="shared" si="1"/>
        <v>-7.6457894736842058E-2</v>
      </c>
    </row>
    <row r="24" spans="2:9" x14ac:dyDescent="0.35">
      <c r="B24" s="17">
        <v>43723</v>
      </c>
      <c r="C24" s="18">
        <f>'NASDAQ Composite Index Return'!C23</f>
        <v>-3.2733024249824216E-2</v>
      </c>
      <c r="D24" s="18">
        <f>'FRAN % Changes in Stock Prices'!C23</f>
        <v>8.8078291814946585E-2</v>
      </c>
      <c r="E24" s="18">
        <f>'Risk free returns'!C23</f>
        <v>0</v>
      </c>
      <c r="F24" s="18"/>
      <c r="G24" s="62">
        <v>21</v>
      </c>
      <c r="H24" s="18">
        <f t="shared" si="0"/>
        <v>-3.2733024249824216E-2</v>
      </c>
      <c r="I24" s="18">
        <f t="shared" si="1"/>
        <v>8.8078291814946585E-2</v>
      </c>
    </row>
    <row r="25" spans="2:9" x14ac:dyDescent="0.35">
      <c r="B25" s="17">
        <v>43753</v>
      </c>
      <c r="C25" s="18">
        <f>'NASDAQ Composite Index Return'!C24</f>
        <v>9.384736229044266E-2</v>
      </c>
      <c r="D25" s="18">
        <f>'FRAN % Changes in Stock Prices'!C24</f>
        <v>0.161896974652494</v>
      </c>
      <c r="E25" s="18">
        <f>'Risk free returns'!C24</f>
        <v>8.0000000000000004E-4</v>
      </c>
      <c r="F25" s="18"/>
      <c r="G25" s="62">
        <v>22</v>
      </c>
      <c r="H25" s="18">
        <f t="shared" si="0"/>
        <v>9.3047362290442664E-2</v>
      </c>
      <c r="I25" s="18">
        <f t="shared" si="1"/>
        <v>0.16109697465249401</v>
      </c>
    </row>
    <row r="26" spans="2:9" x14ac:dyDescent="0.35">
      <c r="B26" s="17">
        <v>43784</v>
      </c>
      <c r="C26" s="18">
        <f>'NASDAQ Composite Index Return'!C25</f>
        <v>1.0867162404155339E-2</v>
      </c>
      <c r="D26" s="18">
        <f>'FRAN % Changes in Stock Prices'!C25</f>
        <v>5.0668543279380633E-2</v>
      </c>
      <c r="E26" s="18">
        <f>'Risk free returns'!C25</f>
        <v>2.2000000000000001E-3</v>
      </c>
      <c r="F26" s="18"/>
      <c r="G26" s="62">
        <v>23</v>
      </c>
      <c r="H26" s="18">
        <f t="shared" si="0"/>
        <v>8.6671624041553385E-3</v>
      </c>
      <c r="I26" s="18">
        <f t="shared" si="1"/>
        <v>4.8468543279380633E-2</v>
      </c>
    </row>
    <row r="27" spans="2:9" x14ac:dyDescent="0.35">
      <c r="B27" s="17">
        <v>43814</v>
      </c>
      <c r="C27" s="18">
        <f>'NASDAQ Composite Index Return'!C26</f>
        <v>-1.9821160408883456E-2</v>
      </c>
      <c r="D27" s="18">
        <f>'FRAN % Changes in Stock Prices'!C26</f>
        <v>0.1661085063630274</v>
      </c>
      <c r="E27" s="18">
        <f>'Risk free returns'!C26</f>
        <v>1.6000000000000001E-3</v>
      </c>
      <c r="F27" s="18"/>
      <c r="G27" s="62">
        <v>24</v>
      </c>
      <c r="H27" s="18">
        <f t="shared" si="0"/>
        <v>-2.1421160408883456E-2</v>
      </c>
      <c r="I27" s="18">
        <f t="shared" si="1"/>
        <v>0.16450850636302741</v>
      </c>
    </row>
    <row r="28" spans="2:9" x14ac:dyDescent="0.35">
      <c r="B28" s="17">
        <v>43481</v>
      </c>
      <c r="C28" s="18">
        <f>'NASDAQ Composite Index Return'!C27</f>
        <v>-7.857554079698191E-2</v>
      </c>
      <c r="D28" s="18">
        <f>'FRAN % Changes in Stock Prices'!C27</f>
        <v>4.7099368179207374E-2</v>
      </c>
      <c r="E28" s="18">
        <f>'Risk free returns'!C27</f>
        <v>3.3E-3</v>
      </c>
      <c r="F28" s="18"/>
      <c r="G28" s="62">
        <v>25</v>
      </c>
      <c r="H28" s="18">
        <f t="shared" si="0"/>
        <v>-8.1875540796981908E-2</v>
      </c>
      <c r="I28" s="18">
        <f t="shared" si="1"/>
        <v>4.3799368179207376E-2</v>
      </c>
    </row>
    <row r="29" spans="2:9" x14ac:dyDescent="0.35">
      <c r="B29" s="17">
        <v>43512</v>
      </c>
      <c r="C29" s="18">
        <f>'NASDAQ Composite Index Return'!C28</f>
        <v>-1.2137105437480778E-2</v>
      </c>
      <c r="D29" s="18">
        <f>'FRAN % Changes in Stock Prices'!C28</f>
        <v>-8.2281952825012938E-3</v>
      </c>
      <c r="E29" s="18">
        <f>'Risk free returns'!C28</f>
        <v>3.3E-3</v>
      </c>
      <c r="F29" s="18"/>
      <c r="G29" s="62">
        <v>26</v>
      </c>
      <c r="H29" s="18">
        <f t="shared" si="0"/>
        <v>-1.5437105437480777E-2</v>
      </c>
      <c r="I29" s="18">
        <f t="shared" si="1"/>
        <v>-1.1528195282501295E-2</v>
      </c>
    </row>
    <row r="30" spans="2:9" x14ac:dyDescent="0.35">
      <c r="B30" s="17">
        <v>43540</v>
      </c>
      <c r="C30" s="18">
        <f>'NASDAQ Composite Index Return'!C29</f>
        <v>6.8429862033628372E-2</v>
      </c>
      <c r="D30" s="18">
        <f>'FRAN % Changes in Stock Prices'!C29</f>
        <v>5.9734513274336189E-2</v>
      </c>
      <c r="E30" s="18">
        <f>'Risk free returns'!C29</f>
        <v>2.0999999999999999E-3</v>
      </c>
      <c r="F30" s="18"/>
      <c r="G30" s="62">
        <v>27</v>
      </c>
      <c r="H30" s="18">
        <f t="shared" si="0"/>
        <v>6.6329862033628367E-2</v>
      </c>
      <c r="I30" s="18">
        <f t="shared" si="1"/>
        <v>5.7634513274336191E-2</v>
      </c>
    </row>
    <row r="31" spans="2:9" x14ac:dyDescent="0.35">
      <c r="B31" s="17">
        <v>43571</v>
      </c>
      <c r="C31" s="18">
        <f>'NASDAQ Composite Index Return'!C30</f>
        <v>-1.9403109561587209E-2</v>
      </c>
      <c r="D31" s="18">
        <f>'FRAN % Changes in Stock Prices'!C30</f>
        <v>-0.13361169102296452</v>
      </c>
      <c r="E31" s="18">
        <f>'Risk free returns'!C30</f>
        <v>2.2000000000000001E-3</v>
      </c>
      <c r="F31" s="18"/>
      <c r="G31" s="62">
        <v>28</v>
      </c>
      <c r="H31" s="18">
        <f t="shared" si="0"/>
        <v>-2.160310956158721E-2</v>
      </c>
      <c r="I31" s="18">
        <f t="shared" si="1"/>
        <v>-0.13581169102296453</v>
      </c>
    </row>
    <row r="32" spans="2:9" x14ac:dyDescent="0.35">
      <c r="B32" s="17">
        <v>43601</v>
      </c>
      <c r="C32" s="18">
        <f>'NASDAQ Composite Index Return'!C31</f>
        <v>3.6162707514049396E-2</v>
      </c>
      <c r="D32" s="18">
        <f>'FRAN % Changes in Stock Prices'!C31</f>
        <v>-0.37228915662650597</v>
      </c>
      <c r="E32" s="18">
        <f>'Risk free returns'!C31</f>
        <v>3.4000000000000002E-3</v>
      </c>
      <c r="F32" s="18"/>
      <c r="G32" s="62">
        <v>29</v>
      </c>
      <c r="H32" s="18">
        <f t="shared" si="0"/>
        <v>3.2762707514049395E-2</v>
      </c>
      <c r="I32" s="18">
        <f t="shared" si="1"/>
        <v>-0.37568915662650598</v>
      </c>
    </row>
    <row r="33" spans="2:9" x14ac:dyDescent="0.35">
      <c r="B33" s="17">
        <v>43632</v>
      </c>
      <c r="C33" s="18">
        <f>'NASDAQ Composite Index Return'!C32</f>
        <v>-2.1297255919597521E-2</v>
      </c>
      <c r="D33" s="18">
        <f>'FRAN % Changes in Stock Prices'!C32</f>
        <v>6.0460652591170727E-2</v>
      </c>
      <c r="E33" s="18">
        <f>'Risk free returns'!C32</f>
        <v>2.5999999999999999E-3</v>
      </c>
      <c r="F33" s="18"/>
      <c r="G33" s="62">
        <v>30</v>
      </c>
      <c r="H33" s="18">
        <f t="shared" si="0"/>
        <v>-2.3897255919597522E-2</v>
      </c>
      <c r="I33" s="18">
        <f t="shared" si="1"/>
        <v>5.7860652591170729E-2</v>
      </c>
    </row>
    <row r="34" spans="2:9" x14ac:dyDescent="0.35">
      <c r="B34" s="17">
        <v>43662</v>
      </c>
      <c r="C34" s="18">
        <f>'NASDAQ Composite Index Return'!C33</f>
        <v>6.5967733945423254E-2</v>
      </c>
      <c r="D34" s="18">
        <f>'FRAN % Changes in Stock Prices'!C33</f>
        <v>0.15022624434389154</v>
      </c>
      <c r="E34" s="18">
        <f>'Risk free returns'!C33</f>
        <v>2.8000000000000004E-3</v>
      </c>
      <c r="F34" s="18"/>
      <c r="G34" s="62">
        <v>31</v>
      </c>
      <c r="H34" s="18">
        <f t="shared" si="0"/>
        <v>6.3167733945423257E-2</v>
      </c>
      <c r="I34" s="18">
        <f t="shared" si="1"/>
        <v>0.14742624434389154</v>
      </c>
    </row>
    <row r="35" spans="2:9" x14ac:dyDescent="0.35">
      <c r="B35" s="17">
        <v>43693</v>
      </c>
      <c r="C35" s="18">
        <f>'NASDAQ Composite Index Return'!C34</f>
        <v>9.8971002586066958E-3</v>
      </c>
      <c r="D35" s="18">
        <f>'FRAN % Changes in Stock Prices'!C34</f>
        <v>7.3957513768686076E-2</v>
      </c>
      <c r="E35" s="18">
        <f>'Risk free returns'!C34</f>
        <v>3.3E-3</v>
      </c>
      <c r="F35" s="18"/>
      <c r="G35" s="62">
        <v>32</v>
      </c>
      <c r="H35" s="18">
        <f t="shared" si="0"/>
        <v>6.5971002586066958E-3</v>
      </c>
      <c r="I35" s="18">
        <f t="shared" si="1"/>
        <v>7.0657513768686078E-2</v>
      </c>
    </row>
    <row r="36" spans="2:9" x14ac:dyDescent="0.35">
      <c r="B36" s="17">
        <v>43724</v>
      </c>
      <c r="C36" s="18">
        <f>'NASDAQ Composite Index Return'!C35</f>
        <v>1.8947982245138273E-2</v>
      </c>
      <c r="D36" s="18">
        <f>'FRAN % Changes in Stock Prices'!C35</f>
        <v>0.1304029304029303</v>
      </c>
      <c r="E36" s="18">
        <f>'Risk free returns'!C35</f>
        <v>2.8999999999999998E-3</v>
      </c>
      <c r="F36" s="18"/>
      <c r="G36" s="62">
        <v>33</v>
      </c>
      <c r="H36" s="18">
        <f t="shared" si="0"/>
        <v>1.6047982245138273E-2</v>
      </c>
      <c r="I36" s="18">
        <f t="shared" si="1"/>
        <v>0.12750293040293031</v>
      </c>
    </row>
    <row r="37" spans="2:9" x14ac:dyDescent="0.35">
      <c r="B37" s="17">
        <v>43754</v>
      </c>
      <c r="C37" s="18">
        <f>'NASDAQ Composite Index Return'!C36</f>
        <v>-2.3128739269578251E-2</v>
      </c>
      <c r="D37" s="18">
        <f>'FRAN % Changes in Stock Prices'!C36</f>
        <v>4.1477640959170482E-2</v>
      </c>
      <c r="E37" s="18">
        <f>'Risk free returns'!C36</f>
        <v>3.4000000000000002E-3</v>
      </c>
      <c r="F37" s="18"/>
      <c r="G37" s="62">
        <v>34</v>
      </c>
      <c r="H37" s="18">
        <f t="shared" si="0"/>
        <v>-2.6528739269578251E-2</v>
      </c>
      <c r="I37" s="18">
        <f t="shared" si="1"/>
        <v>3.8077640959170482E-2</v>
      </c>
    </row>
    <row r="38" spans="2:9" x14ac:dyDescent="0.35">
      <c r="B38" s="17">
        <v>43785</v>
      </c>
      <c r="C38" s="18">
        <f>'NASDAQ Composite Index Return'!C37</f>
        <v>2.5927231766336767E-2</v>
      </c>
      <c r="D38" s="18">
        <f>'FRAN % Changes in Stock Prices'!C37</f>
        <v>-5.6004978220286893E-3</v>
      </c>
      <c r="E38" s="18">
        <f>'Risk free returns'!C37</f>
        <v>4.7999999999999996E-3</v>
      </c>
      <c r="F38" s="18"/>
      <c r="G38" s="62">
        <v>35</v>
      </c>
      <c r="H38" s="18">
        <f t="shared" si="0"/>
        <v>2.1127231766336768E-2</v>
      </c>
      <c r="I38" s="18">
        <f t="shared" si="1"/>
        <v>-1.040049782202869E-2</v>
      </c>
    </row>
    <row r="39" spans="2:9" x14ac:dyDescent="0.35">
      <c r="B39" s="17">
        <v>43815</v>
      </c>
      <c r="C39" s="18">
        <f>'NASDAQ Composite Index Return'!C38</f>
        <v>1.1165197576662341E-2</v>
      </c>
      <c r="D39" s="18">
        <f>'FRAN % Changes in Stock Prices'!C38</f>
        <v>0.12828535669586996</v>
      </c>
      <c r="E39" s="18">
        <f>'Risk free returns'!C38</f>
        <v>5.1000000000000004E-3</v>
      </c>
      <c r="F39" s="18"/>
      <c r="G39" s="62">
        <v>36</v>
      </c>
      <c r="H39" s="18">
        <f t="shared" si="0"/>
        <v>6.0651975766623407E-3</v>
      </c>
      <c r="I39" s="18">
        <f t="shared" si="1"/>
        <v>0.12318535669586997</v>
      </c>
    </row>
    <row r="40" spans="2:9" x14ac:dyDescent="0.35">
      <c r="B40" s="17">
        <v>43482</v>
      </c>
      <c r="C40" s="18">
        <f>'NASDAQ Composite Index Return'!C39</f>
        <v>4.3036364963951267E-2</v>
      </c>
      <c r="D40" s="18">
        <f>'FRAN % Changes in Stock Prices'!C39</f>
        <v>-3.2723239046034441E-2</v>
      </c>
      <c r="E40" s="18">
        <f>'Risk free returns'!C39</f>
        <v>5.1999999999999998E-3</v>
      </c>
      <c r="F40" s="18"/>
      <c r="G40" s="62">
        <v>37</v>
      </c>
      <c r="H40" s="18">
        <f t="shared" si="0"/>
        <v>3.7836364963951263E-2</v>
      </c>
      <c r="I40" s="18">
        <f t="shared" si="1"/>
        <v>-3.7923239046034438E-2</v>
      </c>
    </row>
    <row r="41" spans="2:9" x14ac:dyDescent="0.35">
      <c r="B41" s="17">
        <v>43513</v>
      </c>
      <c r="C41" s="18">
        <f>'NASDAQ Composite Index Return'!C40</f>
        <v>3.7516968673242883E-2</v>
      </c>
      <c r="D41" s="18">
        <f>'FRAN % Changes in Stock Prices'!C40</f>
        <v>-2.6949541284403741E-2</v>
      </c>
      <c r="E41" s="18">
        <f>'Risk free returns'!C40</f>
        <v>5.3E-3</v>
      </c>
      <c r="F41" s="18"/>
      <c r="G41" s="62">
        <v>38</v>
      </c>
      <c r="H41" s="18">
        <f t="shared" si="0"/>
        <v>3.2216968673242884E-2</v>
      </c>
      <c r="I41" s="18">
        <f t="shared" si="1"/>
        <v>-3.2249541284403743E-2</v>
      </c>
    </row>
    <row r="42" spans="2:9" x14ac:dyDescent="0.35">
      <c r="B42" s="17">
        <v>43541</v>
      </c>
      <c r="C42" s="18">
        <f>'NASDAQ Composite Index Return'!C41</f>
        <v>1.4814382067972339E-2</v>
      </c>
      <c r="D42" s="18">
        <f>'FRAN % Changes in Stock Prices'!C41</f>
        <v>-9.5462581025338833E-2</v>
      </c>
      <c r="E42" s="18">
        <f>'Risk free returns'!C41</f>
        <v>7.6E-3</v>
      </c>
      <c r="F42" s="18"/>
      <c r="G42" s="62">
        <v>39</v>
      </c>
      <c r="H42" s="18">
        <f t="shared" si="0"/>
        <v>7.2143820679723388E-3</v>
      </c>
      <c r="I42" s="18">
        <f t="shared" si="1"/>
        <v>-0.10306258102533883</v>
      </c>
    </row>
    <row r="43" spans="2:9" x14ac:dyDescent="0.35">
      <c r="B43" s="17">
        <v>43572</v>
      </c>
      <c r="C43" s="18">
        <f>'NASDAQ Composite Index Return'!C42</f>
        <v>2.2983017457123237E-2</v>
      </c>
      <c r="D43" s="18">
        <f>'FRAN % Changes in Stock Prices'!C42</f>
        <v>2.8013029315961051E-2</v>
      </c>
      <c r="E43" s="18">
        <f>'Risk free returns'!C42</f>
        <v>8.0000000000000002E-3</v>
      </c>
      <c r="F43" s="18"/>
      <c r="G43" s="62">
        <v>40</v>
      </c>
      <c r="H43" s="18">
        <f t="shared" si="0"/>
        <v>1.4983017457123236E-2</v>
      </c>
      <c r="I43" s="18">
        <f t="shared" si="1"/>
        <v>2.0013029315961051E-2</v>
      </c>
    </row>
    <row r="44" spans="2:9" x14ac:dyDescent="0.35">
      <c r="B44" s="17">
        <v>43602</v>
      </c>
      <c r="C44" s="18">
        <f>'NASDAQ Composite Index Return'!C43</f>
        <v>2.4953685905449465E-2</v>
      </c>
      <c r="D44" s="18">
        <f>'FRAN % Changes in Stock Prices'!C43</f>
        <v>-0.19771863117870736</v>
      </c>
      <c r="E44" s="18">
        <f>'Risk free returns'!C43</f>
        <v>9.7999999999999997E-3</v>
      </c>
      <c r="F44" s="18"/>
      <c r="G44" s="62">
        <v>41</v>
      </c>
      <c r="H44" s="18">
        <f t="shared" si="0"/>
        <v>1.5153685905449465E-2</v>
      </c>
      <c r="I44" s="18">
        <f t="shared" si="1"/>
        <v>-0.20751863117870736</v>
      </c>
    </row>
    <row r="45" spans="2:9" x14ac:dyDescent="0.35">
      <c r="B45" s="17">
        <v>43633</v>
      </c>
      <c r="C45" s="18">
        <f>'NASDAQ Composite Index Return'!C44</f>
        <v>-9.3732209967113869E-3</v>
      </c>
      <c r="D45" s="18">
        <f>'FRAN % Changes in Stock Prices'!C44</f>
        <v>-0.13586097946287512</v>
      </c>
      <c r="E45" s="18">
        <f>'Risk free returns'!C44</f>
        <v>1.03E-2</v>
      </c>
      <c r="F45" s="18"/>
      <c r="G45" s="62">
        <v>42</v>
      </c>
      <c r="H45" s="18">
        <f t="shared" si="0"/>
        <v>-1.9673220996711385E-2</v>
      </c>
      <c r="I45" s="18">
        <f t="shared" si="1"/>
        <v>-0.14616097946287512</v>
      </c>
    </row>
    <row r="46" spans="2:9" x14ac:dyDescent="0.35">
      <c r="B46" s="17">
        <v>43663</v>
      </c>
      <c r="C46" s="18">
        <f>'NASDAQ Composite Index Return'!C45</f>
        <v>3.3825079984489102E-2</v>
      </c>
      <c r="D46" s="18">
        <f>'FRAN % Changes in Stock Prices'!C45</f>
        <v>-0.11060329067641679</v>
      </c>
      <c r="E46" s="18">
        <f>'Risk free returns'!C45</f>
        <v>1.0700000000000001E-2</v>
      </c>
      <c r="F46" s="18"/>
      <c r="G46" s="62">
        <v>43</v>
      </c>
      <c r="H46" s="18">
        <f t="shared" si="0"/>
        <v>2.3125079984489101E-2</v>
      </c>
      <c r="I46" s="18">
        <f t="shared" si="1"/>
        <v>-0.12130329067641679</v>
      </c>
    </row>
    <row r="47" spans="2:9" x14ac:dyDescent="0.35">
      <c r="B47" s="17">
        <v>43694</v>
      </c>
      <c r="C47" s="18">
        <f>'NASDAQ Composite Index Return'!C46</f>
        <v>1.2687226693193259E-2</v>
      </c>
      <c r="D47" s="18">
        <f>'FRAN % Changes in Stock Prices'!C46</f>
        <v>-0.25385405960945528</v>
      </c>
      <c r="E47" s="18">
        <f>'Risk free returns'!C46</f>
        <v>1.01E-2</v>
      </c>
      <c r="F47" s="18"/>
      <c r="G47" s="62">
        <v>44</v>
      </c>
      <c r="H47" s="18">
        <f t="shared" si="0"/>
        <v>2.5872266931932595E-3</v>
      </c>
      <c r="I47" s="18">
        <f t="shared" si="1"/>
        <v>-0.26395405960945528</v>
      </c>
    </row>
    <row r="48" spans="2:9" x14ac:dyDescent="0.35">
      <c r="B48" s="17">
        <v>43725</v>
      </c>
      <c r="C48" s="18">
        <f>'NASDAQ Composite Index Return'!C47</f>
        <v>1.0468714065898688E-2</v>
      </c>
      <c r="D48" s="18">
        <f>'FRAN % Changes in Stock Prices'!C47</f>
        <v>1.3774104683195461E-2</v>
      </c>
      <c r="E48" s="18">
        <f>'Risk free returns'!C47</f>
        <v>1.06E-2</v>
      </c>
      <c r="F48" s="18"/>
      <c r="G48" s="62">
        <v>45</v>
      </c>
      <c r="H48" s="18">
        <f t="shared" si="0"/>
        <v>-1.3128593410131201E-4</v>
      </c>
      <c r="I48" s="18">
        <f t="shared" si="1"/>
        <v>3.1741046831954608E-3</v>
      </c>
    </row>
    <row r="49" spans="2:9" x14ac:dyDescent="0.35">
      <c r="B49" s="17">
        <v>43755</v>
      </c>
      <c r="C49" s="18">
        <f>'NASDAQ Composite Index Return'!C48</f>
        <v>3.5669856709574087E-2</v>
      </c>
      <c r="D49" s="18">
        <f>'FRAN % Changes in Stock Prices'!C48</f>
        <v>-0.12092391304347819</v>
      </c>
      <c r="E49" s="18">
        <f>'Risk free returns'!C48</f>
        <v>1.15E-2</v>
      </c>
      <c r="F49" s="18"/>
      <c r="G49" s="62">
        <v>46</v>
      </c>
      <c r="H49" s="18">
        <f t="shared" si="0"/>
        <v>2.4169856709574087E-2</v>
      </c>
      <c r="I49" s="18">
        <f t="shared" si="1"/>
        <v>-0.1324239130434782</v>
      </c>
    </row>
    <row r="50" spans="2:9" x14ac:dyDescent="0.35">
      <c r="B50" s="17">
        <v>43786</v>
      </c>
      <c r="C50" s="18">
        <f>'NASDAQ Composite Index Return'!C49</f>
        <v>2.1746056910667836E-2</v>
      </c>
      <c r="D50" s="18">
        <f>'FRAN % Changes in Stock Prices'!C49</f>
        <v>0.14683153013910363</v>
      </c>
      <c r="E50" s="18">
        <f>'Risk free returns'!C49</f>
        <v>1.2699999999999999E-2</v>
      </c>
      <c r="F50" s="18"/>
      <c r="G50" s="62">
        <v>47</v>
      </c>
      <c r="H50" s="18">
        <f t="shared" si="0"/>
        <v>9.0460569106678365E-3</v>
      </c>
      <c r="I50" s="18">
        <f t="shared" si="1"/>
        <v>0.13413153013910364</v>
      </c>
    </row>
    <row r="51" spans="2:9" x14ac:dyDescent="0.35">
      <c r="B51" s="17">
        <v>43816</v>
      </c>
      <c r="C51" s="18">
        <f>'NASDAQ Composite Index Return'!C50</f>
        <v>4.2799024551781594E-3</v>
      </c>
      <c r="D51" s="18">
        <f>'FRAN % Changes in Stock Prices'!C50</f>
        <v>-1.482479784366585E-2</v>
      </c>
      <c r="E51" s="18">
        <f>'Risk free returns'!C50</f>
        <v>1.3899999999999999E-2</v>
      </c>
      <c r="F51" s="18"/>
      <c r="G51" s="62">
        <v>48</v>
      </c>
      <c r="H51" s="18">
        <f t="shared" si="0"/>
        <v>-9.6200975448218397E-3</v>
      </c>
      <c r="I51" s="18">
        <f t="shared" si="1"/>
        <v>-2.8724797843665849E-2</v>
      </c>
    </row>
    <row r="52" spans="2:9" x14ac:dyDescent="0.35">
      <c r="B52" s="17">
        <v>43483</v>
      </c>
      <c r="C52" s="18">
        <f>'NASDAQ Composite Index Return'!C51</f>
        <v>7.3600047645691932E-2</v>
      </c>
      <c r="D52" s="18">
        <f>'FRAN % Changes in Stock Prices'!C51</f>
        <v>-0.20246238030095765</v>
      </c>
      <c r="E52" s="18">
        <f>'Risk free returns'!C51</f>
        <v>1.46E-2</v>
      </c>
      <c r="F52" s="18"/>
      <c r="G52" s="62">
        <v>49</v>
      </c>
      <c r="H52" s="18">
        <f t="shared" si="0"/>
        <v>5.900004764569193E-2</v>
      </c>
      <c r="I52" s="18">
        <f t="shared" si="1"/>
        <v>-0.21706238030095765</v>
      </c>
    </row>
    <row r="53" spans="2:9" x14ac:dyDescent="0.35">
      <c r="B53" s="17">
        <v>43514</v>
      </c>
      <c r="C53" s="18">
        <f>'NASDAQ Composite Index Return'!C52</f>
        <v>-1.8683206913283727E-2</v>
      </c>
      <c r="D53" s="18">
        <f>'FRAN % Changes in Stock Prices'!C52</f>
        <v>-0.10634648370497414</v>
      </c>
      <c r="E53" s="18">
        <f>'Risk free returns'!C52</f>
        <v>1.6500000000000001E-2</v>
      </c>
      <c r="F53" s="18"/>
      <c r="G53" s="62">
        <v>50</v>
      </c>
      <c r="H53" s="18">
        <f t="shared" si="0"/>
        <v>-3.5183206913283728E-2</v>
      </c>
      <c r="I53" s="18">
        <f t="shared" si="1"/>
        <v>-0.12284648370497414</v>
      </c>
    </row>
    <row r="54" spans="2:9" x14ac:dyDescent="0.35">
      <c r="B54" s="17">
        <v>43542</v>
      </c>
      <c r="C54" s="18">
        <f>'NASDAQ Composite Index Return'!C53</f>
        <v>-2.881332182168278E-2</v>
      </c>
      <c r="D54" s="18">
        <f>'FRAN % Changes in Stock Prices'!C53</f>
        <v>-7.8694817658349348E-2</v>
      </c>
      <c r="E54" s="18">
        <f>'Risk free returns'!C53</f>
        <v>1.7299999999999999E-2</v>
      </c>
      <c r="F54" s="18"/>
      <c r="G54" s="62">
        <v>51</v>
      </c>
      <c r="H54" s="18">
        <f t="shared" si="0"/>
        <v>-4.6113321821682776E-2</v>
      </c>
      <c r="I54" s="18">
        <f t="shared" si="1"/>
        <v>-9.5994817658349343E-2</v>
      </c>
    </row>
    <row r="55" spans="2:9" x14ac:dyDescent="0.35">
      <c r="B55" s="17">
        <v>43573</v>
      </c>
      <c r="C55" s="18">
        <f>'NASDAQ Composite Index Return'!C54</f>
        <v>3.9921354609333124E-4</v>
      </c>
      <c r="D55" s="18">
        <f>'FRAN % Changes in Stock Prices'!C54</f>
        <v>3.1249999999999951E-2</v>
      </c>
      <c r="E55" s="18">
        <f>'Risk free returns'!C54</f>
        <v>1.8700000000000001E-2</v>
      </c>
      <c r="F55" s="18"/>
      <c r="G55" s="62">
        <v>52</v>
      </c>
      <c r="H55" s="18">
        <f t="shared" si="0"/>
        <v>-1.8300786453906669E-2</v>
      </c>
      <c r="I55" s="18">
        <f t="shared" si="1"/>
        <v>1.254999999999995E-2</v>
      </c>
    </row>
    <row r="56" spans="2:9" x14ac:dyDescent="0.35">
      <c r="B56" s="17">
        <v>43603</v>
      </c>
      <c r="C56" s="18">
        <f>'NASDAQ Composite Index Return'!C55</f>
        <v>5.3189319957518473E-2</v>
      </c>
      <c r="D56" s="18">
        <f>'FRAN % Changes in Stock Prices'!C55</f>
        <v>0.19393939393939399</v>
      </c>
      <c r="E56" s="18">
        <f>'Risk free returns'!C55</f>
        <v>1.9299999999999998E-2</v>
      </c>
      <c r="F56" s="18"/>
      <c r="G56" s="62">
        <v>53</v>
      </c>
      <c r="H56" s="18">
        <f t="shared" si="0"/>
        <v>3.3889319957518475E-2</v>
      </c>
      <c r="I56" s="18">
        <f t="shared" si="1"/>
        <v>0.17463939393939398</v>
      </c>
    </row>
    <row r="57" spans="2:9" x14ac:dyDescent="0.35">
      <c r="B57" s="17">
        <v>43634</v>
      </c>
      <c r="C57" s="18">
        <f>'NASDAQ Composite Index Return'!C56</f>
        <v>9.1613259297248801E-3</v>
      </c>
      <c r="D57" s="18">
        <f>'FRAN % Changes in Stock Prices'!C56</f>
        <v>0.27749576988155655</v>
      </c>
      <c r="E57" s="18">
        <f>'Risk free returns'!C56</f>
        <v>1.9299999999999998E-2</v>
      </c>
      <c r="F57" s="18"/>
      <c r="G57" s="62">
        <v>54</v>
      </c>
      <c r="H57" s="18">
        <f t="shared" si="0"/>
        <v>-1.0138674070275118E-2</v>
      </c>
      <c r="I57" s="18">
        <f t="shared" si="1"/>
        <v>0.25819576988155657</v>
      </c>
    </row>
    <row r="58" spans="2:9" x14ac:dyDescent="0.35">
      <c r="B58" s="17">
        <v>43664</v>
      </c>
      <c r="C58" s="18">
        <f>'NASDAQ Composite Index Return'!C57</f>
        <v>2.1502501656789824E-2</v>
      </c>
      <c r="D58" s="18">
        <f>'FRAN % Changes in Stock Prices'!C57</f>
        <v>7.8145695364238557E-2</v>
      </c>
      <c r="E58" s="18">
        <f>'Risk free returns'!C57</f>
        <v>2.0299999999999999E-2</v>
      </c>
      <c r="F58" s="18"/>
      <c r="G58" s="62">
        <v>55</v>
      </c>
      <c r="H58" s="18">
        <f t="shared" si="0"/>
        <v>1.2025016567898256E-3</v>
      </c>
      <c r="I58" s="18">
        <f t="shared" si="1"/>
        <v>5.7845695364238559E-2</v>
      </c>
    </row>
    <row r="59" spans="2:9" x14ac:dyDescent="0.35">
      <c r="B59" s="17">
        <v>43695</v>
      </c>
      <c r="C59" s="18">
        <f>'NASDAQ Composite Index Return'!C58</f>
        <v>5.7059695035274929E-2</v>
      </c>
      <c r="D59" s="18">
        <f>'FRAN % Changes in Stock Prices'!C58</f>
        <v>-0.22850122850122856</v>
      </c>
      <c r="E59" s="18">
        <f>'Risk free returns'!C58</f>
        <v>2.1099999999999997E-2</v>
      </c>
      <c r="F59" s="18"/>
      <c r="G59" s="62">
        <v>56</v>
      </c>
      <c r="H59" s="18">
        <f t="shared" si="0"/>
        <v>3.5959695035274936E-2</v>
      </c>
      <c r="I59" s="18">
        <f t="shared" si="1"/>
        <v>-0.24960122850122857</v>
      </c>
    </row>
    <row r="60" spans="2:9" x14ac:dyDescent="0.35">
      <c r="B60" s="17">
        <v>43726</v>
      </c>
      <c r="C60" s="18">
        <f>'NASDAQ Composite Index Return'!C59</f>
        <v>-7.7920499431670103E-3</v>
      </c>
      <c r="D60" s="18">
        <f>'FRAN % Changes in Stock Prices'!C59</f>
        <v>-0.40923566878980888</v>
      </c>
      <c r="E60" s="18">
        <f>'Risk free returns'!C59</f>
        <v>2.1899999999999999E-2</v>
      </c>
      <c r="F60" s="18"/>
      <c r="G60" s="62">
        <v>57</v>
      </c>
      <c r="H60" s="18">
        <f t="shared" si="0"/>
        <v>-2.9692049943167008E-2</v>
      </c>
      <c r="I60" s="18">
        <f t="shared" si="1"/>
        <v>-0.43113566878980886</v>
      </c>
    </row>
    <row r="61" spans="2:9" x14ac:dyDescent="0.35">
      <c r="B61" s="17">
        <v>43756</v>
      </c>
      <c r="C61" s="18">
        <f>'NASDAQ Composite Index Return'!C60</f>
        <v>-9.2023114453352706E-2</v>
      </c>
      <c r="D61" s="18">
        <f>'FRAN % Changes in Stock Prices'!C60</f>
        <v>-0.18059299191374675</v>
      </c>
      <c r="E61" s="18">
        <f>'Risk free returns'!C60</f>
        <v>2.3399999999999997E-2</v>
      </c>
      <c r="F61" s="18"/>
      <c r="G61" s="62">
        <v>58</v>
      </c>
      <c r="H61" s="18">
        <f t="shared" si="0"/>
        <v>-0.11542311445335271</v>
      </c>
      <c r="I61" s="18">
        <f t="shared" si="1"/>
        <v>-0.20399299191374676</v>
      </c>
    </row>
    <row r="62" spans="2:9" x14ac:dyDescent="0.35">
      <c r="B62" s="17">
        <v>43787</v>
      </c>
      <c r="C62" s="18">
        <f>'NASDAQ Composite Index Return'!C61</f>
        <v>3.372635449502265E-3</v>
      </c>
      <c r="D62" s="18">
        <f>'FRAN % Changes in Stock Prices'!C61</f>
        <v>-0.34539473684210525</v>
      </c>
      <c r="E62" s="18">
        <f>'Risk free returns'!C61</f>
        <v>2.3700000000000002E-2</v>
      </c>
      <c r="F62" s="18"/>
      <c r="G62" s="62">
        <v>59</v>
      </c>
      <c r="H62" s="18">
        <f t="shared" si="0"/>
        <v>-2.0327364550497738E-2</v>
      </c>
      <c r="I62" s="18">
        <f t="shared" si="1"/>
        <v>-0.36909473684210525</v>
      </c>
    </row>
    <row r="63" spans="2:9" x14ac:dyDescent="0.35">
      <c r="B63" s="17">
        <v>43817</v>
      </c>
      <c r="C63" s="18">
        <f>'NASDAQ Composite Index Return'!C62</f>
        <v>-9.4844343022624705E-2</v>
      </c>
      <c r="D63" s="18">
        <f>'FRAN % Changes in Stock Prices'!C62</f>
        <v>-0.51256281407035176</v>
      </c>
      <c r="E63" s="18">
        <f>'Risk free returns'!C62</f>
        <v>2.4500000000000001E-2</v>
      </c>
      <c r="F63" s="18"/>
      <c r="G63" s="62">
        <v>60</v>
      </c>
      <c r="H63" s="18">
        <f t="shared" si="0"/>
        <v>-0.1193443430226247</v>
      </c>
      <c r="I63" s="18">
        <f t="shared" si="1"/>
        <v>-0.53706281407035172</v>
      </c>
    </row>
  </sheetData>
  <mergeCells count="2">
    <mergeCell ref="C2:E2"/>
    <mergeCell ref="H2: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782E2-1865-4273-AF8B-511DB341CCA1}">
  <sheetPr>
    <tabColor theme="8" tint="0.59999389629810485"/>
  </sheetPr>
  <dimension ref="B2:F18"/>
  <sheetViews>
    <sheetView workbookViewId="0">
      <selection activeCell="F18" sqref="F18"/>
    </sheetView>
  </sheetViews>
  <sheetFormatPr defaultRowHeight="14.5" x14ac:dyDescent="0.35"/>
  <cols>
    <col min="2" max="2" width="54.81640625" bestFit="1" customWidth="1"/>
    <col min="3" max="3" width="11.81640625" bestFit="1" customWidth="1"/>
    <col min="4" max="4" width="30.453125" bestFit="1" customWidth="1"/>
    <col min="8" max="8" width="20" bestFit="1" customWidth="1"/>
  </cols>
  <sheetData>
    <row r="2" spans="2:4" x14ac:dyDescent="0.35">
      <c r="B2" s="210" t="s">
        <v>138</v>
      </c>
      <c r="C2" s="227">
        <f>_xlfn.COVARIANCE.S('NASDAQ Composite Index Return'!C3:C62,'FRAN % Changes in Stock Prices'!C3:C62)</f>
        <v>1.1893855015375971E-3</v>
      </c>
      <c r="D2" s="62"/>
    </row>
    <row r="3" spans="2:4" x14ac:dyDescent="0.35">
      <c r="B3" s="196" t="s">
        <v>139</v>
      </c>
      <c r="C3" s="195">
        <f>_xlfn.VAR.S('NASDAQ Composite Index Return'!C3:C62)</f>
        <v>1.4834074301987581E-3</v>
      </c>
      <c r="D3" s="62"/>
    </row>
    <row r="4" spans="2:4" x14ac:dyDescent="0.35">
      <c r="B4" s="196" t="s">
        <v>140</v>
      </c>
      <c r="C4" s="195">
        <f>C2/C3</f>
        <v>0.80179287047135406</v>
      </c>
      <c r="D4" s="62"/>
    </row>
    <row r="5" spans="2:4" x14ac:dyDescent="0.35">
      <c r="B5" s="229" t="s">
        <v>141</v>
      </c>
      <c r="C5" s="228">
        <f>SLOPE('FRAN % Changes in Stock Prices'!C3:C62,'NASDAQ Composite Index Return'!C3:C62)</f>
        <v>0.80179287047135372</v>
      </c>
      <c r="D5" s="62"/>
    </row>
    <row r="8" spans="2:4" x14ac:dyDescent="0.35">
      <c r="B8" s="62"/>
      <c r="C8" s="22"/>
      <c r="D8" s="62"/>
    </row>
    <row r="13" spans="2:4" x14ac:dyDescent="0.35">
      <c r="B13" s="285" t="s">
        <v>142</v>
      </c>
      <c r="C13" s="286"/>
      <c r="D13" s="287"/>
    </row>
    <row r="14" spans="2:4" ht="15.5" x14ac:dyDescent="0.35">
      <c r="B14" s="94" t="s">
        <v>143</v>
      </c>
      <c r="C14" s="105">
        <f>'Risk free returns'!C62*12</f>
        <v>0.29400000000000004</v>
      </c>
      <c r="D14" s="89" t="s">
        <v>144</v>
      </c>
    </row>
    <row r="15" spans="2:4" ht="15.5" x14ac:dyDescent="0.35">
      <c r="B15" s="103" t="s">
        <v>145</v>
      </c>
      <c r="C15" s="106">
        <f>('NASDAQ Composite index (Values)'!C63/'NASDAQ Composite index (Values)'!C51)-1</f>
        <v>-3.8837490954337528E-2</v>
      </c>
      <c r="D15" s="89" t="s">
        <v>146</v>
      </c>
    </row>
    <row r="16" spans="2:4" ht="15.5" x14ac:dyDescent="0.35">
      <c r="B16" s="103" t="s">
        <v>147</v>
      </c>
      <c r="C16" s="107">
        <f>C4</f>
        <v>0.80179287047135406</v>
      </c>
      <c r="D16" s="89" t="s">
        <v>148</v>
      </c>
    </row>
    <row r="17" spans="2:6" ht="15.5" x14ac:dyDescent="0.35">
      <c r="B17" s="103"/>
      <c r="C17" s="108"/>
      <c r="D17" s="89"/>
    </row>
    <row r="18" spans="2:6" ht="15.5" x14ac:dyDescent="0.35">
      <c r="B18" s="104" t="s">
        <v>149</v>
      </c>
      <c r="C18" s="109">
        <f>C14+C16*(C15-C14)</f>
        <v>2.7133272727238367E-2</v>
      </c>
      <c r="D18" s="91" t="s">
        <v>150</v>
      </c>
      <c r="F18">
        <f>'DATA NORMALISED'!C14/'DATA NORMALISED'!J15</f>
        <v>0.13596567873619461</v>
      </c>
    </row>
  </sheetData>
  <mergeCells count="1">
    <mergeCell ref="B13:D1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94F4-7561-404B-9EB7-F73F311BEA1F}">
  <sheetPr>
    <tabColor theme="7"/>
  </sheetPr>
  <dimension ref="C3:E50"/>
  <sheetViews>
    <sheetView topLeftCell="B1" workbookViewId="0">
      <selection activeCell="D51" sqref="D51"/>
    </sheetView>
  </sheetViews>
  <sheetFormatPr defaultRowHeight="14.5" x14ac:dyDescent="0.35"/>
  <cols>
    <col min="3" max="3" width="36.1796875" bestFit="1" customWidth="1"/>
    <col min="4" max="4" width="25.1796875" bestFit="1" customWidth="1"/>
    <col min="5" max="5" width="28" customWidth="1"/>
  </cols>
  <sheetData>
    <row r="3" spans="3:5" x14ac:dyDescent="0.35">
      <c r="C3" s="66" t="s">
        <v>151</v>
      </c>
      <c r="D3" s="63"/>
      <c r="E3" s="63"/>
    </row>
    <row r="4" spans="3:5" x14ac:dyDescent="0.35">
      <c r="C4" s="63"/>
      <c r="D4" s="67">
        <v>2018</v>
      </c>
      <c r="E4" s="67"/>
    </row>
    <row r="5" spans="3:5" x14ac:dyDescent="0.35">
      <c r="C5" s="63"/>
      <c r="D5" s="68" t="s">
        <v>152</v>
      </c>
      <c r="E5" s="68"/>
    </row>
    <row r="6" spans="3:5" x14ac:dyDescent="0.35">
      <c r="C6" s="63" t="s">
        <v>153</v>
      </c>
      <c r="D6" s="69">
        <f>-'DATA NORMALISED'!C10</f>
        <v>452</v>
      </c>
      <c r="E6" s="69"/>
    </row>
    <row r="7" spans="3:5" x14ac:dyDescent="0.35">
      <c r="C7" s="63" t="s">
        <v>154</v>
      </c>
      <c r="D7" s="69">
        <v>0</v>
      </c>
      <c r="E7" s="69"/>
    </row>
    <row r="8" spans="3:5" ht="16" x14ac:dyDescent="0.5">
      <c r="C8" s="63" t="s">
        <v>155</v>
      </c>
      <c r="D8" s="110">
        <f>SUM(D6:D7)</f>
        <v>452</v>
      </c>
      <c r="E8" s="110"/>
    </row>
    <row r="9" spans="3:5" x14ac:dyDescent="0.35">
      <c r="C9" s="63"/>
      <c r="D9" s="63"/>
      <c r="E9" s="63"/>
    </row>
    <row r="10" spans="3:5" x14ac:dyDescent="0.35">
      <c r="C10" s="66" t="s">
        <v>156</v>
      </c>
      <c r="D10" s="63"/>
      <c r="E10" s="63"/>
    </row>
    <row r="11" spans="3:5" x14ac:dyDescent="0.35">
      <c r="C11" s="63"/>
      <c r="D11" s="67">
        <v>2018</v>
      </c>
      <c r="E11" s="67"/>
    </row>
    <row r="12" spans="3:5" x14ac:dyDescent="0.35">
      <c r="C12" s="63"/>
      <c r="D12" s="68" t="s">
        <v>152</v>
      </c>
      <c r="E12" s="68"/>
    </row>
    <row r="13" spans="3:5" x14ac:dyDescent="0.35">
      <c r="C13" s="63" t="s">
        <v>157</v>
      </c>
      <c r="D13" s="61">
        <v>0</v>
      </c>
      <c r="E13" s="61"/>
    </row>
    <row r="14" spans="3:5" x14ac:dyDescent="0.35">
      <c r="C14" s="63" t="s">
        <v>158</v>
      </c>
      <c r="D14" s="61">
        <v>0</v>
      </c>
      <c r="E14" s="61"/>
    </row>
    <row r="15" spans="3:5" x14ac:dyDescent="0.35">
      <c r="C15" s="63" t="s">
        <v>159</v>
      </c>
      <c r="D15" s="60">
        <f>SUM(D13:D14)</f>
        <v>0</v>
      </c>
      <c r="E15" s="60"/>
    </row>
    <row r="16" spans="3:5" x14ac:dyDescent="0.35">
      <c r="C16" s="63"/>
      <c r="D16" s="63"/>
      <c r="E16" s="63"/>
    </row>
    <row r="17" spans="3:5" x14ac:dyDescent="0.35">
      <c r="C17" s="66" t="s">
        <v>160</v>
      </c>
      <c r="D17" s="63"/>
      <c r="E17" s="63"/>
    </row>
    <row r="18" spans="3:5" x14ac:dyDescent="0.35">
      <c r="C18" s="63"/>
      <c r="D18" s="68">
        <f>D11</f>
        <v>2018</v>
      </c>
      <c r="E18" s="68"/>
    </row>
    <row r="19" spans="3:5" x14ac:dyDescent="0.35">
      <c r="C19" s="63"/>
      <c r="D19" s="68" t="s">
        <v>152</v>
      </c>
      <c r="E19" s="68"/>
    </row>
    <row r="20" spans="3:5" x14ac:dyDescent="0.35">
      <c r="C20" s="63" t="s">
        <v>161</v>
      </c>
      <c r="D20" s="59">
        <f>D15</f>
        <v>0</v>
      </c>
      <c r="E20" s="59"/>
    </row>
    <row r="21" spans="3:5" x14ac:dyDescent="0.35">
      <c r="C21" s="63" t="str">
        <f>C7</f>
        <v xml:space="preserve">Interest Expense  </v>
      </c>
      <c r="D21" s="59">
        <f>-D7</f>
        <v>0</v>
      </c>
      <c r="E21" s="59"/>
    </row>
    <row r="22" spans="3:5" x14ac:dyDescent="0.35">
      <c r="C22" s="63"/>
      <c r="D22" s="63"/>
      <c r="E22" s="63"/>
    </row>
    <row r="23" spans="3:5" x14ac:dyDescent="0.35">
      <c r="C23" s="63" t="s">
        <v>162</v>
      </c>
      <c r="D23" s="65">
        <v>0</v>
      </c>
      <c r="E23" s="63"/>
    </row>
    <row r="24" spans="3:5" x14ac:dyDescent="0.35">
      <c r="C24" s="63"/>
      <c r="D24" s="63"/>
      <c r="E24" s="63"/>
    </row>
    <row r="25" spans="3:5" x14ac:dyDescent="0.35">
      <c r="C25" s="66" t="s">
        <v>163</v>
      </c>
      <c r="D25" s="63"/>
      <c r="E25" s="63"/>
    </row>
    <row r="26" spans="3:5" x14ac:dyDescent="0.35">
      <c r="C26" s="63"/>
      <c r="D26" s="68">
        <f>D18</f>
        <v>2018</v>
      </c>
      <c r="E26" s="68"/>
    </row>
    <row r="27" spans="3:5" x14ac:dyDescent="0.35">
      <c r="C27" s="63"/>
      <c r="D27" s="68" t="s">
        <v>164</v>
      </c>
      <c r="E27" s="68"/>
    </row>
    <row r="28" spans="3:5" x14ac:dyDescent="0.35">
      <c r="C28" s="63" t="s">
        <v>165</v>
      </c>
      <c r="D28" s="69">
        <f>'DATA NORMALISED'!C12</f>
        <v>29856</v>
      </c>
      <c r="E28" s="69"/>
    </row>
    <row r="29" spans="3:5" x14ac:dyDescent="0.35">
      <c r="C29" s="63" t="s">
        <v>166</v>
      </c>
      <c r="D29" s="69">
        <f>'DATA NORMALISED'!C13</f>
        <v>14295</v>
      </c>
      <c r="E29" s="69"/>
    </row>
    <row r="30" spans="3:5" x14ac:dyDescent="0.35">
      <c r="C30" s="63"/>
      <c r="D30" s="63"/>
      <c r="E30" s="63"/>
    </row>
    <row r="31" spans="3:5" x14ac:dyDescent="0.35">
      <c r="C31" s="63" t="s">
        <v>167</v>
      </c>
      <c r="D31" s="65">
        <f>D29/D28</f>
        <v>0.478798231511254</v>
      </c>
      <c r="E31" s="63" t="s">
        <v>168</v>
      </c>
    </row>
    <row r="32" spans="3:5" x14ac:dyDescent="0.35">
      <c r="C32" s="63"/>
      <c r="D32" s="63"/>
      <c r="E32" s="63"/>
    </row>
    <row r="33" spans="3:5" x14ac:dyDescent="0.35">
      <c r="C33" s="66" t="s">
        <v>169</v>
      </c>
      <c r="D33" s="63"/>
      <c r="E33" s="63"/>
    </row>
    <row r="34" spans="3:5" ht="16.5" x14ac:dyDescent="0.45">
      <c r="C34" s="63" t="s">
        <v>170</v>
      </c>
      <c r="D34" s="64">
        <f>D23</f>
        <v>0</v>
      </c>
      <c r="E34" s="63"/>
    </row>
    <row r="35" spans="3:5" ht="16.5" x14ac:dyDescent="0.45">
      <c r="C35" s="63" t="s">
        <v>171</v>
      </c>
      <c r="D35" s="74">
        <f>D31</f>
        <v>0.478798231511254</v>
      </c>
      <c r="E35" s="63" t="s">
        <v>172</v>
      </c>
    </row>
    <row r="36" spans="3:5" ht="16.5" x14ac:dyDescent="0.45">
      <c r="C36" s="63" t="s">
        <v>173</v>
      </c>
      <c r="D36" s="65">
        <f>D34*(1-D35)</f>
        <v>0</v>
      </c>
      <c r="E36" s="63"/>
    </row>
    <row r="37" spans="3:5" x14ac:dyDescent="0.35">
      <c r="C37" s="63"/>
      <c r="D37" s="63"/>
      <c r="E37" s="63"/>
    </row>
    <row r="38" spans="3:5" x14ac:dyDescent="0.35">
      <c r="C38" s="66" t="s">
        <v>174</v>
      </c>
      <c r="D38" s="63"/>
      <c r="E38" s="63"/>
    </row>
    <row r="39" spans="3:5" x14ac:dyDescent="0.35">
      <c r="C39" s="63" t="s">
        <v>175</v>
      </c>
      <c r="D39" s="65">
        <f>'Cost of Equity'!C18</f>
        <v>2.7133272727238367E-2</v>
      </c>
      <c r="E39" s="63" t="s">
        <v>176</v>
      </c>
    </row>
    <row r="40" spans="3:5" x14ac:dyDescent="0.35">
      <c r="C40" s="63" t="s">
        <v>177</v>
      </c>
      <c r="D40" s="65">
        <v>0</v>
      </c>
      <c r="E40" s="63" t="s">
        <v>178</v>
      </c>
    </row>
    <row r="41" spans="3:5" x14ac:dyDescent="0.35">
      <c r="C41" s="63"/>
      <c r="D41" s="63"/>
      <c r="E41" s="63"/>
    </row>
    <row r="42" spans="3:5" x14ac:dyDescent="0.35">
      <c r="C42" s="63" t="s">
        <v>179</v>
      </c>
      <c r="D42" s="70">
        <f>'DATA NORMALISED'!J15</f>
        <v>114448</v>
      </c>
      <c r="E42" s="63"/>
    </row>
    <row r="43" spans="3:5" x14ac:dyDescent="0.35">
      <c r="C43" s="63" t="s">
        <v>180</v>
      </c>
      <c r="D43" s="59">
        <v>0</v>
      </c>
      <c r="E43" s="63"/>
    </row>
    <row r="44" spans="3:5" x14ac:dyDescent="0.35">
      <c r="C44" s="63" t="s">
        <v>181</v>
      </c>
      <c r="D44" s="70">
        <f>D42+D43</f>
        <v>114448</v>
      </c>
      <c r="E44" s="63"/>
    </row>
    <row r="45" spans="3:5" x14ac:dyDescent="0.35">
      <c r="C45" s="63"/>
      <c r="D45" s="63"/>
      <c r="E45" s="63"/>
    </row>
    <row r="46" spans="3:5" x14ac:dyDescent="0.35">
      <c r="C46" s="63" t="s">
        <v>182</v>
      </c>
      <c r="D46" s="71">
        <f>D42/D44</f>
        <v>1</v>
      </c>
      <c r="E46" s="63"/>
    </row>
    <row r="47" spans="3:5" x14ac:dyDescent="0.35">
      <c r="C47" s="63" t="s">
        <v>183</v>
      </c>
      <c r="D47" s="71">
        <v>0</v>
      </c>
      <c r="E47" s="63"/>
    </row>
    <row r="48" spans="3:5" x14ac:dyDescent="0.35">
      <c r="C48" s="63"/>
      <c r="D48" s="63"/>
      <c r="E48" s="63"/>
    </row>
    <row r="49" spans="3:5" x14ac:dyDescent="0.35">
      <c r="C49" s="63" t="s">
        <v>184</v>
      </c>
      <c r="D49" s="72"/>
      <c r="E49" s="63"/>
    </row>
    <row r="50" spans="3:5" x14ac:dyDescent="0.35">
      <c r="C50" s="63" t="s">
        <v>185</v>
      </c>
      <c r="D50" s="65">
        <f>D46*D39+D47*D40</f>
        <v>2.7133272727238367E-2</v>
      </c>
      <c r="E50" s="73" t="s">
        <v>186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4D15-6346-411D-AC3A-A07AD2559945}">
  <sheetPr>
    <tabColor theme="0" tint="-0.249977111117893"/>
  </sheetPr>
  <dimension ref="D1:K14"/>
  <sheetViews>
    <sheetView topLeftCell="B1" workbookViewId="0">
      <selection activeCell="E15" sqref="E15"/>
    </sheetView>
  </sheetViews>
  <sheetFormatPr defaultRowHeight="14.5" x14ac:dyDescent="0.35"/>
  <cols>
    <col min="4" max="4" width="31.81640625" bestFit="1" customWidth="1"/>
    <col min="5" max="7" width="11.1796875" bestFit="1" customWidth="1"/>
    <col min="8" max="8" width="11.1796875" customWidth="1"/>
    <col min="9" max="9" width="11.7265625" bestFit="1" customWidth="1"/>
    <col min="10" max="10" width="11.7265625" style="24" customWidth="1"/>
    <col min="11" max="11" width="11.1796875" bestFit="1" customWidth="1"/>
  </cols>
  <sheetData>
    <row r="1" spans="4:11" ht="15" thickBot="1" x14ac:dyDescent="0.4">
      <c r="D1" s="62"/>
      <c r="E1" s="62"/>
      <c r="F1" s="62"/>
      <c r="G1" s="62"/>
      <c r="H1" s="62"/>
      <c r="I1" s="62"/>
      <c r="K1" s="62"/>
    </row>
    <row r="2" spans="4:11" ht="15.5" thickTop="1" thickBot="1" x14ac:dyDescent="0.4">
      <c r="D2" s="44"/>
      <c r="E2" s="298" t="s">
        <v>52</v>
      </c>
      <c r="F2" s="298"/>
      <c r="G2" s="298"/>
      <c r="H2" s="298"/>
      <c r="I2" s="299"/>
      <c r="J2" s="55"/>
      <c r="K2" s="56" t="s">
        <v>53</v>
      </c>
    </row>
    <row r="3" spans="4:11" ht="15.5" thickTop="1" thickBot="1" x14ac:dyDescent="0.4">
      <c r="D3" s="58" t="s">
        <v>2</v>
      </c>
      <c r="E3" s="111">
        <v>2023</v>
      </c>
      <c r="F3" s="111">
        <v>2022</v>
      </c>
      <c r="G3" s="111">
        <v>2021</v>
      </c>
      <c r="H3" s="111">
        <v>2020</v>
      </c>
      <c r="I3" s="112">
        <v>2019</v>
      </c>
      <c r="J3" s="55"/>
      <c r="K3" s="113">
        <v>2018</v>
      </c>
    </row>
    <row r="4" spans="4:11" ht="15" thickTop="1" x14ac:dyDescent="0.35">
      <c r="D4" s="52"/>
      <c r="E4" s="114" t="s">
        <v>187</v>
      </c>
      <c r="F4" s="114" t="s">
        <v>187</v>
      </c>
      <c r="G4" s="114" t="s">
        <v>187</v>
      </c>
      <c r="H4" s="114" t="s">
        <v>187</v>
      </c>
      <c r="I4" s="115" t="s">
        <v>187</v>
      </c>
      <c r="J4" s="55"/>
      <c r="K4" s="116" t="s">
        <v>187</v>
      </c>
    </row>
    <row r="5" spans="4:11" x14ac:dyDescent="0.35">
      <c r="D5" s="52" t="s">
        <v>188</v>
      </c>
      <c r="E5" s="5">
        <f>'Financial Projections'!C58-'Financial Projections'!C61</f>
        <v>20618.584161338455</v>
      </c>
      <c r="F5" s="5">
        <f>'Financial Projections'!D58-'Financial Projections'!D61</f>
        <v>19002.944414897502</v>
      </c>
      <c r="G5" s="5">
        <f>'Financial Projections'!E58-'Financial Projections'!E61</f>
        <v>17513.90365167745</v>
      </c>
      <c r="H5" s="5">
        <f>'Financial Projections'!F58-'Financial Projections'!F61</f>
        <v>16141.541774956306</v>
      </c>
      <c r="I5" s="42">
        <f>'Financial Projections'!G58-'Financial Projections'!G61</f>
        <v>14876.716011150638</v>
      </c>
      <c r="J5" s="25"/>
      <c r="K5" s="45">
        <f>'DATA NORMALISED'!J6-'DATA NORMALISED'!J8</f>
        <v>13711</v>
      </c>
    </row>
    <row r="6" spans="4:11" x14ac:dyDescent="0.35">
      <c r="D6" s="52" t="s">
        <v>189</v>
      </c>
      <c r="E6" s="5">
        <f>'Financial Projections'!C57</f>
        <v>151488.17100581669</v>
      </c>
      <c r="F6" s="5">
        <f>'Financial Projections'!D57</f>
        <v>139617.79677073378</v>
      </c>
      <c r="G6" s="5">
        <f>'Financial Projections'!E57</f>
        <v>128677.56634519962</v>
      </c>
      <c r="H6" s="5">
        <f>'Financial Projections'!F57</f>
        <v>118594.59512681601</v>
      </c>
      <c r="I6" s="42">
        <f>'Financial Projections'!G57</f>
        <v>109301.70963571459</v>
      </c>
      <c r="J6" s="25"/>
      <c r="K6" s="45">
        <f>'DATA NORMALISED'!J5</f>
        <v>100737</v>
      </c>
    </row>
    <row r="7" spans="4:11" x14ac:dyDescent="0.35">
      <c r="D7" s="52" t="s">
        <v>190</v>
      </c>
      <c r="E7" s="5">
        <f>E5+E6</f>
        <v>172106.75516715515</v>
      </c>
      <c r="F7" s="5">
        <f t="shared" ref="F7:K7" si="0">F5+F6</f>
        <v>158620.74118563128</v>
      </c>
      <c r="G7" s="5">
        <f t="shared" si="0"/>
        <v>146191.46999687707</v>
      </c>
      <c r="H7" s="5">
        <f t="shared" si="0"/>
        <v>134736.13690177232</v>
      </c>
      <c r="I7" s="42">
        <f t="shared" si="0"/>
        <v>124178.42564686523</v>
      </c>
      <c r="J7" s="25"/>
      <c r="K7" s="47">
        <f t="shared" si="0"/>
        <v>114448</v>
      </c>
    </row>
    <row r="8" spans="4:11" x14ac:dyDescent="0.35">
      <c r="D8" s="52" t="s">
        <v>191</v>
      </c>
      <c r="E8" s="5">
        <f t="shared" ref="E8:H8" si="1">E7-F7</f>
        <v>13486.013981523865</v>
      </c>
      <c r="F8" s="5">
        <f t="shared" si="1"/>
        <v>12429.27118875421</v>
      </c>
      <c r="G8" s="5">
        <f t="shared" si="1"/>
        <v>11455.333095104754</v>
      </c>
      <c r="H8" s="5">
        <f t="shared" si="1"/>
        <v>10557.711254907088</v>
      </c>
      <c r="I8" s="42">
        <f>I7-K7</f>
        <v>9730.4256468652311</v>
      </c>
      <c r="J8" s="25"/>
      <c r="K8" s="45"/>
    </row>
    <row r="9" spans="4:11" x14ac:dyDescent="0.35">
      <c r="D9" s="52" t="s">
        <v>192</v>
      </c>
      <c r="E9" s="5">
        <f>'Financial Projections'!C41*(1-'Financial Projections'!$C$19)</f>
        <v>24961.476648507083</v>
      </c>
      <c r="F9" s="5">
        <f>'Financial Projections'!D41*(1-'Financial Projections'!$C$19)</f>
        <v>23005.534694024824</v>
      </c>
      <c r="G9" s="5">
        <f>'Financial Projections'!E41*(1-'Financial Projections'!$C$19)</f>
        <v>21202.857267245592</v>
      </c>
      <c r="H9" s="5">
        <f>'Financial Projections'!F41*(1-'Financial Projections'!$C$19)</f>
        <v>-26603.339667567379</v>
      </c>
      <c r="I9" s="42">
        <f>'Financial Projections'!G41*(1-'Financial Projections'!$C$19)</f>
        <v>-95400.315075729581</v>
      </c>
      <c r="J9" s="25"/>
      <c r="K9" s="45">
        <f>'DATA NORMALISED'!C9*(1-'Financial Projections'!$C$19)</f>
        <v>16598.948</v>
      </c>
    </row>
    <row r="10" spans="4:11" x14ac:dyDescent="0.35">
      <c r="D10" s="52" t="s">
        <v>191</v>
      </c>
      <c r="E10" s="5">
        <f>E8</f>
        <v>13486.013981523865</v>
      </c>
      <c r="F10" s="5">
        <f t="shared" ref="F10:I10" si="2">F8</f>
        <v>12429.27118875421</v>
      </c>
      <c r="G10" s="5">
        <f t="shared" si="2"/>
        <v>11455.333095104754</v>
      </c>
      <c r="H10" s="5">
        <f t="shared" si="2"/>
        <v>10557.711254907088</v>
      </c>
      <c r="I10" s="42">
        <f t="shared" si="2"/>
        <v>9730.4256468652311</v>
      </c>
      <c r="J10" s="25"/>
      <c r="K10" s="45"/>
    </row>
    <row r="11" spans="4:11" ht="15" thickBot="1" x14ac:dyDescent="0.4">
      <c r="D11" s="53" t="s">
        <v>193</v>
      </c>
      <c r="E11" s="48">
        <f>E9-E10</f>
        <v>11475.462666983218</v>
      </c>
      <c r="F11" s="48">
        <f t="shared" ref="F11:I11" si="3">F9-F10</f>
        <v>10576.263505270614</v>
      </c>
      <c r="G11" s="48">
        <f t="shared" si="3"/>
        <v>9747.5241721408383</v>
      </c>
      <c r="H11" s="48">
        <f t="shared" si="3"/>
        <v>-37161.050922474467</v>
      </c>
      <c r="I11" s="51">
        <f t="shared" si="3"/>
        <v>-105130.74072259481</v>
      </c>
      <c r="J11" s="25"/>
      <c r="K11" s="49"/>
    </row>
    <row r="12" spans="4:11" ht="15" thickTop="1" x14ac:dyDescent="0.35">
      <c r="D12" s="62"/>
      <c r="E12" s="62"/>
      <c r="F12" s="62"/>
      <c r="G12" s="62"/>
      <c r="H12" s="62"/>
      <c r="I12" s="62"/>
      <c r="K12" s="62"/>
    </row>
    <row r="13" spans="4:11" x14ac:dyDescent="0.35">
      <c r="D13" s="62"/>
      <c r="E13" s="62"/>
      <c r="F13" s="62"/>
      <c r="G13" s="62"/>
      <c r="H13" s="10"/>
      <c r="I13" s="62"/>
      <c r="K13" s="62"/>
    </row>
    <row r="14" spans="4:11" x14ac:dyDescent="0.35">
      <c r="D14" s="62"/>
      <c r="E14" s="6"/>
      <c r="F14" s="6"/>
      <c r="G14" s="62"/>
      <c r="H14" s="62"/>
      <c r="I14" s="6"/>
      <c r="K14" s="62"/>
    </row>
  </sheetData>
  <mergeCells count="1">
    <mergeCell ref="E2:I2"/>
  </mergeCells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FE7DF-4B9D-490E-B255-3CE031D64235}">
  <sheetPr>
    <tabColor rgb="FF7030A0"/>
  </sheetPr>
  <dimension ref="E3:F6"/>
  <sheetViews>
    <sheetView workbookViewId="0">
      <selection activeCell="I13" sqref="I13"/>
    </sheetView>
  </sheetViews>
  <sheetFormatPr defaultRowHeight="14.5" x14ac:dyDescent="0.35"/>
  <cols>
    <col min="5" max="5" width="19.26953125" bestFit="1" customWidth="1"/>
    <col min="6" max="6" width="4.81640625" bestFit="1" customWidth="1"/>
  </cols>
  <sheetData>
    <row r="3" spans="5:6" x14ac:dyDescent="0.35">
      <c r="E3" s="210" t="s">
        <v>194</v>
      </c>
      <c r="F3" s="208">
        <f>'Financial Projections'!C19</f>
        <v>0.44600000000000001</v>
      </c>
    </row>
    <row r="4" spans="5:6" x14ac:dyDescent="0.35">
      <c r="E4" s="196" t="s">
        <v>195</v>
      </c>
      <c r="F4" s="209">
        <f>'Financial Projections'!C16</f>
        <v>0.1</v>
      </c>
    </row>
    <row r="5" spans="5:6" x14ac:dyDescent="0.35">
      <c r="E5" s="196"/>
      <c r="F5" s="20"/>
    </row>
    <row r="6" spans="5:6" x14ac:dyDescent="0.35">
      <c r="E6" s="197" t="s">
        <v>196</v>
      </c>
      <c r="F6" s="216">
        <f>F4*(1-F3)</f>
        <v>5.5400000000000005E-2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69AF-7C98-46BD-8A1D-3F55C7A0F221}">
  <sheetPr>
    <tabColor theme="0" tint="-0.499984740745262"/>
  </sheetPr>
  <dimension ref="D2:H11"/>
  <sheetViews>
    <sheetView workbookViewId="0">
      <selection activeCell="K11" sqref="K11"/>
    </sheetView>
  </sheetViews>
  <sheetFormatPr defaultRowHeight="14.5" x14ac:dyDescent="0.35"/>
  <cols>
    <col min="4" max="4" width="20.453125" bestFit="1" customWidth="1"/>
    <col min="5" max="5" width="21.7265625" bestFit="1" customWidth="1"/>
  </cols>
  <sheetData>
    <row r="2" spans="4:8" x14ac:dyDescent="0.35">
      <c r="D2" s="210" t="s">
        <v>197</v>
      </c>
      <c r="E2" s="36">
        <f>'Cost of debt after Forecast'!F6</f>
        <v>5.5400000000000005E-2</v>
      </c>
    </row>
    <row r="3" spans="4:8" x14ac:dyDescent="0.35">
      <c r="D3" s="196" t="s">
        <v>198</v>
      </c>
      <c r="E3" s="211">
        <f>'Cost of Equity'!C18</f>
        <v>2.7133272727238367E-2</v>
      </c>
    </row>
    <row r="4" spans="4:8" x14ac:dyDescent="0.35">
      <c r="D4" s="196" t="s">
        <v>199</v>
      </c>
      <c r="E4" s="195">
        <f ca="1">'Financial Projections'!C62</f>
        <v>90327.635200051591</v>
      </c>
    </row>
    <row r="5" spans="4:8" s="62" customFormat="1" x14ac:dyDescent="0.35">
      <c r="D5" s="196" t="s">
        <v>200</v>
      </c>
      <c r="E5" s="195">
        <f ca="1">'Financial Projections'!C68</f>
        <v>81316.119967103557</v>
      </c>
    </row>
    <row r="6" spans="4:8" s="62" customFormat="1" x14ac:dyDescent="0.35">
      <c r="D6" s="196"/>
      <c r="E6" s="195"/>
    </row>
    <row r="7" spans="4:8" x14ac:dyDescent="0.35">
      <c r="D7" s="197" t="s">
        <v>201</v>
      </c>
      <c r="E7" s="215">
        <f ca="1">E3+((E4/E5)*(E3-E2))</f>
        <v>-4.2659950984558076E-3</v>
      </c>
    </row>
    <row r="8" spans="4:8" x14ac:dyDescent="0.35">
      <c r="H8">
        <f ca="1">('Financial Projections'!C62/'Financial Projections'!C68)</f>
        <v>1.1108207725183352</v>
      </c>
    </row>
    <row r="9" spans="4:8" x14ac:dyDescent="0.35">
      <c r="H9">
        <f>'Cost of Equity'!F18-'Cost of debt after Forecast'!F6</f>
        <v>8.0565678736194607E-2</v>
      </c>
    </row>
    <row r="10" spans="4:8" x14ac:dyDescent="0.35">
      <c r="H10">
        <f ca="1">H8*H9</f>
        <v>8.9494029492203711E-2</v>
      </c>
    </row>
    <row r="11" spans="4:8" x14ac:dyDescent="0.35">
      <c r="E11">
        <f ca="1">'Cost of Equity'!F18+(('Financial Projections'!C62/'Financial Projections'!C68)*('Cost of Equity'!F18-'Cost of debt after Forecast'!F6))</f>
        <v>0.22545970822839834</v>
      </c>
      <c r="H11">
        <f ca="1">H10+H8:H11</f>
        <v>80.634120572474174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29E6-7255-4E30-8F60-CD6BCCF79363}">
  <sheetPr>
    <tabColor theme="7" tint="0.39997558519241921"/>
  </sheetPr>
  <dimension ref="B2:F47"/>
  <sheetViews>
    <sheetView workbookViewId="0">
      <selection activeCell="F39" sqref="F39"/>
    </sheetView>
  </sheetViews>
  <sheetFormatPr defaultRowHeight="14.5" x14ac:dyDescent="0.35"/>
  <cols>
    <col min="2" max="2" width="36.1796875" bestFit="1" customWidth="1"/>
    <col min="3" max="3" width="16.7265625" customWidth="1"/>
    <col min="4" max="4" width="27.453125" bestFit="1" customWidth="1"/>
    <col min="6" max="6" width="20" bestFit="1" customWidth="1"/>
  </cols>
  <sheetData>
    <row r="2" spans="2:6" x14ac:dyDescent="0.35">
      <c r="B2" s="66" t="s">
        <v>151</v>
      </c>
      <c r="C2" s="63"/>
      <c r="D2" s="63"/>
      <c r="E2" s="62"/>
      <c r="F2" s="62"/>
    </row>
    <row r="3" spans="2:6" x14ac:dyDescent="0.35">
      <c r="B3" s="63"/>
      <c r="C3" s="67">
        <v>2023</v>
      </c>
      <c r="D3" s="67"/>
      <c r="E3" s="62"/>
      <c r="F3" s="62"/>
    </row>
    <row r="4" spans="2:6" x14ac:dyDescent="0.35">
      <c r="B4" s="63"/>
      <c r="C4" s="68" t="s">
        <v>152</v>
      </c>
      <c r="D4" s="68"/>
      <c r="E4" s="62"/>
      <c r="F4" s="62"/>
    </row>
    <row r="5" spans="2:6" x14ac:dyDescent="0.35">
      <c r="B5" s="63" t="s">
        <v>153</v>
      </c>
      <c r="C5" s="69">
        <v>0</v>
      </c>
      <c r="D5" s="59" t="s">
        <v>202</v>
      </c>
      <c r="E5" s="62"/>
      <c r="F5" s="62"/>
    </row>
    <row r="6" spans="2:6" x14ac:dyDescent="0.35">
      <c r="B6" s="63" t="s">
        <v>154</v>
      </c>
      <c r="C6" s="69">
        <f ca="1">'Financial Projections'!C42</f>
        <v>9032.7635200051591</v>
      </c>
      <c r="D6" s="59" t="s">
        <v>202</v>
      </c>
      <c r="E6" s="62"/>
      <c r="F6" s="62"/>
    </row>
    <row r="7" spans="2:6" ht="16" x14ac:dyDescent="0.5">
      <c r="B7" s="63" t="s">
        <v>155</v>
      </c>
      <c r="C7" s="110">
        <f ca="1">SUM(C5:C6)</f>
        <v>9032.7635200051591</v>
      </c>
      <c r="D7" s="110"/>
      <c r="E7" s="62"/>
      <c r="F7" s="62"/>
    </row>
    <row r="8" spans="2:6" x14ac:dyDescent="0.35">
      <c r="B8" s="63"/>
      <c r="C8" s="63"/>
      <c r="D8" s="63"/>
      <c r="E8" s="62"/>
      <c r="F8" s="62"/>
    </row>
    <row r="9" spans="2:6" x14ac:dyDescent="0.35">
      <c r="B9" s="66" t="s">
        <v>156</v>
      </c>
      <c r="C9" s="63"/>
      <c r="D9" s="63"/>
      <c r="E9" s="62"/>
      <c r="F9" s="62"/>
    </row>
    <row r="10" spans="2:6" x14ac:dyDescent="0.35">
      <c r="B10" s="63"/>
      <c r="C10" s="67">
        <v>2018</v>
      </c>
      <c r="D10" s="67"/>
      <c r="E10" s="62"/>
      <c r="F10" s="62"/>
    </row>
    <row r="11" spans="2:6" x14ac:dyDescent="0.35">
      <c r="B11" s="63"/>
      <c r="C11" s="68" t="s">
        <v>152</v>
      </c>
      <c r="D11" s="68"/>
      <c r="E11" s="62"/>
      <c r="F11" s="62"/>
    </row>
    <row r="12" spans="2:6" x14ac:dyDescent="0.35">
      <c r="B12" s="63" t="s">
        <v>157</v>
      </c>
      <c r="C12" s="61">
        <v>0</v>
      </c>
      <c r="D12" s="61"/>
      <c r="E12" s="62"/>
      <c r="F12" s="62"/>
    </row>
    <row r="13" spans="2:6" x14ac:dyDescent="0.35">
      <c r="B13" s="63" t="s">
        <v>158</v>
      </c>
      <c r="C13" s="61">
        <f ca="1">'Financial Projections'!C62</f>
        <v>90327.635200051591</v>
      </c>
      <c r="D13" s="59" t="s">
        <v>202</v>
      </c>
      <c r="E13" s="62"/>
      <c r="F13" s="62"/>
    </row>
    <row r="14" spans="2:6" x14ac:dyDescent="0.35">
      <c r="B14" s="63" t="s">
        <v>159</v>
      </c>
      <c r="C14" s="60">
        <f ca="1">SUM(C12:C13)</f>
        <v>90327.635200051591</v>
      </c>
      <c r="D14" s="60"/>
      <c r="E14" s="62"/>
      <c r="F14" s="62"/>
    </row>
    <row r="15" spans="2:6" x14ac:dyDescent="0.35">
      <c r="B15" s="63"/>
      <c r="C15" s="63"/>
      <c r="D15" s="63"/>
      <c r="E15" s="62"/>
      <c r="F15" s="62"/>
    </row>
    <row r="16" spans="2:6" x14ac:dyDescent="0.35">
      <c r="B16" s="66" t="s">
        <v>160</v>
      </c>
      <c r="C16" s="63"/>
      <c r="D16" s="63"/>
      <c r="E16" s="62"/>
      <c r="F16" s="62"/>
    </row>
    <row r="17" spans="2:4" x14ac:dyDescent="0.35">
      <c r="B17" s="63"/>
      <c r="C17" s="68">
        <f>C10</f>
        <v>2018</v>
      </c>
      <c r="D17" s="68"/>
    </row>
    <row r="18" spans="2:4" x14ac:dyDescent="0.35">
      <c r="B18" s="63"/>
      <c r="C18" s="68" t="s">
        <v>152</v>
      </c>
      <c r="D18" s="68"/>
    </row>
    <row r="19" spans="2:4" x14ac:dyDescent="0.35">
      <c r="B19" s="63" t="s">
        <v>161</v>
      </c>
      <c r="C19" s="59">
        <f ca="1">C14</f>
        <v>90327.635200051591</v>
      </c>
      <c r="D19" s="59" t="s">
        <v>202</v>
      </c>
    </row>
    <row r="20" spans="2:4" x14ac:dyDescent="0.35">
      <c r="B20" s="63" t="str">
        <f>B6</f>
        <v xml:space="preserve">Interest Expense  </v>
      </c>
      <c r="C20" s="59">
        <f ca="1">C6</f>
        <v>9032.7635200051591</v>
      </c>
      <c r="D20" s="59" t="s">
        <v>202</v>
      </c>
    </row>
    <row r="21" spans="2:4" x14ac:dyDescent="0.35">
      <c r="B21" s="63"/>
      <c r="C21" s="63"/>
      <c r="D21" s="63"/>
    </row>
    <row r="22" spans="2:4" x14ac:dyDescent="0.35">
      <c r="B22" s="63" t="s">
        <v>203</v>
      </c>
      <c r="C22" s="65">
        <f>'Cost of debt after Forecast'!F4</f>
        <v>0.1</v>
      </c>
      <c r="D22" s="63" t="s">
        <v>202</v>
      </c>
    </row>
    <row r="23" spans="2:4" x14ac:dyDescent="0.35">
      <c r="B23" s="63"/>
      <c r="C23" s="63"/>
      <c r="D23" s="63"/>
    </row>
    <row r="24" spans="2:4" x14ac:dyDescent="0.35">
      <c r="B24" s="66" t="s">
        <v>163</v>
      </c>
      <c r="C24" s="63"/>
      <c r="D24" s="63"/>
    </row>
    <row r="25" spans="2:4" x14ac:dyDescent="0.35">
      <c r="B25" s="63"/>
      <c r="C25" s="68">
        <f>C17</f>
        <v>2018</v>
      </c>
      <c r="D25" s="68"/>
    </row>
    <row r="26" spans="2:4" x14ac:dyDescent="0.35">
      <c r="B26" s="63"/>
      <c r="C26" s="68" t="s">
        <v>164</v>
      </c>
      <c r="D26" s="68"/>
    </row>
    <row r="27" spans="2:4" x14ac:dyDescent="0.35">
      <c r="B27" s="63"/>
      <c r="C27" s="63"/>
      <c r="D27" s="63"/>
    </row>
    <row r="28" spans="2:4" x14ac:dyDescent="0.35">
      <c r="B28" s="63" t="s">
        <v>167</v>
      </c>
      <c r="C28" s="212">
        <f>'Cost of debt after Forecast'!F3</f>
        <v>0.44600000000000001</v>
      </c>
      <c r="D28" s="63" t="s">
        <v>202</v>
      </c>
    </row>
    <row r="29" spans="2:4" x14ac:dyDescent="0.35">
      <c r="B29" s="63"/>
      <c r="C29" s="63"/>
      <c r="D29" s="63"/>
    </row>
    <row r="30" spans="2:4" x14ac:dyDescent="0.35">
      <c r="B30" s="66" t="s">
        <v>169</v>
      </c>
      <c r="C30" s="63"/>
      <c r="D30" s="63"/>
    </row>
    <row r="31" spans="2:4" ht="16.5" x14ac:dyDescent="0.45">
      <c r="B31" s="63" t="s">
        <v>170</v>
      </c>
      <c r="C31" s="64">
        <f>C22</f>
        <v>0.1</v>
      </c>
      <c r="D31" s="63"/>
    </row>
    <row r="32" spans="2:4" ht="16.5" x14ac:dyDescent="0.45">
      <c r="B32" s="63" t="s">
        <v>171</v>
      </c>
      <c r="C32" s="74">
        <f>C28</f>
        <v>0.44600000000000001</v>
      </c>
      <c r="D32" s="63" t="s">
        <v>204</v>
      </c>
    </row>
    <row r="33" spans="2:6" ht="16.5" x14ac:dyDescent="0.45">
      <c r="B33" s="63" t="s">
        <v>173</v>
      </c>
      <c r="C33" s="65">
        <f>C31*(1-C32)</f>
        <v>5.5400000000000005E-2</v>
      </c>
      <c r="D33" s="63"/>
    </row>
    <row r="34" spans="2:6" x14ac:dyDescent="0.35">
      <c r="B34" s="63"/>
      <c r="C34" s="63"/>
      <c r="D34" s="63"/>
    </row>
    <row r="35" spans="2:6" x14ac:dyDescent="0.35">
      <c r="B35" s="66" t="s">
        <v>174</v>
      </c>
      <c r="C35" s="63"/>
      <c r="D35" s="63"/>
    </row>
    <row r="36" spans="2:6" x14ac:dyDescent="0.35">
      <c r="B36" s="63" t="s">
        <v>175</v>
      </c>
      <c r="C36" s="65">
        <f ca="1">'New Cost of Equity'!E7</f>
        <v>-4.2659950984558076E-3</v>
      </c>
      <c r="D36" s="63" t="s">
        <v>205</v>
      </c>
    </row>
    <row r="37" spans="2:6" x14ac:dyDescent="0.35">
      <c r="B37" s="63" t="s">
        <v>177</v>
      </c>
      <c r="C37" s="65">
        <f>C33</f>
        <v>5.5400000000000005E-2</v>
      </c>
      <c r="D37" s="63" t="s">
        <v>206</v>
      </c>
    </row>
    <row r="38" spans="2:6" x14ac:dyDescent="0.35">
      <c r="B38" s="63"/>
      <c r="C38" s="63"/>
      <c r="D38" s="63"/>
      <c r="F38" s="245">
        <f ca="1">C43*'New Cost of Equity'!E11+'New WACC'!C44*'New WACC'!C33</f>
        <v>0.13596567873619464</v>
      </c>
    </row>
    <row r="39" spans="2:6" x14ac:dyDescent="0.35">
      <c r="B39" s="63" t="s">
        <v>179</v>
      </c>
      <c r="C39" s="70">
        <f ca="1">'New Cost of Equity'!E5</f>
        <v>81316.119967103557</v>
      </c>
      <c r="D39" s="63" t="s">
        <v>202</v>
      </c>
    </row>
    <row r="40" spans="2:6" x14ac:dyDescent="0.35">
      <c r="B40" s="63" t="s">
        <v>180</v>
      </c>
      <c r="C40" s="213">
        <f ca="1">'New Cost of Equity'!E4</f>
        <v>90327.635200051591</v>
      </c>
      <c r="D40" s="63" t="s">
        <v>202</v>
      </c>
    </row>
    <row r="41" spans="2:6" x14ac:dyDescent="0.35">
      <c r="B41" s="63" t="s">
        <v>181</v>
      </c>
      <c r="C41" s="214">
        <f ca="1">C39+C40</f>
        <v>171643.75516715515</v>
      </c>
      <c r="D41" s="63" t="s">
        <v>202</v>
      </c>
    </row>
    <row r="42" spans="2:6" x14ac:dyDescent="0.35">
      <c r="B42" s="63"/>
      <c r="C42" s="63"/>
      <c r="D42" s="63"/>
    </row>
    <row r="43" spans="2:6" x14ac:dyDescent="0.35">
      <c r="B43" s="63" t="s">
        <v>182</v>
      </c>
      <c r="C43" s="71">
        <f ca="1">C39/C41</f>
        <v>0.47374936471131102</v>
      </c>
      <c r="D43" s="63"/>
    </row>
    <row r="44" spans="2:6" x14ac:dyDescent="0.35">
      <c r="B44" s="63" t="s">
        <v>183</v>
      </c>
      <c r="C44" s="71">
        <f ca="1">C40/C41</f>
        <v>0.52625063528868898</v>
      </c>
      <c r="D44" s="63"/>
    </row>
    <row r="45" spans="2:6" x14ac:dyDescent="0.35">
      <c r="B45" s="63"/>
      <c r="C45" s="63"/>
      <c r="D45" s="63"/>
    </row>
    <row r="46" spans="2:6" x14ac:dyDescent="0.35">
      <c r="B46" s="63" t="s">
        <v>184</v>
      </c>
      <c r="C46" s="72"/>
      <c r="D46" s="63"/>
    </row>
    <row r="47" spans="2:6" x14ac:dyDescent="0.35">
      <c r="B47" s="63" t="s">
        <v>185</v>
      </c>
      <c r="C47" s="65">
        <f ca="1">(C43*C36)+(C44*C37)</f>
        <v>2.7133272727238367E-2</v>
      </c>
      <c r="D47" s="73" t="s">
        <v>186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1E60-353D-4C16-8D50-D26926B17FC8}">
  <sheetPr>
    <tabColor rgb="FF92D050"/>
  </sheetPr>
  <dimension ref="B1:D17"/>
  <sheetViews>
    <sheetView workbookViewId="0">
      <selection sqref="A1:XFD1"/>
    </sheetView>
  </sheetViews>
  <sheetFormatPr defaultRowHeight="14.5" x14ac:dyDescent="0.35"/>
  <cols>
    <col min="3" max="3" width="35.453125" customWidth="1"/>
    <col min="4" max="4" width="12.54296875" bestFit="1" customWidth="1"/>
  </cols>
  <sheetData>
    <row r="1" spans="2:4" ht="15" thickBot="1" x14ac:dyDescent="0.4">
      <c r="B1" s="62"/>
      <c r="C1" s="62"/>
      <c r="D1" s="62"/>
    </row>
    <row r="2" spans="2:4" ht="15.5" thickTop="1" thickBot="1" x14ac:dyDescent="0.4">
      <c r="B2" s="62"/>
      <c r="C2" s="57" t="s">
        <v>207</v>
      </c>
      <c r="D2" s="85"/>
    </row>
    <row r="3" spans="2:4" s="62" customFormat="1" ht="15.5" thickTop="1" thickBot="1" x14ac:dyDescent="0.4">
      <c r="C3" s="52"/>
      <c r="D3" s="242" t="s">
        <v>152</v>
      </c>
    </row>
    <row r="4" spans="2:4" ht="15" thickTop="1" x14ac:dyDescent="0.35">
      <c r="B4" s="62"/>
      <c r="C4" s="52" t="s">
        <v>208</v>
      </c>
      <c r="D4" s="42">
        <f>'Free Cash Flow'!E11</f>
        <v>11475.462666983218</v>
      </c>
    </row>
    <row r="5" spans="2:4" s="62" customFormat="1" x14ac:dyDescent="0.35">
      <c r="C5" s="52"/>
      <c r="D5" s="42"/>
    </row>
    <row r="6" spans="2:4" s="62" customFormat="1" x14ac:dyDescent="0.35">
      <c r="C6" s="52" t="s">
        <v>209</v>
      </c>
      <c r="D6" s="82">
        <f ca="1">'New WACC'!C47</f>
        <v>2.7133272727238367E-2</v>
      </c>
    </row>
    <row r="7" spans="2:4" ht="15" thickBot="1" x14ac:dyDescent="0.4">
      <c r="B7" s="62"/>
      <c r="C7" s="52" t="s">
        <v>210</v>
      </c>
      <c r="D7" s="83">
        <v>0.02</v>
      </c>
    </row>
    <row r="8" spans="2:4" s="62" customFormat="1" ht="15.5" thickTop="1" thickBot="1" x14ac:dyDescent="0.4">
      <c r="C8" s="52"/>
      <c r="D8" s="86" t="s">
        <v>152</v>
      </c>
    </row>
    <row r="9" spans="2:4" ht="15" thickTop="1" x14ac:dyDescent="0.35">
      <c r="B9" s="62"/>
      <c r="C9" s="52"/>
      <c r="D9" s="42">
        <f>D4*(1+D7)</f>
        <v>11704.971920322881</v>
      </c>
    </row>
    <row r="10" spans="2:4" x14ac:dyDescent="0.35">
      <c r="B10" s="62"/>
      <c r="C10" s="52"/>
      <c r="D10" s="46"/>
    </row>
    <row r="11" spans="2:4" ht="15" thickBot="1" x14ac:dyDescent="0.4">
      <c r="B11" s="62"/>
      <c r="C11" s="52" t="s">
        <v>211</v>
      </c>
      <c r="D11" s="84">
        <f ca="1">D6-D7</f>
        <v>7.1332727272383663E-3</v>
      </c>
    </row>
    <row r="12" spans="2:4" ht="15" thickTop="1" x14ac:dyDescent="0.35">
      <c r="B12" s="62"/>
      <c r="C12" s="52"/>
      <c r="D12" s="187" t="s">
        <v>152</v>
      </c>
    </row>
    <row r="13" spans="2:4" ht="16.5" thickBot="1" x14ac:dyDescent="0.55000000000000004">
      <c r="B13" s="46"/>
      <c r="C13" s="192" t="s">
        <v>212</v>
      </c>
      <c r="D13" s="191">
        <f ca="1">D9/D11</f>
        <v>1640897.8554300196</v>
      </c>
    </row>
    <row r="14" spans="2:4" ht="15" thickTop="1" x14ac:dyDescent="0.35">
      <c r="B14" s="46"/>
      <c r="C14" s="1"/>
      <c r="D14" s="50"/>
    </row>
    <row r="15" spans="2:4" x14ac:dyDescent="0.35">
      <c r="B15" s="46"/>
      <c r="C15" s="2" t="s">
        <v>213</v>
      </c>
      <c r="D15" s="189">
        <v>36000</v>
      </c>
    </row>
    <row r="16" spans="2:4" ht="15" thickBot="1" x14ac:dyDescent="0.4">
      <c r="B16" s="46"/>
      <c r="C16" s="188" t="s">
        <v>214</v>
      </c>
      <c r="D16" s="190">
        <f ca="1">D13/D15</f>
        <v>45.580495984167207</v>
      </c>
    </row>
    <row r="17" spans="2:4" ht="15" thickTop="1" x14ac:dyDescent="0.35">
      <c r="B17" s="62"/>
      <c r="C17" s="62"/>
      <c r="D17" s="62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CC10-9F1C-4A09-9014-9034EECC6B39}">
  <sheetPr>
    <tabColor rgb="FFC00000"/>
  </sheetPr>
  <dimension ref="A1:F17"/>
  <sheetViews>
    <sheetView workbookViewId="0">
      <selection sqref="A1:XFD1"/>
    </sheetView>
  </sheetViews>
  <sheetFormatPr defaultRowHeight="14.5" x14ac:dyDescent="0.35"/>
  <cols>
    <col min="1" max="1" width="8.7265625" style="62"/>
    <col min="2" max="2" width="20.7265625" bestFit="1" customWidth="1"/>
    <col min="3" max="3" width="18.1796875" bestFit="1" customWidth="1"/>
    <col min="4" max="4" width="12.54296875" bestFit="1" customWidth="1"/>
    <col min="5" max="5" width="20.1796875" customWidth="1"/>
    <col min="6" max="6" width="25.26953125" bestFit="1" customWidth="1"/>
  </cols>
  <sheetData>
    <row r="1" spans="2:6" ht="15" thickBot="1" x14ac:dyDescent="0.4">
      <c r="B1" s="62"/>
      <c r="C1" s="62"/>
      <c r="D1" s="62"/>
      <c r="E1" s="62"/>
      <c r="F1" s="62"/>
    </row>
    <row r="2" spans="2:6" ht="15" thickTop="1" x14ac:dyDescent="0.35">
      <c r="B2" s="43"/>
      <c r="C2" s="75"/>
      <c r="D2" s="75" t="s">
        <v>185</v>
      </c>
      <c r="E2" s="76">
        <f>WACC!D50</f>
        <v>2.7133272727238367E-2</v>
      </c>
      <c r="F2" s="50"/>
    </row>
    <row r="3" spans="2:6" ht="15" thickBot="1" x14ac:dyDescent="0.4">
      <c r="B3" s="41"/>
      <c r="C3" s="1"/>
      <c r="D3" s="1"/>
      <c r="E3" s="1"/>
      <c r="F3" s="46"/>
    </row>
    <row r="4" spans="2:6" ht="15" thickTop="1" x14ac:dyDescent="0.35">
      <c r="B4" s="44"/>
      <c r="C4" s="56" t="s">
        <v>215</v>
      </c>
      <c r="D4" s="56" t="s">
        <v>216</v>
      </c>
      <c r="E4" s="56" t="s">
        <v>217</v>
      </c>
      <c r="F4" s="78" t="s">
        <v>218</v>
      </c>
    </row>
    <row r="5" spans="2:6" s="62" customFormat="1" ht="15" thickBot="1" x14ac:dyDescent="0.4">
      <c r="B5" s="41"/>
      <c r="C5" s="53"/>
      <c r="D5" s="53"/>
      <c r="E5" s="53" t="s">
        <v>219</v>
      </c>
      <c r="F5" s="79" t="s">
        <v>220</v>
      </c>
    </row>
    <row r="6" spans="2:6" s="62" customFormat="1" ht="15.5" thickTop="1" thickBot="1" x14ac:dyDescent="0.4">
      <c r="B6" s="41"/>
      <c r="C6" s="52"/>
      <c r="D6" s="86" t="s">
        <v>152</v>
      </c>
      <c r="E6" s="52"/>
      <c r="F6" s="86" t="s">
        <v>152</v>
      </c>
    </row>
    <row r="7" spans="2:6" ht="15" thickTop="1" x14ac:dyDescent="0.35">
      <c r="B7" s="41"/>
      <c r="C7" s="45">
        <v>1</v>
      </c>
      <c r="D7" s="47">
        <f>'Free Cash Flow'!I11</f>
        <v>-105130.74072259481</v>
      </c>
      <c r="E7" s="45">
        <f>(1+$E$2)^C7</f>
        <v>1.0271332727272384</v>
      </c>
      <c r="F7" s="42">
        <f>D7*E7</f>
        <v>-107983.28178263757</v>
      </c>
    </row>
    <row r="8" spans="2:6" x14ac:dyDescent="0.35">
      <c r="B8" s="41"/>
      <c r="C8" s="45">
        <v>2</v>
      </c>
      <c r="D8" s="47">
        <f>'Free Cash Flow'!H11</f>
        <v>-37161.050922474467</v>
      </c>
      <c r="E8" s="45">
        <f t="shared" ref="E8:E12" si="0">(1+$E$2)^C8</f>
        <v>1.0550027599433676</v>
      </c>
      <c r="F8" s="42">
        <f t="shared" ref="F8:F11" si="1">D8*E8</f>
        <v>-39205.01128560659</v>
      </c>
    </row>
    <row r="9" spans="2:6" x14ac:dyDescent="0.35">
      <c r="B9" s="41"/>
      <c r="C9" s="45">
        <v>3</v>
      </c>
      <c r="D9" s="47">
        <f>'Free Cash Flow'!G11</f>
        <v>9747.5241721408383</v>
      </c>
      <c r="E9" s="45">
        <f t="shared" si="0"/>
        <v>1.0836284375569003</v>
      </c>
      <c r="F9" s="42">
        <f t="shared" si="1"/>
        <v>10562.694388705095</v>
      </c>
    </row>
    <row r="10" spans="2:6" x14ac:dyDescent="0.35">
      <c r="B10" s="41"/>
      <c r="C10" s="45">
        <v>4</v>
      </c>
      <c r="D10" s="47">
        <f>'Free Cash Flow'!F11</f>
        <v>10576.263505270614</v>
      </c>
      <c r="E10" s="45">
        <f t="shared" si="0"/>
        <v>1.1130308234881228</v>
      </c>
      <c r="F10" s="42">
        <f t="shared" si="1"/>
        <v>11771.70727869873</v>
      </c>
    </row>
    <row r="11" spans="2:6" x14ac:dyDescent="0.35">
      <c r="B11" s="41"/>
      <c r="C11" s="45">
        <v>5</v>
      </c>
      <c r="D11" s="47">
        <f>'Free Cash Flow'!E11</f>
        <v>11475.462666983218</v>
      </c>
      <c r="E11" s="45">
        <f t="shared" si="0"/>
        <v>1.1432309923756487</v>
      </c>
      <c r="F11" s="42">
        <f t="shared" si="1"/>
        <v>13119.104572744933</v>
      </c>
    </row>
    <row r="12" spans="2:6" ht="15" thickBot="1" x14ac:dyDescent="0.4">
      <c r="B12" s="77" t="s">
        <v>221</v>
      </c>
      <c r="C12" s="49">
        <v>5</v>
      </c>
      <c r="D12" s="80">
        <f ca="1">'Terminal Value'!D13</f>
        <v>1640897.8554300196</v>
      </c>
      <c r="E12" s="49">
        <f t="shared" si="0"/>
        <v>1.1432309923756487</v>
      </c>
      <c r="F12" s="81">
        <f ca="1">D12*E12</f>
        <v>1875925.2836503352</v>
      </c>
    </row>
    <row r="13" spans="2:6" ht="16.5" thickTop="1" x14ac:dyDescent="0.5">
      <c r="B13" s="217" t="s">
        <v>218</v>
      </c>
      <c r="C13" s="218"/>
      <c r="D13" s="24"/>
      <c r="E13" s="24"/>
      <c r="F13" s="219">
        <f ca="1">SUM(F7:F12)</f>
        <v>1764190.4968222398</v>
      </c>
    </row>
    <row r="14" spans="2:6" x14ac:dyDescent="0.35">
      <c r="B14" s="31"/>
      <c r="C14" s="220"/>
      <c r="D14" s="220"/>
      <c r="E14" s="220"/>
      <c r="F14" s="34"/>
    </row>
    <row r="15" spans="2:6" x14ac:dyDescent="0.35">
      <c r="B15" s="203"/>
      <c r="C15" s="1"/>
      <c r="D15" s="1"/>
      <c r="E15" s="1"/>
      <c r="F15" s="186"/>
    </row>
    <row r="16" spans="2:6" x14ac:dyDescent="0.35">
      <c r="B16" s="203" t="s">
        <v>213</v>
      </c>
      <c r="C16" s="1"/>
      <c r="D16" s="1"/>
      <c r="E16" s="1"/>
      <c r="F16" s="221">
        <v>36000</v>
      </c>
    </row>
    <row r="17" spans="2:6" x14ac:dyDescent="0.35">
      <c r="B17" s="223" t="s">
        <v>222</v>
      </c>
      <c r="C17" s="224"/>
      <c r="D17" s="224"/>
      <c r="E17" s="224"/>
      <c r="F17" s="225">
        <f ca="1">F13/F16</f>
        <v>49.00529157839555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CDE5-1348-4000-9FBD-CFBAE290FDE4}">
  <sheetPr>
    <tabColor rgb="FFFF0000"/>
  </sheetPr>
  <dimension ref="B2:N20"/>
  <sheetViews>
    <sheetView workbookViewId="0">
      <selection activeCell="J5" sqref="J5:N16"/>
    </sheetView>
  </sheetViews>
  <sheetFormatPr defaultRowHeight="14.5" x14ac:dyDescent="0.35"/>
  <cols>
    <col min="2" max="2" width="37.54296875" bestFit="1" customWidth="1"/>
    <col min="3" max="7" width="11.08984375" bestFit="1" customWidth="1"/>
    <col min="8" max="8" width="8.7265625" style="202"/>
    <col min="9" max="9" width="33.453125" bestFit="1" customWidth="1"/>
    <col min="10" max="11" width="11.7265625" bestFit="1" customWidth="1"/>
    <col min="12" max="14" width="11.08984375" bestFit="1" customWidth="1"/>
  </cols>
  <sheetData>
    <row r="2" spans="2:14" x14ac:dyDescent="0.35">
      <c r="B2" s="285" t="s">
        <v>0</v>
      </c>
      <c r="C2" s="286"/>
      <c r="D2" s="286"/>
      <c r="E2" s="286"/>
      <c r="F2" s="286"/>
      <c r="G2" s="287"/>
      <c r="I2" s="285" t="s">
        <v>1</v>
      </c>
      <c r="J2" s="286"/>
      <c r="K2" s="286"/>
      <c r="L2" s="286"/>
      <c r="M2" s="286"/>
      <c r="N2" s="287"/>
    </row>
    <row r="3" spans="2:14" x14ac:dyDescent="0.35">
      <c r="B3" s="144" t="s">
        <v>2</v>
      </c>
      <c r="C3" s="66">
        <v>2018</v>
      </c>
      <c r="D3" s="66">
        <v>2017</v>
      </c>
      <c r="E3" s="66">
        <v>2016</v>
      </c>
      <c r="F3" s="66">
        <v>2015</v>
      </c>
      <c r="G3" s="143">
        <v>2014</v>
      </c>
      <c r="I3" s="144" t="s">
        <v>2</v>
      </c>
      <c r="J3" s="66">
        <v>2018</v>
      </c>
      <c r="K3" s="66">
        <v>2017</v>
      </c>
      <c r="L3" s="66">
        <v>2016</v>
      </c>
      <c r="M3" s="66">
        <v>2015</v>
      </c>
      <c r="N3" s="143">
        <v>2014</v>
      </c>
    </row>
    <row r="4" spans="2:14" x14ac:dyDescent="0.35">
      <c r="B4" s="145"/>
      <c r="C4" s="66" t="s">
        <v>3</v>
      </c>
      <c r="D4" s="66" t="s">
        <v>3</v>
      </c>
      <c r="E4" s="66" t="s">
        <v>3</v>
      </c>
      <c r="F4" s="66" t="s">
        <v>3</v>
      </c>
      <c r="G4" s="149" t="s">
        <v>3</v>
      </c>
      <c r="I4" s="145"/>
      <c r="J4" s="66" t="s">
        <v>3</v>
      </c>
      <c r="K4" s="66" t="s">
        <v>3</v>
      </c>
      <c r="L4" s="66" t="s">
        <v>3</v>
      </c>
      <c r="M4" s="66" t="s">
        <v>3</v>
      </c>
      <c r="N4" s="149" t="s">
        <v>3</v>
      </c>
    </row>
    <row r="5" spans="2:14" x14ac:dyDescent="0.35">
      <c r="B5" s="146" t="s">
        <v>4</v>
      </c>
      <c r="C5" s="253">
        <v>471678</v>
      </c>
      <c r="D5" s="253">
        <v>487188</v>
      </c>
      <c r="E5" s="253">
        <v>439377</v>
      </c>
      <c r="F5" s="253">
        <v>377497</v>
      </c>
      <c r="G5" s="200">
        <v>340325</v>
      </c>
      <c r="I5" s="146" t="s">
        <v>5</v>
      </c>
      <c r="J5" s="253">
        <v>100737</v>
      </c>
      <c r="K5" s="253">
        <v>89518</v>
      </c>
      <c r="L5" s="253">
        <v>82808</v>
      </c>
      <c r="M5" s="253">
        <v>79646</v>
      </c>
      <c r="N5" s="200">
        <v>68120</v>
      </c>
    </row>
    <row r="6" spans="2:14" x14ac:dyDescent="0.35">
      <c r="B6" s="146" t="s">
        <v>6</v>
      </c>
      <c r="C6" s="253">
        <v>264915</v>
      </c>
      <c r="D6" s="253">
        <v>258561</v>
      </c>
      <c r="E6" s="253">
        <v>229673</v>
      </c>
      <c r="F6" s="253">
        <v>199919</v>
      </c>
      <c r="G6" s="200">
        <v>164260</v>
      </c>
      <c r="I6" s="146" t="s">
        <v>7</v>
      </c>
      <c r="J6" s="253">
        <v>84503</v>
      </c>
      <c r="K6" s="253">
        <v>100075</v>
      </c>
      <c r="L6" s="253">
        <v>110769</v>
      </c>
      <c r="M6" s="253">
        <v>85899</v>
      </c>
      <c r="N6" s="200">
        <v>82425</v>
      </c>
    </row>
    <row r="7" spans="2:14" x14ac:dyDescent="0.35">
      <c r="B7" s="147" t="s">
        <v>8</v>
      </c>
      <c r="C7" s="253">
        <v>206763</v>
      </c>
      <c r="D7" s="253">
        <v>228627</v>
      </c>
      <c r="E7" s="253">
        <v>209704</v>
      </c>
      <c r="F7" s="253">
        <v>177578</v>
      </c>
      <c r="G7" s="200">
        <v>176065</v>
      </c>
      <c r="I7" s="147" t="s">
        <v>9</v>
      </c>
      <c r="J7" s="254">
        <v>185240</v>
      </c>
      <c r="K7" s="254">
        <v>189593</v>
      </c>
      <c r="L7" s="254">
        <v>193577</v>
      </c>
      <c r="M7" s="254">
        <v>165545</v>
      </c>
      <c r="N7" s="207">
        <v>150545</v>
      </c>
    </row>
    <row r="8" spans="2:14" x14ac:dyDescent="0.35">
      <c r="B8" s="146" t="s">
        <v>10</v>
      </c>
      <c r="C8" s="253">
        <v>176801</v>
      </c>
      <c r="D8" s="253">
        <v>160702</v>
      </c>
      <c r="E8" s="253">
        <v>147387</v>
      </c>
      <c r="F8" s="253">
        <v>124804</v>
      </c>
      <c r="G8" s="200">
        <v>101795</v>
      </c>
      <c r="I8" s="146" t="s">
        <v>11</v>
      </c>
      <c r="J8" s="253">
        <v>70792</v>
      </c>
      <c r="K8" s="253">
        <v>73058</v>
      </c>
      <c r="L8" s="253">
        <v>67185</v>
      </c>
      <c r="M8" s="253">
        <v>56331</v>
      </c>
      <c r="N8" s="200">
        <v>47478</v>
      </c>
    </row>
    <row r="9" spans="2:14" x14ac:dyDescent="0.35">
      <c r="B9" s="146" t="s">
        <v>12</v>
      </c>
      <c r="C9" s="254">
        <v>29962</v>
      </c>
      <c r="D9" s="254">
        <v>67925</v>
      </c>
      <c r="E9" s="254">
        <v>62317</v>
      </c>
      <c r="F9" s="254">
        <v>52774</v>
      </c>
      <c r="G9" s="207">
        <v>74270</v>
      </c>
      <c r="I9" s="146" t="s">
        <v>13</v>
      </c>
      <c r="J9" s="253">
        <v>0</v>
      </c>
      <c r="K9" s="253">
        <v>0</v>
      </c>
      <c r="L9" s="253">
        <v>0</v>
      </c>
      <c r="M9" s="253">
        <v>0</v>
      </c>
      <c r="N9" s="200">
        <v>25000</v>
      </c>
    </row>
    <row r="10" spans="2:14" x14ac:dyDescent="0.35">
      <c r="B10" s="146" t="s">
        <v>14</v>
      </c>
      <c r="C10" s="253">
        <v>-452</v>
      </c>
      <c r="D10" s="253">
        <v>-464</v>
      </c>
      <c r="E10" s="253">
        <v>-457</v>
      </c>
      <c r="F10" s="253">
        <v>-623</v>
      </c>
      <c r="G10" s="200">
        <v>-588</v>
      </c>
      <c r="I10" s="147" t="s">
        <v>15</v>
      </c>
      <c r="J10" s="254">
        <v>70792</v>
      </c>
      <c r="K10" s="254">
        <v>73058</v>
      </c>
      <c r="L10" s="254">
        <v>67185</v>
      </c>
      <c r="M10" s="254">
        <v>56331</v>
      </c>
      <c r="N10" s="207">
        <v>72478</v>
      </c>
    </row>
    <row r="11" spans="2:14" x14ac:dyDescent="0.35">
      <c r="B11" s="146" t="s">
        <v>16</v>
      </c>
      <c r="C11" s="253">
        <v>346</v>
      </c>
      <c r="D11" s="253">
        <v>147</v>
      </c>
      <c r="E11" s="253">
        <v>-151</v>
      </c>
      <c r="F11" s="253">
        <v>88</v>
      </c>
      <c r="G11" s="200">
        <v>208</v>
      </c>
      <c r="I11" s="146" t="s">
        <v>17</v>
      </c>
      <c r="J11" s="253">
        <v>463</v>
      </c>
      <c r="K11" s="253">
        <v>461</v>
      </c>
      <c r="L11" s="253">
        <v>459</v>
      </c>
      <c r="M11" s="253">
        <v>455</v>
      </c>
      <c r="N11" s="200">
        <v>452</v>
      </c>
    </row>
    <row r="12" spans="2:14" x14ac:dyDescent="0.35">
      <c r="B12" s="146" t="s">
        <v>18</v>
      </c>
      <c r="C12" s="254">
        <v>29856</v>
      </c>
      <c r="D12" s="254">
        <v>67608</v>
      </c>
      <c r="E12" s="254">
        <v>61709</v>
      </c>
      <c r="F12" s="254">
        <v>52239</v>
      </c>
      <c r="G12" s="207">
        <v>73890</v>
      </c>
      <c r="I12" s="146" t="s">
        <v>19</v>
      </c>
      <c r="J12" s="253">
        <v>111439</v>
      </c>
      <c r="K12" s="253">
        <v>109008</v>
      </c>
      <c r="L12" s="253">
        <v>107693</v>
      </c>
      <c r="M12" s="253">
        <v>105498</v>
      </c>
      <c r="N12" s="200">
        <v>101192</v>
      </c>
    </row>
    <row r="13" spans="2:14" x14ac:dyDescent="0.35">
      <c r="B13" s="146" t="s">
        <v>20</v>
      </c>
      <c r="C13" s="253">
        <v>14295</v>
      </c>
      <c r="D13" s="253">
        <v>25607</v>
      </c>
      <c r="E13" s="253">
        <v>23557</v>
      </c>
      <c r="F13" s="253">
        <v>20131</v>
      </c>
      <c r="G13" s="200">
        <v>29051</v>
      </c>
      <c r="I13" s="146" t="s">
        <v>21</v>
      </c>
      <c r="J13" s="253">
        <v>-156499</v>
      </c>
      <c r="K13" s="253">
        <v>-136491</v>
      </c>
      <c r="L13" s="253">
        <v>-83316</v>
      </c>
      <c r="M13" s="253">
        <v>-63404</v>
      </c>
      <c r="N13" s="200">
        <v>-54873</v>
      </c>
    </row>
    <row r="14" spans="2:14" x14ac:dyDescent="0.35">
      <c r="B14" s="148" t="s">
        <v>22</v>
      </c>
      <c r="C14" s="255">
        <v>15561</v>
      </c>
      <c r="D14" s="255">
        <v>42001</v>
      </c>
      <c r="E14" s="255">
        <v>38152</v>
      </c>
      <c r="F14" s="255">
        <v>32108</v>
      </c>
      <c r="G14" s="256">
        <v>44839</v>
      </c>
      <c r="I14" s="146" t="s">
        <v>23</v>
      </c>
      <c r="J14" s="253">
        <v>159045</v>
      </c>
      <c r="K14" s="253">
        <v>143557</v>
      </c>
      <c r="L14" s="253">
        <v>101556</v>
      </c>
      <c r="M14" s="253">
        <v>63404</v>
      </c>
      <c r="N14" s="200">
        <v>31296</v>
      </c>
    </row>
    <row r="15" spans="2:14" x14ac:dyDescent="0.35">
      <c r="B15" s="62"/>
      <c r="C15" s="62"/>
      <c r="D15" s="62"/>
      <c r="E15" s="62"/>
      <c r="F15" s="62"/>
      <c r="G15" s="62"/>
      <c r="I15" s="147" t="s">
        <v>24</v>
      </c>
      <c r="J15" s="254">
        <v>114448</v>
      </c>
      <c r="K15" s="254">
        <v>116535</v>
      </c>
      <c r="L15" s="254">
        <v>126392</v>
      </c>
      <c r="M15" s="254">
        <v>109214</v>
      </c>
      <c r="N15" s="207">
        <v>78067</v>
      </c>
    </row>
    <row r="16" spans="2:14" x14ac:dyDescent="0.35">
      <c r="B16" s="62"/>
      <c r="C16" s="62"/>
      <c r="D16" s="62"/>
      <c r="E16" s="62"/>
      <c r="F16" s="62"/>
      <c r="G16" s="62"/>
      <c r="I16" s="148" t="s">
        <v>25</v>
      </c>
      <c r="J16" s="255">
        <v>185240</v>
      </c>
      <c r="K16" s="255">
        <v>189593</v>
      </c>
      <c r="L16" s="255">
        <v>193577</v>
      </c>
      <c r="M16" s="255">
        <v>165545</v>
      </c>
      <c r="N16" s="256">
        <v>150545</v>
      </c>
    </row>
    <row r="18" spans="2:14" x14ac:dyDescent="0.35">
      <c r="B18" s="62"/>
      <c r="C18" s="62"/>
      <c r="D18" s="62"/>
      <c r="E18" s="62"/>
      <c r="F18" s="62"/>
      <c r="G18" s="62"/>
      <c r="I18" s="1"/>
      <c r="J18" s="1"/>
      <c r="K18" s="1"/>
      <c r="L18" s="1"/>
      <c r="M18" s="1"/>
      <c r="N18" s="1"/>
    </row>
    <row r="19" spans="2:14" x14ac:dyDescent="0.35">
      <c r="B19" s="62" t="s">
        <v>26</v>
      </c>
      <c r="C19" s="62">
        <v>0.43</v>
      </c>
      <c r="D19" s="62">
        <v>1.0900000000000001</v>
      </c>
      <c r="E19" s="62">
        <v>0.91</v>
      </c>
      <c r="F19" s="62">
        <v>0.76</v>
      </c>
      <c r="G19" s="62">
        <v>1.03</v>
      </c>
      <c r="I19" s="62"/>
      <c r="J19" s="62"/>
      <c r="K19" s="62"/>
      <c r="L19" s="62"/>
      <c r="M19" s="62"/>
      <c r="N19" s="62"/>
    </row>
    <row r="20" spans="2:14" x14ac:dyDescent="0.35">
      <c r="B20" s="62" t="s">
        <v>27</v>
      </c>
      <c r="C20" s="62">
        <v>36168</v>
      </c>
      <c r="D20" s="62">
        <v>38429</v>
      </c>
      <c r="E20" s="62">
        <v>42013</v>
      </c>
      <c r="F20" s="62">
        <v>42259</v>
      </c>
      <c r="G20" s="62">
        <v>43372</v>
      </c>
      <c r="I20" s="62"/>
      <c r="J20" s="62"/>
      <c r="K20" s="62"/>
      <c r="L20" s="62"/>
      <c r="M20" s="62"/>
      <c r="N20" s="62"/>
    </row>
  </sheetData>
  <mergeCells count="2">
    <mergeCell ref="B2:G2"/>
    <mergeCell ref="I2:N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C49C-E329-4B16-932A-C72CC2D7FD1A}">
  <sheetPr>
    <tabColor theme="7" tint="-0.499984740745262"/>
  </sheetPr>
  <dimension ref="C2:E18"/>
  <sheetViews>
    <sheetView workbookViewId="0">
      <selection sqref="A1:XFD1"/>
    </sheetView>
  </sheetViews>
  <sheetFormatPr defaultRowHeight="14.5" x14ac:dyDescent="0.35"/>
  <cols>
    <col min="3" max="3" width="36.26953125" bestFit="1" customWidth="1"/>
    <col min="4" max="4" width="11.81640625" bestFit="1" customWidth="1"/>
    <col min="5" max="5" width="26.7265625" bestFit="1" customWidth="1"/>
  </cols>
  <sheetData>
    <row r="2" spans="3:5" x14ac:dyDescent="0.35">
      <c r="C2" s="210" t="s">
        <v>243</v>
      </c>
      <c r="D2" s="220"/>
      <c r="E2" s="34"/>
    </row>
    <row r="3" spans="3:5" x14ac:dyDescent="0.35">
      <c r="C3" s="196" t="s">
        <v>244</v>
      </c>
      <c r="D3" s="1">
        <f>'DATA NORMALISED'!C14</f>
        <v>15561</v>
      </c>
      <c r="E3" s="20"/>
    </row>
    <row r="4" spans="3:5" x14ac:dyDescent="0.35">
      <c r="C4" s="196" t="s">
        <v>245</v>
      </c>
      <c r="D4" s="2">
        <f>'Terminal Value'!D15</f>
        <v>36000</v>
      </c>
      <c r="E4" s="20"/>
    </row>
    <row r="5" spans="3:5" x14ac:dyDescent="0.35">
      <c r="C5" s="196" t="s">
        <v>246</v>
      </c>
      <c r="D5" s="1">
        <f>'DATA NORMALISED'!J15</f>
        <v>114448</v>
      </c>
      <c r="E5" s="20"/>
    </row>
    <row r="6" spans="3:5" x14ac:dyDescent="0.35">
      <c r="C6" s="196" t="s">
        <v>247</v>
      </c>
      <c r="D6" s="1">
        <f>D3/D4</f>
        <v>0.43225000000000002</v>
      </c>
      <c r="E6" s="20"/>
    </row>
    <row r="7" spans="3:5" x14ac:dyDescent="0.35">
      <c r="C7" s="196" t="s">
        <v>248</v>
      </c>
      <c r="D7" s="230">
        <f>'Financial Projections'!C28</f>
        <v>0</v>
      </c>
      <c r="E7" s="20" t="s">
        <v>249</v>
      </c>
    </row>
    <row r="8" spans="3:5" x14ac:dyDescent="0.35">
      <c r="C8" s="196" t="s">
        <v>250</v>
      </c>
      <c r="D8" s="230">
        <f>1-D7</f>
        <v>1</v>
      </c>
      <c r="E8" s="20"/>
    </row>
    <row r="9" spans="3:5" x14ac:dyDescent="0.35">
      <c r="C9" s="196" t="s">
        <v>251</v>
      </c>
      <c r="D9" s="231">
        <f>D3/D5</f>
        <v>0.13596567873619461</v>
      </c>
      <c r="E9" s="20"/>
    </row>
    <row r="10" spans="3:5" x14ac:dyDescent="0.35">
      <c r="C10" s="196" t="s">
        <v>252</v>
      </c>
      <c r="D10" s="231">
        <f>D9*D8</f>
        <v>0.13596567873619461</v>
      </c>
      <c r="E10" s="20" t="s">
        <v>253</v>
      </c>
    </row>
    <row r="11" spans="3:5" s="62" customFormat="1" x14ac:dyDescent="0.35">
      <c r="C11" s="196" t="s">
        <v>254</v>
      </c>
      <c r="D11" s="231">
        <v>5.6000000000000001E-2</v>
      </c>
      <c r="E11" s="20"/>
    </row>
    <row r="12" spans="3:5" s="62" customFormat="1" x14ac:dyDescent="0.35">
      <c r="C12" s="196" t="s">
        <v>255</v>
      </c>
      <c r="D12" s="231">
        <v>0.02</v>
      </c>
      <c r="E12" s="20"/>
    </row>
    <row r="13" spans="3:5" s="62" customFormat="1" x14ac:dyDescent="0.35">
      <c r="C13" s="196"/>
      <c r="D13" s="231"/>
      <c r="E13" s="20"/>
    </row>
    <row r="14" spans="3:5" x14ac:dyDescent="0.35">
      <c r="C14" s="196" t="s">
        <v>175</v>
      </c>
      <c r="D14" s="232">
        <f>'Cost of Equity'!C18</f>
        <v>2.7133272727238367E-2</v>
      </c>
      <c r="E14" s="20"/>
    </row>
    <row r="15" spans="3:5" x14ac:dyDescent="0.35">
      <c r="C15" s="196" t="s">
        <v>256</v>
      </c>
      <c r="D15" s="1">
        <f>D6*(1+D10)</f>
        <v>0.4910211646337202</v>
      </c>
      <c r="E15" s="20" t="s">
        <v>257</v>
      </c>
    </row>
    <row r="16" spans="3:5" x14ac:dyDescent="0.35">
      <c r="C16" s="196" t="s">
        <v>258</v>
      </c>
      <c r="D16" s="232">
        <f>D14-D12</f>
        <v>7.1332727272383663E-3</v>
      </c>
      <c r="E16" s="20" t="s">
        <v>259</v>
      </c>
    </row>
    <row r="17" spans="3:5" s="62" customFormat="1" ht="15" thickBot="1" x14ac:dyDescent="0.4">
      <c r="C17" s="196"/>
      <c r="D17" s="232"/>
      <c r="E17" s="20"/>
    </row>
    <row r="18" spans="3:5" x14ac:dyDescent="0.35">
      <c r="C18" s="197" t="s">
        <v>260</v>
      </c>
      <c r="D18" s="233">
        <f>D15/D16</f>
        <v>68.835327543100703</v>
      </c>
      <c r="E18" s="225" t="s">
        <v>261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B4B6-FC68-4F66-A2DA-688762947D5F}">
  <sheetPr>
    <tabColor theme="1"/>
  </sheetPr>
  <dimension ref="B2:C13"/>
  <sheetViews>
    <sheetView workbookViewId="0">
      <selection sqref="A1:A1048576"/>
    </sheetView>
  </sheetViews>
  <sheetFormatPr defaultRowHeight="14.5" x14ac:dyDescent="0.35"/>
  <cols>
    <col min="2" max="2" width="28.453125" customWidth="1"/>
    <col min="3" max="3" width="14.26953125" bestFit="1" customWidth="1"/>
  </cols>
  <sheetData>
    <row r="2" spans="2:3" x14ac:dyDescent="0.35">
      <c r="B2" s="31"/>
      <c r="C2" s="179" t="s">
        <v>223</v>
      </c>
    </row>
    <row r="3" spans="2:3" x14ac:dyDescent="0.35">
      <c r="B3" s="196" t="s">
        <v>224</v>
      </c>
      <c r="C3" s="20">
        <f>'FRAN Stock Price'!C63</f>
        <v>11.64</v>
      </c>
    </row>
    <row r="4" spans="2:3" x14ac:dyDescent="0.35">
      <c r="B4" s="196"/>
      <c r="C4" s="20"/>
    </row>
    <row r="5" spans="2:3" x14ac:dyDescent="0.35">
      <c r="B5" s="196" t="s">
        <v>225</v>
      </c>
      <c r="C5" s="200">
        <f>'DATA NORMALISED'!C14</f>
        <v>15561</v>
      </c>
    </row>
    <row r="6" spans="2:3" x14ac:dyDescent="0.35">
      <c r="B6" s="196" t="s">
        <v>226</v>
      </c>
      <c r="C6" s="201">
        <v>36000</v>
      </c>
    </row>
    <row r="7" spans="2:3" x14ac:dyDescent="0.35">
      <c r="B7" s="196" t="s">
        <v>227</v>
      </c>
      <c r="C7" s="195">
        <f>C5/C6</f>
        <v>0.43225000000000002</v>
      </c>
    </row>
    <row r="8" spans="2:3" x14ac:dyDescent="0.35">
      <c r="B8" s="196"/>
      <c r="C8" s="20"/>
    </row>
    <row r="9" spans="2:3" x14ac:dyDescent="0.35">
      <c r="B9" s="237" t="s">
        <v>228</v>
      </c>
      <c r="C9" s="318">
        <f>C3/C7</f>
        <v>26.928860613071141</v>
      </c>
    </row>
    <row r="10" spans="2:3" s="62" customFormat="1" x14ac:dyDescent="0.35">
      <c r="B10" s="236"/>
      <c r="C10" s="120"/>
    </row>
    <row r="11" spans="2:3" s="62" customFormat="1" x14ac:dyDescent="0.35">
      <c r="B11" s="237" t="s">
        <v>229</v>
      </c>
      <c r="C11" s="318">
        <v>28.9</v>
      </c>
    </row>
    <row r="12" spans="2:3" x14ac:dyDescent="0.35">
      <c r="B12" s="203"/>
      <c r="C12" s="319"/>
    </row>
    <row r="13" spans="2:3" x14ac:dyDescent="0.35">
      <c r="B13" s="197" t="s">
        <v>230</v>
      </c>
      <c r="C13" s="320">
        <f>C11*C7</f>
        <v>12.492025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431F-FE08-4746-8CE6-5093194A5DBD}">
  <sheetPr>
    <tabColor rgb="FF7B7B7B"/>
  </sheetPr>
  <dimension ref="A1:C14"/>
  <sheetViews>
    <sheetView workbookViewId="0">
      <selection activeCell="C7" sqref="C7:C9"/>
    </sheetView>
  </sheetViews>
  <sheetFormatPr defaultRowHeight="14.5" x14ac:dyDescent="0.35"/>
  <cols>
    <col min="1" max="1" width="9.1796875" style="62"/>
    <col min="2" max="2" width="22.81640625" customWidth="1"/>
    <col min="3" max="3" width="22.1796875" customWidth="1"/>
  </cols>
  <sheetData>
    <row r="1" spans="2:3" s="62" customFormat="1" x14ac:dyDescent="0.35"/>
    <row r="2" spans="2:3" x14ac:dyDescent="0.35">
      <c r="B2" s="31"/>
      <c r="C2" s="179" t="s">
        <v>223</v>
      </c>
    </row>
    <row r="3" spans="2:3" x14ac:dyDescent="0.35">
      <c r="B3" s="196" t="s">
        <v>224</v>
      </c>
      <c r="C3" s="20">
        <v>18.98</v>
      </c>
    </row>
    <row r="4" spans="2:3" x14ac:dyDescent="0.35">
      <c r="B4" s="196"/>
      <c r="C4" s="20"/>
    </row>
    <row r="5" spans="2:3" x14ac:dyDescent="0.35">
      <c r="B5" s="196" t="s">
        <v>225</v>
      </c>
      <c r="C5" s="186">
        <f>'Income statement for competitor'!C15</f>
        <v>204163</v>
      </c>
    </row>
    <row r="6" spans="2:3" x14ac:dyDescent="0.35">
      <c r="B6" s="196" t="s">
        <v>226</v>
      </c>
      <c r="C6" s="201">
        <v>177938</v>
      </c>
    </row>
    <row r="7" spans="2:3" x14ac:dyDescent="0.35">
      <c r="B7" s="196" t="s">
        <v>227</v>
      </c>
      <c r="C7" s="319">
        <f>C5/C6</f>
        <v>1.1473827962548753</v>
      </c>
    </row>
    <row r="8" spans="2:3" x14ac:dyDescent="0.35">
      <c r="B8" s="196"/>
      <c r="C8" s="319"/>
    </row>
    <row r="9" spans="2:3" x14ac:dyDescent="0.35">
      <c r="B9" s="197" t="s">
        <v>228</v>
      </c>
      <c r="C9" s="320">
        <f>C3/C7</f>
        <v>16.541994582759855</v>
      </c>
    </row>
    <row r="13" spans="2:3" x14ac:dyDescent="0.35">
      <c r="B13" s="62"/>
      <c r="C13" s="194"/>
    </row>
    <row r="14" spans="2:3" x14ac:dyDescent="0.35">
      <c r="B14" s="62"/>
      <c r="C14" s="19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B750-66A3-4A5B-A7E5-37F70C3BBCE0}">
  <sheetPr>
    <tabColor rgb="FFFFC000"/>
  </sheetPr>
  <dimension ref="B2:E9"/>
  <sheetViews>
    <sheetView workbookViewId="0">
      <selection sqref="A1:A1048576"/>
    </sheetView>
  </sheetViews>
  <sheetFormatPr defaultRowHeight="14.5" x14ac:dyDescent="0.35"/>
  <cols>
    <col min="2" max="2" width="20.1796875" bestFit="1" customWidth="1"/>
    <col min="3" max="3" width="15.26953125" bestFit="1" customWidth="1"/>
  </cols>
  <sheetData>
    <row r="2" spans="2:5" x14ac:dyDescent="0.35">
      <c r="B2" s="152"/>
      <c r="C2" s="179">
        <v>2018</v>
      </c>
      <c r="D2" s="62"/>
      <c r="E2" s="62"/>
    </row>
    <row r="3" spans="2:5" x14ac:dyDescent="0.35">
      <c r="B3" s="146"/>
      <c r="C3" s="142" t="s">
        <v>152</v>
      </c>
      <c r="D3" s="62"/>
      <c r="E3" s="62"/>
    </row>
    <row r="4" spans="2:5" x14ac:dyDescent="0.35">
      <c r="B4" s="147" t="s">
        <v>237</v>
      </c>
      <c r="C4" s="200">
        <f>'DATA NORMALISED'!J7</f>
        <v>185240</v>
      </c>
      <c r="D4" s="62"/>
      <c r="E4" s="62"/>
    </row>
    <row r="5" spans="2:5" x14ac:dyDescent="0.35">
      <c r="B5" s="147" t="s">
        <v>238</v>
      </c>
      <c r="C5" s="200">
        <f>'DATA NORMALISED'!J10</f>
        <v>70792</v>
      </c>
      <c r="D5" s="62"/>
      <c r="E5" s="62"/>
    </row>
    <row r="6" spans="2:5" x14ac:dyDescent="0.35">
      <c r="B6" s="147" t="s">
        <v>239</v>
      </c>
      <c r="C6" s="200">
        <f>C4-C5</f>
        <v>114448</v>
      </c>
      <c r="D6" s="62"/>
      <c r="E6" s="62"/>
    </row>
    <row r="7" spans="2:5" s="62" customFormat="1" x14ac:dyDescent="0.35">
      <c r="B7" s="147"/>
      <c r="C7" s="20"/>
    </row>
    <row r="8" spans="2:5" x14ac:dyDescent="0.35">
      <c r="B8" s="147" t="s">
        <v>240</v>
      </c>
      <c r="C8" s="186">
        <v>36000</v>
      </c>
      <c r="D8" s="62"/>
      <c r="E8" s="62"/>
    </row>
    <row r="9" spans="2:5" x14ac:dyDescent="0.35">
      <c r="B9" s="199" t="s">
        <v>241</v>
      </c>
      <c r="C9" s="320">
        <f>C6/C8</f>
        <v>3.1791111111111112</v>
      </c>
      <c r="D9" s="62"/>
      <c r="E9" s="62" t="s">
        <v>242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F042-BF7F-4FC6-861E-FBDD7A11873B}">
  <sheetPr>
    <tabColor rgb="FF305496"/>
  </sheetPr>
  <dimension ref="A1:D18"/>
  <sheetViews>
    <sheetView workbookViewId="0">
      <selection activeCell="C9" sqref="C9"/>
    </sheetView>
  </sheetViews>
  <sheetFormatPr defaultRowHeight="14.5" x14ac:dyDescent="0.35"/>
  <cols>
    <col min="1" max="1" width="9.1796875" style="62"/>
    <col min="2" max="2" width="24.81640625" customWidth="1"/>
    <col min="3" max="3" width="21.453125" customWidth="1"/>
  </cols>
  <sheetData>
    <row r="1" spans="2:3" s="62" customFormat="1" x14ac:dyDescent="0.35"/>
    <row r="2" spans="2:3" x14ac:dyDescent="0.35">
      <c r="B2" s="152"/>
      <c r="C2" s="179">
        <v>2018</v>
      </c>
    </row>
    <row r="3" spans="2:3" x14ac:dyDescent="0.35">
      <c r="B3" s="146"/>
      <c r="C3" s="142" t="s">
        <v>223</v>
      </c>
    </row>
    <row r="4" spans="2:3" x14ac:dyDescent="0.35">
      <c r="B4" s="147" t="s">
        <v>237</v>
      </c>
      <c r="C4" s="200">
        <f>'Balanced Sheet for competitor'!C21</f>
        <v>847783</v>
      </c>
    </row>
    <row r="5" spans="2:3" x14ac:dyDescent="0.35">
      <c r="B5" s="147" t="s">
        <v>238</v>
      </c>
      <c r="C5" s="200">
        <f>'Balanced Sheet for competitor'!C39</f>
        <v>569522</v>
      </c>
    </row>
    <row r="6" spans="2:3" x14ac:dyDescent="0.35">
      <c r="B6" s="147" t="s">
        <v>239</v>
      </c>
      <c r="C6" s="200">
        <f>C4-C5</f>
        <v>278261</v>
      </c>
    </row>
    <row r="7" spans="2:3" x14ac:dyDescent="0.35">
      <c r="B7" s="147"/>
      <c r="C7" s="20"/>
    </row>
    <row r="8" spans="2:3" x14ac:dyDescent="0.35">
      <c r="B8" s="147" t="s">
        <v>240</v>
      </c>
      <c r="C8" s="186">
        <f>'PB Value Multiple - competitor'!D4</f>
        <v>177938</v>
      </c>
    </row>
    <row r="9" spans="2:3" x14ac:dyDescent="0.35">
      <c r="B9" s="199" t="s">
        <v>262</v>
      </c>
      <c r="C9" s="320">
        <f>C6/C8</f>
        <v>1.5638087423709381</v>
      </c>
    </row>
    <row r="18" spans="4:4" x14ac:dyDescent="0.35">
      <c r="D18" s="62" t="s">
        <v>242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9908-AE31-4930-9A9C-E47A10552648}">
  <sheetPr>
    <tabColor rgb="FF7030A0"/>
  </sheetPr>
  <dimension ref="A1:C12"/>
  <sheetViews>
    <sheetView workbookViewId="0">
      <selection sqref="A1:XFD1"/>
    </sheetView>
  </sheetViews>
  <sheetFormatPr defaultRowHeight="14.5" x14ac:dyDescent="0.35"/>
  <cols>
    <col min="1" max="1" width="8.7265625" style="62"/>
    <col min="2" max="2" width="49.1796875" bestFit="1" customWidth="1"/>
    <col min="3" max="3" width="14.54296875" bestFit="1" customWidth="1"/>
  </cols>
  <sheetData>
    <row r="1" spans="2:3" s="62" customFormat="1" x14ac:dyDescent="0.35"/>
    <row r="2" spans="2:3" x14ac:dyDescent="0.35">
      <c r="B2" s="210"/>
      <c r="C2" s="34" t="s">
        <v>223</v>
      </c>
    </row>
    <row r="3" spans="2:3" s="62" customFormat="1" x14ac:dyDescent="0.35">
      <c r="B3" s="210" t="s">
        <v>231</v>
      </c>
      <c r="C3" s="207">
        <f>'DATA NORMALISED'!J15</f>
        <v>114448</v>
      </c>
    </row>
    <row r="4" spans="2:3" x14ac:dyDescent="0.35">
      <c r="B4" s="196" t="s">
        <v>213</v>
      </c>
      <c r="C4" s="200">
        <f>'PE MULTIPLE FOR FRAN'!C6</f>
        <v>36000</v>
      </c>
    </row>
    <row r="5" spans="2:3" x14ac:dyDescent="0.35">
      <c r="B5" s="196" t="s">
        <v>232</v>
      </c>
      <c r="C5" s="195">
        <f>C3/C4</f>
        <v>3.1791111111111112</v>
      </c>
    </row>
    <row r="6" spans="2:3" x14ac:dyDescent="0.35">
      <c r="B6" s="196"/>
      <c r="C6" s="20"/>
    </row>
    <row r="7" spans="2:3" x14ac:dyDescent="0.35">
      <c r="B7" s="196" t="s">
        <v>233</v>
      </c>
      <c r="C7" s="20">
        <f>'FRAN Stock Price'!C63</f>
        <v>11.64</v>
      </c>
    </row>
    <row r="8" spans="2:3" x14ac:dyDescent="0.35">
      <c r="B8" s="237" t="s">
        <v>234</v>
      </c>
      <c r="C8" s="321">
        <f>C7/C5</f>
        <v>3.6614008108485949</v>
      </c>
    </row>
    <row r="9" spans="2:3" s="130" customFormat="1" x14ac:dyDescent="0.35">
      <c r="B9" s="236"/>
      <c r="C9" s="238"/>
    </row>
    <row r="10" spans="2:3" x14ac:dyDescent="0.35">
      <c r="B10" s="237" t="s">
        <v>235</v>
      </c>
      <c r="C10" s="239">
        <v>14.43</v>
      </c>
    </row>
    <row r="11" spans="2:3" x14ac:dyDescent="0.35">
      <c r="B11" s="203"/>
      <c r="C11" s="20"/>
    </row>
    <row r="12" spans="2:3" x14ac:dyDescent="0.35">
      <c r="B12" s="197" t="s">
        <v>236</v>
      </c>
      <c r="C12" s="320">
        <f>C10*C5</f>
        <v>45.874573333333331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BAE2-1108-4B1D-A97B-42D4F18BFE0C}">
  <sheetPr>
    <tabColor rgb="FFCC3399"/>
  </sheetPr>
  <dimension ref="C2:D8"/>
  <sheetViews>
    <sheetView workbookViewId="0">
      <selection activeCell="D8" sqref="D8"/>
    </sheetView>
  </sheetViews>
  <sheetFormatPr defaultRowHeight="14.5" x14ac:dyDescent="0.35"/>
  <cols>
    <col min="3" max="3" width="31" bestFit="1" customWidth="1"/>
    <col min="4" max="4" width="12.453125" bestFit="1" customWidth="1"/>
  </cols>
  <sheetData>
    <row r="2" spans="3:4" x14ac:dyDescent="0.35">
      <c r="C2" s="31"/>
      <c r="D2" s="34" t="s">
        <v>223</v>
      </c>
    </row>
    <row r="3" spans="3:4" x14ac:dyDescent="0.35">
      <c r="C3" s="203" t="s">
        <v>231</v>
      </c>
      <c r="D3" s="186">
        <f>'Balanced Sheet for competitor'!B45</f>
        <v>1903378</v>
      </c>
    </row>
    <row r="4" spans="3:4" x14ac:dyDescent="0.35">
      <c r="C4" s="203" t="str">
        <f>'PB Value Multiple for FRAN'!B4</f>
        <v>Outstanding Shares</v>
      </c>
      <c r="D4" s="186">
        <v>177938</v>
      </c>
    </row>
    <row r="5" spans="3:4" x14ac:dyDescent="0.35">
      <c r="C5" s="203" t="s">
        <v>232</v>
      </c>
      <c r="D5" s="195">
        <f>D3/D4</f>
        <v>10.696860704290259</v>
      </c>
    </row>
    <row r="6" spans="3:4" x14ac:dyDescent="0.35">
      <c r="C6" s="203"/>
      <c r="D6" s="20"/>
    </row>
    <row r="7" spans="3:4" x14ac:dyDescent="0.35">
      <c r="C7" s="203" t="s">
        <v>233</v>
      </c>
      <c r="D7" s="20">
        <f>'PE MULTIPLE FOR COMPETITOR'!C3</f>
        <v>18.98</v>
      </c>
    </row>
    <row r="8" spans="3:4" x14ac:dyDescent="0.35">
      <c r="C8" s="197" t="s">
        <v>263</v>
      </c>
      <c r="D8" s="322">
        <f>D7/D5</f>
        <v>1.7743523567047639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B334-CC40-4FC7-AE8A-C9414CD8CD15}">
  <sheetPr>
    <tabColor rgb="FF00CC99"/>
  </sheetPr>
  <dimension ref="B2:E14"/>
  <sheetViews>
    <sheetView workbookViewId="0">
      <selection sqref="A1:XFD1"/>
    </sheetView>
  </sheetViews>
  <sheetFormatPr defaultRowHeight="14.5" x14ac:dyDescent="0.35"/>
  <cols>
    <col min="2" max="2" width="78.81640625" bestFit="1" customWidth="1"/>
    <col min="3" max="3" width="6.54296875" bestFit="1" customWidth="1"/>
    <col min="4" max="4" width="6.7265625" bestFit="1" customWidth="1"/>
    <col min="5" max="5" width="15.81640625" bestFit="1" customWidth="1"/>
  </cols>
  <sheetData>
    <row r="2" spans="2:5" x14ac:dyDescent="0.35">
      <c r="B2" s="66" t="s">
        <v>264</v>
      </c>
      <c r="C2" s="66" t="s">
        <v>265</v>
      </c>
      <c r="D2" s="66" t="s">
        <v>266</v>
      </c>
      <c r="E2" s="66" t="s">
        <v>267</v>
      </c>
    </row>
    <row r="3" spans="2:5" x14ac:dyDescent="0.35">
      <c r="B3" s="66" t="s">
        <v>268</v>
      </c>
      <c r="C3" s="226">
        <f>'Net Assest Value FRAN'!C9</f>
        <v>3.1791111111111112</v>
      </c>
      <c r="D3" s="63">
        <v>0.2</v>
      </c>
      <c r="E3" s="226">
        <f>C3*D3</f>
        <v>0.63582222222222229</v>
      </c>
    </row>
    <row r="4" spans="2:5" x14ac:dyDescent="0.35">
      <c r="B4" s="66" t="s">
        <v>269</v>
      </c>
      <c r="C4" s="226">
        <f>'Value Earnings Capitalization'!D18</f>
        <v>68.835327543100703</v>
      </c>
      <c r="D4" s="63">
        <v>0.25</v>
      </c>
      <c r="E4" s="226">
        <f t="shared" ref="E4" si="0">C4*D4</f>
        <v>17.208831885775176</v>
      </c>
    </row>
    <row r="5" spans="2:5" s="62" customFormat="1" x14ac:dyDescent="0.35">
      <c r="B5" s="66" t="s">
        <v>270</v>
      </c>
      <c r="C5" s="226">
        <f ca="1">'Present Value'!F17</f>
        <v>49.00529157839555</v>
      </c>
      <c r="D5" s="63">
        <v>0.3</v>
      </c>
      <c r="E5" s="226">
        <f ca="1">C5*D5</f>
        <v>14.701587473518664</v>
      </c>
    </row>
    <row r="6" spans="2:5" s="62" customFormat="1" x14ac:dyDescent="0.35">
      <c r="B6" s="66" t="s">
        <v>271</v>
      </c>
      <c r="C6" s="226">
        <f>'PE MULTIPLE FOR FRAN'!C13</f>
        <v>12.492025</v>
      </c>
      <c r="D6" s="63">
        <v>0.15</v>
      </c>
      <c r="E6" s="226">
        <f t="shared" ref="E6:E7" si="1">C6*D6</f>
        <v>1.87380375</v>
      </c>
    </row>
    <row r="7" spans="2:5" s="62" customFormat="1" x14ac:dyDescent="0.35">
      <c r="B7" s="66" t="s">
        <v>272</v>
      </c>
      <c r="C7" s="226">
        <f>'PB Value Multiple for FRAN'!C12</f>
        <v>45.874573333333331</v>
      </c>
      <c r="D7" s="63">
        <v>0.1</v>
      </c>
      <c r="E7" s="226">
        <f t="shared" si="1"/>
        <v>4.5874573333333331</v>
      </c>
    </row>
    <row r="9" spans="2:5" ht="15" thickBot="1" x14ac:dyDescent="0.4">
      <c r="B9" s="196"/>
      <c r="C9" s="1"/>
      <c r="D9" s="1"/>
      <c r="E9" s="20"/>
    </row>
    <row r="10" spans="2:5" ht="15" thickBot="1" x14ac:dyDescent="0.4">
      <c r="B10" s="196" t="s">
        <v>273</v>
      </c>
      <c r="C10" s="1"/>
      <c r="D10" s="1"/>
      <c r="E10" s="234">
        <f ca="1">SUM(E3:E7)</f>
        <v>39.007502664849397</v>
      </c>
    </row>
    <row r="11" spans="2:5" ht="15" thickBot="1" x14ac:dyDescent="0.4">
      <c r="B11" s="196"/>
      <c r="C11" s="1"/>
      <c r="D11" s="1"/>
      <c r="E11" s="20"/>
    </row>
    <row r="12" spans="2:5" x14ac:dyDescent="0.35">
      <c r="B12" s="229" t="s">
        <v>274</v>
      </c>
      <c r="C12" s="222"/>
      <c r="D12" s="222"/>
      <c r="E12" s="235">
        <f>'FRAN Stock Price'!C63</f>
        <v>11.64</v>
      </c>
    </row>
    <row r="13" spans="2:5" x14ac:dyDescent="0.35">
      <c r="B13" s="62"/>
      <c r="C13" s="62"/>
      <c r="D13" s="62"/>
      <c r="E13" s="62"/>
    </row>
    <row r="14" spans="2:5" x14ac:dyDescent="0.35">
      <c r="B14" s="62" t="s">
        <v>275</v>
      </c>
      <c r="C14" s="62"/>
      <c r="D14" s="62"/>
      <c r="E14" s="6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9C65-180A-45C1-B6F2-1613D6BD1AE1}">
  <sheetPr>
    <tabColor theme="7"/>
  </sheetPr>
  <dimension ref="B2:F21"/>
  <sheetViews>
    <sheetView workbookViewId="0">
      <selection activeCell="D15" sqref="D15"/>
    </sheetView>
  </sheetViews>
  <sheetFormatPr defaultRowHeight="14.5" x14ac:dyDescent="0.35"/>
  <cols>
    <col min="2" max="2" width="35.54296875" bestFit="1" customWidth="1"/>
    <col min="3" max="3" width="12" bestFit="1" customWidth="1"/>
    <col min="4" max="4" width="40.81640625" bestFit="1" customWidth="1"/>
    <col min="5" max="5" width="9.81640625" bestFit="1" customWidth="1"/>
    <col min="6" max="6" width="9.26953125" bestFit="1" customWidth="1"/>
  </cols>
  <sheetData>
    <row r="2" spans="2:6" x14ac:dyDescent="0.35">
      <c r="B2" s="62" t="s">
        <v>364</v>
      </c>
      <c r="C2" s="62"/>
      <c r="D2" s="62"/>
      <c r="E2" s="62"/>
      <c r="F2" s="62"/>
    </row>
    <row r="3" spans="2:6" x14ac:dyDescent="0.35">
      <c r="B3" s="246" t="s">
        <v>365</v>
      </c>
      <c r="C3" s="247">
        <f>'DATA NORMALISED'!J6</f>
        <v>84503</v>
      </c>
      <c r="D3" s="62"/>
      <c r="E3" s="62"/>
      <c r="F3" s="62"/>
    </row>
    <row r="4" spans="2:6" x14ac:dyDescent="0.35">
      <c r="B4" s="246" t="s">
        <v>366</v>
      </c>
      <c r="C4" s="247">
        <f>'DATA NORMALISED'!J7</f>
        <v>185240</v>
      </c>
      <c r="D4" s="62"/>
      <c r="E4" s="62"/>
      <c r="F4" s="62"/>
    </row>
    <row r="5" spans="2:6" x14ac:dyDescent="0.35">
      <c r="B5" s="246" t="s">
        <v>367</v>
      </c>
      <c r="C5" s="247">
        <f>'DATA NORMALISED'!J8</f>
        <v>70792</v>
      </c>
      <c r="D5" s="62"/>
      <c r="E5" s="62"/>
      <c r="F5" s="62"/>
    </row>
    <row r="6" spans="2:6" x14ac:dyDescent="0.35">
      <c r="B6" s="246" t="s">
        <v>368</v>
      </c>
      <c r="C6" s="247">
        <f>'DATA NORMALISED'!J10</f>
        <v>70792</v>
      </c>
      <c r="D6" s="62"/>
      <c r="E6" s="62"/>
      <c r="F6" s="62"/>
    </row>
    <row r="7" spans="2:6" x14ac:dyDescent="0.35">
      <c r="B7" s="246" t="s">
        <v>369</v>
      </c>
      <c r="C7" s="247">
        <f>'DATA NORMALISED'!J14</f>
        <v>159045</v>
      </c>
      <c r="D7" s="62"/>
      <c r="E7" s="62"/>
      <c r="F7" s="62"/>
    </row>
    <row r="8" spans="2:6" x14ac:dyDescent="0.35">
      <c r="B8" s="246" t="s">
        <v>370</v>
      </c>
      <c r="C8" s="247">
        <f>'DATA NORMALISED'!J15</f>
        <v>114448</v>
      </c>
      <c r="D8" s="62"/>
      <c r="E8" s="62"/>
      <c r="F8" s="62"/>
    </row>
    <row r="9" spans="2:6" x14ac:dyDescent="0.35">
      <c r="B9" s="246" t="s">
        <v>371</v>
      </c>
      <c r="C9" s="247">
        <f>'DATA NORMALISED'!C9</f>
        <v>29962</v>
      </c>
      <c r="D9" s="62"/>
      <c r="E9" s="62"/>
      <c r="F9" s="62"/>
    </row>
    <row r="10" spans="2:6" x14ac:dyDescent="0.35">
      <c r="B10" s="246" t="s">
        <v>372</v>
      </c>
      <c r="C10" s="247">
        <f>'DATA NORMALISED'!C5</f>
        <v>471678</v>
      </c>
      <c r="D10" s="62"/>
      <c r="E10" s="62"/>
      <c r="F10" s="62"/>
    </row>
    <row r="11" spans="2:6" x14ac:dyDescent="0.35">
      <c r="B11" s="62"/>
      <c r="C11" s="62"/>
      <c r="D11" s="62"/>
      <c r="E11" s="62"/>
      <c r="F11" s="62"/>
    </row>
    <row r="12" spans="2:6" x14ac:dyDescent="0.35">
      <c r="B12" s="248"/>
      <c r="C12" s="248" t="s">
        <v>373</v>
      </c>
      <c r="D12" s="248" t="s">
        <v>374</v>
      </c>
      <c r="E12" s="248" t="s">
        <v>375</v>
      </c>
      <c r="F12" s="248" t="s">
        <v>376</v>
      </c>
    </row>
    <row r="13" spans="2:6" x14ac:dyDescent="0.35">
      <c r="B13" s="248" t="s">
        <v>377</v>
      </c>
      <c r="C13" s="248" t="s">
        <v>378</v>
      </c>
      <c r="D13" s="249">
        <f>(C3-C5)/C4</f>
        <v>7.401749082271647E-2</v>
      </c>
      <c r="E13" s="249">
        <v>0.71799999999999997</v>
      </c>
      <c r="F13" s="323">
        <f>D13*E13</f>
        <v>5.3144558410710425E-2</v>
      </c>
    </row>
    <row r="14" spans="2:6" x14ac:dyDescent="0.35">
      <c r="B14" s="248" t="s">
        <v>379</v>
      </c>
      <c r="C14" s="248" t="s">
        <v>380</v>
      </c>
      <c r="D14" s="249">
        <f>C7/C4</f>
        <v>0.85858885769812132</v>
      </c>
      <c r="E14" s="249">
        <v>0.84699999999999998</v>
      </c>
      <c r="F14" s="323">
        <f t="shared" ref="F14:F17" si="0">D14*E14</f>
        <v>0.72722476247030876</v>
      </c>
    </row>
    <row r="15" spans="2:6" x14ac:dyDescent="0.35">
      <c r="B15" s="248" t="s">
        <v>381</v>
      </c>
      <c r="C15" s="248" t="s">
        <v>382</v>
      </c>
      <c r="D15" s="249">
        <f>C9/C4</f>
        <v>0.16174692291081841</v>
      </c>
      <c r="E15" s="249">
        <v>3.1070000000000002</v>
      </c>
      <c r="F15" s="323">
        <f t="shared" si="0"/>
        <v>0.50254768948391282</v>
      </c>
    </row>
    <row r="16" spans="2:6" x14ac:dyDescent="0.35">
      <c r="B16" s="248" t="s">
        <v>383</v>
      </c>
      <c r="C16" s="248" t="s">
        <v>384</v>
      </c>
      <c r="D16" s="249">
        <f>C8/C6</f>
        <v>1.6166798508306024</v>
      </c>
      <c r="E16" s="249">
        <v>0.42</v>
      </c>
      <c r="F16" s="323">
        <f t="shared" si="0"/>
        <v>0.67900553734885294</v>
      </c>
    </row>
    <row r="17" spans="2:6" x14ac:dyDescent="0.35">
      <c r="B17" s="248" t="s">
        <v>385</v>
      </c>
      <c r="C17" s="248" t="s">
        <v>386</v>
      </c>
      <c r="D17" s="249">
        <f>C10/C4</f>
        <v>2.5463074929820775</v>
      </c>
      <c r="E17" s="249">
        <v>0.998</v>
      </c>
      <c r="F17" s="323">
        <f t="shared" si="0"/>
        <v>2.5412148779961132</v>
      </c>
    </row>
    <row r="18" spans="2:6" x14ac:dyDescent="0.35">
      <c r="B18" s="62"/>
      <c r="C18" s="62"/>
      <c r="D18" s="62"/>
      <c r="E18" s="62"/>
      <c r="F18" s="62"/>
    </row>
    <row r="19" spans="2:6" x14ac:dyDescent="0.35">
      <c r="B19" s="62" t="s">
        <v>387</v>
      </c>
      <c r="C19" s="250">
        <f>SUMPRODUCT(D13:D17,E13:E17)</f>
        <v>4.5031374257098982</v>
      </c>
      <c r="D19" s="62" t="s">
        <v>388</v>
      </c>
      <c r="E19" s="62"/>
      <c r="F19" s="6"/>
    </row>
    <row r="20" spans="2:6" x14ac:dyDescent="0.35">
      <c r="B20" s="62" t="s">
        <v>389</v>
      </c>
      <c r="C20" s="251" t="str">
        <f>IF(C19&lt;1.23, "Distress Zone", IF(C19&gt;1.29, "Safe Zone", "Grey Zone"))</f>
        <v>Safe Zone</v>
      </c>
      <c r="D20" s="62"/>
      <c r="E20" s="62"/>
      <c r="F20" s="62"/>
    </row>
    <row r="21" spans="2:6" x14ac:dyDescent="0.35">
      <c r="B21" s="62"/>
      <c r="C21" s="62"/>
      <c r="D21" s="62"/>
      <c r="E21" s="62"/>
      <c r="F21" s="6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3A3B-F55F-4BE3-8189-CF4331B14BC7}">
  <dimension ref="D4:E11"/>
  <sheetViews>
    <sheetView workbookViewId="0">
      <selection activeCell="E8" sqref="E8"/>
    </sheetView>
  </sheetViews>
  <sheetFormatPr defaultRowHeight="14.5" x14ac:dyDescent="0.35"/>
  <cols>
    <col min="4" max="4" width="27.1796875" bestFit="1" customWidth="1"/>
    <col min="5" max="5" width="16.1796875" bestFit="1" customWidth="1"/>
  </cols>
  <sheetData>
    <row r="4" spans="4:5" x14ac:dyDescent="0.35">
      <c r="D4" s="31"/>
      <c r="E4" s="179" t="s">
        <v>223</v>
      </c>
    </row>
    <row r="5" spans="4:5" x14ac:dyDescent="0.35">
      <c r="D5" s="196" t="s">
        <v>224</v>
      </c>
      <c r="E5" s="20">
        <f>'PB Value Multiple - competitor'!D7</f>
        <v>18.98</v>
      </c>
    </row>
    <row r="6" spans="4:5" x14ac:dyDescent="0.35">
      <c r="D6" s="196"/>
      <c r="E6" s="20"/>
    </row>
    <row r="7" spans="4:5" x14ac:dyDescent="0.35">
      <c r="D7" s="196" t="s">
        <v>276</v>
      </c>
      <c r="E7" s="200">
        <f>'Income statement for competitor'!C2</f>
        <v>3795549</v>
      </c>
    </row>
    <row r="8" spans="4:5" x14ac:dyDescent="0.35">
      <c r="D8" s="196" t="s">
        <v>226</v>
      </c>
      <c r="E8" s="201">
        <f>'PE MULTIPLE FOR COMPETITOR'!C6</f>
        <v>177938</v>
      </c>
    </row>
    <row r="9" spans="4:5" x14ac:dyDescent="0.35">
      <c r="D9" s="196" t="s">
        <v>277</v>
      </c>
      <c r="E9" s="195">
        <f>E7/E8</f>
        <v>21.33073879665951</v>
      </c>
    </row>
    <row r="10" spans="4:5" x14ac:dyDescent="0.35">
      <c r="D10" s="196"/>
      <c r="E10" s="20"/>
    </row>
    <row r="11" spans="4:5" x14ac:dyDescent="0.35">
      <c r="D11" s="197" t="s">
        <v>278</v>
      </c>
      <c r="E11" s="198">
        <f>E5/E9</f>
        <v>0.8897957159820622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B79F-F3AC-4AEB-98F7-7E1208FEF364}">
  <sheetPr>
    <tabColor rgb="FF00B050"/>
  </sheetPr>
  <dimension ref="A2:N89"/>
  <sheetViews>
    <sheetView tabSelected="1" topLeftCell="A58" workbookViewId="0">
      <selection activeCell="B69" sqref="B69"/>
    </sheetView>
  </sheetViews>
  <sheetFormatPr defaultRowHeight="14.5" x14ac:dyDescent="0.35"/>
  <cols>
    <col min="2" max="2" width="40.453125" customWidth="1"/>
    <col min="3" max="3" width="13.1796875" customWidth="1"/>
    <col min="4" max="4" width="31.54296875" customWidth="1"/>
    <col min="5" max="7" width="13.1796875" bestFit="1" customWidth="1"/>
    <col min="8" max="8" width="5.1796875" style="30" customWidth="1"/>
    <col min="9" max="13" width="11.08984375" bestFit="1" customWidth="1"/>
  </cols>
  <sheetData>
    <row r="2" spans="2:8" s="130" customFormat="1" x14ac:dyDescent="0.35">
      <c r="B2" s="131" t="s">
        <v>28</v>
      </c>
      <c r="C2" s="30" t="s">
        <v>29</v>
      </c>
      <c r="D2" s="129" t="s">
        <v>30</v>
      </c>
      <c r="H2" s="30"/>
    </row>
    <row r="3" spans="2:8" x14ac:dyDescent="0.35">
      <c r="B3" s="7" t="s">
        <v>31</v>
      </c>
      <c r="C3" s="3">
        <f>(($I$35/$M$35)^(1/4))-1</f>
        <v>8.5020495306735278E-2</v>
      </c>
      <c r="D3" s="1"/>
      <c r="E3" s="62"/>
      <c r="F3" s="62"/>
      <c r="G3" s="62"/>
    </row>
    <row r="4" spans="2:8" x14ac:dyDescent="0.35">
      <c r="B4" s="203" t="s">
        <v>6</v>
      </c>
      <c r="C4" s="3">
        <f>$I$36/$I$35</f>
        <v>0.56164374848943555</v>
      </c>
      <c r="D4" s="1" t="s">
        <v>32</v>
      </c>
      <c r="E4" s="62"/>
      <c r="F4" s="62"/>
      <c r="G4" s="62"/>
    </row>
    <row r="5" spans="2:8" x14ac:dyDescent="0.35">
      <c r="B5" s="203" t="s">
        <v>8</v>
      </c>
      <c r="C5" s="3">
        <f>$I$37/$I$35</f>
        <v>0.4383562515105644</v>
      </c>
      <c r="D5" s="1"/>
      <c r="E5" s="62"/>
      <c r="F5" s="62"/>
      <c r="G5" s="62"/>
    </row>
    <row r="6" spans="2:8" x14ac:dyDescent="0.35">
      <c r="B6" s="203" t="s">
        <v>10</v>
      </c>
      <c r="C6" s="3">
        <f>$I$38/$I$35</f>
        <v>0.37483410292614877</v>
      </c>
      <c r="D6" s="1" t="s">
        <v>32</v>
      </c>
      <c r="E6" s="62"/>
      <c r="F6" s="62"/>
      <c r="G6" s="62"/>
    </row>
    <row r="7" spans="2:8" x14ac:dyDescent="0.35">
      <c r="B7" s="205" t="s">
        <v>33</v>
      </c>
      <c r="C7" s="3"/>
      <c r="D7" s="1" t="s">
        <v>34</v>
      </c>
      <c r="E7" s="62"/>
      <c r="F7" s="62"/>
      <c r="G7" s="62"/>
    </row>
    <row r="8" spans="2:8" x14ac:dyDescent="0.35">
      <c r="B8" s="206" t="s">
        <v>35</v>
      </c>
      <c r="C8" s="3">
        <v>0.1</v>
      </c>
      <c r="D8" s="1"/>
      <c r="E8" s="62"/>
      <c r="F8" s="62"/>
      <c r="G8" s="62"/>
    </row>
    <row r="9" spans="2:8" x14ac:dyDescent="0.35">
      <c r="B9" s="206" t="s">
        <v>36</v>
      </c>
      <c r="C9" s="3">
        <v>0.05</v>
      </c>
      <c r="D9" s="1"/>
      <c r="E9" s="62"/>
      <c r="F9" s="62"/>
      <c r="G9" s="62"/>
    </row>
    <row r="10" spans="2:8" x14ac:dyDescent="0.35">
      <c r="B10" s="206" t="s">
        <v>37</v>
      </c>
      <c r="C10" s="3">
        <v>0</v>
      </c>
      <c r="D10" s="1"/>
      <c r="E10" s="62"/>
      <c r="F10" s="62"/>
      <c r="G10" s="62"/>
    </row>
    <row r="11" spans="2:8" x14ac:dyDescent="0.35">
      <c r="B11" s="205" t="s">
        <v>38</v>
      </c>
      <c r="C11" s="3"/>
      <c r="D11" s="1" t="s">
        <v>34</v>
      </c>
      <c r="E11" s="62"/>
      <c r="F11" s="62"/>
      <c r="G11" s="62"/>
    </row>
    <row r="12" spans="2:8" x14ac:dyDescent="0.35">
      <c r="B12" s="206" t="s">
        <v>35</v>
      </c>
      <c r="C12" s="3">
        <v>0.3</v>
      </c>
      <c r="D12" s="1"/>
      <c r="E12" s="62"/>
      <c r="F12" s="62"/>
      <c r="G12" s="62"/>
    </row>
    <row r="13" spans="2:8" x14ac:dyDescent="0.35">
      <c r="B13" s="206" t="s">
        <v>36</v>
      </c>
      <c r="C13" s="3">
        <v>0.1</v>
      </c>
      <c r="D13" s="1"/>
      <c r="E13" s="62"/>
      <c r="F13" s="62"/>
      <c r="G13" s="62"/>
    </row>
    <row r="14" spans="2:8" x14ac:dyDescent="0.35">
      <c r="B14" s="206" t="s">
        <v>37</v>
      </c>
      <c r="C14" s="3">
        <v>0</v>
      </c>
      <c r="D14" s="1"/>
      <c r="E14" s="62"/>
      <c r="F14" s="62"/>
      <c r="G14" s="62"/>
    </row>
    <row r="15" spans="2:8" x14ac:dyDescent="0.35">
      <c r="B15" s="203" t="s">
        <v>39</v>
      </c>
      <c r="C15" s="3"/>
      <c r="D15" s="1" t="s">
        <v>34</v>
      </c>
      <c r="E15" s="62"/>
      <c r="F15" s="62"/>
      <c r="G15" s="62"/>
    </row>
    <row r="16" spans="2:8" x14ac:dyDescent="0.35">
      <c r="B16" s="7" t="s">
        <v>40</v>
      </c>
      <c r="C16" s="3">
        <v>0.1</v>
      </c>
      <c r="D16" s="1" t="s">
        <v>41</v>
      </c>
      <c r="E16" s="62"/>
      <c r="F16" s="62"/>
      <c r="G16" s="62"/>
    </row>
    <row r="17" spans="2:13" x14ac:dyDescent="0.35">
      <c r="B17" s="7" t="s">
        <v>16</v>
      </c>
      <c r="C17" s="1"/>
      <c r="D17" s="1" t="s">
        <v>32</v>
      </c>
      <c r="E17" s="62"/>
      <c r="F17" s="62"/>
      <c r="G17" s="62"/>
      <c r="I17" s="62"/>
      <c r="J17" s="62"/>
      <c r="K17" s="62"/>
      <c r="L17" s="62"/>
      <c r="M17" s="62"/>
    </row>
    <row r="18" spans="2:13" x14ac:dyDescent="0.35">
      <c r="B18" s="7" t="s">
        <v>42</v>
      </c>
      <c r="C18" s="1"/>
      <c r="D18" s="1" t="s">
        <v>43</v>
      </c>
      <c r="E18" s="62"/>
      <c r="F18" s="62"/>
      <c r="G18" s="62"/>
      <c r="I18" s="62"/>
      <c r="J18" s="62"/>
      <c r="K18" s="62"/>
      <c r="L18" s="62"/>
      <c r="M18" s="62"/>
    </row>
    <row r="19" spans="2:13" ht="42" customHeight="1" x14ac:dyDescent="0.35">
      <c r="B19" s="7" t="s">
        <v>44</v>
      </c>
      <c r="C19" s="3">
        <v>0.44600000000000001</v>
      </c>
      <c r="D19" s="204" t="s">
        <v>45</v>
      </c>
      <c r="E19" s="62"/>
      <c r="F19" s="62"/>
      <c r="G19" s="62"/>
      <c r="I19" s="62"/>
      <c r="J19" s="62"/>
      <c r="K19" s="62"/>
      <c r="L19" s="62"/>
      <c r="M19" s="62"/>
    </row>
    <row r="20" spans="2:13" x14ac:dyDescent="0.35">
      <c r="B20" s="196"/>
      <c r="C20" s="1"/>
      <c r="D20" s="1"/>
      <c r="E20" s="62"/>
      <c r="F20" s="62"/>
      <c r="G20" s="62"/>
      <c r="I20" s="62"/>
      <c r="J20" s="62"/>
      <c r="K20" s="62"/>
      <c r="L20" s="62"/>
      <c r="M20" s="62"/>
    </row>
    <row r="21" spans="2:13" x14ac:dyDescent="0.35">
      <c r="B21" s="196"/>
      <c r="C21" s="1"/>
      <c r="D21" s="1"/>
      <c r="E21" s="62"/>
      <c r="F21" s="62"/>
      <c r="G21" s="62"/>
      <c r="I21" s="62"/>
      <c r="J21" s="62"/>
      <c r="K21" s="62"/>
      <c r="L21" s="62"/>
      <c r="M21" s="62"/>
    </row>
    <row r="22" spans="2:13" x14ac:dyDescent="0.35">
      <c r="B22" s="8" t="s">
        <v>1</v>
      </c>
      <c r="C22" s="1"/>
      <c r="D22" s="1"/>
      <c r="E22" s="62"/>
      <c r="F22" s="62"/>
      <c r="G22" s="62"/>
      <c r="I22" s="62"/>
      <c r="J22" s="62"/>
      <c r="K22" s="62"/>
      <c r="L22" s="62"/>
      <c r="M22" s="62"/>
    </row>
    <row r="23" spans="2:13" x14ac:dyDescent="0.35">
      <c r="B23" s="7" t="s">
        <v>7</v>
      </c>
      <c r="C23" s="3">
        <f>$I$57/$I$35</f>
        <v>0.17915399912652274</v>
      </c>
      <c r="D23" s="1" t="s">
        <v>32</v>
      </c>
      <c r="E23" s="62"/>
      <c r="F23" s="62"/>
      <c r="G23" s="6"/>
      <c r="H23" s="324"/>
      <c r="I23" s="62"/>
      <c r="J23" s="62"/>
      <c r="K23" s="62"/>
      <c r="L23" s="62"/>
      <c r="M23" s="62"/>
    </row>
    <row r="24" spans="2:13" x14ac:dyDescent="0.35">
      <c r="B24" s="7" t="s">
        <v>46</v>
      </c>
      <c r="C24" s="3">
        <f>$I$58/$I$35</f>
        <v>0.2135715466907509</v>
      </c>
      <c r="D24" s="1" t="s">
        <v>47</v>
      </c>
      <c r="E24" s="62"/>
      <c r="F24" s="62"/>
      <c r="G24" s="6"/>
      <c r="H24" s="324"/>
      <c r="I24" s="62"/>
      <c r="J24" s="62"/>
      <c r="K24" s="62"/>
      <c r="L24" s="62"/>
      <c r="M24" s="62"/>
    </row>
    <row r="25" spans="2:13" x14ac:dyDescent="0.35">
      <c r="B25" s="7" t="s">
        <v>11</v>
      </c>
      <c r="C25" s="3">
        <f>$I$61/$I$35</f>
        <v>0.15008543964314638</v>
      </c>
      <c r="D25" s="1" t="s">
        <v>32</v>
      </c>
      <c r="E25" s="62"/>
      <c r="F25" s="62"/>
      <c r="G25" s="62"/>
      <c r="I25" s="62"/>
      <c r="J25" s="62"/>
      <c r="K25" s="62"/>
      <c r="L25" s="62"/>
      <c r="M25" s="62"/>
    </row>
    <row r="26" spans="2:13" x14ac:dyDescent="0.35">
      <c r="B26" s="7" t="s">
        <v>48</v>
      </c>
      <c r="C26" s="62"/>
      <c r="D26" s="1" t="s">
        <v>34</v>
      </c>
      <c r="E26" s="62"/>
      <c r="F26" s="62"/>
      <c r="G26" s="62"/>
      <c r="I26" s="62"/>
      <c r="J26" s="62"/>
      <c r="K26" s="62"/>
      <c r="L26" s="62"/>
      <c r="M26" s="62"/>
    </row>
    <row r="27" spans="2:13" ht="29" x14ac:dyDescent="0.35">
      <c r="B27" s="7" t="s">
        <v>17</v>
      </c>
      <c r="C27" s="12">
        <v>463000</v>
      </c>
      <c r="D27" s="204" t="s">
        <v>49</v>
      </c>
      <c r="E27" s="62"/>
      <c r="F27" s="62"/>
      <c r="G27" s="62"/>
      <c r="I27" s="62"/>
      <c r="J27" s="62"/>
      <c r="K27" s="62"/>
      <c r="L27" s="62"/>
      <c r="M27" s="62"/>
    </row>
    <row r="28" spans="2:13" x14ac:dyDescent="0.35">
      <c r="B28" s="7" t="s">
        <v>50</v>
      </c>
      <c r="C28" s="11">
        <v>0</v>
      </c>
      <c r="D28" s="1" t="s">
        <v>51</v>
      </c>
      <c r="E28" s="62"/>
      <c r="F28" s="62"/>
      <c r="G28" s="62"/>
      <c r="I28" s="62"/>
      <c r="J28" s="62"/>
      <c r="K28" s="62"/>
      <c r="L28" s="62"/>
      <c r="M28" s="62"/>
    </row>
    <row r="29" spans="2:13" x14ac:dyDescent="0.35">
      <c r="B29" s="7" t="s">
        <v>23</v>
      </c>
      <c r="C29" s="133">
        <v>1</v>
      </c>
      <c r="D29" s="1" t="s">
        <v>51</v>
      </c>
      <c r="E29" s="62"/>
      <c r="F29" s="62"/>
      <c r="G29" s="62"/>
      <c r="I29" s="62"/>
      <c r="J29" s="62"/>
      <c r="K29" s="62"/>
      <c r="L29" s="62"/>
      <c r="M29" s="62"/>
    </row>
    <row r="32" spans="2:13" x14ac:dyDescent="0.35">
      <c r="B32" s="134"/>
      <c r="C32" s="291" t="s">
        <v>52</v>
      </c>
      <c r="D32" s="291"/>
      <c r="E32" s="291"/>
      <c r="F32" s="291"/>
      <c r="G32" s="291"/>
      <c r="H32" s="54"/>
      <c r="I32" s="291" t="s">
        <v>53</v>
      </c>
      <c r="J32" s="291"/>
      <c r="K32" s="291"/>
      <c r="L32" s="291"/>
      <c r="M32" s="291"/>
    </row>
    <row r="33" spans="1:14" s="130" customFormat="1" x14ac:dyDescent="0.35">
      <c r="B33" s="160" t="s">
        <v>2</v>
      </c>
      <c r="C33" s="136">
        <v>2023</v>
      </c>
      <c r="D33" s="137">
        <v>2022</v>
      </c>
      <c r="E33" s="137">
        <v>2021</v>
      </c>
      <c r="F33" s="137">
        <v>2020</v>
      </c>
      <c r="G33" s="184">
        <v>2019</v>
      </c>
      <c r="H33" s="54"/>
      <c r="I33" s="160">
        <v>2018</v>
      </c>
      <c r="J33" s="160">
        <v>2017</v>
      </c>
      <c r="K33" s="160">
        <v>2016</v>
      </c>
      <c r="L33" s="160">
        <v>2015</v>
      </c>
      <c r="M33" s="154">
        <v>2014</v>
      </c>
    </row>
    <row r="34" spans="1:14" s="130" customFormat="1" x14ac:dyDescent="0.35">
      <c r="B34" s="160"/>
      <c r="C34" s="181" t="s">
        <v>3</v>
      </c>
      <c r="D34" s="181" t="s">
        <v>3</v>
      </c>
      <c r="E34" s="181" t="s">
        <v>3</v>
      </c>
      <c r="F34" s="181" t="s">
        <v>3</v>
      </c>
      <c r="G34" s="241" t="s">
        <v>3</v>
      </c>
      <c r="H34" s="55"/>
      <c r="I34" s="164" t="s">
        <v>3</v>
      </c>
      <c r="J34" s="164" t="s">
        <v>3</v>
      </c>
      <c r="K34" s="164" t="s">
        <v>3</v>
      </c>
      <c r="L34" s="164" t="s">
        <v>3</v>
      </c>
      <c r="M34" s="156" t="s">
        <v>3</v>
      </c>
    </row>
    <row r="35" spans="1:14" x14ac:dyDescent="0.35">
      <c r="A35" s="62"/>
      <c r="B35" s="161" t="s">
        <v>4</v>
      </c>
      <c r="C35" s="182">
        <f>(1+$C$3)*D35</f>
        <v>709308.76960482844</v>
      </c>
      <c r="D35" s="182">
        <f>(1+$C$3)*E35</f>
        <v>653728.452755454</v>
      </c>
      <c r="E35" s="182">
        <f>(1+$C$3)*F35</f>
        <v>602503.32190328347</v>
      </c>
      <c r="F35" s="182">
        <f>(1+$C$3)*G35</f>
        <v>555292.11154021183</v>
      </c>
      <c r="G35" s="159">
        <f>(1+$C$3)*I35</f>
        <v>511780.29718529026</v>
      </c>
      <c r="H35" s="23"/>
      <c r="I35" s="168">
        <v>471678</v>
      </c>
      <c r="J35" s="182">
        <v>487188</v>
      </c>
      <c r="K35" s="182">
        <v>439377</v>
      </c>
      <c r="L35" s="182">
        <v>377497</v>
      </c>
      <c r="M35" s="159">
        <v>340325</v>
      </c>
      <c r="N35" s="62"/>
    </row>
    <row r="36" spans="1:14" x14ac:dyDescent="0.35">
      <c r="A36" s="62"/>
      <c r="B36" s="161" t="s">
        <v>6</v>
      </c>
      <c r="C36" s="182">
        <f>$C$4*C$35</f>
        <v>398378.83619728527</v>
      </c>
      <c r="D36" s="182">
        <f>$C$4*D$35</f>
        <v>367162.49869977206</v>
      </c>
      <c r="E36" s="182">
        <f>$C$4*E$35</f>
        <v>338392.22419109719</v>
      </c>
      <c r="F36" s="182">
        <f>$C$4*F$35</f>
        <v>311876.34303205833</v>
      </c>
      <c r="G36" s="159">
        <f>$C$4*G$35</f>
        <v>287438.20451418374</v>
      </c>
      <c r="H36" s="23"/>
      <c r="I36" s="167">
        <v>264915</v>
      </c>
      <c r="J36" s="182">
        <v>258561</v>
      </c>
      <c r="K36" s="182">
        <v>229673</v>
      </c>
      <c r="L36" s="182">
        <v>199919</v>
      </c>
      <c r="M36" s="159">
        <v>164260</v>
      </c>
      <c r="N36" s="62"/>
    </row>
    <row r="37" spans="1:14" x14ac:dyDescent="0.35">
      <c r="A37" s="62"/>
      <c r="B37" s="161" t="s">
        <v>8</v>
      </c>
      <c r="C37" s="182">
        <f>C35-C36</f>
        <v>310929.93340754317</v>
      </c>
      <c r="D37" s="182">
        <f>D35-D36</f>
        <v>286565.95405568194</v>
      </c>
      <c r="E37" s="182">
        <f>E35-E36</f>
        <v>264111.09771218628</v>
      </c>
      <c r="F37" s="182">
        <f>F35-F36</f>
        <v>243415.7685081535</v>
      </c>
      <c r="G37" s="159">
        <f>G35-G36</f>
        <v>224342.09267110651</v>
      </c>
      <c r="H37" s="23"/>
      <c r="I37" s="167">
        <v>206763</v>
      </c>
      <c r="J37" s="182">
        <v>228627</v>
      </c>
      <c r="K37" s="182">
        <v>209704</v>
      </c>
      <c r="L37" s="182">
        <v>177578</v>
      </c>
      <c r="M37" s="159">
        <v>176065</v>
      </c>
      <c r="N37" s="62"/>
    </row>
    <row r="38" spans="1:14" x14ac:dyDescent="0.35">
      <c r="A38" s="62"/>
      <c r="B38" s="161" t="s">
        <v>10</v>
      </c>
      <c r="C38" s="182">
        <f>$C$6*C$35</f>
        <v>265873.11635247624</v>
      </c>
      <c r="D38" s="182">
        <f>$C$6*D$35</f>
        <v>245039.71814588984</v>
      </c>
      <c r="E38" s="182">
        <f>$C$6*E$35</f>
        <v>225838.79217564189</v>
      </c>
      <c r="F38" s="182">
        <f>$C$6*F$35</f>
        <v>208142.42049114226</v>
      </c>
      <c r="G38" s="159">
        <f>$C$6*G$35</f>
        <v>191832.70859072611</v>
      </c>
      <c r="H38" s="23"/>
      <c r="I38" s="167">
        <v>176801</v>
      </c>
      <c r="J38" s="182">
        <v>160702</v>
      </c>
      <c r="K38" s="182">
        <v>147387</v>
      </c>
      <c r="L38" s="182">
        <v>124804</v>
      </c>
      <c r="M38" s="159">
        <v>101795</v>
      </c>
      <c r="N38" s="62"/>
    </row>
    <row r="39" spans="1:14" x14ac:dyDescent="0.35">
      <c r="A39" s="62"/>
      <c r="B39" s="161" t="s">
        <v>54</v>
      </c>
      <c r="C39" s="182">
        <f>$C$10*C35</f>
        <v>0</v>
      </c>
      <c r="D39" s="182">
        <f>$C$10*D35</f>
        <v>0</v>
      </c>
      <c r="E39" s="182">
        <f>$C$10*E35</f>
        <v>0</v>
      </c>
      <c r="F39" s="182">
        <f>C9*$F$35</f>
        <v>27764.605577010592</v>
      </c>
      <c r="G39" s="159">
        <f>C8*$G$35</f>
        <v>51178.029718529026</v>
      </c>
      <c r="H39" s="23"/>
      <c r="I39" s="167"/>
      <c r="J39" s="182"/>
      <c r="K39" s="182"/>
      <c r="L39" s="182"/>
      <c r="M39" s="159"/>
      <c r="N39" s="62"/>
    </row>
    <row r="40" spans="1:14" x14ac:dyDescent="0.35">
      <c r="A40" s="62"/>
      <c r="B40" s="161" t="s">
        <v>55</v>
      </c>
      <c r="C40" s="182">
        <f t="shared" ref="C40:D40" si="0">$C$14*C35</f>
        <v>0</v>
      </c>
      <c r="D40" s="182">
        <f t="shared" si="0"/>
        <v>0</v>
      </c>
      <c r="E40" s="182">
        <f>$C$14*E35</f>
        <v>0</v>
      </c>
      <c r="F40" s="182">
        <f>C13*F35</f>
        <v>55529.211154021184</v>
      </c>
      <c r="G40" s="159">
        <f>C12*G35</f>
        <v>153534.08915558708</v>
      </c>
      <c r="H40" s="23"/>
      <c r="I40" s="167"/>
      <c r="J40" s="182"/>
      <c r="K40" s="182"/>
      <c r="L40" s="182"/>
      <c r="M40" s="159"/>
      <c r="N40" s="62"/>
    </row>
    <row r="41" spans="1:14" x14ac:dyDescent="0.35">
      <c r="A41" s="62"/>
      <c r="B41" s="161" t="s">
        <v>12</v>
      </c>
      <c r="C41" s="182">
        <f t="shared" ref="C41:F41" si="1">C37-C38-C39-C40</f>
        <v>45056.817055066931</v>
      </c>
      <c r="D41" s="182">
        <f t="shared" si="1"/>
        <v>41526.2359097921</v>
      </c>
      <c r="E41" s="182">
        <f t="shared" si="1"/>
        <v>38272.305536544387</v>
      </c>
      <c r="F41" s="182">
        <f t="shared" si="1"/>
        <v>-48020.468714020535</v>
      </c>
      <c r="G41" s="159">
        <f>G37-G38-G39-G40</f>
        <v>-172202.7347937357</v>
      </c>
      <c r="H41" s="23"/>
      <c r="I41" s="167">
        <v>29962</v>
      </c>
      <c r="J41" s="182">
        <v>67925</v>
      </c>
      <c r="K41" s="182">
        <v>62317</v>
      </c>
      <c r="L41" s="182">
        <v>52774</v>
      </c>
      <c r="M41" s="159">
        <v>74270</v>
      </c>
      <c r="N41" s="62"/>
    </row>
    <row r="42" spans="1:14" x14ac:dyDescent="0.35">
      <c r="A42" s="62"/>
      <c r="B42" s="161" t="s">
        <v>14</v>
      </c>
      <c r="C42" s="182">
        <f t="shared" ref="C42:F42" ca="1" si="2">$C$16*C62</f>
        <v>9032.7635200051591</v>
      </c>
      <c r="D42" s="182">
        <f t="shared" ca="1" si="2"/>
        <v>9701.0444132951943</v>
      </c>
      <c r="E42" s="182">
        <f t="shared" ca="1" si="2"/>
        <v>10213.445563545702</v>
      </c>
      <c r="F42" s="182">
        <f t="shared" ca="1" si="2"/>
        <v>10608.875052739353</v>
      </c>
      <c r="G42" s="159">
        <f ca="1">$C$16*G62</f>
        <v>6318.9538207701471</v>
      </c>
      <c r="H42" s="23"/>
      <c r="I42" s="162">
        <v>-452</v>
      </c>
      <c r="J42" s="182">
        <v>-464</v>
      </c>
      <c r="K42" s="182">
        <v>-457</v>
      </c>
      <c r="L42" s="182">
        <v>-623</v>
      </c>
      <c r="M42" s="159">
        <v>-588</v>
      </c>
      <c r="N42" s="62"/>
    </row>
    <row r="43" spans="1:14" x14ac:dyDescent="0.35">
      <c r="A43" s="4">
        <f>($C$16*A63)-($C$16*A58)</f>
        <v>0</v>
      </c>
      <c r="B43" s="161" t="s">
        <v>16</v>
      </c>
      <c r="C43" s="182">
        <v>-381.76400000000001</v>
      </c>
      <c r="D43" s="182">
        <v>140.56569999999999</v>
      </c>
      <c r="E43" s="182">
        <v>243.64699999999999</v>
      </c>
      <c r="F43" s="182">
        <v>-251.18299999999999</v>
      </c>
      <c r="G43" s="159">
        <v>146.38460000000001</v>
      </c>
      <c r="H43" s="23"/>
      <c r="I43" s="162">
        <v>346</v>
      </c>
      <c r="J43" s="182">
        <v>147</v>
      </c>
      <c r="K43" s="182">
        <v>-151</v>
      </c>
      <c r="L43" s="182">
        <v>88</v>
      </c>
      <c r="M43" s="159">
        <v>208</v>
      </c>
      <c r="N43" s="10"/>
    </row>
    <row r="44" spans="1:14" x14ac:dyDescent="0.35">
      <c r="A44" s="62"/>
      <c r="B44" s="161" t="s">
        <v>18</v>
      </c>
      <c r="C44" s="182">
        <f ca="1">C41-C42-C43</f>
        <v>36405.817535061775</v>
      </c>
      <c r="D44" s="182">
        <f ca="1">D41-D42-D43</f>
        <v>31684.625796496905</v>
      </c>
      <c r="E44" s="182">
        <f ca="1">E41-E42-E43</f>
        <v>27815.212972998685</v>
      </c>
      <c r="F44" s="182">
        <f ca="1">F41-F42-F43</f>
        <v>-58378.160766759895</v>
      </c>
      <c r="G44" s="159">
        <f ca="1">G41-G42-G43</f>
        <v>-178668.07321450583</v>
      </c>
      <c r="H44" s="23"/>
      <c r="I44" s="167">
        <v>29856</v>
      </c>
      <c r="J44" s="182">
        <v>67608</v>
      </c>
      <c r="K44" s="182">
        <v>61709</v>
      </c>
      <c r="L44" s="182">
        <v>52239</v>
      </c>
      <c r="M44" s="159">
        <v>73890</v>
      </c>
      <c r="N44" s="10"/>
    </row>
    <row r="45" spans="1:14" x14ac:dyDescent="0.35">
      <c r="A45" s="62"/>
      <c r="B45" s="161" t="s">
        <v>20</v>
      </c>
      <c r="C45" s="182">
        <f ca="1">$C$19*C44</f>
        <v>16236.994620637552</v>
      </c>
      <c r="D45" s="182">
        <f ca="1">$C$19*D44</f>
        <v>14131.34310523762</v>
      </c>
      <c r="E45" s="182">
        <f ca="1">$C$19*E44</f>
        <v>12405.584985957414</v>
      </c>
      <c r="F45" s="182">
        <f ca="1">$C$19*F44</f>
        <v>-26036.659701974913</v>
      </c>
      <c r="G45" s="159">
        <f ca="1">$C$19*G44</f>
        <v>-79685.960653669594</v>
      </c>
      <c r="H45" s="23"/>
      <c r="I45" s="167">
        <v>14295</v>
      </c>
      <c r="J45" s="182">
        <v>25607</v>
      </c>
      <c r="K45" s="182">
        <v>23557</v>
      </c>
      <c r="L45" s="182">
        <v>20131</v>
      </c>
      <c r="M45" s="159">
        <v>29051</v>
      </c>
      <c r="N45" s="62"/>
    </row>
    <row r="46" spans="1:14" x14ac:dyDescent="0.35">
      <c r="A46" s="62"/>
      <c r="B46" s="161" t="s">
        <v>22</v>
      </c>
      <c r="C46" s="182">
        <f ca="1">C44-C45</f>
        <v>20168.822914424221</v>
      </c>
      <c r="D46" s="182">
        <f ca="1">D44-D45</f>
        <v>17553.282691259286</v>
      </c>
      <c r="E46" s="182">
        <f ca="1">E44-E45</f>
        <v>15409.627987041271</v>
      </c>
      <c r="F46" s="182">
        <f ca="1">F44-F45</f>
        <v>-32341.501064784981</v>
      </c>
      <c r="G46" s="159">
        <f ca="1">G44-G45</f>
        <v>-98982.112560836234</v>
      </c>
      <c r="H46" s="23"/>
      <c r="I46" s="167">
        <v>15561</v>
      </c>
      <c r="J46" s="182">
        <v>42001</v>
      </c>
      <c r="K46" s="182">
        <v>38152</v>
      </c>
      <c r="L46" s="182">
        <v>32108</v>
      </c>
      <c r="M46" s="159">
        <v>44839</v>
      </c>
      <c r="N46" s="62"/>
    </row>
    <row r="47" spans="1:14" x14ac:dyDescent="0.35">
      <c r="A47" s="62"/>
      <c r="B47" s="161" t="s">
        <v>56</v>
      </c>
      <c r="C47" s="182">
        <f t="shared" ref="C47" ca="1" si="3">$C$28*C46</f>
        <v>0</v>
      </c>
      <c r="D47" s="182">
        <f t="shared" ref="D47" ca="1" si="4">$C$28*D46</f>
        <v>0</v>
      </c>
      <c r="E47" s="182">
        <f ca="1">$C$28*E46</f>
        <v>0</v>
      </c>
      <c r="F47" s="182">
        <f t="shared" ref="F47:G47" ca="1" si="5">$C$28*F46</f>
        <v>0</v>
      </c>
      <c r="G47" s="159">
        <f t="shared" ca="1" si="5"/>
        <v>0</v>
      </c>
      <c r="H47" s="23"/>
      <c r="I47" s="167"/>
      <c r="J47" s="182"/>
      <c r="K47" s="182"/>
      <c r="L47" s="182"/>
      <c r="M47" s="159"/>
      <c r="N47" s="62"/>
    </row>
    <row r="48" spans="1:14" x14ac:dyDescent="0.35">
      <c r="A48" s="62"/>
      <c r="B48" s="170" t="s">
        <v>23</v>
      </c>
      <c r="C48" s="183">
        <f ca="1">C46-C47</f>
        <v>20168.822914424221</v>
      </c>
      <c r="D48" s="183">
        <f ca="1">D46-D47</f>
        <v>17553.282691259286</v>
      </c>
      <c r="E48" s="183">
        <f ca="1">E46-E47</f>
        <v>15409.627987041271</v>
      </c>
      <c r="F48" s="183">
        <f ca="1">F46-F47</f>
        <v>-32341.501064784981</v>
      </c>
      <c r="G48" s="180">
        <f ca="1">G46-G47</f>
        <v>-98982.112560836234</v>
      </c>
      <c r="H48" s="23"/>
      <c r="I48" s="185"/>
      <c r="J48" s="183"/>
      <c r="K48" s="183"/>
      <c r="L48" s="183"/>
      <c r="M48" s="180"/>
      <c r="N48" s="62"/>
    </row>
    <row r="49" spans="1:13" x14ac:dyDescent="0.35">
      <c r="A49" s="62"/>
      <c r="B49" s="8"/>
      <c r="C49" s="4"/>
      <c r="D49" s="4"/>
      <c r="E49" s="4"/>
      <c r="F49" s="4"/>
      <c r="G49" s="4"/>
      <c r="H49" s="23"/>
      <c r="I49" s="2"/>
      <c r="J49" s="4"/>
      <c r="K49" s="4"/>
      <c r="L49" s="4"/>
      <c r="M49" s="4"/>
    </row>
    <row r="50" spans="1:13" s="130" customFormat="1" x14ac:dyDescent="0.35">
      <c r="B50" s="131"/>
      <c r="C50" s="132"/>
      <c r="D50" s="132"/>
      <c r="E50" s="132"/>
      <c r="F50" s="132"/>
      <c r="G50" s="132"/>
      <c r="H50" s="23"/>
      <c r="I50" s="13"/>
      <c r="J50" s="132"/>
      <c r="K50" s="132"/>
      <c r="L50" s="132"/>
      <c r="M50" s="132"/>
    </row>
    <row r="51" spans="1:13" s="130" customFormat="1" x14ac:dyDescent="0.35">
      <c r="B51" s="131"/>
      <c r="C51" s="30"/>
      <c r="D51" s="30"/>
      <c r="E51" s="30"/>
      <c r="F51" s="30"/>
      <c r="G51" s="30"/>
      <c r="H51" s="24"/>
      <c r="I51" s="13"/>
      <c r="J51" s="13"/>
      <c r="K51" s="13"/>
      <c r="L51" s="13"/>
      <c r="M51" s="13"/>
    </row>
    <row r="52" spans="1:13" s="130" customFormat="1" x14ac:dyDescent="0.35">
      <c r="B52" s="131"/>
      <c r="C52" s="30"/>
      <c r="D52" s="30"/>
      <c r="E52" s="30"/>
      <c r="F52" s="30"/>
      <c r="G52" s="30"/>
      <c r="H52" s="24"/>
      <c r="I52" s="13"/>
      <c r="J52" s="13"/>
      <c r="K52" s="13"/>
      <c r="L52" s="13"/>
      <c r="M52" s="13"/>
    </row>
    <row r="53" spans="1:13" s="130" customFormat="1" x14ac:dyDescent="0.35">
      <c r="B53" s="292" t="s">
        <v>1</v>
      </c>
      <c r="C53" s="293"/>
      <c r="D53" s="293"/>
      <c r="E53" s="293"/>
      <c r="F53" s="293"/>
      <c r="G53" s="293"/>
      <c r="H53" s="24"/>
      <c r="I53" s="294" t="s">
        <v>1</v>
      </c>
      <c r="J53" s="295"/>
      <c r="K53" s="295"/>
      <c r="L53" s="295"/>
      <c r="M53" s="296"/>
    </row>
    <row r="54" spans="1:13" s="62" customFormat="1" x14ac:dyDescent="0.35">
      <c r="B54" s="288" t="s">
        <v>52</v>
      </c>
      <c r="C54" s="289"/>
      <c r="D54" s="289"/>
      <c r="E54" s="289"/>
      <c r="F54" s="289"/>
      <c r="G54" s="290"/>
      <c r="H54" s="54"/>
      <c r="I54" s="291" t="s">
        <v>57</v>
      </c>
      <c r="J54" s="291"/>
      <c r="K54" s="291"/>
      <c r="L54" s="291"/>
      <c r="M54" s="291"/>
    </row>
    <row r="55" spans="1:13" s="130" customFormat="1" x14ac:dyDescent="0.35">
      <c r="B55" s="160" t="s">
        <v>2</v>
      </c>
      <c r="C55" s="163">
        <v>2023</v>
      </c>
      <c r="D55" s="165">
        <v>2022</v>
      </c>
      <c r="E55" s="160">
        <v>2021</v>
      </c>
      <c r="F55" s="160">
        <v>2020</v>
      </c>
      <c r="G55" s="158">
        <v>2019</v>
      </c>
      <c r="H55" s="54"/>
      <c r="I55" s="160">
        <v>2018</v>
      </c>
      <c r="J55" s="158">
        <v>2017</v>
      </c>
      <c r="K55" s="160">
        <v>2016</v>
      </c>
      <c r="L55" s="160">
        <v>2015</v>
      </c>
      <c r="M55" s="154">
        <v>2014</v>
      </c>
    </row>
    <row r="56" spans="1:13" s="130" customFormat="1" x14ac:dyDescent="0.35">
      <c r="B56" s="161"/>
      <c r="C56" s="155" t="s">
        <v>3</v>
      </c>
      <c r="D56" s="138" t="s">
        <v>3</v>
      </c>
      <c r="E56" s="156" t="s">
        <v>3</v>
      </c>
      <c r="F56" s="164" t="s">
        <v>3</v>
      </c>
      <c r="G56" s="156" t="s">
        <v>3</v>
      </c>
      <c r="H56" s="55"/>
      <c r="I56" s="164" t="s">
        <v>3</v>
      </c>
      <c r="J56" s="156" t="s">
        <v>3</v>
      </c>
      <c r="K56" s="164" t="s">
        <v>3</v>
      </c>
      <c r="L56" s="164" t="s">
        <v>3</v>
      </c>
      <c r="M56" s="156" t="s">
        <v>3</v>
      </c>
    </row>
    <row r="57" spans="1:13" x14ac:dyDescent="0.35">
      <c r="A57" s="62"/>
      <c r="B57" s="162" t="s">
        <v>5</v>
      </c>
      <c r="C57" s="270">
        <f>$C$24*C$35</f>
        <v>151488.17100581669</v>
      </c>
      <c r="D57" s="159">
        <f>$C$24*D$35</f>
        <v>139617.79677073378</v>
      </c>
      <c r="E57" s="182">
        <f>$C$24*E$35</f>
        <v>128677.56634519962</v>
      </c>
      <c r="F57" s="182">
        <f>$C$24*F$35</f>
        <v>118594.59512681601</v>
      </c>
      <c r="G57" s="159">
        <f>$C$24*G$35</f>
        <v>109301.70963571459</v>
      </c>
      <c r="H57" s="25"/>
      <c r="I57" s="257">
        <v>84503</v>
      </c>
      <c r="J57" s="258">
        <v>100075</v>
      </c>
      <c r="K57" s="259">
        <v>110769</v>
      </c>
      <c r="L57" s="257">
        <v>85899</v>
      </c>
      <c r="M57" s="258">
        <v>82425</v>
      </c>
    </row>
    <row r="58" spans="1:13" x14ac:dyDescent="0.35">
      <c r="A58" s="62"/>
      <c r="B58" s="162" t="s">
        <v>7</v>
      </c>
      <c r="C58" s="270">
        <f>$C$23*C$35</f>
        <v>127075.50269021836</v>
      </c>
      <c r="D58" s="159">
        <f>$C$23*D$35</f>
        <v>117118.06665393367</v>
      </c>
      <c r="E58" s="182">
        <f>$C$23*E$35</f>
        <v>107940.8796059879</v>
      </c>
      <c r="F58" s="182">
        <f>$C$23*F$35</f>
        <v>99482.802465840083</v>
      </c>
      <c r="G58" s="159">
        <f>$C$23*G$35</f>
        <v>91687.486914905036</v>
      </c>
      <c r="H58" s="25"/>
      <c r="I58" s="257">
        <f>I59-I57</f>
        <v>100737</v>
      </c>
      <c r="J58" s="258">
        <f>J59-J57</f>
        <v>89518</v>
      </c>
      <c r="K58" s="257">
        <f>K59-K57</f>
        <v>82808</v>
      </c>
      <c r="L58" s="257">
        <f>L59-L57</f>
        <v>79646</v>
      </c>
      <c r="M58" s="258">
        <f>M59-M57</f>
        <v>68120</v>
      </c>
    </row>
    <row r="59" spans="1:13" ht="16" x14ac:dyDescent="0.5">
      <c r="A59" s="62"/>
      <c r="B59" s="161" t="s">
        <v>9</v>
      </c>
      <c r="C59" s="271">
        <f>C58+C57</f>
        <v>278563.67369603505</v>
      </c>
      <c r="D59" s="272">
        <f>D58+D57</f>
        <v>256735.86342466745</v>
      </c>
      <c r="E59" s="273">
        <f>E58+E57</f>
        <v>236618.44595118752</v>
      </c>
      <c r="F59" s="273">
        <f>F58+F57</f>
        <v>218077.39759265608</v>
      </c>
      <c r="G59" s="272">
        <f>G58+G57</f>
        <v>200989.19655061961</v>
      </c>
      <c r="H59" s="26"/>
      <c r="I59" s="260">
        <v>185240</v>
      </c>
      <c r="J59" s="261">
        <v>189593</v>
      </c>
      <c r="K59" s="262">
        <v>193577</v>
      </c>
      <c r="L59" s="262">
        <v>165545</v>
      </c>
      <c r="M59" s="263">
        <v>150545</v>
      </c>
    </row>
    <row r="60" spans="1:13" s="62" customFormat="1" ht="16" x14ac:dyDescent="0.5">
      <c r="B60" s="161"/>
      <c r="C60" s="274"/>
      <c r="D60" s="275"/>
      <c r="E60" s="276"/>
      <c r="F60" s="276"/>
      <c r="G60" s="275"/>
      <c r="H60" s="26"/>
      <c r="I60" s="257"/>
      <c r="J60" s="258"/>
      <c r="K60" s="257"/>
      <c r="L60" s="257"/>
      <c r="M60" s="258"/>
    </row>
    <row r="61" spans="1:13" x14ac:dyDescent="0.35">
      <c r="A61" s="62"/>
      <c r="B61" s="162" t="s">
        <v>11</v>
      </c>
      <c r="C61" s="182">
        <f>$C$25*C$35</f>
        <v>106456.91852887991</v>
      </c>
      <c r="D61" s="159">
        <f>$C$25*D$35</f>
        <v>98115.122239036165</v>
      </c>
      <c r="E61" s="182">
        <f>$C$25*E$35</f>
        <v>90426.975954310445</v>
      </c>
      <c r="F61" s="182">
        <f>$C$25*F$35</f>
        <v>83341.260690883777</v>
      </c>
      <c r="G61" s="159">
        <f>$C$25*G$35</f>
        <v>76810.770903754397</v>
      </c>
      <c r="H61" s="25"/>
      <c r="I61" s="257">
        <f>I63-I62</f>
        <v>70792</v>
      </c>
      <c r="J61" s="258">
        <f>J63-J62</f>
        <v>73058</v>
      </c>
      <c r="K61" s="257">
        <f>K63-K62</f>
        <v>67185</v>
      </c>
      <c r="L61" s="257">
        <f>L63-L62</f>
        <v>56331</v>
      </c>
      <c r="M61" s="258">
        <f>M63-M62</f>
        <v>47478</v>
      </c>
    </row>
    <row r="62" spans="1:13" x14ac:dyDescent="0.35">
      <c r="A62" s="157"/>
      <c r="B62" s="162" t="s">
        <v>13</v>
      </c>
      <c r="C62" s="182">
        <f ca="1">IF(C76&gt;0,C76,0)</f>
        <v>90327.635200051591</v>
      </c>
      <c r="D62" s="159">
        <f ca="1">IF(D76&gt;0,D76,0)</f>
        <v>97010.444132951932</v>
      </c>
      <c r="E62" s="182">
        <f ca="1">IF(E76&gt;0,E76,0)</f>
        <v>102134.45563545701</v>
      </c>
      <c r="F62" s="182">
        <f ca="1">IF(F76&gt;0,F76,0)</f>
        <v>106088.75052739352</v>
      </c>
      <c r="G62" s="159">
        <f ca="1">IF(G76&gt;0,G76,0)</f>
        <v>63189.538207701466</v>
      </c>
      <c r="H62" s="27"/>
      <c r="I62" s="264">
        <v>0</v>
      </c>
      <c r="J62" s="265">
        <v>0</v>
      </c>
      <c r="K62" s="264">
        <v>0</v>
      </c>
      <c r="L62" s="264">
        <v>0</v>
      </c>
      <c r="M62" s="265">
        <v>25000</v>
      </c>
    </row>
    <row r="63" spans="1:13" x14ac:dyDescent="0.35">
      <c r="A63" s="62"/>
      <c r="B63" s="161" t="s">
        <v>15</v>
      </c>
      <c r="C63" s="277">
        <f ca="1">C61+C62</f>
        <v>196784.5537289315</v>
      </c>
      <c r="D63" s="278">
        <f ca="1">D61+D62</f>
        <v>195125.5663719881</v>
      </c>
      <c r="E63" s="277">
        <f ca="1">E61+E62</f>
        <v>192561.43158976745</v>
      </c>
      <c r="F63" s="277">
        <f ca="1">F61+F62</f>
        <v>189430.0112182773</v>
      </c>
      <c r="G63" s="278">
        <f ca="1">G61+G62</f>
        <v>140000.30911145586</v>
      </c>
      <c r="H63" s="26"/>
      <c r="I63" s="257">
        <v>70792</v>
      </c>
      <c r="J63" s="258">
        <v>73058</v>
      </c>
      <c r="K63" s="257">
        <v>67185</v>
      </c>
      <c r="L63" s="257">
        <v>56331</v>
      </c>
      <c r="M63" s="258">
        <v>72478</v>
      </c>
    </row>
    <row r="64" spans="1:13" x14ac:dyDescent="0.35">
      <c r="A64" s="62"/>
      <c r="B64" s="162" t="s">
        <v>17</v>
      </c>
      <c r="C64" s="182">
        <v>463</v>
      </c>
      <c r="D64" s="159">
        <v>463</v>
      </c>
      <c r="E64" s="182">
        <v>463</v>
      </c>
      <c r="F64" s="182">
        <v>463</v>
      </c>
      <c r="G64" s="159">
        <v>463</v>
      </c>
      <c r="H64" s="28"/>
      <c r="I64" s="257">
        <v>463</v>
      </c>
      <c r="J64" s="258">
        <v>461</v>
      </c>
      <c r="K64" s="257">
        <v>459</v>
      </c>
      <c r="L64" s="257">
        <v>455</v>
      </c>
      <c r="M64" s="258">
        <v>452</v>
      </c>
    </row>
    <row r="65" spans="2:13" x14ac:dyDescent="0.35">
      <c r="B65" s="162" t="s">
        <v>19</v>
      </c>
      <c r="C65" s="182">
        <v>0</v>
      </c>
      <c r="D65" s="159">
        <v>0</v>
      </c>
      <c r="E65" s="182">
        <v>0</v>
      </c>
      <c r="F65" s="182">
        <v>0</v>
      </c>
      <c r="G65" s="159">
        <v>0</v>
      </c>
      <c r="H65" s="28"/>
      <c r="I65" s="257">
        <v>111439</v>
      </c>
      <c r="J65" s="258">
        <v>109008</v>
      </c>
      <c r="K65" s="257">
        <v>107693</v>
      </c>
      <c r="L65" s="257">
        <v>105498</v>
      </c>
      <c r="M65" s="258">
        <v>101192</v>
      </c>
    </row>
    <row r="66" spans="2:13" x14ac:dyDescent="0.35">
      <c r="B66" s="162" t="s">
        <v>21</v>
      </c>
      <c r="C66" s="182">
        <v>0</v>
      </c>
      <c r="D66" s="159">
        <v>0</v>
      </c>
      <c r="E66" s="182">
        <v>0</v>
      </c>
      <c r="F66" s="182">
        <v>0</v>
      </c>
      <c r="G66" s="159">
        <v>0</v>
      </c>
      <c r="H66" s="24"/>
      <c r="I66" s="257">
        <v>-156499</v>
      </c>
      <c r="J66" s="258">
        <v>-136491</v>
      </c>
      <c r="K66" s="257">
        <v>-83316</v>
      </c>
      <c r="L66" s="257">
        <v>-63404</v>
      </c>
      <c r="M66" s="258">
        <v>-54873</v>
      </c>
    </row>
    <row r="67" spans="2:13" x14ac:dyDescent="0.35">
      <c r="B67" s="162" t="s">
        <v>23</v>
      </c>
      <c r="C67" s="182">
        <f ca="1">D67+C48</f>
        <v>80853.119967103557</v>
      </c>
      <c r="D67" s="159">
        <f ca="1">E67+D48</f>
        <v>60684.297052679343</v>
      </c>
      <c r="E67" s="182">
        <f ca="1">F67+E48</f>
        <v>43131.014361420057</v>
      </c>
      <c r="F67" s="182">
        <f ca="1">G67+F48</f>
        <v>27721.386374378784</v>
      </c>
      <c r="G67" s="159">
        <f ca="1">I67+G48</f>
        <v>60062.887439163766</v>
      </c>
      <c r="H67" s="25"/>
      <c r="I67" s="257">
        <v>159045</v>
      </c>
      <c r="J67" s="258">
        <v>143557</v>
      </c>
      <c r="K67" s="257">
        <v>101556</v>
      </c>
      <c r="L67" s="257">
        <v>63404</v>
      </c>
      <c r="M67" s="258">
        <v>31296</v>
      </c>
    </row>
    <row r="68" spans="2:13" x14ac:dyDescent="0.35">
      <c r="B68" s="162" t="s">
        <v>24</v>
      </c>
      <c r="C68" s="183">
        <f ca="1">C64+C65+C66+C67</f>
        <v>81316.119967103557</v>
      </c>
      <c r="D68" s="180">
        <f ca="1">D64+D65+D66+D67</f>
        <v>61147.297052679343</v>
      </c>
      <c r="E68" s="183">
        <f ca="1">E64+E65+E66+E67</f>
        <v>43594.014361420057</v>
      </c>
      <c r="F68" s="183">
        <f ca="1">F64+F65+F66+F67</f>
        <v>28184.386374378784</v>
      </c>
      <c r="G68" s="180">
        <f ca="1">G64+G65+G66+G67</f>
        <v>60525.887439163766</v>
      </c>
      <c r="H68" s="26"/>
      <c r="I68" s="266">
        <f>I64+I65+I66+I67</f>
        <v>114448</v>
      </c>
      <c r="J68" s="267">
        <v>116535</v>
      </c>
      <c r="K68" s="266">
        <v>126392</v>
      </c>
      <c r="L68" s="266">
        <v>109214</v>
      </c>
      <c r="M68" s="267">
        <v>78067</v>
      </c>
    </row>
    <row r="69" spans="2:13" ht="16" x14ac:dyDescent="0.5">
      <c r="B69" s="170" t="s">
        <v>25</v>
      </c>
      <c r="C69" s="279">
        <f ca="1">C63+C68</f>
        <v>278100.67369603505</v>
      </c>
      <c r="D69" s="280">
        <f ca="1">D63+D68</f>
        <v>256272.86342466745</v>
      </c>
      <c r="E69" s="279">
        <f ca="1">E63+E68</f>
        <v>236155.44595118752</v>
      </c>
      <c r="F69" s="279">
        <f ca="1">F63+F68</f>
        <v>217614.39759265608</v>
      </c>
      <c r="G69" s="280">
        <f ca="1">G63+G68</f>
        <v>200526.19655061961</v>
      </c>
      <c r="H69" s="25"/>
      <c r="I69" s="268">
        <f>I63+I68</f>
        <v>185240</v>
      </c>
      <c r="J69" s="269">
        <f>J63+J68</f>
        <v>189593</v>
      </c>
      <c r="K69" s="268">
        <f>K63+K68</f>
        <v>193577</v>
      </c>
      <c r="L69" s="268">
        <f>L63+L68</f>
        <v>165545</v>
      </c>
      <c r="M69" s="269">
        <f>M63+M68</f>
        <v>150545</v>
      </c>
    </row>
    <row r="70" spans="2:13" s="62" customFormat="1" ht="16" x14ac:dyDescent="0.5">
      <c r="B70" s="153"/>
      <c r="C70" s="171"/>
      <c r="D70" s="171"/>
      <c r="E70" s="171"/>
      <c r="F70" s="171"/>
      <c r="G70" s="166"/>
      <c r="H70" s="25"/>
      <c r="I70" s="172"/>
      <c r="J70" s="172"/>
      <c r="K70" s="172"/>
      <c r="L70" s="172"/>
      <c r="M70" s="169"/>
    </row>
    <row r="71" spans="2:13" x14ac:dyDescent="0.35">
      <c r="B71" s="288" t="s">
        <v>58</v>
      </c>
      <c r="C71" s="289"/>
      <c r="D71" s="289"/>
      <c r="E71" s="289"/>
      <c r="F71" s="289"/>
      <c r="G71" s="290"/>
      <c r="H71" s="25"/>
      <c r="I71" s="139"/>
      <c r="J71" s="139"/>
      <c r="K71" s="139"/>
      <c r="L71" s="139"/>
      <c r="M71" s="141"/>
    </row>
    <row r="72" spans="2:13" s="130" customFormat="1" x14ac:dyDescent="0.35">
      <c r="B72" s="160" t="s">
        <v>2</v>
      </c>
      <c r="C72" s="163">
        <v>2023</v>
      </c>
      <c r="D72" s="165">
        <v>2022</v>
      </c>
      <c r="E72" s="160">
        <v>2021</v>
      </c>
      <c r="F72" s="160">
        <v>2020</v>
      </c>
      <c r="G72" s="158">
        <v>2019</v>
      </c>
      <c r="H72" s="54"/>
      <c r="I72" s="137"/>
      <c r="J72" s="137"/>
      <c r="K72" s="137"/>
      <c r="L72" s="137"/>
      <c r="M72" s="137"/>
    </row>
    <row r="73" spans="2:13" s="130" customFormat="1" x14ac:dyDescent="0.35">
      <c r="B73" s="161"/>
      <c r="C73" s="175" t="s">
        <v>3</v>
      </c>
      <c r="D73" s="176" t="s">
        <v>3</v>
      </c>
      <c r="E73" s="177" t="s">
        <v>3</v>
      </c>
      <c r="F73" s="178" t="s">
        <v>3</v>
      </c>
      <c r="G73" s="177" t="s">
        <v>3</v>
      </c>
      <c r="H73" s="55"/>
      <c r="I73" s="240"/>
      <c r="J73" s="240"/>
      <c r="K73" s="240"/>
      <c r="L73" s="240"/>
      <c r="M73" s="240"/>
    </row>
    <row r="74" spans="2:13" x14ac:dyDescent="0.35">
      <c r="B74" s="173" t="s">
        <v>59</v>
      </c>
      <c r="C74" s="281">
        <f>C58+C57</f>
        <v>278563.67369603505</v>
      </c>
      <c r="D74" s="281">
        <f>D58+D57</f>
        <v>256735.86342466745</v>
      </c>
      <c r="E74" s="281">
        <f>E58+E57</f>
        <v>236618.44595118752</v>
      </c>
      <c r="F74" s="281">
        <f>F58+F57</f>
        <v>218077.39759265608</v>
      </c>
      <c r="G74" s="159">
        <f>G58+G57</f>
        <v>200989.19655061961</v>
      </c>
      <c r="H74" s="29"/>
      <c r="I74" s="135"/>
      <c r="J74" s="135"/>
      <c r="K74" s="135"/>
      <c r="L74" s="135"/>
      <c r="M74" s="140"/>
    </row>
    <row r="75" spans="2:13" x14ac:dyDescent="0.35">
      <c r="B75" s="173" t="s">
        <v>60</v>
      </c>
      <c r="C75" s="281">
        <f ca="1">C61+C64+C68</f>
        <v>188236.03849598346</v>
      </c>
      <c r="D75" s="281">
        <f t="shared" ref="D75:F75" ca="1" si="6">D61+D64+D68</f>
        <v>159725.41929171552</v>
      </c>
      <c r="E75" s="281">
        <f t="shared" ca="1" si="6"/>
        <v>134483.99031573051</v>
      </c>
      <c r="F75" s="281">
        <f t="shared" ca="1" si="6"/>
        <v>111988.64706526256</v>
      </c>
      <c r="G75" s="159">
        <f ca="1">G61+G64+G68</f>
        <v>137799.65834291815</v>
      </c>
      <c r="H75" s="29"/>
      <c r="I75" s="135"/>
      <c r="J75" s="135"/>
      <c r="K75" s="135"/>
      <c r="L75" s="135"/>
      <c r="M75" s="140"/>
    </row>
    <row r="76" spans="2:13" ht="16" x14ac:dyDescent="0.5">
      <c r="B76" s="174" t="s">
        <v>61</v>
      </c>
      <c r="C76" s="282">
        <f ca="1">C74-C75</f>
        <v>90327.635200051591</v>
      </c>
      <c r="D76" s="283">
        <f ca="1">D74-D75</f>
        <v>97010.444132951932</v>
      </c>
      <c r="E76" s="283">
        <f ca="1">E74-E75</f>
        <v>102134.45563545701</v>
      </c>
      <c r="F76" s="283">
        <f ca="1">F74-F75</f>
        <v>106088.75052739352</v>
      </c>
      <c r="G76" s="284">
        <f ca="1">G74-G75</f>
        <v>63189.538207701466</v>
      </c>
      <c r="H76" s="29"/>
      <c r="I76" s="135"/>
      <c r="J76" s="135"/>
      <c r="K76" s="135"/>
      <c r="L76" s="135"/>
      <c r="M76" s="140"/>
    </row>
    <row r="77" spans="2:13" x14ac:dyDescent="0.35">
      <c r="B77" s="16"/>
      <c r="C77" s="16"/>
      <c r="D77" s="9"/>
      <c r="E77" s="9"/>
      <c r="F77" s="9"/>
      <c r="G77" s="9"/>
      <c r="H77" s="129"/>
      <c r="I77" s="9"/>
      <c r="J77" s="62"/>
      <c r="K77" s="62"/>
      <c r="L77" s="62"/>
      <c r="M77" s="62"/>
    </row>
    <row r="78" spans="2:13" x14ac:dyDescent="0.35">
      <c r="B78" s="62"/>
      <c r="C78" s="62"/>
      <c r="D78" s="62"/>
      <c r="E78" s="62"/>
      <c r="F78" s="62"/>
      <c r="G78" s="62"/>
      <c r="H78" s="129"/>
      <c r="I78" s="62"/>
      <c r="J78" s="62"/>
      <c r="K78" s="62"/>
      <c r="L78" s="62"/>
      <c r="M78" s="62"/>
    </row>
    <row r="79" spans="2:13" x14ac:dyDescent="0.35">
      <c r="B79" s="62"/>
      <c r="C79" s="62"/>
      <c r="D79" s="193"/>
      <c r="E79" s="62"/>
      <c r="F79" s="62"/>
      <c r="G79" s="62"/>
      <c r="I79" s="62"/>
      <c r="J79" s="62"/>
      <c r="K79" s="62"/>
      <c r="L79" s="62"/>
      <c r="M79" s="62"/>
    </row>
    <row r="81" spans="8:10" x14ac:dyDescent="0.35">
      <c r="H81" s="14"/>
      <c r="I81" s="62"/>
      <c r="J81" s="62"/>
    </row>
    <row r="83" spans="8:10" x14ac:dyDescent="0.35">
      <c r="H83" s="124"/>
      <c r="I83" s="62"/>
      <c r="J83" s="62"/>
    </row>
    <row r="85" spans="8:10" x14ac:dyDescent="0.35">
      <c r="H85" s="14"/>
      <c r="I85" s="62"/>
      <c r="J85" s="14"/>
    </row>
    <row r="87" spans="8:10" x14ac:dyDescent="0.35">
      <c r="H87" s="124"/>
      <c r="I87" s="62"/>
      <c r="J87" s="62"/>
    </row>
    <row r="89" spans="8:10" x14ac:dyDescent="0.35">
      <c r="H89" s="125"/>
      <c r="I89" s="62"/>
      <c r="J89" s="62"/>
    </row>
  </sheetData>
  <dataConsolidate/>
  <mergeCells count="7">
    <mergeCell ref="B71:G71"/>
    <mergeCell ref="C32:G32"/>
    <mergeCell ref="I32:M32"/>
    <mergeCell ref="B53:G53"/>
    <mergeCell ref="I54:M54"/>
    <mergeCell ref="B54:G54"/>
    <mergeCell ref="I53:M53"/>
  </mergeCells>
  <pageMargins left="0.7" right="0.7" top="0.75" bottom="0.75" header="0.3" footer="0.3"/>
  <pageSetup orientation="portrait" r:id="rId1"/>
  <ignoredErrors>
    <ignoredError sqref="C37:G37 C38:G38 C47:G47" formula="1"/>
  </ignoredErrors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EF76-4246-4E50-A67A-32BA832345AC}">
  <dimension ref="A1:E23"/>
  <sheetViews>
    <sheetView workbookViewId="0"/>
  </sheetViews>
  <sheetFormatPr defaultRowHeight="14.5" x14ac:dyDescent="0.35"/>
  <cols>
    <col min="1" max="1" width="38.1796875" customWidth="1"/>
    <col min="2" max="2" width="28.81640625" customWidth="1"/>
    <col min="3" max="3" width="21.54296875" customWidth="1"/>
    <col min="4" max="4" width="24.1796875" customWidth="1"/>
    <col min="5" max="5" width="33.453125" customWidth="1"/>
  </cols>
  <sheetData>
    <row r="1" spans="1:5" x14ac:dyDescent="0.35">
      <c r="A1" s="62" t="s">
        <v>279</v>
      </c>
      <c r="B1" s="62">
        <v>2019</v>
      </c>
      <c r="C1" s="62">
        <v>2018</v>
      </c>
      <c r="D1" s="62">
        <v>2017</v>
      </c>
      <c r="E1" s="62">
        <v>2016</v>
      </c>
    </row>
    <row r="2" spans="1:5" x14ac:dyDescent="0.35">
      <c r="A2" s="62" t="s">
        <v>280</v>
      </c>
      <c r="B2" s="194">
        <v>4035720</v>
      </c>
      <c r="C2" s="194">
        <v>3795549</v>
      </c>
      <c r="D2" s="194">
        <v>3609865</v>
      </c>
      <c r="E2" s="194">
        <v>3521848</v>
      </c>
    </row>
    <row r="3" spans="1:5" x14ac:dyDescent="0.35">
      <c r="A3" s="62" t="s">
        <v>281</v>
      </c>
      <c r="B3" s="194">
        <v>2548082</v>
      </c>
      <c r="C3" s="194">
        <v>2425044</v>
      </c>
      <c r="D3" s="194">
        <v>2242938</v>
      </c>
      <c r="E3" s="194">
        <v>2219114</v>
      </c>
    </row>
    <row r="4" spans="1:5" x14ac:dyDescent="0.35">
      <c r="A4" s="62" t="s">
        <v>282</v>
      </c>
      <c r="B4" s="194">
        <v>1487638</v>
      </c>
      <c r="C4" s="194">
        <v>1370505</v>
      </c>
      <c r="D4" s="194">
        <v>1366927</v>
      </c>
      <c r="E4" s="194">
        <v>1302734</v>
      </c>
    </row>
    <row r="5" spans="1:5" x14ac:dyDescent="0.35">
      <c r="A5" s="62" t="s">
        <v>283</v>
      </c>
      <c r="B5" s="62"/>
      <c r="C5" s="62"/>
      <c r="D5" s="62"/>
      <c r="E5" s="62"/>
    </row>
    <row r="6" spans="1:5" x14ac:dyDescent="0.35">
      <c r="A6" s="62" t="s">
        <v>284</v>
      </c>
      <c r="B6" s="62" t="s">
        <v>285</v>
      </c>
      <c r="C6" s="62" t="s">
        <v>285</v>
      </c>
      <c r="D6" s="62" t="s">
        <v>285</v>
      </c>
      <c r="E6" s="62" t="s">
        <v>285</v>
      </c>
    </row>
    <row r="7" spans="1:5" x14ac:dyDescent="0.35">
      <c r="A7" s="62" t="s">
        <v>286</v>
      </c>
      <c r="B7" s="194">
        <v>980610</v>
      </c>
      <c r="C7" s="194">
        <v>879685</v>
      </c>
      <c r="D7" s="194">
        <v>857562</v>
      </c>
      <c r="E7" s="194">
        <v>834700</v>
      </c>
    </row>
    <row r="8" spans="1:5" x14ac:dyDescent="0.35">
      <c r="A8" s="62" t="s">
        <v>287</v>
      </c>
      <c r="B8" s="194">
        <v>1148941</v>
      </c>
      <c r="C8" s="194">
        <v>1047106</v>
      </c>
      <c r="D8" s="194">
        <v>1014285</v>
      </c>
      <c r="E8" s="194">
        <v>982856</v>
      </c>
    </row>
    <row r="9" spans="1:5" x14ac:dyDescent="0.35">
      <c r="A9" s="62" t="s">
        <v>288</v>
      </c>
      <c r="B9" s="194">
        <v>338697</v>
      </c>
      <c r="C9" s="194">
        <v>323399</v>
      </c>
      <c r="D9" s="194">
        <v>352642</v>
      </c>
      <c r="E9" s="194">
        <v>319878</v>
      </c>
    </row>
    <row r="10" spans="1:5" x14ac:dyDescent="0.35">
      <c r="A10" s="62" t="s">
        <v>289</v>
      </c>
      <c r="B10" s="62" t="s">
        <v>285</v>
      </c>
      <c r="C10" s="62" t="s">
        <v>285</v>
      </c>
      <c r="D10" s="62" t="s">
        <v>285</v>
      </c>
      <c r="E10" s="62" t="s">
        <v>285</v>
      </c>
    </row>
    <row r="11" spans="1:5" x14ac:dyDescent="0.35">
      <c r="A11" s="62" t="s">
        <v>290</v>
      </c>
      <c r="B11" s="194">
        <v>6403</v>
      </c>
      <c r="C11" s="194">
        <v>-36226</v>
      </c>
      <c r="D11" s="194">
        <v>-17380</v>
      </c>
      <c r="E11" s="194">
        <v>1993</v>
      </c>
    </row>
    <row r="12" spans="1:5" x14ac:dyDescent="0.35">
      <c r="A12" s="62" t="s">
        <v>291</v>
      </c>
      <c r="B12" s="194">
        <v>345100</v>
      </c>
      <c r="C12" s="194">
        <v>287173</v>
      </c>
      <c r="D12" s="194">
        <v>335262</v>
      </c>
      <c r="E12" s="194">
        <v>321871</v>
      </c>
    </row>
    <row r="13" spans="1:5" x14ac:dyDescent="0.35">
      <c r="A13" s="62" t="s">
        <v>166</v>
      </c>
      <c r="B13" s="194">
        <v>83198</v>
      </c>
      <c r="C13" s="194">
        <v>83010</v>
      </c>
      <c r="D13" s="194">
        <v>122813</v>
      </c>
      <c r="E13" s="194">
        <v>108580</v>
      </c>
    </row>
    <row r="14" spans="1:5" x14ac:dyDescent="0.35">
      <c r="A14" s="62" t="s">
        <v>292</v>
      </c>
      <c r="B14" s="194">
        <v>261902</v>
      </c>
      <c r="C14" s="194">
        <v>204163</v>
      </c>
      <c r="D14" s="194">
        <v>212449</v>
      </c>
      <c r="E14" s="194">
        <v>213291</v>
      </c>
    </row>
    <row r="15" spans="1:5" x14ac:dyDescent="0.35">
      <c r="A15" s="62" t="s">
        <v>22</v>
      </c>
      <c r="B15" s="194">
        <v>261902</v>
      </c>
      <c r="C15" s="194">
        <v>204163</v>
      </c>
      <c r="D15" s="194">
        <v>212449</v>
      </c>
      <c r="E15" s="194">
        <v>218138</v>
      </c>
    </row>
    <row r="16" spans="1:5" x14ac:dyDescent="0.35">
      <c r="A16" s="62" t="s">
        <v>293</v>
      </c>
      <c r="B16" s="194">
        <v>261902</v>
      </c>
      <c r="C16" s="194">
        <v>204163</v>
      </c>
      <c r="D16" s="194">
        <v>212449</v>
      </c>
      <c r="E16" s="194">
        <v>218138</v>
      </c>
    </row>
    <row r="17" spans="1:5" x14ac:dyDescent="0.35">
      <c r="A17" s="62" t="s">
        <v>294</v>
      </c>
      <c r="B17" s="62"/>
      <c r="C17" s="62"/>
      <c r="D17" s="62"/>
      <c r="E17" s="62"/>
    </row>
    <row r="18" spans="1:5" x14ac:dyDescent="0.35">
      <c r="A18" s="62" t="s">
        <v>295</v>
      </c>
      <c r="B18" s="62">
        <v>1.48</v>
      </c>
      <c r="C18" s="62">
        <v>1.1499999999999999</v>
      </c>
      <c r="D18" s="62">
        <v>1.17</v>
      </c>
      <c r="E18" s="62">
        <v>1.1200000000000001</v>
      </c>
    </row>
    <row r="19" spans="1:5" x14ac:dyDescent="0.35">
      <c r="A19" s="62" t="s">
        <v>296</v>
      </c>
      <c r="B19" s="62">
        <v>1.47</v>
      </c>
      <c r="C19" s="62">
        <v>1.1299999999999999</v>
      </c>
      <c r="D19" s="62">
        <v>1.1599999999999999</v>
      </c>
      <c r="E19" s="62">
        <v>1.1100000000000001</v>
      </c>
    </row>
    <row r="20" spans="1:5" x14ac:dyDescent="0.35">
      <c r="A20" s="62" t="s">
        <v>297</v>
      </c>
      <c r="B20" s="62"/>
      <c r="C20" s="62"/>
      <c r="D20" s="62"/>
      <c r="E20" s="62"/>
    </row>
    <row r="21" spans="1:5" x14ac:dyDescent="0.35">
      <c r="A21" s="62" t="s">
        <v>295</v>
      </c>
      <c r="B21" s="194">
        <v>176476</v>
      </c>
      <c r="C21" s="194">
        <v>177938</v>
      </c>
      <c r="D21" s="194">
        <v>181429</v>
      </c>
      <c r="E21" s="194">
        <v>194351</v>
      </c>
    </row>
    <row r="22" spans="1:5" x14ac:dyDescent="0.35">
      <c r="A22" s="62" t="s">
        <v>296</v>
      </c>
      <c r="B22" s="194">
        <v>178035</v>
      </c>
      <c r="C22" s="194">
        <v>180156</v>
      </c>
      <c r="D22" s="194">
        <v>183835</v>
      </c>
      <c r="E22" s="194">
        <v>196237</v>
      </c>
    </row>
    <row r="23" spans="1:5" x14ac:dyDescent="0.35">
      <c r="A23" s="62" t="s">
        <v>298</v>
      </c>
      <c r="B23" s="194">
        <v>507028</v>
      </c>
      <c r="C23" s="194">
        <v>490820</v>
      </c>
      <c r="D23" s="194">
        <v>510816</v>
      </c>
      <c r="E23" s="194">
        <v>468034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C770-12F1-4134-BBC8-ED8D69EE7DCA}">
  <dimension ref="A1:E45"/>
  <sheetViews>
    <sheetView workbookViewId="0"/>
  </sheetViews>
  <sheetFormatPr defaultRowHeight="14.5" x14ac:dyDescent="0.35"/>
  <cols>
    <col min="1" max="1" width="35.81640625" customWidth="1"/>
    <col min="2" max="2" width="29.7265625" customWidth="1"/>
    <col min="3" max="3" width="17.81640625" customWidth="1"/>
    <col min="4" max="4" width="18.453125" customWidth="1"/>
    <col min="5" max="5" width="31" customWidth="1"/>
  </cols>
  <sheetData>
    <row r="1" spans="1:5" x14ac:dyDescent="0.35">
      <c r="A1" s="62" t="s">
        <v>299</v>
      </c>
      <c r="B1" s="62">
        <v>2019</v>
      </c>
      <c r="C1" s="62">
        <v>2018</v>
      </c>
      <c r="D1" s="62">
        <v>2017</v>
      </c>
      <c r="E1" s="62">
        <v>2016</v>
      </c>
    </row>
    <row r="2" spans="1:5" x14ac:dyDescent="0.35">
      <c r="A2" s="62" t="s">
        <v>300</v>
      </c>
      <c r="B2" s="62"/>
      <c r="C2" s="62"/>
      <c r="D2" s="62"/>
      <c r="E2" s="62"/>
    </row>
    <row r="3" spans="1:5" x14ac:dyDescent="0.35">
      <c r="A3" s="62" t="s">
        <v>301</v>
      </c>
      <c r="B3" s="62"/>
      <c r="C3" s="62"/>
      <c r="D3" s="62"/>
      <c r="E3" s="62"/>
    </row>
    <row r="4" spans="1:5" x14ac:dyDescent="0.35">
      <c r="A4" s="62" t="s">
        <v>302</v>
      </c>
      <c r="B4" s="62"/>
      <c r="C4" s="62"/>
      <c r="D4" s="62"/>
      <c r="E4" s="62"/>
    </row>
    <row r="5" spans="1:5" x14ac:dyDescent="0.35">
      <c r="A5" s="62" t="s">
        <v>303</v>
      </c>
      <c r="B5" s="194">
        <v>333330</v>
      </c>
      <c r="C5" s="194">
        <v>413613</v>
      </c>
      <c r="D5" s="194">
        <v>378613</v>
      </c>
      <c r="E5" s="194">
        <v>260067</v>
      </c>
    </row>
    <row r="6" spans="1:5" x14ac:dyDescent="0.35">
      <c r="A6" s="62" t="s">
        <v>304</v>
      </c>
      <c r="B6" s="194">
        <v>92135</v>
      </c>
      <c r="C6" s="62" t="s">
        <v>285</v>
      </c>
      <c r="D6" s="62" t="s">
        <v>285</v>
      </c>
      <c r="E6" s="62" t="s">
        <v>285</v>
      </c>
    </row>
    <row r="7" spans="1:5" x14ac:dyDescent="0.35">
      <c r="A7" s="62" t="s">
        <v>305</v>
      </c>
      <c r="B7" s="194">
        <v>425465</v>
      </c>
      <c r="C7" s="194">
        <v>413613</v>
      </c>
      <c r="D7" s="194">
        <v>378613</v>
      </c>
      <c r="E7" s="194">
        <v>260067</v>
      </c>
    </row>
    <row r="8" spans="1:5" x14ac:dyDescent="0.35">
      <c r="A8" s="62" t="s">
        <v>306</v>
      </c>
      <c r="B8" s="194">
        <v>93477</v>
      </c>
      <c r="C8" s="194">
        <v>78304</v>
      </c>
      <c r="D8" s="194">
        <v>62639</v>
      </c>
      <c r="E8" s="194">
        <v>80912</v>
      </c>
    </row>
    <row r="9" spans="1:5" x14ac:dyDescent="0.35">
      <c r="A9" s="62" t="s">
        <v>307</v>
      </c>
      <c r="B9" s="194">
        <v>424404</v>
      </c>
      <c r="C9" s="194">
        <v>398213</v>
      </c>
      <c r="D9" s="194">
        <v>358446</v>
      </c>
      <c r="E9" s="194">
        <v>305178</v>
      </c>
    </row>
    <row r="10" spans="1:5" x14ac:dyDescent="0.35">
      <c r="A10" s="62" t="s">
        <v>308</v>
      </c>
      <c r="B10" s="62" t="s">
        <v>285</v>
      </c>
      <c r="C10" s="62">
        <v>0</v>
      </c>
      <c r="D10" s="62">
        <v>0</v>
      </c>
      <c r="E10" s="62">
        <v>0</v>
      </c>
    </row>
    <row r="11" spans="1:5" x14ac:dyDescent="0.35">
      <c r="A11" s="62" t="s">
        <v>309</v>
      </c>
      <c r="B11" s="194">
        <v>1046253</v>
      </c>
      <c r="C11" s="194">
        <v>968530</v>
      </c>
      <c r="D11" s="194">
        <v>901229</v>
      </c>
      <c r="E11" s="194">
        <v>723375</v>
      </c>
    </row>
    <row r="12" spans="1:5" x14ac:dyDescent="0.35">
      <c r="A12" s="62" t="s">
        <v>310</v>
      </c>
      <c r="B12" s="62"/>
      <c r="C12" s="62"/>
      <c r="D12" s="62"/>
      <c r="E12" s="62"/>
    </row>
    <row r="13" spans="1:5" x14ac:dyDescent="0.35">
      <c r="A13" s="62" t="s">
        <v>311</v>
      </c>
      <c r="B13" s="62"/>
      <c r="C13" s="62"/>
      <c r="D13" s="62"/>
      <c r="E13" s="62"/>
    </row>
    <row r="14" spans="1:5" x14ac:dyDescent="0.35">
      <c r="A14" s="62" t="s">
        <v>312</v>
      </c>
      <c r="B14" s="194">
        <v>2180850</v>
      </c>
      <c r="C14" s="194">
        <v>2023875</v>
      </c>
      <c r="D14" s="194">
        <v>1884297</v>
      </c>
      <c r="E14" s="194">
        <v>1792382</v>
      </c>
    </row>
    <row r="15" spans="1:5" x14ac:dyDescent="0.35">
      <c r="A15" s="62" t="s">
        <v>313</v>
      </c>
      <c r="B15" s="194">
        <v>-1438701</v>
      </c>
      <c r="C15" s="194">
        <v>-1299636</v>
      </c>
      <c r="D15" s="194">
        <v>-1176500</v>
      </c>
      <c r="E15" s="194">
        <v>-1088796</v>
      </c>
    </row>
    <row r="16" spans="1:5" x14ac:dyDescent="0.35">
      <c r="A16" s="62" t="s">
        <v>314</v>
      </c>
      <c r="B16" s="194">
        <v>742149</v>
      </c>
      <c r="C16" s="194">
        <v>724239</v>
      </c>
      <c r="D16" s="194">
        <v>707797</v>
      </c>
      <c r="E16" s="194">
        <v>703586</v>
      </c>
    </row>
    <row r="17" spans="1:5" x14ac:dyDescent="0.35">
      <c r="A17" s="62" t="s">
        <v>315</v>
      </c>
      <c r="B17" s="62" t="s">
        <v>285</v>
      </c>
      <c r="C17" s="62" t="s">
        <v>285</v>
      </c>
      <c r="D17" s="62" t="s">
        <v>285</v>
      </c>
      <c r="E17" s="62" t="s">
        <v>285</v>
      </c>
    </row>
    <row r="18" spans="1:5" x14ac:dyDescent="0.35">
      <c r="A18" s="62" t="s">
        <v>316</v>
      </c>
      <c r="B18" s="194">
        <v>14899</v>
      </c>
      <c r="C18" s="194">
        <v>15070</v>
      </c>
      <c r="D18" s="194">
        <v>14887</v>
      </c>
      <c r="E18" s="194">
        <v>17186</v>
      </c>
    </row>
    <row r="19" spans="1:5" x14ac:dyDescent="0.35">
      <c r="A19" s="62" t="s">
        <v>317</v>
      </c>
      <c r="B19" s="194">
        <v>43268</v>
      </c>
      <c r="C19" s="194">
        <v>46666</v>
      </c>
      <c r="D19" s="194">
        <v>49373</v>
      </c>
      <c r="E19" s="194">
        <v>51832</v>
      </c>
    </row>
    <row r="20" spans="1:5" x14ac:dyDescent="0.35">
      <c r="A20" s="62" t="s">
        <v>318</v>
      </c>
      <c r="B20" s="194">
        <v>42747</v>
      </c>
      <c r="C20" s="194">
        <v>52464</v>
      </c>
      <c r="D20" s="194">
        <v>60124</v>
      </c>
      <c r="E20" s="194">
        <v>51340</v>
      </c>
    </row>
    <row r="21" spans="1:5" x14ac:dyDescent="0.35">
      <c r="A21" s="62" t="s">
        <v>319</v>
      </c>
      <c r="B21" s="194">
        <v>857125</v>
      </c>
      <c r="C21" s="194">
        <v>847783</v>
      </c>
      <c r="D21" s="194">
        <v>881431</v>
      </c>
      <c r="E21" s="194">
        <v>888871</v>
      </c>
    </row>
    <row r="22" spans="1:5" x14ac:dyDescent="0.35">
      <c r="A22" s="62" t="s">
        <v>320</v>
      </c>
      <c r="B22" s="194">
        <v>1903378</v>
      </c>
      <c r="C22" s="194">
        <v>1816313</v>
      </c>
      <c r="D22" s="194">
        <v>1782660</v>
      </c>
      <c r="E22" s="194">
        <v>1612246</v>
      </c>
    </row>
    <row r="23" spans="1:5" x14ac:dyDescent="0.35">
      <c r="A23" s="62" t="s">
        <v>321</v>
      </c>
      <c r="B23" s="62"/>
      <c r="C23" s="62"/>
      <c r="D23" s="62"/>
      <c r="E23" s="62"/>
    </row>
    <row r="24" spans="1:5" x14ac:dyDescent="0.35">
      <c r="A24" s="62" t="s">
        <v>322</v>
      </c>
      <c r="B24" s="62"/>
      <c r="C24" s="62"/>
      <c r="D24" s="62"/>
      <c r="E24" s="62"/>
    </row>
    <row r="25" spans="1:5" x14ac:dyDescent="0.35">
      <c r="A25" s="62" t="s">
        <v>11</v>
      </c>
      <c r="B25" s="62"/>
      <c r="C25" s="62"/>
      <c r="D25" s="62"/>
      <c r="E25" s="62"/>
    </row>
    <row r="26" spans="1:5" x14ac:dyDescent="0.35">
      <c r="A26" s="62" t="s">
        <v>280</v>
      </c>
      <c r="B26" s="62" t="s">
        <v>285</v>
      </c>
      <c r="C26" s="62" t="s">
        <v>285</v>
      </c>
      <c r="D26" s="62" t="s">
        <v>285</v>
      </c>
      <c r="E26" s="62" t="s">
        <v>285</v>
      </c>
    </row>
    <row r="27" spans="1:5" x14ac:dyDescent="0.35">
      <c r="A27" s="62" t="s">
        <v>323</v>
      </c>
      <c r="B27" s="194">
        <v>240671</v>
      </c>
      <c r="C27" s="194">
        <v>236703</v>
      </c>
      <c r="D27" s="194">
        <v>246204</v>
      </c>
      <c r="E27" s="194">
        <v>182789</v>
      </c>
    </row>
    <row r="28" spans="1:5" x14ac:dyDescent="0.35">
      <c r="A28" s="62" t="s">
        <v>324</v>
      </c>
      <c r="B28" s="62" t="s">
        <v>285</v>
      </c>
      <c r="C28" s="62" t="s">
        <v>285</v>
      </c>
      <c r="D28" s="62" t="s">
        <v>285</v>
      </c>
      <c r="E28" s="194">
        <v>22223</v>
      </c>
    </row>
    <row r="29" spans="1:5" x14ac:dyDescent="0.35">
      <c r="A29" s="62" t="s">
        <v>325</v>
      </c>
      <c r="B29" s="194">
        <v>89076</v>
      </c>
      <c r="C29" s="194">
        <v>83312</v>
      </c>
      <c r="D29" s="194">
        <v>78619</v>
      </c>
      <c r="E29" s="194">
        <v>77482</v>
      </c>
    </row>
    <row r="30" spans="1:5" x14ac:dyDescent="0.35">
      <c r="A30" s="62" t="s">
        <v>326</v>
      </c>
      <c r="B30" s="194">
        <v>53997</v>
      </c>
      <c r="C30" s="194">
        <v>52347</v>
      </c>
      <c r="D30" s="194">
        <v>52966</v>
      </c>
      <c r="E30" s="194">
        <v>48274</v>
      </c>
    </row>
    <row r="31" spans="1:5" x14ac:dyDescent="0.35">
      <c r="A31" s="62" t="s">
        <v>327</v>
      </c>
      <c r="B31" s="194">
        <v>46690</v>
      </c>
      <c r="C31" s="194">
        <v>34551</v>
      </c>
      <c r="D31" s="194">
        <v>36810</v>
      </c>
      <c r="E31" s="194">
        <v>40901</v>
      </c>
    </row>
    <row r="32" spans="1:5" x14ac:dyDescent="0.35">
      <c r="A32" s="62" t="s">
        <v>328</v>
      </c>
      <c r="B32" s="194">
        <v>542645</v>
      </c>
      <c r="C32" s="194">
        <v>485221</v>
      </c>
      <c r="D32" s="194">
        <v>493783</v>
      </c>
      <c r="E32" s="194">
        <v>463682</v>
      </c>
    </row>
    <row r="33" spans="1:5" x14ac:dyDescent="0.35">
      <c r="A33" s="62" t="s">
        <v>329</v>
      </c>
      <c r="B33" s="62"/>
      <c r="C33" s="62"/>
      <c r="D33" s="62"/>
      <c r="E33" s="62"/>
    </row>
    <row r="34" spans="1:5" x14ac:dyDescent="0.35">
      <c r="A34" s="62" t="s">
        <v>330</v>
      </c>
      <c r="B34" s="62" t="s">
        <v>285</v>
      </c>
      <c r="C34" s="62" t="s">
        <v>285</v>
      </c>
      <c r="D34" s="62" t="s">
        <v>285</v>
      </c>
      <c r="E34" s="62" t="s">
        <v>285</v>
      </c>
    </row>
    <row r="35" spans="1:5" x14ac:dyDescent="0.35">
      <c r="A35" s="62" t="s">
        <v>331</v>
      </c>
      <c r="B35" s="62" t="s">
        <v>285</v>
      </c>
      <c r="C35" s="62" t="s">
        <v>285</v>
      </c>
      <c r="D35" s="62" t="s">
        <v>285</v>
      </c>
      <c r="E35" s="62" t="s">
        <v>285</v>
      </c>
    </row>
    <row r="36" spans="1:5" x14ac:dyDescent="0.35">
      <c r="A36" s="62" t="s">
        <v>326</v>
      </c>
      <c r="B36" s="62" t="s">
        <v>285</v>
      </c>
      <c r="C36" s="62" t="s">
        <v>285</v>
      </c>
      <c r="D36" s="62" t="s">
        <v>285</v>
      </c>
      <c r="E36" s="62" t="s">
        <v>285</v>
      </c>
    </row>
    <row r="37" spans="1:5" x14ac:dyDescent="0.35">
      <c r="A37" s="62" t="s">
        <v>332</v>
      </c>
      <c r="B37" s="194">
        <v>22254</v>
      </c>
      <c r="C37" s="194">
        <v>29055</v>
      </c>
      <c r="D37" s="194">
        <v>34657</v>
      </c>
      <c r="E37" s="194">
        <v>42518</v>
      </c>
    </row>
    <row r="38" spans="1:5" x14ac:dyDescent="0.35">
      <c r="A38" s="62" t="s">
        <v>333</v>
      </c>
      <c r="B38" s="194">
        <v>73178</v>
      </c>
      <c r="C38" s="194">
        <v>84301</v>
      </c>
      <c r="D38" s="194">
        <v>84308</v>
      </c>
      <c r="E38" s="194">
        <v>97188</v>
      </c>
    </row>
    <row r="39" spans="1:5" x14ac:dyDescent="0.35">
      <c r="A39" s="62" t="s">
        <v>15</v>
      </c>
      <c r="B39" s="194">
        <v>615823</v>
      </c>
      <c r="C39" s="194">
        <v>569522</v>
      </c>
      <c r="D39" s="194">
        <v>578091</v>
      </c>
      <c r="E39" s="194">
        <v>560870</v>
      </c>
    </row>
    <row r="40" spans="1:5" x14ac:dyDescent="0.35">
      <c r="A40" s="62" t="s">
        <v>334</v>
      </c>
      <c r="B40" s="62"/>
      <c r="C40" s="62"/>
      <c r="D40" s="62"/>
      <c r="E40" s="62"/>
    </row>
    <row r="41" spans="1:5" x14ac:dyDescent="0.35">
      <c r="A41" s="62" t="s">
        <v>17</v>
      </c>
      <c r="B41" s="194">
        <v>2496</v>
      </c>
      <c r="C41" s="194">
        <v>2496</v>
      </c>
      <c r="D41" s="194">
        <v>2496</v>
      </c>
      <c r="E41" s="194">
        <v>2496</v>
      </c>
    </row>
    <row r="42" spans="1:5" x14ac:dyDescent="0.35">
      <c r="A42" s="62" t="s">
        <v>23</v>
      </c>
      <c r="B42" s="194">
        <v>2054654</v>
      </c>
      <c r="C42" s="194">
        <v>1883592</v>
      </c>
      <c r="D42" s="194">
        <v>1775775</v>
      </c>
      <c r="E42" s="194">
        <v>1659267</v>
      </c>
    </row>
    <row r="43" spans="1:5" x14ac:dyDescent="0.35">
      <c r="A43" s="62" t="s">
        <v>335</v>
      </c>
      <c r="B43" s="194">
        <v>-34832</v>
      </c>
      <c r="C43" s="194">
        <v>-30795</v>
      </c>
      <c r="D43" s="194">
        <v>-36462</v>
      </c>
      <c r="E43" s="194">
        <v>-29868</v>
      </c>
    </row>
    <row r="44" spans="1:5" x14ac:dyDescent="0.35">
      <c r="A44" s="62" t="s">
        <v>336</v>
      </c>
      <c r="B44" s="194">
        <v>1287555</v>
      </c>
      <c r="C44" s="194">
        <v>1246791</v>
      </c>
      <c r="D44" s="194">
        <v>1204569</v>
      </c>
      <c r="E44" s="194">
        <v>1051376</v>
      </c>
    </row>
    <row r="45" spans="1:5" x14ac:dyDescent="0.35">
      <c r="A45" s="62" t="s">
        <v>337</v>
      </c>
      <c r="B45" s="194">
        <v>1903378</v>
      </c>
      <c r="C45" s="194">
        <v>1816313</v>
      </c>
      <c r="D45" s="194">
        <v>1782660</v>
      </c>
      <c r="E45" s="194">
        <v>1612246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F8DF-BB84-4B4D-BDE9-2F6C879FCD32}">
  <sheetPr>
    <tabColor theme="4" tint="-0.249977111117893"/>
  </sheetPr>
  <dimension ref="B2:H17"/>
  <sheetViews>
    <sheetView workbookViewId="0">
      <selection activeCell="D10" sqref="D10"/>
    </sheetView>
  </sheetViews>
  <sheetFormatPr defaultRowHeight="14.5" x14ac:dyDescent="0.35"/>
  <cols>
    <col min="2" max="2" width="21.54296875" customWidth="1"/>
    <col min="3" max="3" width="34" customWidth="1"/>
    <col min="4" max="4" width="16.26953125" customWidth="1"/>
    <col min="5" max="8" width="10.453125" bestFit="1" customWidth="1"/>
  </cols>
  <sheetData>
    <row r="2" spans="2:8" x14ac:dyDescent="0.35">
      <c r="B2" s="126" t="s">
        <v>338</v>
      </c>
      <c r="C2" s="127" t="s">
        <v>339</v>
      </c>
      <c r="D2" s="127" t="s">
        <v>340</v>
      </c>
      <c r="E2" s="127" t="s">
        <v>341</v>
      </c>
      <c r="F2" s="127" t="s">
        <v>342</v>
      </c>
      <c r="G2" s="127" t="s">
        <v>343</v>
      </c>
      <c r="H2" s="128" t="s">
        <v>344</v>
      </c>
    </row>
    <row r="3" spans="2:8" x14ac:dyDescent="0.35">
      <c r="B3" s="123" t="s">
        <v>345</v>
      </c>
      <c r="C3" s="117"/>
      <c r="D3" s="87"/>
      <c r="E3" s="118"/>
      <c r="F3" s="87"/>
      <c r="G3" s="87"/>
      <c r="H3" s="30"/>
    </row>
    <row r="4" spans="2:8" x14ac:dyDescent="0.35">
      <c r="B4" s="87" t="s">
        <v>346</v>
      </c>
      <c r="C4" s="117" t="s">
        <v>347</v>
      </c>
      <c r="D4" s="119">
        <f>'Financial Projections'!I46/'Financial Projections'!I35</f>
        <v>3.2990726724587534E-2</v>
      </c>
      <c r="E4" s="119">
        <f>'Financial Projections'!J46/'Financial Projections'!J35</f>
        <v>8.6211072522311721E-2</v>
      </c>
      <c r="F4" s="119">
        <f>'Financial Projections'!K46/'Financial Projections'!K35</f>
        <v>8.6832037179916111E-2</v>
      </c>
      <c r="G4" s="119">
        <f>'Financial Projections'!L46/'Financial Projections'!L35</f>
        <v>8.5054980569382002E-2</v>
      </c>
      <c r="H4" s="120">
        <f>'Financial Projections'!M46/'Financial Projections'!M35</f>
        <v>0.131753470946889</v>
      </c>
    </row>
    <row r="5" spans="2:8" x14ac:dyDescent="0.35">
      <c r="B5" s="118" t="s">
        <v>348</v>
      </c>
      <c r="C5" s="87" t="s">
        <v>349</v>
      </c>
      <c r="D5" s="119">
        <f>(('Financial Projections'!I46/('Financial Projections'!I68/2)))</f>
        <v>0.27193135747238922</v>
      </c>
      <c r="E5" s="119">
        <f>(('Financial Projections'!J46/('Financial Projections'!J68/2)))</f>
        <v>0.72083065173553007</v>
      </c>
      <c r="F5" s="119">
        <f>(('Financial Projections'!K46/('Financial Projections'!K68/2)))</f>
        <v>0.60370909551237417</v>
      </c>
      <c r="G5" s="119">
        <f>(('Financial Projections'!L46/('Financial Projections'!L68/2)))</f>
        <v>0.58798322559378835</v>
      </c>
      <c r="H5" s="14">
        <f>(('Financial Projections'!M46/('Financial Projections'!M68/2)))</f>
        <v>1.148731218056285</v>
      </c>
    </row>
    <row r="6" spans="2:8" x14ac:dyDescent="0.35">
      <c r="B6" s="123" t="s">
        <v>350</v>
      </c>
      <c r="C6" s="117"/>
      <c r="D6" s="87"/>
      <c r="E6" s="87"/>
      <c r="F6" s="87"/>
      <c r="G6" s="87"/>
      <c r="H6" s="30"/>
    </row>
    <row r="7" spans="2:8" x14ac:dyDescent="0.35">
      <c r="B7" s="118" t="s">
        <v>351</v>
      </c>
      <c r="C7" s="87" t="s">
        <v>352</v>
      </c>
      <c r="D7" s="119">
        <f>'Financial Projections'!I57/'Financial Projections'!I61</f>
        <v>1.1936800768448412</v>
      </c>
      <c r="E7" s="119">
        <f>'Financial Projections'!J57/'Financial Projections'!J61</f>
        <v>1.3698020750636482</v>
      </c>
      <c r="F7" s="119">
        <f>'Financial Projections'!K57/'Financial Projections'!K61</f>
        <v>1.6487162313016299</v>
      </c>
      <c r="G7" s="119">
        <f>'Financial Projections'!L57/'Financial Projections'!L61</f>
        <v>1.5248974809607498</v>
      </c>
      <c r="H7" s="14">
        <f>'Financial Projections'!M57/'Financial Projections'!M61</f>
        <v>1.7360672311386327</v>
      </c>
    </row>
    <row r="8" spans="2:8" s="62" customFormat="1" x14ac:dyDescent="0.35">
      <c r="B8" s="118"/>
      <c r="C8" s="87"/>
      <c r="D8" s="121"/>
      <c r="E8" s="121"/>
      <c r="F8" s="121"/>
      <c r="G8" s="121"/>
      <c r="H8" s="124"/>
    </row>
    <row r="9" spans="2:8" x14ac:dyDescent="0.35">
      <c r="B9" s="123" t="s">
        <v>353</v>
      </c>
      <c r="C9" s="117"/>
      <c r="D9" s="87"/>
      <c r="E9" s="87"/>
      <c r="F9" s="87"/>
      <c r="G9" s="87"/>
      <c r="H9" s="30"/>
    </row>
    <row r="10" spans="2:8" x14ac:dyDescent="0.35">
      <c r="B10" s="118" t="s">
        <v>354</v>
      </c>
      <c r="C10" s="87" t="s">
        <v>355</v>
      </c>
      <c r="D10" s="119">
        <f>'Financial Projections'!I35/('Financial Projections'!I59/2)</f>
        <v>5.092614985964155</v>
      </c>
      <c r="E10" s="119">
        <f>'Financial Projections'!J35/('Financial Projections'!J59/2)</f>
        <v>5.139303666274599</v>
      </c>
      <c r="F10" s="119">
        <f>'Financial Projections'!K35/('Financial Projections'!K59/2)</f>
        <v>4.5395579020234846</v>
      </c>
      <c r="G10" s="119">
        <f>'Financial Projections'!L35/('Financial Projections'!L59/2)</f>
        <v>4.5606572231115408</v>
      </c>
      <c r="H10" s="14">
        <f>'Financial Projections'!M35/('Financial Projections'!M59/2)</f>
        <v>4.5212394964960643</v>
      </c>
    </row>
    <row r="11" spans="2:8" s="62" customFormat="1" x14ac:dyDescent="0.35">
      <c r="B11" s="118"/>
      <c r="C11" s="87"/>
      <c r="D11" s="119"/>
      <c r="E11" s="119"/>
      <c r="F11" s="119"/>
      <c r="G11" s="119"/>
      <c r="H11" s="14"/>
    </row>
    <row r="12" spans="2:8" x14ac:dyDescent="0.35">
      <c r="B12" s="123" t="s">
        <v>356</v>
      </c>
      <c r="C12" s="117"/>
      <c r="D12" s="87"/>
      <c r="E12" s="87"/>
      <c r="F12" s="87"/>
      <c r="G12" s="87"/>
      <c r="H12" s="30"/>
    </row>
    <row r="13" spans="2:8" x14ac:dyDescent="0.35">
      <c r="B13" s="87" t="s">
        <v>357</v>
      </c>
      <c r="C13" s="87" t="s">
        <v>358</v>
      </c>
      <c r="D13" s="119">
        <f>'DATA NORMALISED'!C19</f>
        <v>0.43</v>
      </c>
      <c r="E13" s="119">
        <f>'DATA NORMALISED'!D19</f>
        <v>1.0900000000000001</v>
      </c>
      <c r="F13" s="119">
        <f>'DATA NORMALISED'!E19</f>
        <v>0.91</v>
      </c>
      <c r="G13" s="119">
        <f>'DATA NORMALISED'!F19</f>
        <v>0.76</v>
      </c>
      <c r="H13" s="119">
        <f>'DATA NORMALISED'!G19</f>
        <v>1.03</v>
      </c>
    </row>
    <row r="14" spans="2:8" s="62" customFormat="1" x14ac:dyDescent="0.35">
      <c r="B14" s="118"/>
      <c r="C14" s="87"/>
      <c r="D14" s="121"/>
      <c r="E14" s="121"/>
      <c r="F14" s="121"/>
      <c r="G14" s="121"/>
      <c r="H14" s="124"/>
    </row>
    <row r="15" spans="2:8" x14ac:dyDescent="0.35">
      <c r="B15" s="123" t="s">
        <v>359</v>
      </c>
      <c r="C15" s="117"/>
      <c r="D15" s="87"/>
      <c r="E15" s="87"/>
      <c r="F15" s="87"/>
      <c r="G15" s="87"/>
      <c r="H15" s="30"/>
    </row>
    <row r="16" spans="2:8" x14ac:dyDescent="0.35">
      <c r="B16" s="118" t="s">
        <v>360</v>
      </c>
      <c r="C16" s="87" t="s">
        <v>361</v>
      </c>
      <c r="D16" s="122">
        <f>'Financial Projections'!I63/'Financial Projections'!I59</f>
        <v>0.38216367955085295</v>
      </c>
      <c r="E16" s="122">
        <f>'Financial Projections'!J63/'Financial Projections'!J59</f>
        <v>0.38534123095261957</v>
      </c>
      <c r="F16" s="122">
        <f>'Financial Projections'!K63/'Financial Projections'!K59</f>
        <v>0.34707119130888486</v>
      </c>
      <c r="G16" s="122">
        <f>'Financial Projections'!L63/'Financial Projections'!L59</f>
        <v>0.34027605786946147</v>
      </c>
      <c r="H16" s="125">
        <f>'Financial Projections'!M63/'Financial Projections'!M59</f>
        <v>0.48143744395363514</v>
      </c>
    </row>
    <row r="17" spans="2:8" x14ac:dyDescent="0.35">
      <c r="B17" s="118" t="s">
        <v>362</v>
      </c>
      <c r="C17" s="87" t="s">
        <v>363</v>
      </c>
      <c r="D17" s="119">
        <f>'DATA NORMALISED'!J10/'DATA NORMALISED'!J15</f>
        <v>0.61855165664756051</v>
      </c>
      <c r="E17" s="119">
        <f>'DATA NORMALISED'!K10/'DATA NORMALISED'!K15</f>
        <v>0.62691895138799503</v>
      </c>
      <c r="F17" s="119">
        <f>'DATA NORMALISED'!L10/'DATA NORMALISED'!L15</f>
        <v>0.53156054180644341</v>
      </c>
      <c r="G17" s="119">
        <f>'DATA NORMALISED'!M10/'DATA NORMALISED'!M15</f>
        <v>0.51578552200267369</v>
      </c>
      <c r="H17" s="14">
        <f>'DATA NORMALISED'!N10/'DATA NORMALISED'!N15</f>
        <v>0.92840764983924062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43BB-4CDA-417F-8D68-3C9BBC99E20A}">
  <sheetPr>
    <tabColor theme="4" tint="0.79998168889431442"/>
  </sheetPr>
  <dimension ref="A1:I22"/>
  <sheetViews>
    <sheetView workbookViewId="0">
      <selection sqref="A1:XFD1"/>
    </sheetView>
  </sheetViews>
  <sheetFormatPr defaultRowHeight="14.5" x14ac:dyDescent="0.35"/>
  <cols>
    <col min="1" max="1" width="8.7265625" style="62"/>
    <col min="2" max="2" width="24.7265625" customWidth="1"/>
    <col min="3" max="3" width="33.1796875" bestFit="1" customWidth="1"/>
    <col min="4" max="4" width="13" customWidth="1"/>
    <col min="5" max="5" width="10.1796875" customWidth="1"/>
    <col min="6" max="8" width="14.81640625" bestFit="1" customWidth="1"/>
  </cols>
  <sheetData>
    <row r="1" spans="2:9" x14ac:dyDescent="0.35">
      <c r="B1" s="62"/>
      <c r="C1" s="62"/>
      <c r="D1" s="62"/>
      <c r="E1" s="62"/>
      <c r="F1" s="62"/>
      <c r="G1" s="62"/>
      <c r="H1" s="62"/>
      <c r="I1" s="62"/>
    </row>
    <row r="2" spans="2:9" x14ac:dyDescent="0.35">
      <c r="B2" s="308" t="s">
        <v>338</v>
      </c>
      <c r="C2" s="309" t="s">
        <v>339</v>
      </c>
      <c r="D2" s="310" t="s">
        <v>340</v>
      </c>
      <c r="E2" s="311" t="s">
        <v>341</v>
      </c>
      <c r="F2" s="310" t="s">
        <v>342</v>
      </c>
      <c r="G2" s="311" t="s">
        <v>343</v>
      </c>
      <c r="H2" s="312" t="s">
        <v>344</v>
      </c>
      <c r="I2" s="62"/>
    </row>
    <row r="3" spans="2:9" x14ac:dyDescent="0.35">
      <c r="B3" s="306" t="str">
        <f>'Ratio Analysis for FRAN'!B3</f>
        <v>Profitabilty ratio</v>
      </c>
      <c r="C3" s="300"/>
      <c r="D3" s="300"/>
      <c r="E3" s="302"/>
      <c r="F3" s="300"/>
      <c r="G3" s="302"/>
      <c r="H3" s="243"/>
      <c r="I3" s="62"/>
    </row>
    <row r="4" spans="2:9" x14ac:dyDescent="0.35">
      <c r="B4" s="307" t="str">
        <f>'Ratio Analysis for FRAN'!B4</f>
        <v>NET INCOME MARGIN</v>
      </c>
      <c r="C4" s="301" t="str">
        <f>'Ratio Analysis for FRAN'!C4</f>
        <v>Net Income/Sales</v>
      </c>
      <c r="D4" s="313">
        <v>5.3790110000000002E-2</v>
      </c>
      <c r="E4" s="304">
        <v>5.8852338999999997E-2</v>
      </c>
      <c r="F4" s="305">
        <v>6.1938504999999998E-2</v>
      </c>
      <c r="G4" s="304">
        <v>2.4467027999999998E-2</v>
      </c>
      <c r="H4" s="244">
        <v>2.5102229E-2</v>
      </c>
      <c r="I4" s="62"/>
    </row>
    <row r="5" spans="2:9" x14ac:dyDescent="0.35">
      <c r="B5" s="307" t="s">
        <v>348</v>
      </c>
      <c r="C5" s="301" t="str">
        <f>'Ratio Analysis for FRAN'!C5</f>
        <v>Total Earnings/Average Total Equity</v>
      </c>
      <c r="D5" s="305">
        <v>0.78733324199999999</v>
      </c>
      <c r="E5" s="304">
        <v>0.84813074200000005</v>
      </c>
      <c r="F5" s="305">
        <v>0.89032658200000003</v>
      </c>
      <c r="G5" s="304"/>
      <c r="H5" s="244"/>
      <c r="I5" s="62"/>
    </row>
    <row r="6" spans="2:9" x14ac:dyDescent="0.35">
      <c r="B6" s="20"/>
      <c r="C6" s="146"/>
      <c r="D6" s="314"/>
      <c r="E6" s="221"/>
      <c r="F6" s="314"/>
      <c r="G6" s="221"/>
      <c r="H6" s="5"/>
      <c r="I6" s="62"/>
    </row>
    <row r="7" spans="2:9" x14ac:dyDescent="0.35">
      <c r="B7" s="306" t="str">
        <f>'Ratio Analysis for FRAN'!B6</f>
        <v>Liquidity ratio</v>
      </c>
      <c r="C7" s="300"/>
      <c r="D7" s="315"/>
      <c r="E7" s="316"/>
      <c r="F7" s="315"/>
      <c r="G7" s="316"/>
      <c r="H7" s="317"/>
      <c r="I7" s="62"/>
    </row>
    <row r="8" spans="2:9" x14ac:dyDescent="0.35">
      <c r="B8" s="307" t="str">
        <f>'Ratio Analysis for FRAN'!B7</f>
        <v>Current ratio</v>
      </c>
      <c r="C8" s="301" t="str">
        <f>'Ratio Analysis for FRAN'!C7</f>
        <v>Current Asset/Current Liabilities</v>
      </c>
      <c r="D8" s="305">
        <v>1.996059528</v>
      </c>
      <c r="E8" s="304">
        <v>1.8251519389999999</v>
      </c>
      <c r="F8" s="305">
        <v>1.560067029</v>
      </c>
      <c r="G8" s="304">
        <v>1.8036432710000001</v>
      </c>
      <c r="H8" s="244">
        <v>2.233550272</v>
      </c>
      <c r="I8" s="62"/>
    </row>
    <row r="9" spans="2:9" x14ac:dyDescent="0.35">
      <c r="B9" s="20"/>
      <c r="C9" s="146"/>
      <c r="D9" s="314"/>
      <c r="E9" s="221"/>
      <c r="F9" s="314"/>
      <c r="G9" s="221"/>
      <c r="H9" s="5"/>
      <c r="I9" s="62"/>
    </row>
    <row r="10" spans="2:9" x14ac:dyDescent="0.35">
      <c r="B10" s="306" t="str">
        <f>'Ratio Analysis for FRAN'!B9</f>
        <v>Efficiency ratio</v>
      </c>
      <c r="C10" s="300"/>
      <c r="D10" s="315"/>
      <c r="E10" s="316"/>
      <c r="F10" s="315"/>
      <c r="G10" s="316"/>
      <c r="H10" s="317"/>
      <c r="I10" s="62"/>
    </row>
    <row r="11" spans="2:9" x14ac:dyDescent="0.35">
      <c r="B11" s="307" t="str">
        <f>'Ratio Analysis for FRAN'!B10</f>
        <v>Asset Turnover</v>
      </c>
      <c r="C11" s="301" t="str">
        <f>'Ratio Analysis for FRAN'!C10</f>
        <v>Total Revenue/Average Total Assets</v>
      </c>
      <c r="D11" s="305">
        <v>4.1793996959999999</v>
      </c>
      <c r="E11" s="304">
        <v>4.0499758789999998</v>
      </c>
      <c r="F11" s="305">
        <v>4.3688717480000001</v>
      </c>
      <c r="G11" s="304">
        <v>3.869233924</v>
      </c>
      <c r="H11" s="244">
        <v>3.9025761380000001</v>
      </c>
      <c r="I11" s="62"/>
    </row>
    <row r="12" spans="2:9" x14ac:dyDescent="0.35">
      <c r="B12" s="20"/>
      <c r="C12" s="146"/>
      <c r="D12" s="314"/>
      <c r="E12" s="221"/>
      <c r="F12" s="314"/>
      <c r="G12" s="221"/>
      <c r="H12" s="5"/>
      <c r="I12" s="62"/>
    </row>
    <row r="13" spans="2:9" x14ac:dyDescent="0.35">
      <c r="B13" s="306" t="str">
        <f>'Ratio Analysis for FRAN'!B12</f>
        <v>Market value ratio</v>
      </c>
      <c r="C13" s="300"/>
      <c r="D13" s="315"/>
      <c r="E13" s="316"/>
      <c r="F13" s="315"/>
      <c r="G13" s="316"/>
      <c r="H13" s="317"/>
      <c r="I13" s="62"/>
    </row>
    <row r="14" spans="2:9" x14ac:dyDescent="0.35">
      <c r="B14" s="307" t="str">
        <f>'Ratio Analysis for FRAN'!B13</f>
        <v>Earnings Per Share</v>
      </c>
      <c r="C14" s="301" t="str">
        <f>'Ratio Analysis for FRAN'!C13</f>
        <v>Total Earnings/Total Outstanding Shares</v>
      </c>
      <c r="D14" s="305">
        <v>1.147382796</v>
      </c>
      <c r="E14" s="304">
        <v>1.1709759740000001</v>
      </c>
      <c r="F14" s="305">
        <v>1.1223919609999999</v>
      </c>
      <c r="G14" s="304">
        <v>0.41310038700000001</v>
      </c>
      <c r="H14" s="244">
        <v>0.430405286</v>
      </c>
      <c r="I14" s="62"/>
    </row>
    <row r="15" spans="2:9" x14ac:dyDescent="0.35">
      <c r="B15" s="20"/>
      <c r="C15" s="146"/>
      <c r="D15" s="314"/>
      <c r="E15" s="221"/>
      <c r="F15" s="314"/>
      <c r="G15" s="221"/>
      <c r="H15" s="5"/>
      <c r="I15" s="62"/>
    </row>
    <row r="16" spans="2:9" x14ac:dyDescent="0.35">
      <c r="B16" s="306" t="str">
        <f>'Ratio Analysis for FRAN'!B15</f>
        <v>Leverage</v>
      </c>
      <c r="C16" s="300"/>
      <c r="D16" s="315"/>
      <c r="E16" s="316"/>
      <c r="F16" s="315"/>
      <c r="G16" s="316"/>
      <c r="H16" s="317"/>
      <c r="I16" s="62"/>
    </row>
    <row r="17" spans="2:9" x14ac:dyDescent="0.35">
      <c r="B17" s="307" t="str">
        <f>'Ratio Analysis for FRAN'!B16</f>
        <v>Total Debt Ratio</v>
      </c>
      <c r="C17" s="301" t="str">
        <f>'Ratio Analysis for FRAN'!C16</f>
        <v>Total Liabilities/Total Assets</v>
      </c>
      <c r="D17" s="305">
        <v>0.26714613599999998</v>
      </c>
      <c r="E17" s="304">
        <v>0.276992248</v>
      </c>
      <c r="F17" s="305">
        <v>0.28760003099999998</v>
      </c>
      <c r="G17" s="304">
        <v>0.27054678300000001</v>
      </c>
      <c r="H17" s="244">
        <v>0.24524072</v>
      </c>
      <c r="I17" s="62"/>
    </row>
    <row r="18" spans="2:9" x14ac:dyDescent="0.35">
      <c r="B18" s="307" t="str">
        <f>'Ratio Analysis for FRAN'!B17</f>
        <v>Debt to Equity Ratio</v>
      </c>
      <c r="C18" s="301" t="str">
        <f>'Ratio Analysis for FRAN'!C17</f>
        <v>Total Liabilities/Total Equity</v>
      </c>
      <c r="D18" s="305">
        <v>0.38917589200000002</v>
      </c>
      <c r="E18" s="304">
        <v>0.40992504400000002</v>
      </c>
      <c r="F18" s="303">
        <v>0.44102395300000002</v>
      </c>
      <c r="G18" s="304">
        <v>0.40280290499999999</v>
      </c>
      <c r="H18" s="244">
        <v>0.356273228</v>
      </c>
      <c r="I18" s="62"/>
    </row>
    <row r="19" spans="2:9" x14ac:dyDescent="0.35">
      <c r="B19" s="62"/>
      <c r="C19" s="62"/>
      <c r="D19" s="62"/>
      <c r="E19" s="62"/>
      <c r="F19" s="62"/>
      <c r="G19" s="62"/>
      <c r="H19" s="62"/>
      <c r="I19" s="62"/>
    </row>
    <row r="20" spans="2:9" x14ac:dyDescent="0.35">
      <c r="B20" s="62"/>
      <c r="C20" s="62"/>
      <c r="D20" s="194"/>
      <c r="E20" s="194"/>
      <c r="F20" s="194"/>
      <c r="G20" s="62"/>
      <c r="H20" s="62"/>
      <c r="I20" s="62"/>
    </row>
    <row r="21" spans="2:9" x14ac:dyDescent="0.35">
      <c r="B21" s="62"/>
      <c r="C21" s="62"/>
      <c r="D21" s="62"/>
      <c r="E21" s="62"/>
      <c r="F21" s="194"/>
      <c r="G21" s="194"/>
      <c r="H21" s="194"/>
      <c r="I21" s="62"/>
    </row>
    <row r="22" spans="2:9" x14ac:dyDescent="0.35">
      <c r="B22" s="62"/>
      <c r="C22" s="62"/>
      <c r="D22" s="62"/>
      <c r="E22" s="194"/>
      <c r="F22" s="194"/>
      <c r="G22" s="194"/>
      <c r="H22" s="62"/>
      <c r="I22" s="6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D7CA-AC8C-46E5-9892-1CB33C780DF5}">
  <sheetPr>
    <tabColor rgb="FF7030A0"/>
  </sheetPr>
  <dimension ref="A1:C69"/>
  <sheetViews>
    <sheetView workbookViewId="0">
      <selection activeCell="F9" sqref="F9"/>
    </sheetView>
  </sheetViews>
  <sheetFormatPr defaultRowHeight="14.5" x14ac:dyDescent="0.35"/>
  <cols>
    <col min="1" max="1" width="8.7265625" style="62"/>
    <col min="2" max="2" width="26.1796875" customWidth="1"/>
  </cols>
  <sheetData>
    <row r="1" spans="2:3" s="62" customFormat="1" x14ac:dyDescent="0.35"/>
    <row r="2" spans="2:3" ht="15.5" x14ac:dyDescent="0.35">
      <c r="B2" s="96" t="s">
        <v>62</v>
      </c>
      <c r="C2" s="97" t="s">
        <v>63</v>
      </c>
    </row>
    <row r="3" spans="2:3" ht="15.5" x14ac:dyDescent="0.35">
      <c r="B3" s="92" t="s">
        <v>64</v>
      </c>
      <c r="C3" s="95">
        <v>4176.59</v>
      </c>
    </row>
    <row r="4" spans="2:3" ht="15.5" x14ac:dyDescent="0.35">
      <c r="B4" s="92" t="s">
        <v>65</v>
      </c>
      <c r="C4" s="89">
        <v>4103.8798829999996</v>
      </c>
    </row>
    <row r="5" spans="2:3" ht="15.5" x14ac:dyDescent="0.35">
      <c r="B5" s="92" t="s">
        <v>66</v>
      </c>
      <c r="C5" s="89">
        <v>4308.1201170000004</v>
      </c>
    </row>
    <row r="6" spans="2:3" ht="15.5" x14ac:dyDescent="0.35">
      <c r="B6" s="92" t="s">
        <v>67</v>
      </c>
      <c r="C6" s="89">
        <v>4198.9902339999999</v>
      </c>
    </row>
    <row r="7" spans="2:3" ht="15.5" x14ac:dyDescent="0.35">
      <c r="B7" s="92" t="s">
        <v>68</v>
      </c>
      <c r="C7" s="89">
        <v>4114.5600590000004</v>
      </c>
    </row>
    <row r="8" spans="2:3" ht="15.5" x14ac:dyDescent="0.35">
      <c r="B8" s="92" t="s">
        <v>69</v>
      </c>
      <c r="C8" s="89">
        <v>4242.6201170000004</v>
      </c>
    </row>
    <row r="9" spans="2:3" ht="15.5" x14ac:dyDescent="0.35">
      <c r="B9" s="92" t="s">
        <v>70</v>
      </c>
      <c r="C9" s="89">
        <v>4408.1801759999998</v>
      </c>
    </row>
    <row r="10" spans="2:3" ht="15.5" x14ac:dyDescent="0.35">
      <c r="B10" s="92" t="s">
        <v>71</v>
      </c>
      <c r="C10" s="89">
        <v>4369.7700199999999</v>
      </c>
    </row>
    <row r="11" spans="2:3" ht="15.5" x14ac:dyDescent="0.35">
      <c r="B11" s="92" t="s">
        <v>72</v>
      </c>
      <c r="C11" s="89">
        <v>4580.2700199999999</v>
      </c>
    </row>
    <row r="12" spans="2:3" ht="15.5" x14ac:dyDescent="0.35">
      <c r="B12" s="92" t="s">
        <v>73</v>
      </c>
      <c r="C12" s="89">
        <v>4493.3901370000003</v>
      </c>
    </row>
    <row r="13" spans="2:3" ht="16" thickBot="1" x14ac:dyDescent="0.4">
      <c r="B13" s="92" t="s">
        <v>74</v>
      </c>
      <c r="C13" s="90">
        <v>4630.74</v>
      </c>
    </row>
    <row r="14" spans="2:3" ht="15.5" x14ac:dyDescent="0.35">
      <c r="B14" s="92" t="s">
        <v>75</v>
      </c>
      <c r="C14" s="88">
        <v>4791.63</v>
      </c>
    </row>
    <row r="15" spans="2:3" ht="15.5" x14ac:dyDescent="0.35">
      <c r="B15" s="92" t="s">
        <v>76</v>
      </c>
      <c r="C15" s="89">
        <v>4736.0498049999997</v>
      </c>
    </row>
    <row r="16" spans="2:3" ht="15.5" x14ac:dyDescent="0.35">
      <c r="B16" s="92" t="s">
        <v>77</v>
      </c>
      <c r="C16" s="89">
        <v>4635.2402339999999</v>
      </c>
    </row>
    <row r="17" spans="2:3" ht="15.5" x14ac:dyDescent="0.35">
      <c r="B17" s="92" t="s">
        <v>78</v>
      </c>
      <c r="C17" s="89">
        <v>4963.5297849999997</v>
      </c>
    </row>
    <row r="18" spans="2:3" ht="15.5" x14ac:dyDescent="0.35">
      <c r="B18" s="92" t="s">
        <v>79</v>
      </c>
      <c r="C18" s="89">
        <v>4900.8798829999996</v>
      </c>
    </row>
    <row r="19" spans="2:3" ht="16" thickBot="1" x14ac:dyDescent="0.4">
      <c r="B19" s="92" t="s">
        <v>80</v>
      </c>
      <c r="C19" s="89">
        <v>4941.419922</v>
      </c>
    </row>
    <row r="20" spans="2:3" ht="15.5" x14ac:dyDescent="0.35">
      <c r="B20" s="92" t="s">
        <v>81</v>
      </c>
      <c r="C20" s="88">
        <v>5070.03</v>
      </c>
    </row>
    <row r="21" spans="2:3" ht="15.5" x14ac:dyDescent="0.35">
      <c r="B21" s="92" t="s">
        <v>82</v>
      </c>
      <c r="C21" s="89">
        <v>4986.8701170000004</v>
      </c>
    </row>
    <row r="22" spans="2:3" ht="15.5" x14ac:dyDescent="0.35">
      <c r="B22" s="92" t="s">
        <v>83</v>
      </c>
      <c r="C22" s="89">
        <v>5128.2797849999997</v>
      </c>
    </row>
    <row r="23" spans="2:3" ht="15.5" x14ac:dyDescent="0.35">
      <c r="B23" s="92" t="s">
        <v>84</v>
      </c>
      <c r="C23" s="89">
        <v>4776.5097660000001</v>
      </c>
    </row>
    <row r="24" spans="2:3" ht="15.5" x14ac:dyDescent="0.35">
      <c r="B24" s="92" t="s">
        <v>85</v>
      </c>
      <c r="C24" s="89">
        <v>4620.1601559999999</v>
      </c>
    </row>
    <row r="25" spans="2:3" ht="15.5" x14ac:dyDescent="0.35">
      <c r="B25" s="92" t="s">
        <v>86</v>
      </c>
      <c r="C25" s="89">
        <v>5053.75</v>
      </c>
    </row>
    <row r="26" spans="2:3" ht="15.5" x14ac:dyDescent="0.35">
      <c r="B26" s="92" t="s">
        <v>87</v>
      </c>
      <c r="C26" s="89">
        <v>5108.669922</v>
      </c>
    </row>
    <row r="27" spans="2:3" ht="15.5" x14ac:dyDescent="0.35">
      <c r="B27" s="92" t="s">
        <v>88</v>
      </c>
      <c r="C27" s="89">
        <v>5007.4101559999999</v>
      </c>
    </row>
    <row r="28" spans="2:3" ht="15.5" x14ac:dyDescent="0.35">
      <c r="B28" s="92" t="s">
        <v>89</v>
      </c>
      <c r="C28" s="89">
        <v>4613.9501950000003</v>
      </c>
    </row>
    <row r="29" spans="2:3" ht="15.5" x14ac:dyDescent="0.35">
      <c r="B29" s="92" t="s">
        <v>90</v>
      </c>
      <c r="C29" s="89">
        <v>4557.9501950000003</v>
      </c>
    </row>
    <row r="30" spans="2:3" ht="15.5" x14ac:dyDescent="0.35">
      <c r="B30" s="92" t="s">
        <v>91</v>
      </c>
      <c r="C30" s="89">
        <v>4869.8500979999999</v>
      </c>
    </row>
    <row r="31" spans="2:3" ht="15.5" x14ac:dyDescent="0.35">
      <c r="B31" s="92" t="s">
        <v>92</v>
      </c>
      <c r="C31" s="89">
        <v>4775.3598629999997</v>
      </c>
    </row>
    <row r="32" spans="2:3" ht="15.5" x14ac:dyDescent="0.35">
      <c r="B32" s="92" t="s">
        <v>93</v>
      </c>
      <c r="C32" s="89">
        <v>4948.0498049999997</v>
      </c>
    </row>
    <row r="33" spans="2:3" ht="15.5" x14ac:dyDescent="0.35">
      <c r="B33" s="92" t="s">
        <v>94</v>
      </c>
      <c r="C33" s="89">
        <v>4842.669922</v>
      </c>
    </row>
    <row r="34" spans="2:3" ht="16" thickBot="1" x14ac:dyDescent="0.4">
      <c r="B34" s="92" t="s">
        <v>95</v>
      </c>
      <c r="C34" s="89">
        <v>5162.1298829999996</v>
      </c>
    </row>
    <row r="35" spans="2:3" ht="16" thickBot="1" x14ac:dyDescent="0.4">
      <c r="B35" s="92" t="s">
        <v>96</v>
      </c>
      <c r="C35" s="88">
        <v>5213.22</v>
      </c>
    </row>
    <row r="36" spans="2:3" ht="15.5" x14ac:dyDescent="0.35">
      <c r="B36" s="92" t="s">
        <v>97</v>
      </c>
      <c r="C36" s="88">
        <v>5312</v>
      </c>
    </row>
    <row r="37" spans="2:3" ht="15.5" x14ac:dyDescent="0.35">
      <c r="B37" s="92" t="s">
        <v>98</v>
      </c>
      <c r="C37" s="89">
        <v>5189.1401370000003</v>
      </c>
    </row>
    <row r="38" spans="2:3" ht="15.5" x14ac:dyDescent="0.35">
      <c r="B38" s="92" t="s">
        <v>99</v>
      </c>
      <c r="C38" s="89">
        <v>5323.6801759999998</v>
      </c>
    </row>
    <row r="39" spans="2:3" ht="15.5" x14ac:dyDescent="0.35">
      <c r="B39" s="92" t="s">
        <v>100</v>
      </c>
      <c r="C39" s="89">
        <v>5383.1201170000004</v>
      </c>
    </row>
    <row r="40" spans="2:3" ht="15.5" x14ac:dyDescent="0.35">
      <c r="B40" s="92" t="s">
        <v>101</v>
      </c>
      <c r="C40" s="89">
        <v>5614.7900390000004</v>
      </c>
    </row>
    <row r="41" spans="2:3" ht="15.5" x14ac:dyDescent="0.35">
      <c r="B41" s="92" t="s">
        <v>102</v>
      </c>
      <c r="C41" s="89">
        <v>5825.4399409999996</v>
      </c>
    </row>
    <row r="42" spans="2:3" ht="15.5" x14ac:dyDescent="0.35">
      <c r="B42" s="92" t="s">
        <v>103</v>
      </c>
      <c r="C42" s="89">
        <v>5911.7402339999999</v>
      </c>
    </row>
    <row r="43" spans="2:3" ht="15.5" x14ac:dyDescent="0.35">
      <c r="B43" s="92" t="s">
        <v>104</v>
      </c>
      <c r="C43" s="89">
        <v>6047.6098629999997</v>
      </c>
    </row>
    <row r="44" spans="2:3" ht="15.5" x14ac:dyDescent="0.35">
      <c r="B44" s="92" t="s">
        <v>105</v>
      </c>
      <c r="C44" s="89">
        <v>6198.5200199999999</v>
      </c>
    </row>
    <row r="45" spans="2:3" ht="15.5" x14ac:dyDescent="0.35">
      <c r="B45" s="92" t="s">
        <v>106</v>
      </c>
      <c r="C45" s="89">
        <v>6140.419922</v>
      </c>
    </row>
    <row r="46" spans="2:3" ht="15.5" x14ac:dyDescent="0.35">
      <c r="B46" s="92" t="s">
        <v>107</v>
      </c>
      <c r="C46" s="89">
        <v>6348.1201170000004</v>
      </c>
    </row>
    <row r="47" spans="2:3" ht="15.5" x14ac:dyDescent="0.35">
      <c r="B47" s="92" t="s">
        <v>108</v>
      </c>
      <c r="C47" s="89">
        <v>6428.6601559999999</v>
      </c>
    </row>
    <row r="48" spans="2:3" ht="15.5" x14ac:dyDescent="0.35">
      <c r="B48" s="92" t="s">
        <v>109</v>
      </c>
      <c r="C48" s="89">
        <v>6495.9599609999996</v>
      </c>
    </row>
    <row r="49" spans="2:3" ht="15.5" x14ac:dyDescent="0.35">
      <c r="B49" s="92" t="s">
        <v>110</v>
      </c>
      <c r="C49" s="89">
        <v>6727.669922</v>
      </c>
    </row>
    <row r="50" spans="2:3" ht="15.5" x14ac:dyDescent="0.35">
      <c r="B50" s="92" t="s">
        <v>111</v>
      </c>
      <c r="C50" s="89">
        <v>6873.9702150000003</v>
      </c>
    </row>
    <row r="51" spans="2:3" ht="15.5" x14ac:dyDescent="0.35">
      <c r="B51" s="92" t="s">
        <v>112</v>
      </c>
      <c r="C51" s="89">
        <v>6903.3901370000003</v>
      </c>
    </row>
    <row r="52" spans="2:3" ht="15.5" x14ac:dyDescent="0.35">
      <c r="B52" s="92" t="s">
        <v>113</v>
      </c>
      <c r="C52" s="89">
        <v>7411.4799800000001</v>
      </c>
    </row>
    <row r="53" spans="2:3" ht="15.5" x14ac:dyDescent="0.35">
      <c r="B53" s="92" t="s">
        <v>114</v>
      </c>
      <c r="C53" s="89">
        <v>7273.0097660000001</v>
      </c>
    </row>
    <row r="54" spans="2:3" ht="15.5" x14ac:dyDescent="0.35">
      <c r="B54" s="92" t="s">
        <v>115</v>
      </c>
      <c r="C54" s="89">
        <v>7063.4501950000003</v>
      </c>
    </row>
    <row r="55" spans="2:3" ht="15.5" x14ac:dyDescent="0.35">
      <c r="B55" s="92" t="s">
        <v>116</v>
      </c>
      <c r="C55" s="89">
        <v>7066.2700199999999</v>
      </c>
    </row>
    <row r="56" spans="2:3" ht="15.5" x14ac:dyDescent="0.35">
      <c r="B56" s="92" t="s">
        <v>117</v>
      </c>
      <c r="C56" s="89">
        <v>7442.1201170000004</v>
      </c>
    </row>
    <row r="57" spans="2:3" ht="15.5" x14ac:dyDescent="0.35">
      <c r="B57" s="92" t="s">
        <v>118</v>
      </c>
      <c r="C57" s="89">
        <v>7510.2998049999997</v>
      </c>
    </row>
    <row r="58" spans="2:3" ht="15.5" x14ac:dyDescent="0.35">
      <c r="B58" s="92" t="s">
        <v>119</v>
      </c>
      <c r="C58" s="89">
        <v>7671.7900390000004</v>
      </c>
    </row>
    <row r="59" spans="2:3" ht="15.5" x14ac:dyDescent="0.35">
      <c r="B59" s="92" t="s">
        <v>120</v>
      </c>
      <c r="C59" s="89">
        <v>8109.5400390000004</v>
      </c>
    </row>
    <row r="60" spans="2:3" ht="15.5" x14ac:dyDescent="0.35">
      <c r="B60" s="92" t="s">
        <v>121</v>
      </c>
      <c r="C60" s="89">
        <v>8046.3500979999999</v>
      </c>
    </row>
    <row r="61" spans="2:3" ht="15.5" x14ac:dyDescent="0.35">
      <c r="B61" s="92" t="s">
        <v>122</v>
      </c>
      <c r="C61" s="89">
        <v>7305.8999020000001</v>
      </c>
    </row>
    <row r="62" spans="2:3" ht="15.5" x14ac:dyDescent="0.35">
      <c r="B62" s="92" t="s">
        <v>123</v>
      </c>
      <c r="C62" s="89">
        <v>7330.5400390000004</v>
      </c>
    </row>
    <row r="63" spans="2:3" ht="15.5" x14ac:dyDescent="0.35">
      <c r="B63" s="92" t="s">
        <v>124</v>
      </c>
      <c r="C63" s="89">
        <v>6635.2797849999997</v>
      </c>
    </row>
    <row r="64" spans="2:3" ht="15.5" x14ac:dyDescent="0.35">
      <c r="B64" s="93" t="s">
        <v>125</v>
      </c>
      <c r="C64" s="91">
        <v>7183.080078</v>
      </c>
    </row>
    <row r="65" spans="2:2" x14ac:dyDescent="0.35">
      <c r="B65" s="15"/>
    </row>
    <row r="66" spans="2:2" x14ac:dyDescent="0.35">
      <c r="B66" s="15"/>
    </row>
    <row r="67" spans="2:2" x14ac:dyDescent="0.35">
      <c r="B67" s="15"/>
    </row>
    <row r="68" spans="2:2" x14ac:dyDescent="0.35">
      <c r="B68" s="15"/>
    </row>
    <row r="69" spans="2:2" x14ac:dyDescent="0.35">
      <c r="B69" s="15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654B-04FD-4DC8-A6EA-F10D511266A5}">
  <sheetPr>
    <tabColor rgb="FF002060"/>
  </sheetPr>
  <dimension ref="B2:C62"/>
  <sheetViews>
    <sheetView workbookViewId="0">
      <selection activeCell="I22" sqref="I22"/>
    </sheetView>
  </sheetViews>
  <sheetFormatPr defaultRowHeight="14.5" x14ac:dyDescent="0.35"/>
  <cols>
    <col min="2" max="2" width="15.81640625" customWidth="1"/>
    <col min="3" max="3" width="8.7265625" style="10"/>
  </cols>
  <sheetData>
    <row r="2" spans="2:3" x14ac:dyDescent="0.35">
      <c r="B2" s="98" t="s">
        <v>62</v>
      </c>
      <c r="C2" s="99" t="s">
        <v>126</v>
      </c>
    </row>
    <row r="3" spans="2:3" x14ac:dyDescent="0.35">
      <c r="B3" s="37">
        <v>41640</v>
      </c>
      <c r="C3" s="38">
        <f>('NASDAQ Composite index (Values)'!C4-'NASDAQ Composite index (Values)'!C3)/'NASDAQ Composite index (Values)'!C3</f>
        <v>-1.740896688446808E-2</v>
      </c>
    </row>
    <row r="4" spans="2:3" x14ac:dyDescent="0.35">
      <c r="B4" s="37">
        <v>41671</v>
      </c>
      <c r="C4" s="38">
        <f>('NASDAQ Composite index (Values)'!C5-'NASDAQ Composite index (Values)'!C4)/'NASDAQ Composite index (Values)'!C4</f>
        <v>4.9767595500553007E-2</v>
      </c>
    </row>
    <row r="5" spans="2:3" x14ac:dyDescent="0.35">
      <c r="B5" s="37">
        <v>41699</v>
      </c>
      <c r="C5" s="38">
        <f>('NASDAQ Composite index (Values)'!C6-'NASDAQ Composite index (Values)'!C5)/'NASDAQ Composite index (Values)'!C5</f>
        <v>-2.5331207124279099E-2</v>
      </c>
    </row>
    <row r="6" spans="2:3" x14ac:dyDescent="0.35">
      <c r="B6" s="37">
        <v>41730</v>
      </c>
      <c r="C6" s="38">
        <f>('NASDAQ Composite index (Values)'!C7-'NASDAQ Composite index (Values)'!C6)/'NASDAQ Composite index (Values)'!C6</f>
        <v>-2.0107256815305924E-2</v>
      </c>
    </row>
    <row r="7" spans="2:3" x14ac:dyDescent="0.35">
      <c r="B7" s="37">
        <v>41760</v>
      </c>
      <c r="C7" s="38">
        <f>('NASDAQ Composite index (Values)'!C8-'NASDAQ Composite index (Values)'!C7)/'NASDAQ Composite index (Values)'!C7</f>
        <v>3.1123633186466028E-2</v>
      </c>
    </row>
    <row r="8" spans="2:3" x14ac:dyDescent="0.35">
      <c r="B8" s="37">
        <v>41791</v>
      </c>
      <c r="C8" s="38">
        <f>('NASDAQ Composite index (Values)'!C9-'NASDAQ Composite index (Values)'!C8)/'NASDAQ Composite index (Values)'!C8</f>
        <v>3.902306933788563E-2</v>
      </c>
    </row>
    <row r="9" spans="2:3" x14ac:dyDescent="0.35">
      <c r="B9" s="37">
        <v>41821</v>
      </c>
      <c r="C9" s="38">
        <f>('NASDAQ Composite index (Values)'!C10-'NASDAQ Composite index (Values)'!C9)/'NASDAQ Composite index (Values)'!C9</f>
        <v>-8.7133815920504062E-3</v>
      </c>
    </row>
    <row r="10" spans="2:3" x14ac:dyDescent="0.35">
      <c r="B10" s="37">
        <v>41852</v>
      </c>
      <c r="C10" s="38">
        <f>('NASDAQ Composite index (Values)'!C11-'NASDAQ Composite index (Values)'!C10)/'NASDAQ Composite index (Values)'!C10</f>
        <v>4.8171871525632376E-2</v>
      </c>
    </row>
    <row r="11" spans="2:3" x14ac:dyDescent="0.35">
      <c r="B11" s="37">
        <v>41883</v>
      </c>
      <c r="C11" s="38">
        <f>('NASDAQ Composite index (Values)'!C12-'NASDAQ Composite index (Values)'!C11)/'NASDAQ Composite index (Values)'!C11</f>
        <v>-1.8968288467848805E-2</v>
      </c>
    </row>
    <row r="12" spans="2:3" x14ac:dyDescent="0.35">
      <c r="B12" s="37">
        <v>41913</v>
      </c>
      <c r="C12" s="38">
        <f>('NASDAQ Composite index (Values)'!C13-'NASDAQ Composite index (Values)'!C12)/'NASDAQ Composite index (Values)'!C12</f>
        <v>3.0567090506790653E-2</v>
      </c>
    </row>
    <row r="13" spans="2:3" x14ac:dyDescent="0.35">
      <c r="B13" s="37">
        <v>41944</v>
      </c>
      <c r="C13" s="38">
        <f>('NASDAQ Composite index (Values)'!C14-'NASDAQ Composite index (Values)'!C13)/'NASDAQ Composite index (Values)'!C13</f>
        <v>3.4743907021340073E-2</v>
      </c>
    </row>
    <row r="14" spans="2:3" x14ac:dyDescent="0.35">
      <c r="B14" s="37">
        <v>41974</v>
      </c>
      <c r="C14" s="38">
        <f>('NASDAQ Composite index (Values)'!C15-'NASDAQ Composite index (Values)'!C14)/'NASDAQ Composite index (Values)'!C14</f>
        <v>-1.1599433804363121E-2</v>
      </c>
    </row>
    <row r="15" spans="2:3" x14ac:dyDescent="0.35">
      <c r="B15" s="37">
        <v>42005</v>
      </c>
      <c r="C15" s="38">
        <f>('NASDAQ Composite index (Values)'!C16-'NASDAQ Composite index (Values)'!C15)/'NASDAQ Composite index (Values)'!C15</f>
        <v>-2.128558084283064E-2</v>
      </c>
    </row>
    <row r="16" spans="2:3" x14ac:dyDescent="0.35">
      <c r="B16" s="37">
        <v>42036</v>
      </c>
      <c r="C16" s="38">
        <f>('NASDAQ Composite index (Values)'!C17-'NASDAQ Composite index (Values)'!C16)/'NASDAQ Composite index (Values)'!C16</f>
        <v>7.0824711218193115E-2</v>
      </c>
    </row>
    <row r="17" spans="2:3" x14ac:dyDescent="0.35">
      <c r="B17" s="37">
        <v>42064</v>
      </c>
      <c r="C17" s="38">
        <f>('NASDAQ Composite index (Values)'!C18-'NASDAQ Composite index (Values)'!C17)/'NASDAQ Composite index (Values)'!C17</f>
        <v>-1.2622046147346754E-2</v>
      </c>
    </row>
    <row r="18" spans="2:3" x14ac:dyDescent="0.35">
      <c r="B18" s="37">
        <v>42095</v>
      </c>
      <c r="C18" s="38">
        <f>('NASDAQ Composite index (Values)'!C19-'NASDAQ Composite index (Values)'!C18)/'NASDAQ Composite index (Values)'!C18</f>
        <v>8.2719919622238243E-3</v>
      </c>
    </row>
    <row r="19" spans="2:3" x14ac:dyDescent="0.35">
      <c r="B19" s="37">
        <v>42125</v>
      </c>
      <c r="C19" s="38">
        <f>('NASDAQ Composite index (Values)'!C20-'NASDAQ Composite index (Values)'!C19)/'NASDAQ Composite index (Values)'!C19</f>
        <v>2.6026947725573141E-2</v>
      </c>
    </row>
    <row r="20" spans="2:3" x14ac:dyDescent="0.35">
      <c r="B20" s="37">
        <v>42156</v>
      </c>
      <c r="C20" s="38">
        <f>('NASDAQ Composite index (Values)'!C21-'NASDAQ Composite index (Values)'!C20)/'NASDAQ Composite index (Values)'!C20</f>
        <v>-1.6402246732267731E-2</v>
      </c>
    </row>
    <row r="21" spans="2:3" x14ac:dyDescent="0.35">
      <c r="B21" s="37">
        <v>42186</v>
      </c>
      <c r="C21" s="38">
        <f>('NASDAQ Composite index (Values)'!C22-'NASDAQ Composite index (Values)'!C21)/'NASDAQ Composite index (Values)'!C21</f>
        <v>2.8356396834547701E-2</v>
      </c>
    </row>
    <row r="22" spans="2:3" x14ac:dyDescent="0.35">
      <c r="B22" s="37">
        <v>42217</v>
      </c>
      <c r="C22" s="38">
        <f>('NASDAQ Composite index (Values)'!C23-'NASDAQ Composite index (Values)'!C22)/'NASDAQ Composite index (Values)'!C22</f>
        <v>-6.8594155106145333E-2</v>
      </c>
    </row>
    <row r="23" spans="2:3" x14ac:dyDescent="0.35">
      <c r="B23" s="37">
        <v>42248</v>
      </c>
      <c r="C23" s="38">
        <f>('NASDAQ Composite index (Values)'!C24-'NASDAQ Composite index (Values)'!C23)/'NASDAQ Composite index (Values)'!C23</f>
        <v>-3.2733024249824216E-2</v>
      </c>
    </row>
    <row r="24" spans="2:3" x14ac:dyDescent="0.35">
      <c r="B24" s="37">
        <v>42278</v>
      </c>
      <c r="C24" s="38">
        <f>('NASDAQ Composite index (Values)'!C25-'NASDAQ Composite index (Values)'!C24)/'NASDAQ Composite index (Values)'!C24</f>
        <v>9.384736229044266E-2</v>
      </c>
    </row>
    <row r="25" spans="2:3" x14ac:dyDescent="0.35">
      <c r="B25" s="37">
        <v>42309</v>
      </c>
      <c r="C25" s="38">
        <f>('NASDAQ Composite index (Values)'!C26-'NASDAQ Composite index (Values)'!C25)/'NASDAQ Composite index (Values)'!C25</f>
        <v>1.0867162404155339E-2</v>
      </c>
    </row>
    <row r="26" spans="2:3" x14ac:dyDescent="0.35">
      <c r="B26" s="37">
        <v>42339</v>
      </c>
      <c r="C26" s="38">
        <f>('NASDAQ Composite index (Values)'!C27-'NASDAQ Composite index (Values)'!C26)/'NASDAQ Composite index (Values)'!C26</f>
        <v>-1.9821160408883456E-2</v>
      </c>
    </row>
    <row r="27" spans="2:3" x14ac:dyDescent="0.35">
      <c r="B27" s="37">
        <v>42370</v>
      </c>
      <c r="C27" s="38">
        <f>('NASDAQ Composite index (Values)'!C28-'NASDAQ Composite index (Values)'!C27)/'NASDAQ Composite index (Values)'!C27</f>
        <v>-7.857554079698191E-2</v>
      </c>
    </row>
    <row r="28" spans="2:3" x14ac:dyDescent="0.35">
      <c r="B28" s="37">
        <v>42401</v>
      </c>
      <c r="C28" s="38">
        <f>('NASDAQ Composite index (Values)'!C29-'NASDAQ Composite index (Values)'!C28)/'NASDAQ Composite index (Values)'!C28</f>
        <v>-1.2137105437480778E-2</v>
      </c>
    </row>
    <row r="29" spans="2:3" x14ac:dyDescent="0.35">
      <c r="B29" s="37">
        <v>42430</v>
      </c>
      <c r="C29" s="38">
        <f>('NASDAQ Composite index (Values)'!C30-'NASDAQ Composite index (Values)'!C29)/'NASDAQ Composite index (Values)'!C29</f>
        <v>6.8429862033628372E-2</v>
      </c>
    </row>
    <row r="30" spans="2:3" x14ac:dyDescent="0.35">
      <c r="B30" s="37">
        <v>42461</v>
      </c>
      <c r="C30" s="38">
        <f>('NASDAQ Composite index (Values)'!C31-'NASDAQ Composite index (Values)'!C30)/'NASDAQ Composite index (Values)'!C30</f>
        <v>-1.9403109561587209E-2</v>
      </c>
    </row>
    <row r="31" spans="2:3" x14ac:dyDescent="0.35">
      <c r="B31" s="37">
        <v>42491</v>
      </c>
      <c r="C31" s="38">
        <f>('NASDAQ Composite index (Values)'!C32-'NASDAQ Composite index (Values)'!C31)/'NASDAQ Composite index (Values)'!C31</f>
        <v>3.6162707514049396E-2</v>
      </c>
    </row>
    <row r="32" spans="2:3" x14ac:dyDescent="0.35">
      <c r="B32" s="37">
        <v>42522</v>
      </c>
      <c r="C32" s="38">
        <f>('NASDAQ Composite index (Values)'!C33-'NASDAQ Composite index (Values)'!C32)/'NASDAQ Composite index (Values)'!C32</f>
        <v>-2.1297255919597521E-2</v>
      </c>
    </row>
    <row r="33" spans="2:3" x14ac:dyDescent="0.35">
      <c r="B33" s="37">
        <v>42552</v>
      </c>
      <c r="C33" s="38">
        <f>('NASDAQ Composite index (Values)'!C34-'NASDAQ Composite index (Values)'!C33)/'NASDAQ Composite index (Values)'!C33</f>
        <v>6.5967733945423254E-2</v>
      </c>
    </row>
    <row r="34" spans="2:3" x14ac:dyDescent="0.35">
      <c r="B34" s="37">
        <v>42583</v>
      </c>
      <c r="C34" s="38">
        <f>('NASDAQ Composite index (Values)'!C35-'NASDAQ Composite index (Values)'!C34)/'NASDAQ Composite index (Values)'!C34</f>
        <v>9.8971002586066958E-3</v>
      </c>
    </row>
    <row r="35" spans="2:3" x14ac:dyDescent="0.35">
      <c r="B35" s="37">
        <v>42614</v>
      </c>
      <c r="C35" s="38">
        <f>('NASDAQ Composite index (Values)'!C36-'NASDAQ Composite index (Values)'!C35)/'NASDAQ Composite index (Values)'!C35</f>
        <v>1.8947982245138273E-2</v>
      </c>
    </row>
    <row r="36" spans="2:3" x14ac:dyDescent="0.35">
      <c r="B36" s="37">
        <v>42644</v>
      </c>
      <c r="C36" s="38">
        <f>('NASDAQ Composite index (Values)'!C37-'NASDAQ Composite index (Values)'!C36)/'NASDAQ Composite index (Values)'!C36</f>
        <v>-2.3128739269578251E-2</v>
      </c>
    </row>
    <row r="37" spans="2:3" x14ac:dyDescent="0.35">
      <c r="B37" s="37">
        <v>42675</v>
      </c>
      <c r="C37" s="38">
        <f>('NASDAQ Composite index (Values)'!C38-'NASDAQ Composite index (Values)'!C37)/'NASDAQ Composite index (Values)'!C37</f>
        <v>2.5927231766336767E-2</v>
      </c>
    </row>
    <row r="38" spans="2:3" x14ac:dyDescent="0.35">
      <c r="B38" s="37">
        <v>42705</v>
      </c>
      <c r="C38" s="38">
        <f>('NASDAQ Composite index (Values)'!C39-'NASDAQ Composite index (Values)'!C38)/'NASDAQ Composite index (Values)'!C38</f>
        <v>1.1165197576662341E-2</v>
      </c>
    </row>
    <row r="39" spans="2:3" x14ac:dyDescent="0.35">
      <c r="B39" s="37">
        <v>42736</v>
      </c>
      <c r="C39" s="38">
        <f>('NASDAQ Composite index (Values)'!C40-'NASDAQ Composite index (Values)'!C39)/'NASDAQ Composite index (Values)'!C39</f>
        <v>4.3036364963951267E-2</v>
      </c>
    </row>
    <row r="40" spans="2:3" x14ac:dyDescent="0.35">
      <c r="B40" s="37">
        <v>42767</v>
      </c>
      <c r="C40" s="38">
        <f>('NASDAQ Composite index (Values)'!C41-'NASDAQ Composite index (Values)'!C40)/'NASDAQ Composite index (Values)'!C40</f>
        <v>3.7516968673242883E-2</v>
      </c>
    </row>
    <row r="41" spans="2:3" x14ac:dyDescent="0.35">
      <c r="B41" s="37">
        <v>42795</v>
      </c>
      <c r="C41" s="38">
        <f>('NASDAQ Composite index (Values)'!C42-'NASDAQ Composite index (Values)'!C41)/'NASDAQ Composite index (Values)'!C41</f>
        <v>1.4814382067972339E-2</v>
      </c>
    </row>
    <row r="42" spans="2:3" x14ac:dyDescent="0.35">
      <c r="B42" s="37">
        <v>42826</v>
      </c>
      <c r="C42" s="38">
        <f>('NASDAQ Composite index (Values)'!C43-'NASDAQ Composite index (Values)'!C42)/'NASDAQ Composite index (Values)'!C42</f>
        <v>2.2983017457123237E-2</v>
      </c>
    </row>
    <row r="43" spans="2:3" x14ac:dyDescent="0.35">
      <c r="B43" s="37">
        <v>42856</v>
      </c>
      <c r="C43" s="38">
        <f>('NASDAQ Composite index (Values)'!C44-'NASDAQ Composite index (Values)'!C43)/'NASDAQ Composite index (Values)'!C43</f>
        <v>2.4953685905449465E-2</v>
      </c>
    </row>
    <row r="44" spans="2:3" x14ac:dyDescent="0.35">
      <c r="B44" s="37">
        <v>42887</v>
      </c>
      <c r="C44" s="38">
        <f>('NASDAQ Composite index (Values)'!C45-'NASDAQ Composite index (Values)'!C44)/'NASDAQ Composite index (Values)'!C44</f>
        <v>-9.3732209967113869E-3</v>
      </c>
    </row>
    <row r="45" spans="2:3" x14ac:dyDescent="0.35">
      <c r="B45" s="37">
        <v>42917</v>
      </c>
      <c r="C45" s="38">
        <f>('NASDAQ Composite index (Values)'!C46-'NASDAQ Composite index (Values)'!C45)/'NASDAQ Composite index (Values)'!C45</f>
        <v>3.3825079984489102E-2</v>
      </c>
    </row>
    <row r="46" spans="2:3" x14ac:dyDescent="0.35">
      <c r="B46" s="37">
        <v>42948</v>
      </c>
      <c r="C46" s="38">
        <f>('NASDAQ Composite index (Values)'!C47-'NASDAQ Composite index (Values)'!C46)/'NASDAQ Composite index (Values)'!C46</f>
        <v>1.2687226693193259E-2</v>
      </c>
    </row>
    <row r="47" spans="2:3" x14ac:dyDescent="0.35">
      <c r="B47" s="37">
        <v>42979</v>
      </c>
      <c r="C47" s="38">
        <f>('NASDAQ Composite index (Values)'!C48-'NASDAQ Composite index (Values)'!C47)/'NASDAQ Composite index (Values)'!C47</f>
        <v>1.0468714065898688E-2</v>
      </c>
    </row>
    <row r="48" spans="2:3" x14ac:dyDescent="0.35">
      <c r="B48" s="37">
        <v>43009</v>
      </c>
      <c r="C48" s="38">
        <f>('NASDAQ Composite index (Values)'!C49-'NASDAQ Composite index (Values)'!C48)/'NASDAQ Composite index (Values)'!C48</f>
        <v>3.5669856709574087E-2</v>
      </c>
    </row>
    <row r="49" spans="2:3" x14ac:dyDescent="0.35">
      <c r="B49" s="37">
        <v>43040</v>
      </c>
      <c r="C49" s="38">
        <f>('NASDAQ Composite index (Values)'!C50-'NASDAQ Composite index (Values)'!C49)/'NASDAQ Composite index (Values)'!C49</f>
        <v>2.1746056910667836E-2</v>
      </c>
    </row>
    <row r="50" spans="2:3" x14ac:dyDescent="0.35">
      <c r="B50" s="37">
        <v>43070</v>
      </c>
      <c r="C50" s="38">
        <f>('NASDAQ Composite index (Values)'!C51-'NASDAQ Composite index (Values)'!C50)/'NASDAQ Composite index (Values)'!C50</f>
        <v>4.2799024551781594E-3</v>
      </c>
    </row>
    <row r="51" spans="2:3" x14ac:dyDescent="0.35">
      <c r="B51" s="37">
        <v>43101</v>
      </c>
      <c r="C51" s="38">
        <f>('NASDAQ Composite index (Values)'!C52-'NASDAQ Composite index (Values)'!C51)/'NASDAQ Composite index (Values)'!C51</f>
        <v>7.3600047645691932E-2</v>
      </c>
    </row>
    <row r="52" spans="2:3" x14ac:dyDescent="0.35">
      <c r="B52" s="37">
        <v>43132</v>
      </c>
      <c r="C52" s="38">
        <f>('NASDAQ Composite index (Values)'!C53-'NASDAQ Composite index (Values)'!C52)/'NASDAQ Composite index (Values)'!C52</f>
        <v>-1.8683206913283727E-2</v>
      </c>
    </row>
    <row r="53" spans="2:3" x14ac:dyDescent="0.35">
      <c r="B53" s="37">
        <v>43160</v>
      </c>
      <c r="C53" s="38">
        <f>('NASDAQ Composite index (Values)'!C54-'NASDAQ Composite index (Values)'!C53)/'NASDAQ Composite index (Values)'!C53</f>
        <v>-2.881332182168278E-2</v>
      </c>
    </row>
    <row r="54" spans="2:3" x14ac:dyDescent="0.35">
      <c r="B54" s="37">
        <v>43191</v>
      </c>
      <c r="C54" s="38">
        <f>('NASDAQ Composite index (Values)'!C55-'NASDAQ Composite index (Values)'!C54)/'NASDAQ Composite index (Values)'!C54</f>
        <v>3.9921354609333124E-4</v>
      </c>
    </row>
    <row r="55" spans="2:3" x14ac:dyDescent="0.35">
      <c r="B55" s="37">
        <v>43221</v>
      </c>
      <c r="C55" s="38">
        <f>('NASDAQ Composite index (Values)'!C56-'NASDAQ Composite index (Values)'!C55)/'NASDAQ Composite index (Values)'!C55</f>
        <v>5.3189319957518473E-2</v>
      </c>
    </row>
    <row r="56" spans="2:3" x14ac:dyDescent="0.35">
      <c r="B56" s="37">
        <v>43252</v>
      </c>
      <c r="C56" s="38">
        <f>('NASDAQ Composite index (Values)'!C57-'NASDAQ Composite index (Values)'!C56)/'NASDAQ Composite index (Values)'!C56</f>
        <v>9.1613259297248801E-3</v>
      </c>
    </row>
    <row r="57" spans="2:3" x14ac:dyDescent="0.35">
      <c r="B57" s="37">
        <v>43282</v>
      </c>
      <c r="C57" s="38">
        <f>('NASDAQ Composite index (Values)'!C58-'NASDAQ Composite index (Values)'!C57)/'NASDAQ Composite index (Values)'!C57</f>
        <v>2.1502501656789824E-2</v>
      </c>
    </row>
    <row r="58" spans="2:3" x14ac:dyDescent="0.35">
      <c r="B58" s="37">
        <v>43313</v>
      </c>
      <c r="C58" s="38">
        <f>('NASDAQ Composite index (Values)'!C59-'NASDAQ Composite index (Values)'!C58)/'NASDAQ Composite index (Values)'!C58</f>
        <v>5.7059695035274929E-2</v>
      </c>
    </row>
    <row r="59" spans="2:3" x14ac:dyDescent="0.35">
      <c r="B59" s="37">
        <v>43344</v>
      </c>
      <c r="C59" s="38">
        <f>('NASDAQ Composite index (Values)'!C60-'NASDAQ Composite index (Values)'!C59)/'NASDAQ Composite index (Values)'!C59</f>
        <v>-7.7920499431670103E-3</v>
      </c>
    </row>
    <row r="60" spans="2:3" x14ac:dyDescent="0.35">
      <c r="B60" s="37">
        <v>43374</v>
      </c>
      <c r="C60" s="38">
        <f>('NASDAQ Composite index (Values)'!C61-'NASDAQ Composite index (Values)'!C60)/'NASDAQ Composite index (Values)'!C60</f>
        <v>-9.2023114453352706E-2</v>
      </c>
    </row>
    <row r="61" spans="2:3" x14ac:dyDescent="0.35">
      <c r="B61" s="37">
        <v>43405</v>
      </c>
      <c r="C61" s="38">
        <f>('NASDAQ Composite index (Values)'!C62-'NASDAQ Composite index (Values)'!C61)/'NASDAQ Composite index (Values)'!C61</f>
        <v>3.372635449502265E-3</v>
      </c>
    </row>
    <row r="62" spans="2:3" x14ac:dyDescent="0.35">
      <c r="B62" s="39">
        <v>43435</v>
      </c>
      <c r="C62" s="40">
        <f>('NASDAQ Composite index (Values)'!C63-'NASDAQ Composite index (Values)'!C62)/'NASDAQ Composite index (Values)'!C62</f>
        <v>-9.4844343022624705E-2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2688-9656-4875-9A7A-E61E467D8CE5}">
  <sheetPr>
    <tabColor theme="5" tint="-0.249977111117893"/>
  </sheetPr>
  <dimension ref="B2:C62"/>
  <sheetViews>
    <sheetView workbookViewId="0">
      <selection activeCell="C63" sqref="C63"/>
    </sheetView>
  </sheetViews>
  <sheetFormatPr defaultRowHeight="14.5" x14ac:dyDescent="0.35"/>
  <cols>
    <col min="2" max="2" width="14.54296875" customWidth="1"/>
    <col min="3" max="3" width="12.1796875" style="19" customWidth="1"/>
  </cols>
  <sheetData>
    <row r="2" spans="2:3" x14ac:dyDescent="0.35">
      <c r="B2" s="63" t="s">
        <v>62</v>
      </c>
      <c r="C2" s="100" t="s">
        <v>127</v>
      </c>
    </row>
    <row r="3" spans="2:3" x14ac:dyDescent="0.35">
      <c r="B3" s="101">
        <v>41670</v>
      </c>
      <c r="C3" s="32">
        <v>2.0000000000000001E-4</v>
      </c>
    </row>
    <row r="4" spans="2:3" x14ac:dyDescent="0.35">
      <c r="B4" s="101">
        <v>41698</v>
      </c>
      <c r="C4" s="32">
        <v>5.0000000000000001E-4</v>
      </c>
    </row>
    <row r="5" spans="2:3" x14ac:dyDescent="0.35">
      <c r="B5" s="101">
        <v>41729</v>
      </c>
      <c r="C5" s="32">
        <v>5.0000000000000001E-4</v>
      </c>
    </row>
    <row r="6" spans="2:3" x14ac:dyDescent="0.35">
      <c r="B6" s="101">
        <v>41759</v>
      </c>
      <c r="C6" s="32">
        <v>2.9999999999999997E-4</v>
      </c>
    </row>
    <row r="7" spans="2:3" x14ac:dyDescent="0.35">
      <c r="B7" s="101">
        <v>41789</v>
      </c>
      <c r="C7" s="32">
        <v>4.0000000000000002E-4</v>
      </c>
    </row>
    <row r="8" spans="2:3" x14ac:dyDescent="0.35">
      <c r="B8" s="101">
        <v>41820</v>
      </c>
      <c r="C8" s="32">
        <v>4.0000000000000002E-4</v>
      </c>
    </row>
    <row r="9" spans="2:3" x14ac:dyDescent="0.35">
      <c r="B9" s="101">
        <v>41851</v>
      </c>
      <c r="C9" s="32">
        <v>2.9999999999999997E-4</v>
      </c>
    </row>
    <row r="10" spans="2:3" x14ac:dyDescent="0.35">
      <c r="B10" s="101">
        <v>41880</v>
      </c>
      <c r="C10" s="32">
        <v>2.9999999999999997E-4</v>
      </c>
    </row>
    <row r="11" spans="2:3" x14ac:dyDescent="0.35">
      <c r="B11" s="101">
        <v>41912</v>
      </c>
      <c r="C11" s="32">
        <v>2.0000000000000001E-4</v>
      </c>
    </row>
    <row r="12" spans="2:3" x14ac:dyDescent="0.35">
      <c r="B12" s="101">
        <v>41943</v>
      </c>
      <c r="C12" s="32">
        <v>1E-4</v>
      </c>
    </row>
    <row r="13" spans="2:3" x14ac:dyDescent="0.35">
      <c r="B13" s="101">
        <v>41971</v>
      </c>
      <c r="C13" s="32">
        <v>2.0000000000000001E-4</v>
      </c>
    </row>
    <row r="14" spans="2:3" x14ac:dyDescent="0.35">
      <c r="B14" s="101">
        <v>42004</v>
      </c>
      <c r="C14" s="32">
        <v>4.0000000000000002E-4</v>
      </c>
    </row>
    <row r="15" spans="2:3" x14ac:dyDescent="0.35">
      <c r="B15" s="101">
        <v>42034</v>
      </c>
      <c r="C15" s="32">
        <v>2.0000000000000001E-4</v>
      </c>
    </row>
    <row r="16" spans="2:3" x14ac:dyDescent="0.35">
      <c r="B16" s="101">
        <v>42062</v>
      </c>
      <c r="C16" s="32">
        <v>2.0000000000000001E-4</v>
      </c>
    </row>
    <row r="17" spans="2:3" x14ac:dyDescent="0.35">
      <c r="B17" s="101">
        <v>42094</v>
      </c>
      <c r="C17" s="32">
        <v>2.9999999999999997E-4</v>
      </c>
    </row>
    <row r="18" spans="2:3" x14ac:dyDescent="0.35">
      <c r="B18" s="101">
        <v>42124</v>
      </c>
      <c r="C18" s="32">
        <v>1E-4</v>
      </c>
    </row>
    <row r="19" spans="2:3" x14ac:dyDescent="0.35">
      <c r="B19" s="101">
        <v>42153</v>
      </c>
      <c r="C19" s="32">
        <v>1E-4</v>
      </c>
    </row>
    <row r="20" spans="2:3" x14ac:dyDescent="0.35">
      <c r="B20" s="101">
        <v>42185</v>
      </c>
      <c r="C20" s="32">
        <v>1E-4</v>
      </c>
    </row>
    <row r="21" spans="2:3" x14ac:dyDescent="0.35">
      <c r="B21" s="101">
        <v>42216</v>
      </c>
      <c r="C21" s="32">
        <v>8.0000000000000004E-4</v>
      </c>
    </row>
    <row r="22" spans="2:3" x14ac:dyDescent="0.35">
      <c r="B22" s="101">
        <v>42247</v>
      </c>
      <c r="C22" s="32">
        <v>8.0000000000000004E-4</v>
      </c>
    </row>
    <row r="23" spans="2:3" x14ac:dyDescent="0.35">
      <c r="B23" s="101">
        <v>42277</v>
      </c>
      <c r="C23" s="32">
        <v>0</v>
      </c>
    </row>
    <row r="24" spans="2:3" x14ac:dyDescent="0.35">
      <c r="B24" s="101">
        <v>42307</v>
      </c>
      <c r="C24" s="32">
        <v>8.0000000000000004E-4</v>
      </c>
    </row>
    <row r="25" spans="2:3" x14ac:dyDescent="0.35">
      <c r="B25" s="101">
        <v>42034</v>
      </c>
      <c r="C25" s="32">
        <v>2.2000000000000001E-3</v>
      </c>
    </row>
    <row r="26" spans="2:3" x14ac:dyDescent="0.35">
      <c r="B26" s="101">
        <v>42369</v>
      </c>
      <c r="C26" s="32">
        <v>1.6000000000000001E-3</v>
      </c>
    </row>
    <row r="27" spans="2:3" x14ac:dyDescent="0.35">
      <c r="B27" s="101">
        <v>42398</v>
      </c>
      <c r="C27" s="32">
        <v>3.3E-3</v>
      </c>
    </row>
    <row r="28" spans="2:3" x14ac:dyDescent="0.35">
      <c r="B28" s="101">
        <v>42429</v>
      </c>
      <c r="C28" s="32">
        <v>3.3E-3</v>
      </c>
    </row>
    <row r="29" spans="2:3" x14ac:dyDescent="0.35">
      <c r="B29" s="101">
        <v>42460</v>
      </c>
      <c r="C29" s="32">
        <v>2.0999999999999999E-3</v>
      </c>
    </row>
    <row r="30" spans="2:3" x14ac:dyDescent="0.35">
      <c r="B30" s="101">
        <v>42489</v>
      </c>
      <c r="C30" s="32">
        <v>2.2000000000000001E-3</v>
      </c>
    </row>
    <row r="31" spans="2:3" x14ac:dyDescent="0.35">
      <c r="B31" s="101">
        <v>42521</v>
      </c>
      <c r="C31" s="32">
        <v>3.4000000000000002E-3</v>
      </c>
    </row>
    <row r="32" spans="2:3" x14ac:dyDescent="0.35">
      <c r="B32" s="101">
        <v>42551</v>
      </c>
      <c r="C32" s="32">
        <v>2.5999999999999999E-3</v>
      </c>
    </row>
    <row r="33" spans="2:3" x14ac:dyDescent="0.35">
      <c r="B33" s="101">
        <v>42580</v>
      </c>
      <c r="C33" s="32">
        <v>2.8000000000000004E-3</v>
      </c>
    </row>
    <row r="34" spans="2:3" x14ac:dyDescent="0.35">
      <c r="B34" s="101">
        <v>42613</v>
      </c>
      <c r="C34" s="32">
        <v>3.3E-3</v>
      </c>
    </row>
    <row r="35" spans="2:3" x14ac:dyDescent="0.35">
      <c r="B35" s="101">
        <v>42643</v>
      </c>
      <c r="C35" s="32">
        <v>2.8999999999999998E-3</v>
      </c>
    </row>
    <row r="36" spans="2:3" x14ac:dyDescent="0.35">
      <c r="B36" s="101">
        <v>42674</v>
      </c>
      <c r="C36" s="32">
        <v>3.4000000000000002E-3</v>
      </c>
    </row>
    <row r="37" spans="2:3" x14ac:dyDescent="0.35">
      <c r="B37" s="101">
        <v>42704</v>
      </c>
      <c r="C37" s="32">
        <v>4.7999999999999996E-3</v>
      </c>
    </row>
    <row r="38" spans="2:3" x14ac:dyDescent="0.35">
      <c r="B38" s="101">
        <v>42734</v>
      </c>
      <c r="C38" s="32">
        <v>5.1000000000000004E-3</v>
      </c>
    </row>
    <row r="39" spans="2:3" x14ac:dyDescent="0.35">
      <c r="B39" s="101">
        <v>42766</v>
      </c>
      <c r="C39" s="32">
        <v>5.1999999999999998E-3</v>
      </c>
    </row>
    <row r="40" spans="2:3" x14ac:dyDescent="0.35">
      <c r="B40" s="101">
        <v>42794</v>
      </c>
      <c r="C40" s="32">
        <v>5.3E-3</v>
      </c>
    </row>
    <row r="41" spans="2:3" x14ac:dyDescent="0.35">
      <c r="B41" s="101">
        <v>42825</v>
      </c>
      <c r="C41" s="32">
        <v>7.6E-3</v>
      </c>
    </row>
    <row r="42" spans="2:3" x14ac:dyDescent="0.35">
      <c r="B42" s="101">
        <v>42853</v>
      </c>
      <c r="C42" s="32">
        <v>8.0000000000000002E-3</v>
      </c>
    </row>
    <row r="43" spans="2:3" x14ac:dyDescent="0.35">
      <c r="B43" s="101">
        <v>42886</v>
      </c>
      <c r="C43" s="32">
        <v>9.7999999999999997E-3</v>
      </c>
    </row>
    <row r="44" spans="2:3" x14ac:dyDescent="0.35">
      <c r="B44" s="101">
        <v>42916</v>
      </c>
      <c r="C44" s="32">
        <v>1.03E-2</v>
      </c>
    </row>
    <row r="45" spans="2:3" x14ac:dyDescent="0.35">
      <c r="B45" s="101">
        <v>42947</v>
      </c>
      <c r="C45" s="32">
        <v>1.0700000000000001E-2</v>
      </c>
    </row>
    <row r="46" spans="2:3" x14ac:dyDescent="0.35">
      <c r="B46" s="101">
        <v>42978</v>
      </c>
      <c r="C46" s="32">
        <v>1.01E-2</v>
      </c>
    </row>
    <row r="47" spans="2:3" x14ac:dyDescent="0.35">
      <c r="B47" s="101">
        <v>43007</v>
      </c>
      <c r="C47" s="32">
        <v>1.06E-2</v>
      </c>
    </row>
    <row r="48" spans="2:3" x14ac:dyDescent="0.35">
      <c r="B48" s="101">
        <v>43039</v>
      </c>
      <c r="C48" s="32">
        <v>1.15E-2</v>
      </c>
    </row>
    <row r="49" spans="2:3" x14ac:dyDescent="0.35">
      <c r="B49" s="101">
        <v>43069</v>
      </c>
      <c r="C49" s="32">
        <v>1.2699999999999999E-2</v>
      </c>
    </row>
    <row r="50" spans="2:3" x14ac:dyDescent="0.35">
      <c r="B50" s="101">
        <v>43098</v>
      </c>
      <c r="C50" s="32">
        <v>1.3899999999999999E-2</v>
      </c>
    </row>
    <row r="51" spans="2:3" x14ac:dyDescent="0.35">
      <c r="B51" s="101">
        <v>43131</v>
      </c>
      <c r="C51" s="32">
        <v>1.46E-2</v>
      </c>
    </row>
    <row r="52" spans="2:3" x14ac:dyDescent="0.35">
      <c r="B52" s="101">
        <v>43159</v>
      </c>
      <c r="C52" s="32">
        <v>1.6500000000000001E-2</v>
      </c>
    </row>
    <row r="53" spans="2:3" x14ac:dyDescent="0.35">
      <c r="B53" s="101">
        <v>43188</v>
      </c>
      <c r="C53" s="32">
        <v>1.7299999999999999E-2</v>
      </c>
    </row>
    <row r="54" spans="2:3" x14ac:dyDescent="0.35">
      <c r="B54" s="101">
        <v>43220</v>
      </c>
      <c r="C54" s="32">
        <v>1.8700000000000001E-2</v>
      </c>
    </row>
    <row r="55" spans="2:3" x14ac:dyDescent="0.35">
      <c r="B55" s="101">
        <v>43251</v>
      </c>
      <c r="C55" s="32">
        <v>1.9299999999999998E-2</v>
      </c>
    </row>
    <row r="56" spans="2:3" x14ac:dyDescent="0.35">
      <c r="B56" s="101">
        <v>43280</v>
      </c>
      <c r="C56" s="32">
        <v>1.9299999999999998E-2</v>
      </c>
    </row>
    <row r="57" spans="2:3" x14ac:dyDescent="0.35">
      <c r="B57" s="101">
        <v>43312</v>
      </c>
      <c r="C57" s="32">
        <v>2.0299999999999999E-2</v>
      </c>
    </row>
    <row r="58" spans="2:3" x14ac:dyDescent="0.35">
      <c r="B58" s="101">
        <v>43343</v>
      </c>
      <c r="C58" s="32">
        <v>2.1099999999999997E-2</v>
      </c>
    </row>
    <row r="59" spans="2:3" x14ac:dyDescent="0.35">
      <c r="B59" s="101">
        <v>43371</v>
      </c>
      <c r="C59" s="32">
        <v>2.1899999999999999E-2</v>
      </c>
    </row>
    <row r="60" spans="2:3" x14ac:dyDescent="0.35">
      <c r="B60" s="101">
        <v>43404</v>
      </c>
      <c r="C60" s="32">
        <v>2.3399999999999997E-2</v>
      </c>
    </row>
    <row r="61" spans="2:3" x14ac:dyDescent="0.35">
      <c r="B61" s="101">
        <v>43434</v>
      </c>
      <c r="C61" s="32">
        <v>2.3700000000000002E-2</v>
      </c>
    </row>
    <row r="62" spans="2:3" x14ac:dyDescent="0.35">
      <c r="B62" s="102">
        <v>43465</v>
      </c>
      <c r="C62" s="33">
        <v>2.4500000000000001E-2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D9F5-BE63-4CD6-B55E-228A6F3498C5}">
  <sheetPr>
    <tabColor theme="5" tint="0.39997558519241921"/>
  </sheetPr>
  <dimension ref="B2:C64"/>
  <sheetViews>
    <sheetView workbookViewId="0">
      <selection activeCell="C64" sqref="C64"/>
    </sheetView>
  </sheetViews>
  <sheetFormatPr defaultRowHeight="14.5" x14ac:dyDescent="0.35"/>
  <sheetData>
    <row r="2" spans="2:3" x14ac:dyDescent="0.35">
      <c r="B2" s="31" t="s">
        <v>62</v>
      </c>
      <c r="C2" s="34" t="s">
        <v>128</v>
      </c>
    </row>
    <row r="3" spans="2:3" x14ac:dyDescent="0.35">
      <c r="B3" s="37">
        <v>41609</v>
      </c>
      <c r="C3" s="35">
        <v>220.8</v>
      </c>
    </row>
    <row r="4" spans="2:3" x14ac:dyDescent="0.35">
      <c r="B4" s="37">
        <v>41640</v>
      </c>
      <c r="C4" s="20">
        <v>228</v>
      </c>
    </row>
    <row r="5" spans="2:3" x14ac:dyDescent="0.35">
      <c r="B5" s="37">
        <v>41671</v>
      </c>
      <c r="C5" s="20">
        <v>234.84</v>
      </c>
    </row>
    <row r="6" spans="2:3" x14ac:dyDescent="0.35">
      <c r="B6" s="37">
        <v>41699</v>
      </c>
      <c r="C6" s="20">
        <v>217.68</v>
      </c>
    </row>
    <row r="7" spans="2:3" x14ac:dyDescent="0.35">
      <c r="B7" s="37">
        <v>41730</v>
      </c>
      <c r="C7" s="20">
        <v>196.32</v>
      </c>
    </row>
    <row r="8" spans="2:3" x14ac:dyDescent="0.35">
      <c r="B8" s="37">
        <v>41760</v>
      </c>
      <c r="C8" s="20">
        <v>184.08</v>
      </c>
    </row>
    <row r="9" spans="2:3" x14ac:dyDescent="0.35">
      <c r="B9" s="37">
        <v>41791</v>
      </c>
      <c r="C9" s="20">
        <v>176.88</v>
      </c>
    </row>
    <row r="10" spans="2:3" x14ac:dyDescent="0.35">
      <c r="B10" s="37">
        <v>41821</v>
      </c>
      <c r="C10" s="20">
        <v>153.36000000000001</v>
      </c>
    </row>
    <row r="11" spans="2:3" x14ac:dyDescent="0.35">
      <c r="B11" s="37">
        <v>41852</v>
      </c>
      <c r="C11" s="20">
        <v>168</v>
      </c>
    </row>
    <row r="12" spans="2:3" x14ac:dyDescent="0.35">
      <c r="B12" s="37">
        <v>41883</v>
      </c>
      <c r="C12" s="20">
        <v>167.16</v>
      </c>
    </row>
    <row r="13" spans="2:3" x14ac:dyDescent="0.35">
      <c r="B13" s="37">
        <v>41913</v>
      </c>
      <c r="C13" s="20">
        <v>142.91999999999999</v>
      </c>
    </row>
    <row r="14" spans="2:3" x14ac:dyDescent="0.35">
      <c r="B14" s="37">
        <v>41944</v>
      </c>
      <c r="C14" s="20">
        <v>152.16</v>
      </c>
    </row>
    <row r="15" spans="2:3" x14ac:dyDescent="0.35">
      <c r="B15" s="37">
        <v>41974</v>
      </c>
      <c r="C15" s="20">
        <v>200.4</v>
      </c>
    </row>
    <row r="16" spans="2:3" x14ac:dyDescent="0.35">
      <c r="B16" s="37">
        <v>42005</v>
      </c>
      <c r="C16" s="20">
        <v>190.32</v>
      </c>
    </row>
    <row r="17" spans="2:3" x14ac:dyDescent="0.35">
      <c r="B17" s="37">
        <v>42036</v>
      </c>
      <c r="C17" s="20">
        <v>179.88</v>
      </c>
    </row>
    <row r="18" spans="2:3" x14ac:dyDescent="0.35">
      <c r="B18" s="37">
        <v>42064</v>
      </c>
      <c r="C18" s="20">
        <v>213.6</v>
      </c>
    </row>
    <row r="19" spans="2:3" x14ac:dyDescent="0.35">
      <c r="B19" s="37">
        <v>42095</v>
      </c>
      <c r="C19" s="20">
        <v>203.16</v>
      </c>
    </row>
    <row r="20" spans="2:3" x14ac:dyDescent="0.35">
      <c r="B20" s="37">
        <v>42125</v>
      </c>
      <c r="C20" s="20">
        <v>188.04</v>
      </c>
    </row>
    <row r="21" spans="2:3" x14ac:dyDescent="0.35">
      <c r="B21" s="37">
        <v>42156</v>
      </c>
      <c r="C21" s="20">
        <v>161.63999999999999</v>
      </c>
    </row>
    <row r="22" spans="2:3" x14ac:dyDescent="0.35">
      <c r="B22" s="37">
        <v>42186</v>
      </c>
      <c r="C22" s="20">
        <v>145.91999999999999</v>
      </c>
    </row>
    <row r="23" spans="2:3" x14ac:dyDescent="0.35">
      <c r="B23" s="37">
        <v>42217</v>
      </c>
      <c r="C23" s="20">
        <v>134.88</v>
      </c>
    </row>
    <row r="24" spans="2:3" x14ac:dyDescent="0.35">
      <c r="B24" s="37">
        <v>42248</v>
      </c>
      <c r="C24" s="20">
        <v>146.76</v>
      </c>
    </row>
    <row r="25" spans="2:3" x14ac:dyDescent="0.35">
      <c r="B25" s="37">
        <v>42278</v>
      </c>
      <c r="C25" s="20">
        <v>170.52</v>
      </c>
    </row>
    <row r="26" spans="2:3" x14ac:dyDescent="0.35">
      <c r="B26" s="37">
        <v>42309</v>
      </c>
      <c r="C26" s="20">
        <v>179.16</v>
      </c>
    </row>
    <row r="27" spans="2:3" x14ac:dyDescent="0.35">
      <c r="B27" s="37">
        <v>42339</v>
      </c>
      <c r="C27" s="20">
        <v>208.92</v>
      </c>
    </row>
    <row r="28" spans="2:3" x14ac:dyDescent="0.35">
      <c r="B28" s="37">
        <v>42370</v>
      </c>
      <c r="C28" s="20">
        <v>218.76</v>
      </c>
    </row>
    <row r="29" spans="2:3" x14ac:dyDescent="0.35">
      <c r="B29" s="37">
        <v>42401</v>
      </c>
      <c r="C29" s="20">
        <v>216.96</v>
      </c>
    </row>
    <row r="30" spans="2:3" x14ac:dyDescent="0.35">
      <c r="B30" s="37">
        <v>42430</v>
      </c>
      <c r="C30" s="20">
        <v>229.92</v>
      </c>
    </row>
    <row r="31" spans="2:3" x14ac:dyDescent="0.35">
      <c r="B31" s="37">
        <v>42461</v>
      </c>
      <c r="C31" s="20">
        <v>199.2</v>
      </c>
    </row>
    <row r="32" spans="2:3" x14ac:dyDescent="0.35">
      <c r="B32" s="37">
        <v>42491</v>
      </c>
      <c r="C32" s="20">
        <v>125.04</v>
      </c>
    </row>
    <row r="33" spans="2:3" x14ac:dyDescent="0.35">
      <c r="B33" s="37">
        <v>42522</v>
      </c>
      <c r="C33" s="20">
        <v>132.6</v>
      </c>
    </row>
    <row r="34" spans="2:3" x14ac:dyDescent="0.35">
      <c r="B34" s="37">
        <v>42552</v>
      </c>
      <c r="C34" s="20">
        <v>152.52000000000001</v>
      </c>
    </row>
    <row r="35" spans="2:3" x14ac:dyDescent="0.35">
      <c r="B35" s="37">
        <v>42583</v>
      </c>
      <c r="C35" s="20">
        <v>163.80000000000001</v>
      </c>
    </row>
    <row r="36" spans="2:3" x14ac:dyDescent="0.35">
      <c r="B36" s="37">
        <v>42614</v>
      </c>
      <c r="C36" s="20">
        <v>185.16</v>
      </c>
    </row>
    <row r="37" spans="2:3" x14ac:dyDescent="0.35">
      <c r="B37" s="37">
        <v>42644</v>
      </c>
      <c r="C37" s="20">
        <v>192.84</v>
      </c>
    </row>
    <row r="38" spans="2:3" x14ac:dyDescent="0.35">
      <c r="B38" s="37">
        <v>42675</v>
      </c>
      <c r="C38" s="20">
        <v>191.76</v>
      </c>
    </row>
    <row r="39" spans="2:3" x14ac:dyDescent="0.35">
      <c r="B39" s="37">
        <v>42705</v>
      </c>
      <c r="C39" s="20">
        <v>216.36</v>
      </c>
    </row>
    <row r="40" spans="2:3" x14ac:dyDescent="0.35">
      <c r="B40" s="37">
        <v>42736</v>
      </c>
      <c r="C40" s="20">
        <v>209.28</v>
      </c>
    </row>
    <row r="41" spans="2:3" x14ac:dyDescent="0.35">
      <c r="B41" s="37">
        <v>42767</v>
      </c>
      <c r="C41" s="20">
        <v>203.64</v>
      </c>
    </row>
    <row r="42" spans="2:3" x14ac:dyDescent="0.35">
      <c r="B42" s="37">
        <v>42795</v>
      </c>
      <c r="C42" s="20">
        <v>184.2</v>
      </c>
    </row>
    <row r="43" spans="2:3" x14ac:dyDescent="0.35">
      <c r="B43" s="37">
        <v>42826</v>
      </c>
      <c r="C43" s="20">
        <v>189.36</v>
      </c>
    </row>
    <row r="44" spans="2:3" x14ac:dyDescent="0.35">
      <c r="B44" s="37">
        <v>42856</v>
      </c>
      <c r="C44" s="20">
        <v>151.91999999999999</v>
      </c>
    </row>
    <row r="45" spans="2:3" x14ac:dyDescent="0.35">
      <c r="B45" s="37">
        <v>42887</v>
      </c>
      <c r="C45" s="20">
        <v>131.28</v>
      </c>
    </row>
    <row r="46" spans="2:3" x14ac:dyDescent="0.35">
      <c r="B46" s="37">
        <v>42917</v>
      </c>
      <c r="C46" s="20">
        <v>116.76</v>
      </c>
    </row>
    <row r="47" spans="2:3" x14ac:dyDescent="0.35">
      <c r="B47" s="37">
        <v>42948</v>
      </c>
      <c r="C47" s="20">
        <v>87.12</v>
      </c>
    </row>
    <row r="48" spans="2:3" x14ac:dyDescent="0.35">
      <c r="B48" s="37">
        <v>42979</v>
      </c>
      <c r="C48" s="20">
        <v>88.32</v>
      </c>
    </row>
    <row r="49" spans="2:3" x14ac:dyDescent="0.35">
      <c r="B49" s="37">
        <v>43009</v>
      </c>
      <c r="C49" s="20">
        <v>77.64</v>
      </c>
    </row>
    <row r="50" spans="2:3" x14ac:dyDescent="0.35">
      <c r="B50" s="37">
        <v>43040</v>
      </c>
      <c r="C50" s="20">
        <v>89.04</v>
      </c>
    </row>
    <row r="51" spans="2:3" x14ac:dyDescent="0.35">
      <c r="B51" s="37">
        <v>43070</v>
      </c>
      <c r="C51" s="20">
        <v>87.72</v>
      </c>
    </row>
    <row r="52" spans="2:3" x14ac:dyDescent="0.35">
      <c r="B52" s="37">
        <v>43101</v>
      </c>
      <c r="C52" s="20">
        <v>69.959999999999994</v>
      </c>
    </row>
    <row r="53" spans="2:3" x14ac:dyDescent="0.35">
      <c r="B53" s="37">
        <v>43132</v>
      </c>
      <c r="C53" s="20">
        <v>62.52</v>
      </c>
    </row>
    <row r="54" spans="2:3" x14ac:dyDescent="0.35">
      <c r="B54" s="37">
        <v>43160</v>
      </c>
      <c r="C54" s="20">
        <v>57.6</v>
      </c>
    </row>
    <row r="55" spans="2:3" x14ac:dyDescent="0.35">
      <c r="B55" s="37">
        <v>43191</v>
      </c>
      <c r="C55" s="20">
        <v>59.4</v>
      </c>
    </row>
    <row r="56" spans="2:3" x14ac:dyDescent="0.35">
      <c r="B56" s="37">
        <v>43221</v>
      </c>
      <c r="C56" s="20">
        <v>70.92</v>
      </c>
    </row>
    <row r="57" spans="2:3" x14ac:dyDescent="0.35">
      <c r="B57" s="37">
        <v>43252</v>
      </c>
      <c r="C57" s="20">
        <v>90.6</v>
      </c>
    </row>
    <row r="58" spans="2:3" x14ac:dyDescent="0.35">
      <c r="B58" s="37">
        <v>43282</v>
      </c>
      <c r="C58" s="20">
        <v>97.68</v>
      </c>
    </row>
    <row r="59" spans="2:3" x14ac:dyDescent="0.35">
      <c r="B59" s="37">
        <v>43313</v>
      </c>
      <c r="C59" s="20">
        <v>75.36</v>
      </c>
    </row>
    <row r="60" spans="2:3" x14ac:dyDescent="0.35">
      <c r="B60" s="37">
        <v>43344</v>
      </c>
      <c r="C60" s="20">
        <v>44.52</v>
      </c>
    </row>
    <row r="61" spans="2:3" x14ac:dyDescent="0.35">
      <c r="B61" s="37">
        <v>43374</v>
      </c>
      <c r="C61" s="20">
        <v>36.479999999999997</v>
      </c>
    </row>
    <row r="62" spans="2:3" x14ac:dyDescent="0.35">
      <c r="B62" s="37">
        <v>43405</v>
      </c>
      <c r="C62" s="20">
        <v>23.88</v>
      </c>
    </row>
    <row r="63" spans="2:3" x14ac:dyDescent="0.35">
      <c r="B63" s="39">
        <v>43435</v>
      </c>
      <c r="C63" s="20">
        <v>11.64</v>
      </c>
    </row>
    <row r="64" spans="2:3" x14ac:dyDescent="0.35">
      <c r="B64" s="39">
        <v>43466</v>
      </c>
      <c r="C64" s="21">
        <v>10.56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5AF93B52A80C4293DABBC5ADB4B4FA" ma:contentTypeVersion="9" ma:contentTypeDescription="Create a new document." ma:contentTypeScope="" ma:versionID="b94955b0326fe179ceb2d6d070a62e3a">
  <xsd:schema xmlns:xsd="http://www.w3.org/2001/XMLSchema" xmlns:xs="http://www.w3.org/2001/XMLSchema" xmlns:p="http://schemas.microsoft.com/office/2006/metadata/properties" xmlns:ns3="6c48658d-69bf-41d7-9378-d45271c47707" xmlns:ns4="43a0faf5-a0a4-42b6-96e6-68379810a62e" targetNamespace="http://schemas.microsoft.com/office/2006/metadata/properties" ma:root="true" ma:fieldsID="67034bae5b5e3f0348c6605d6444eee7" ns3:_="" ns4:_="">
    <xsd:import namespace="6c48658d-69bf-41d7-9378-d45271c47707"/>
    <xsd:import namespace="43a0faf5-a0a4-42b6-96e6-68379810a62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Location" minOccurs="0"/>
                <xsd:element ref="ns4:MediaServiceAutoTag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8658d-69bf-41d7-9378-d45271c4770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hidden="true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a0faf5-a0a4-42b6-96e6-68379810a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H Y D A A B Q S w M E F A A C A A g A M Z p B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M Z p B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a Q U / i Q h o q b Q A A A I Q A A A A T A B w A R m 9 y b X V s Y X M v U 2 V j d G l v b j E u b S C i G A A o o B Q A A A A A A A A A A A A A A A A A A A A A A A A A A A B N j L E K A j E Q B f t A / m G 5 S h v B 1 s N K u R 8 4 r t v m y D 0 x G m 7 D 7 u b / D W j h N A N T j C F 5 l p 3 m r 8 9 j D D H Y c 1 V s V F V e P d O V C j w G 6 s z S N K G X S c o G P U 2 5 w A 7 D 7 c K L Q Y 0 r 3 2 F v l 8 q P 5 k 3 B S b S K r g 7 + 3 Y Z j D H n / v 4 0 f U E s B A i 0 A F A A C A A g A M Z p B T 0 O x 9 u O n A A A A + A A A A B I A A A A A A A A A A A A A A A A A A A A A A E N v b m Z p Z y 9 Q Y W N r Y W d l L n h t b F B L A Q I t A B Q A A g A I A D G a Q U 8 P y u m r p A A A A O k A A A A T A A A A A A A A A A A A A A A A A P M A A A B b Q 2 9 u d G V u d F 9 U e X B l c 1 0 u e G 1 s U E s B A i 0 A F A A C A A g A M Z p B T + J C G i p t A A A A h A A A A B M A A A A A A A A A A A A A A A A A 5 A E A A E Z v c m 1 1 b G F z L 1 N l Y 3 R p b 2 4 x L m 1 Q S w U G A A A A A A M A A w D C A A A A n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Q o A A A A A A A A X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M l Q w M j o x N z o x N y 4 1 O D Q 5 N z M z W i I g L z 4 8 R W 5 0 c n k g V H l w Z T 0 i R m l s b E N v b H V t b l R 5 c G V z I i B W Y W x 1 Z T 0 i c 0 V B W U d C d 2 N I Q m c 9 P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c H J v a m V j d C 9 T b 3 V y Y 2 U u e 0 N v b n R l b n Q s M H 0 m c X V v d D s s J n F 1 b 3 Q 7 U 2 V j d G l v b j E v c H J v a m V j d C 9 T b 3 V y Y 2 U u e 0 5 h b W U s M X 0 m c X V v d D s s J n F 1 b 3 Q 7 U 2 V j d G l v b j E v c H J v a m V j d C 9 T b 3 V y Y 2 U u e 0 V 4 d G V u c 2 l v b i w y f S Z x d W 9 0 O y w m c X V v d D t T Z W N 0 a W 9 u M S 9 w c m 9 q Z W N 0 L 1 N v d X J j Z S 5 7 R G F 0 Z S B h Y 2 N l c 3 N l Z C w z f S Z x d W 9 0 O y w m c X V v d D t T Z W N 0 a W 9 u M S 9 w c m 9 q Z W N 0 L 1 N v d X J j Z S 5 7 R G F 0 Z S B t b 2 R p Z m l l Z C w 0 f S Z x d W 9 0 O y w m c X V v d D t T Z W N 0 a W 9 u M S 9 w c m 9 q Z W N 0 L 1 N v d X J j Z S 5 7 R G F 0 Z S B j c m V h d G V k L D V 9 J n F 1 b 3 Q 7 L C Z x d W 9 0 O 1 N l Y 3 R p b 2 4 x L 3 B y b 2 p l Y 3 Q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c H J v a m V j d C 9 T b 3 V y Y 2 U u e 0 N v b n R l b n Q s M H 0 m c X V v d D s s J n F 1 b 3 Q 7 U 2 V j d G l v b j E v c H J v a m V j d C 9 T b 3 V y Y 2 U u e 0 5 h b W U s M X 0 m c X V v d D s s J n F 1 b 3 Q 7 U 2 V j d G l v b j E v c H J v a m V j d C 9 T b 3 V y Y 2 U u e 0 V 4 d G V u c 2 l v b i w y f S Z x d W 9 0 O y w m c X V v d D t T Z W N 0 a W 9 u M S 9 w c m 9 q Z W N 0 L 1 N v d X J j Z S 5 7 R G F 0 Z S B h Y 2 N l c 3 N l Z C w z f S Z x d W 9 0 O y w m c X V v d D t T Z W N 0 a W 9 u M S 9 w c m 9 q Z W N 0 L 1 N v d X J j Z S 5 7 R G F 0 Z S B t b 2 R p Z m l l Z C w 0 f S Z x d W 9 0 O y w m c X V v d D t T Z W N 0 a W 9 u M S 9 w c m 9 q Z W N 0 L 1 N v d X J j Z S 5 7 R G F 0 Z S B j c m V h d G V k L D V 9 J n F 1 b 3 Q 7 L C Z x d W 9 0 O 1 N l Y 3 R p b 2 4 x L 3 B y b 2 p l Y 3 Q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a m V j d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t I n e I y E u k W H 1 j z R Y 2 V 6 S A A A A A A C A A A A A A A Q Z g A A A A E A A C A A A A C 3 s s m U F 9 H u D / c f F W v 0 p U t / U d 6 x o E 0 s U O + V w U 1 H v w 0 k O Q A A A A A O g A A A A A I A A C A A A A A R T P E n r 5 H 3 w P C I l 9 7 W b W U t / f 6 A W v v n V I p 1 s c t M o p h X q F A A A A C x V 2 g l K x s d a F G N l w s P w k 0 X G Y p f e W L c 2 / v 7 + R A / H X O r h B E o F 0 + 2 N f e m x G 8 R G w / E y d + y g 0 8 7 e l m 5 7 H y T + J S 0 R p M 0 2 6 2 p u z I f Z j S k C Q 8 z a 2 C w Y U A A A A B U G y v w l 5 O U l q 3 S + / Q 1 f 1 q R F M F w Q Y S d 3 T W w o 3 r g S n v r / 2 d N U c + b S V 0 u 4 g a o l l i W 8 S D u A A C n k T a N f V G 5 t t P K g o k Y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AD373B-EDAD-4DBC-8846-85AFCF166B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8658d-69bf-41d7-9378-d45271c47707"/>
    <ds:schemaRef ds:uri="43a0faf5-a0a4-42b6-96e6-68379810a6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FD898C-DE33-49CD-AC8B-E655BA3CE34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7E48535-4DDD-4CF9-B3F7-C356D104E6ED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6c48658d-69bf-41d7-9378-d45271c47707"/>
    <ds:schemaRef ds:uri="http://schemas.openxmlformats.org/package/2006/metadata/core-properties"/>
    <ds:schemaRef ds:uri="43a0faf5-a0a4-42b6-96e6-68379810a62e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3D584E8D-D138-45C6-A0C1-92E1964762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DATA</vt:lpstr>
      <vt:lpstr>DATA NORMALISED</vt:lpstr>
      <vt:lpstr>Financial Projections</vt:lpstr>
      <vt:lpstr>Ratio Analysis for FRAN</vt:lpstr>
      <vt:lpstr>Ratio analysis for Competitor</vt:lpstr>
      <vt:lpstr>NASDAQ Composite index (Values)</vt:lpstr>
      <vt:lpstr>NASDAQ Composite Index Return</vt:lpstr>
      <vt:lpstr>Risk free returns</vt:lpstr>
      <vt:lpstr>FRAN Stock Price</vt:lpstr>
      <vt:lpstr>FRAN % Changes in Stock Prices</vt:lpstr>
      <vt:lpstr>Excess Return</vt:lpstr>
      <vt:lpstr>Cost of Equity</vt:lpstr>
      <vt:lpstr>WACC</vt:lpstr>
      <vt:lpstr>Free Cash Flow</vt:lpstr>
      <vt:lpstr>Cost of debt after Forecast</vt:lpstr>
      <vt:lpstr>New Cost of Equity</vt:lpstr>
      <vt:lpstr>New WACC</vt:lpstr>
      <vt:lpstr>Terminal Value</vt:lpstr>
      <vt:lpstr>Present Value</vt:lpstr>
      <vt:lpstr>Value Earnings Capitalization</vt:lpstr>
      <vt:lpstr>PE MULTIPLE FOR FRAN</vt:lpstr>
      <vt:lpstr>PE MULTIPLE FOR COMPETITOR</vt:lpstr>
      <vt:lpstr>Net Assest Value FRAN</vt:lpstr>
      <vt:lpstr>NAV FOR COMPETITOR</vt:lpstr>
      <vt:lpstr>PB Value Multiple for FRAN</vt:lpstr>
      <vt:lpstr>PB Value Multiple - competitor</vt:lpstr>
      <vt:lpstr>Final Value</vt:lpstr>
      <vt:lpstr>ALTMAN Z SCORE</vt:lpstr>
      <vt:lpstr>Price to Sales Ratio for compet</vt:lpstr>
      <vt:lpstr>Income statement for competitor</vt:lpstr>
      <vt:lpstr>Balanced Sheet for competitor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</dc:creator>
  <cp:keywords/>
  <dc:description/>
  <cp:lastModifiedBy>p</cp:lastModifiedBy>
  <cp:revision/>
  <dcterms:created xsi:type="dcterms:W3CDTF">2019-10-02T02:01:30Z</dcterms:created>
  <dcterms:modified xsi:type="dcterms:W3CDTF">2019-12-11T14:59:25Z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0x010100685AF93B52A80C4293DABBC5ADB4B4FA</vt:lpwstr>
  </property>
</Properties>
</file>