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p\Desktop\future\"/>
    </mc:Choice>
  </mc:AlternateContent>
  <xr:revisionPtr revIDLastSave="0" documentId="13_ncr:1_{590FC8FD-A85E-4CE1-A7A5-F0EA537B07BD}" xr6:coauthVersionLast="45" xr6:coauthVersionMax="45" xr10:uidLastSave="{00000000-0000-0000-0000-000000000000}"/>
  <bookViews>
    <workbookView xWindow="-110" yWindow="-110" windowWidth="19420" windowHeight="11020" activeTab="8" xr2:uid="{00000000-000D-0000-FFFF-FFFF00000000}"/>
  </bookViews>
  <sheets>
    <sheet name="Country Risk" sheetId="33" r:id="rId1"/>
    <sheet name="Exchange rate forecast" sheetId="31" r:id="rId2"/>
    <sheet name="income statement" sheetId="14" r:id="rId3"/>
    <sheet name="Balance Sheet" sheetId="15" r:id="rId4"/>
    <sheet name="Initial cash outflow" sheetId="2" r:id="rId5"/>
    <sheet name="WACC" sheetId="25" r:id="rId6"/>
    <sheet name="Free Cashflow" sheetId="8" r:id="rId7"/>
    <sheet name="Present Value" sheetId="27" r:id="rId8"/>
    <sheet name="Evaluations" sheetId="29" r:id="rId9"/>
    <sheet name="Operating Needs" sheetId="1" r:id="rId10"/>
    <sheet name="Production and Sales Budget" sheetId="12" r:id="rId11"/>
    <sheet name="Operating Cost" sheetId="13" r:id="rId12"/>
    <sheet name="Break Even " sheetId="20" r:id="rId13"/>
  </sheets>
  <definedNames>
    <definedName name="_Toc500955878" localSheetId="3">'Balance Sheet'!$C$2</definedName>
    <definedName name="_xlnm.Print_Area" localSheetId="2">'income statement'!$A$1:$N$54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" i="15" l="1"/>
  <c r="L15" i="15"/>
  <c r="J15" i="15"/>
  <c r="H15" i="15"/>
  <c r="F15" i="15"/>
  <c r="E33" i="29" l="1"/>
  <c r="E37" i="29" s="1"/>
  <c r="E39" i="29"/>
  <c r="E40" i="29"/>
  <c r="E38" i="29" l="1"/>
  <c r="F13" i="33"/>
  <c r="F12" i="33"/>
  <c r="F6" i="33"/>
  <c r="F7" i="33"/>
  <c r="F8" i="33"/>
  <c r="F9" i="33"/>
  <c r="F10" i="33"/>
  <c r="F5" i="33"/>
  <c r="D6" i="33"/>
  <c r="D7" i="33"/>
  <c r="D8" i="33"/>
  <c r="D9" i="33"/>
  <c r="D10" i="33"/>
  <c r="D5" i="33"/>
  <c r="D28" i="13" l="1"/>
  <c r="C28" i="13"/>
  <c r="G7" i="31"/>
  <c r="G8" i="31" s="1"/>
  <c r="G9" i="31" s="1"/>
  <c r="G10" i="31" s="1"/>
  <c r="G11" i="31" s="1"/>
  <c r="C42" i="13"/>
  <c r="D53" i="13"/>
  <c r="D54" i="13"/>
  <c r="D55" i="13"/>
  <c r="D51" i="13"/>
  <c r="D52" i="13"/>
  <c r="L39" i="13"/>
  <c r="L38" i="13"/>
  <c r="L36" i="13"/>
  <c r="J39" i="13"/>
  <c r="J38" i="13"/>
  <c r="J36" i="13"/>
  <c r="H39" i="13"/>
  <c r="H38" i="13"/>
  <c r="H36" i="13"/>
  <c r="F39" i="13"/>
  <c r="F38" i="13"/>
  <c r="F36" i="13"/>
  <c r="D39" i="13"/>
  <c r="C39" i="13" s="1"/>
  <c r="D38" i="13"/>
  <c r="D36" i="13"/>
  <c r="E44" i="15"/>
  <c r="K11" i="14"/>
  <c r="I11" i="14"/>
  <c r="G11" i="14"/>
  <c r="E11" i="14"/>
  <c r="C11" i="14"/>
  <c r="G7" i="20"/>
  <c r="H7" i="20" s="1"/>
  <c r="F7" i="20"/>
  <c r="E7" i="20"/>
  <c r="D7" i="20"/>
  <c r="C7" i="20"/>
  <c r="L23" i="1"/>
  <c r="K23" i="1"/>
  <c r="D10" i="2"/>
  <c r="E9" i="1"/>
  <c r="L18" i="1"/>
  <c r="L7" i="1"/>
  <c r="E10" i="2" s="1"/>
  <c r="E22" i="2"/>
  <c r="E21" i="2"/>
  <c r="D16" i="2"/>
  <c r="G42" i="13" l="1"/>
  <c r="G38" i="14" s="1"/>
  <c r="G41" i="13"/>
  <c r="G37" i="14" s="1"/>
  <c r="I36" i="13"/>
  <c r="G38" i="13"/>
  <c r="F45" i="12"/>
  <c r="G36" i="13"/>
  <c r="G39" i="13"/>
  <c r="E38" i="13"/>
  <c r="I38" i="13"/>
  <c r="C36" i="13"/>
  <c r="C32" i="14" s="1"/>
  <c r="C38" i="13"/>
  <c r="E36" i="13"/>
  <c r="E42" i="13"/>
  <c r="E38" i="14" s="1"/>
  <c r="E39" i="13"/>
  <c r="E45" i="12"/>
  <c r="E41" i="13"/>
  <c r="E37" i="14" s="1"/>
  <c r="C41" i="13"/>
  <c r="C37" i="14" s="1"/>
  <c r="D45" i="12"/>
  <c r="E23" i="2"/>
  <c r="G30" i="15"/>
  <c r="G5" i="14"/>
  <c r="E5" i="14"/>
  <c r="C5" i="14"/>
  <c r="C34" i="14"/>
  <c r="C35" i="14"/>
  <c r="C38" i="14"/>
  <c r="I5" i="14" l="1"/>
  <c r="I39" i="13"/>
  <c r="G45" i="12"/>
  <c r="I41" i="13"/>
  <c r="I37" i="14" s="1"/>
  <c r="I42" i="13"/>
  <c r="I38" i="14" s="1"/>
  <c r="B33" i="13"/>
  <c r="L22" i="1"/>
  <c r="L21" i="1"/>
  <c r="L20" i="1"/>
  <c r="L19" i="1"/>
  <c r="L17" i="1"/>
  <c r="J37" i="14"/>
  <c r="J38" i="14"/>
  <c r="H37" i="14"/>
  <c r="H38" i="14"/>
  <c r="F37" i="14"/>
  <c r="F38" i="14"/>
  <c r="D37" i="14"/>
  <c r="D38" i="14"/>
  <c r="D35" i="14"/>
  <c r="D34" i="14"/>
  <c r="D32" i="14"/>
  <c r="L6" i="1"/>
  <c r="E11" i="2" s="1"/>
  <c r="E13" i="12"/>
  <c r="E15" i="12" s="1"/>
  <c r="F12" i="12" s="1"/>
  <c r="D15" i="12"/>
  <c r="D14" i="12" s="1"/>
  <c r="K38" i="13" l="1"/>
  <c r="K36" i="13"/>
  <c r="K42" i="13"/>
  <c r="K41" i="13"/>
  <c r="K37" i="14" s="1"/>
  <c r="H45" i="12"/>
  <c r="K5" i="14"/>
  <c r="K39" i="13"/>
  <c r="K38" i="14"/>
  <c r="L38" i="14"/>
  <c r="L37" i="14"/>
  <c r="E12" i="12"/>
  <c r="E14" i="12" s="1"/>
  <c r="F13" i="12"/>
  <c r="F15" i="12" s="1"/>
  <c r="G13" i="12" l="1"/>
  <c r="H13" i="12" s="1"/>
  <c r="I13" i="12" s="1"/>
  <c r="J13" i="12" s="1"/>
  <c r="K13" i="12" s="1"/>
  <c r="L13" i="12" s="1"/>
  <c r="M13" i="12" s="1"/>
  <c r="N13" i="12" s="1"/>
  <c r="D18" i="12" s="1"/>
  <c r="E34" i="13"/>
  <c r="F34" i="13" s="1"/>
  <c r="G34" i="13"/>
  <c r="H34" i="13" s="1"/>
  <c r="I34" i="13"/>
  <c r="J34" i="13" s="1"/>
  <c r="K34" i="13"/>
  <c r="L34" i="13" s="1"/>
  <c r="C34" i="13"/>
  <c r="D34" i="13" s="1"/>
  <c r="C18" i="13"/>
  <c r="C30" i="14" l="1"/>
  <c r="I30" i="14"/>
  <c r="E30" i="14"/>
  <c r="K30" i="14"/>
  <c r="G30" i="14"/>
  <c r="C7" i="25"/>
  <c r="C8" i="25" l="1"/>
  <c r="C12" i="25" s="1"/>
  <c r="F30" i="14"/>
  <c r="J30" i="14"/>
  <c r="H30" i="14"/>
  <c r="L30" i="14"/>
  <c r="D30" i="14"/>
  <c r="N30" i="15" l="1"/>
  <c r="O30" i="15" s="1"/>
  <c r="L30" i="15"/>
  <c r="M30" i="15" s="1"/>
  <c r="J30" i="15"/>
  <c r="K30" i="15" s="1"/>
  <c r="H30" i="15"/>
  <c r="I30" i="15" s="1"/>
  <c r="B44" i="13"/>
  <c r="B43" i="13"/>
  <c r="B42" i="13"/>
  <c r="B39" i="13"/>
  <c r="B38" i="13"/>
  <c r="B37" i="13"/>
  <c r="B36" i="13"/>
  <c r="B35" i="13"/>
  <c r="B34" i="13"/>
  <c r="B31" i="13"/>
  <c r="C30" i="13"/>
  <c r="B30" i="13"/>
  <c r="C29" i="13"/>
  <c r="B29" i="13"/>
  <c r="B28" i="13"/>
  <c r="B27" i="13"/>
  <c r="C9" i="13"/>
  <c r="G12" i="12"/>
  <c r="G15" i="12"/>
  <c r="H12" i="12" s="1"/>
  <c r="C25" i="14" l="1"/>
  <c r="D29" i="13"/>
  <c r="C26" i="14"/>
  <c r="D30" i="13"/>
  <c r="D26" i="14" s="1"/>
  <c r="E34" i="14"/>
  <c r="F34" i="14"/>
  <c r="E32" i="14"/>
  <c r="F32" i="14"/>
  <c r="E35" i="14"/>
  <c r="F35" i="14"/>
  <c r="D24" i="14"/>
  <c r="C24" i="14"/>
  <c r="E28" i="13"/>
  <c r="E30" i="13"/>
  <c r="E29" i="13"/>
  <c r="G14" i="12"/>
  <c r="F14" i="12"/>
  <c r="H15" i="12"/>
  <c r="I12" i="12" s="1"/>
  <c r="C31" i="13"/>
  <c r="D31" i="13" l="1"/>
  <c r="E51" i="13" s="1"/>
  <c r="C27" i="14"/>
  <c r="E24" i="14"/>
  <c r="F28" i="13"/>
  <c r="F24" i="14" s="1"/>
  <c r="E26" i="14"/>
  <c r="F30" i="13"/>
  <c r="F26" i="14" s="1"/>
  <c r="E25" i="14"/>
  <c r="F29" i="13"/>
  <c r="F25" i="14" s="1"/>
  <c r="G34" i="14"/>
  <c r="H34" i="14"/>
  <c r="D25" i="14"/>
  <c r="D27" i="14" s="1"/>
  <c r="G35" i="14"/>
  <c r="H35" i="14"/>
  <c r="G32" i="14"/>
  <c r="H32" i="14"/>
  <c r="G30" i="13"/>
  <c r="G29" i="13"/>
  <c r="E31" i="13"/>
  <c r="I15" i="12"/>
  <c r="J12" i="12" s="1"/>
  <c r="G28" i="13"/>
  <c r="E27" i="14" l="1"/>
  <c r="G24" i="14"/>
  <c r="H28" i="13"/>
  <c r="H24" i="14" s="1"/>
  <c r="G26" i="14"/>
  <c r="H30" i="13"/>
  <c r="H26" i="14" s="1"/>
  <c r="G25" i="14"/>
  <c r="H29" i="13"/>
  <c r="H25" i="14" s="1"/>
  <c r="F27" i="14"/>
  <c r="I32" i="14"/>
  <c r="J32" i="14"/>
  <c r="I35" i="14"/>
  <c r="J35" i="14"/>
  <c r="I34" i="14"/>
  <c r="J34" i="14"/>
  <c r="I30" i="13"/>
  <c r="F31" i="13"/>
  <c r="E52" i="13" s="1"/>
  <c r="I29" i="13"/>
  <c r="G31" i="13"/>
  <c r="I28" i="13"/>
  <c r="H14" i="12"/>
  <c r="J15" i="12"/>
  <c r="K12" i="12" s="1"/>
  <c r="G27" i="14" l="1"/>
  <c r="I25" i="14"/>
  <c r="J29" i="13"/>
  <c r="J25" i="14" s="1"/>
  <c r="I24" i="14"/>
  <c r="J28" i="13"/>
  <c r="J24" i="14" s="1"/>
  <c r="I26" i="14"/>
  <c r="J30" i="13"/>
  <c r="J26" i="14" s="1"/>
  <c r="H27" i="14"/>
  <c r="K35" i="14"/>
  <c r="L35" i="14"/>
  <c r="K32" i="14"/>
  <c r="L32" i="14"/>
  <c r="K34" i="14"/>
  <c r="L34" i="14"/>
  <c r="K30" i="13"/>
  <c r="H31" i="13"/>
  <c r="E53" i="13" s="1"/>
  <c r="K29" i="13"/>
  <c r="I31" i="13"/>
  <c r="I14" i="12"/>
  <c r="K15" i="12"/>
  <c r="L12" i="12" s="1"/>
  <c r="K28" i="13"/>
  <c r="I27" i="14" l="1"/>
  <c r="K26" i="14"/>
  <c r="L30" i="13"/>
  <c r="L26" i="14" s="1"/>
  <c r="K24" i="14"/>
  <c r="L28" i="13"/>
  <c r="L24" i="14" s="1"/>
  <c r="K25" i="14"/>
  <c r="L29" i="13"/>
  <c r="L25" i="14" s="1"/>
  <c r="J27" i="14"/>
  <c r="J31" i="13"/>
  <c r="E54" i="13" s="1"/>
  <c r="K31" i="13"/>
  <c r="J14" i="12"/>
  <c r="L15" i="12"/>
  <c r="M12" i="12" s="1"/>
  <c r="K27" i="14" l="1"/>
  <c r="L27" i="14"/>
  <c r="L31" i="13"/>
  <c r="E55" i="13" s="1"/>
  <c r="M15" i="12"/>
  <c r="N12" i="12" s="1"/>
  <c r="K14" i="12"/>
  <c r="N15" i="12" l="1"/>
  <c r="O12" i="12"/>
  <c r="L14" i="12"/>
  <c r="M14" i="12" l="1"/>
  <c r="O13" i="12"/>
  <c r="D41" i="12" s="1"/>
  <c r="C51" i="13" s="1"/>
  <c r="C52" i="13" l="1"/>
  <c r="F51" i="13"/>
  <c r="D17" i="12"/>
  <c r="O15" i="12"/>
  <c r="D20" i="12"/>
  <c r="E17" i="12" s="1"/>
  <c r="E18" i="12"/>
  <c r="N14" i="12"/>
  <c r="O14" i="12" s="1"/>
  <c r="F12" i="15" l="1"/>
  <c r="D43" i="12"/>
  <c r="C12" i="14"/>
  <c r="D18" i="14" s="1"/>
  <c r="D6" i="8" s="1"/>
  <c r="D42" i="12"/>
  <c r="G51" i="13"/>
  <c r="C8" i="20" s="1"/>
  <c r="C53" i="13"/>
  <c r="F52" i="13"/>
  <c r="G12" i="15"/>
  <c r="C18" i="14"/>
  <c r="D19" i="12"/>
  <c r="F18" i="12"/>
  <c r="E20" i="12"/>
  <c r="F17" i="12" s="1"/>
  <c r="C54" i="13" l="1"/>
  <c r="F53" i="13"/>
  <c r="F22" i="15"/>
  <c r="F23" i="15" s="1"/>
  <c r="C19" i="14"/>
  <c r="C20" i="14" s="1"/>
  <c r="D19" i="14"/>
  <c r="D20" i="14" s="1"/>
  <c r="C9" i="20"/>
  <c r="C14" i="20" s="1"/>
  <c r="C6" i="8"/>
  <c r="G18" i="12"/>
  <c r="F20" i="12"/>
  <c r="G17" i="12" s="1"/>
  <c r="E19" i="12"/>
  <c r="C55" i="13" l="1"/>
  <c r="F55" i="13" s="1"/>
  <c r="F54" i="13"/>
  <c r="G15" i="15"/>
  <c r="E15" i="15" s="1"/>
  <c r="G22" i="15"/>
  <c r="G23" i="15" s="1"/>
  <c r="F19" i="12"/>
  <c r="H18" i="12"/>
  <c r="G20" i="12"/>
  <c r="H17" i="12" l="1"/>
  <c r="I18" i="12"/>
  <c r="H20" i="12"/>
  <c r="I17" i="12" s="1"/>
  <c r="G19" i="12"/>
  <c r="I20" i="12" l="1"/>
  <c r="J17" i="12" s="1"/>
  <c r="J18" i="12"/>
  <c r="H19" i="12"/>
  <c r="K18" i="12" l="1"/>
  <c r="J20" i="12"/>
  <c r="J19" i="12" s="1"/>
  <c r="I19" i="12"/>
  <c r="K17" i="12" l="1"/>
  <c r="L18" i="12"/>
  <c r="K20" i="12"/>
  <c r="L17" i="12" s="1"/>
  <c r="M18" i="12" l="1"/>
  <c r="L20" i="12"/>
  <c r="M17" i="12" s="1"/>
  <c r="K19" i="12"/>
  <c r="N18" i="12" l="1"/>
  <c r="O18" i="12" s="1"/>
  <c r="E41" i="12" s="1"/>
  <c r="M20" i="12"/>
  <c r="L19" i="12"/>
  <c r="G52" i="13" l="1"/>
  <c r="N17" i="12"/>
  <c r="N20" i="12"/>
  <c r="D22" i="12" s="1"/>
  <c r="D23" i="12"/>
  <c r="M19" i="12"/>
  <c r="O20" i="12" l="1"/>
  <c r="D25" i="12"/>
  <c r="E22" i="12" s="1"/>
  <c r="E23" i="12"/>
  <c r="N19" i="12"/>
  <c r="O19" i="12" s="1"/>
  <c r="E42" i="12" s="1"/>
  <c r="O17" i="12"/>
  <c r="H12" i="15" l="1"/>
  <c r="I12" i="15" s="1"/>
  <c r="E43" i="12"/>
  <c r="E12" i="14"/>
  <c r="F23" i="12"/>
  <c r="E25" i="12"/>
  <c r="F22" i="12" s="1"/>
  <c r="D24" i="12"/>
  <c r="D8" i="20" l="1"/>
  <c r="F18" i="14"/>
  <c r="F6" i="8" s="1"/>
  <c r="E18" i="14"/>
  <c r="E24" i="12"/>
  <c r="G23" i="12"/>
  <c r="F25" i="12"/>
  <c r="G22" i="12" s="1"/>
  <c r="E6" i="8" l="1"/>
  <c r="F19" i="14"/>
  <c r="F20" i="14" s="1"/>
  <c r="H22" i="15"/>
  <c r="E19" i="14"/>
  <c r="E20" i="14" s="1"/>
  <c r="D9" i="20"/>
  <c r="D14" i="20" s="1"/>
  <c r="H23" i="12"/>
  <c r="G25" i="12"/>
  <c r="G24" i="12" s="1"/>
  <c r="F24" i="12"/>
  <c r="I22" i="15" l="1"/>
  <c r="I23" i="15" s="1"/>
  <c r="H23" i="15"/>
  <c r="I15" i="15"/>
  <c r="H22" i="12"/>
  <c r="I23" i="12"/>
  <c r="H25" i="12"/>
  <c r="I22" i="12" s="1"/>
  <c r="I25" i="12" l="1"/>
  <c r="J22" i="12" s="1"/>
  <c r="J23" i="12"/>
  <c r="H24" i="12"/>
  <c r="K23" i="12" l="1"/>
  <c r="J25" i="12"/>
  <c r="I24" i="12"/>
  <c r="K22" i="12" l="1"/>
  <c r="L23" i="12"/>
  <c r="K25" i="12"/>
  <c r="L22" i="12" s="1"/>
  <c r="J24" i="12"/>
  <c r="L25" i="12" l="1"/>
  <c r="M22" i="12" s="1"/>
  <c r="M23" i="12"/>
  <c r="K24" i="12"/>
  <c r="L24" i="12" l="1"/>
  <c r="N23" i="12"/>
  <c r="D28" i="12" s="1"/>
  <c r="D30" i="12" s="1"/>
  <c r="M25" i="12"/>
  <c r="N22" i="12" s="1"/>
  <c r="M24" i="12" l="1"/>
  <c r="O22" i="12"/>
  <c r="N25" i="12"/>
  <c r="O23" i="12"/>
  <c r="F41" i="12" s="1"/>
  <c r="G53" i="13" l="1"/>
  <c r="D27" i="12"/>
  <c r="O25" i="12"/>
  <c r="E27" i="12"/>
  <c r="E28" i="12"/>
  <c r="N24" i="12"/>
  <c r="O24" i="12" s="1"/>
  <c r="G12" i="14" l="1"/>
  <c r="G18" i="14" s="1"/>
  <c r="F42" i="12"/>
  <c r="J12" i="15"/>
  <c r="K12" i="15" s="1"/>
  <c r="F43" i="12"/>
  <c r="E8" i="20"/>
  <c r="H18" i="14"/>
  <c r="H6" i="8" s="1"/>
  <c r="F28" i="12"/>
  <c r="E30" i="12"/>
  <c r="F27" i="12" s="1"/>
  <c r="D29" i="12"/>
  <c r="G6" i="8" l="1"/>
  <c r="H19" i="14"/>
  <c r="H20" i="14" s="1"/>
  <c r="J22" i="15"/>
  <c r="G19" i="14"/>
  <c r="G20" i="14" s="1"/>
  <c r="E9" i="20"/>
  <c r="E29" i="12"/>
  <c r="G28" i="12"/>
  <c r="F30" i="12"/>
  <c r="G27" i="12" s="1"/>
  <c r="K22" i="15" l="1"/>
  <c r="K23" i="15" s="1"/>
  <c r="J23" i="15"/>
  <c r="K15" i="15"/>
  <c r="E14" i="20"/>
  <c r="H28" i="12"/>
  <c r="G30" i="12"/>
  <c r="F29" i="12"/>
  <c r="H27" i="12" l="1"/>
  <c r="I28" i="12"/>
  <c r="H30" i="12"/>
  <c r="I27" i="12" s="1"/>
  <c r="G29" i="12"/>
  <c r="I30" i="12" l="1"/>
  <c r="J27" i="12" s="1"/>
  <c r="J28" i="12"/>
  <c r="H29" i="12"/>
  <c r="K28" i="12" l="1"/>
  <c r="J30" i="12"/>
  <c r="J29" i="12" s="1"/>
  <c r="I29" i="12"/>
  <c r="K27" i="12" l="1"/>
  <c r="L28" i="12"/>
  <c r="K30" i="12"/>
  <c r="L27" i="12" s="1"/>
  <c r="L30" i="12" l="1"/>
  <c r="M27" i="12" s="1"/>
  <c r="M28" i="12"/>
  <c r="K29" i="12"/>
  <c r="N28" i="12" l="1"/>
  <c r="D33" i="12" s="1"/>
  <c r="M30" i="12"/>
  <c r="N27" i="12" s="1"/>
  <c r="L29" i="12"/>
  <c r="O28" i="12" l="1"/>
  <c r="G41" i="12" s="1"/>
  <c r="M29" i="12"/>
  <c r="O27" i="12"/>
  <c r="N30" i="12"/>
  <c r="G54" i="13" l="1"/>
  <c r="D32" i="12"/>
  <c r="O30" i="12"/>
  <c r="D35" i="12"/>
  <c r="E32" i="12" s="1"/>
  <c r="E33" i="12"/>
  <c r="N29" i="12"/>
  <c r="O29" i="12" s="1"/>
  <c r="I12" i="14" l="1"/>
  <c r="I18" i="14" s="1"/>
  <c r="G42" i="12"/>
  <c r="L12" i="15"/>
  <c r="M12" i="15" s="1"/>
  <c r="G43" i="12"/>
  <c r="F8" i="20"/>
  <c r="J18" i="14"/>
  <c r="D34" i="12"/>
  <c r="F33" i="12"/>
  <c r="E35" i="12"/>
  <c r="F32" i="12" s="1"/>
  <c r="I6" i="8" l="1"/>
  <c r="J19" i="14"/>
  <c r="J20" i="14" s="1"/>
  <c r="J6" i="8"/>
  <c r="L22" i="15"/>
  <c r="I19" i="14"/>
  <c r="I20" i="14" s="1"/>
  <c r="F9" i="20"/>
  <c r="E34" i="12"/>
  <c r="G33" i="12"/>
  <c r="F35" i="12"/>
  <c r="G32" i="12" s="1"/>
  <c r="M22" i="15" l="1"/>
  <c r="M23" i="15" s="1"/>
  <c r="L23" i="15"/>
  <c r="M15" i="15"/>
  <c r="F14" i="20"/>
  <c r="H33" i="12"/>
  <c r="G35" i="12"/>
  <c r="F34" i="12"/>
  <c r="I33" i="12" l="1"/>
  <c r="H35" i="12"/>
  <c r="I32" i="12" s="1"/>
  <c r="H32" i="12"/>
  <c r="G34" i="12"/>
  <c r="H34" i="12" l="1"/>
  <c r="I35" i="12"/>
  <c r="J32" i="12" s="1"/>
  <c r="J33" i="12"/>
  <c r="I34" i="12" l="1"/>
  <c r="J35" i="12"/>
  <c r="K32" i="12" s="1"/>
  <c r="K33" i="12"/>
  <c r="L33" i="12" l="1"/>
  <c r="K35" i="12"/>
  <c r="J34" i="12"/>
  <c r="L32" i="12" l="1"/>
  <c r="M33" i="12"/>
  <c r="L35" i="12"/>
  <c r="M32" i="12" s="1"/>
  <c r="K34" i="12"/>
  <c r="N33" i="12" l="1"/>
  <c r="M35" i="12"/>
  <c r="N32" i="12" s="1"/>
  <c r="L34" i="12"/>
  <c r="M34" i="12" l="1"/>
  <c r="O32" i="12"/>
  <c r="N35" i="12"/>
  <c r="O33" i="12"/>
  <c r="H41" i="12" s="1"/>
  <c r="G55" i="13" s="1"/>
  <c r="O35" i="12" l="1"/>
  <c r="N34" i="12"/>
  <c r="O34" i="12" s="1"/>
  <c r="K12" i="14" l="1"/>
  <c r="H42" i="12"/>
  <c r="N12" i="15"/>
  <c r="O12" i="15" s="1"/>
  <c r="H43" i="12"/>
  <c r="H8" i="20"/>
  <c r="H9" i="20" s="1"/>
  <c r="L18" i="14"/>
  <c r="K18" i="14"/>
  <c r="D23" i="2"/>
  <c r="E40" i="1"/>
  <c r="E39" i="1"/>
  <c r="E34" i="1"/>
  <c r="E33" i="1"/>
  <c r="E32" i="1"/>
  <c r="E31" i="1"/>
  <c r="E30" i="1"/>
  <c r="E29" i="1"/>
  <c r="E22" i="1"/>
  <c r="E21" i="1"/>
  <c r="E20" i="1"/>
  <c r="E19" i="1"/>
  <c r="E13" i="1"/>
  <c r="E12" i="1"/>
  <c r="E11" i="1"/>
  <c r="E10" i="1"/>
  <c r="K6" i="8" l="1"/>
  <c r="L19" i="14"/>
  <c r="L20" i="14" s="1"/>
  <c r="L6" i="8"/>
  <c r="E41" i="1"/>
  <c r="K10" i="1" s="1"/>
  <c r="E23" i="1"/>
  <c r="E35" i="1"/>
  <c r="K11" i="1" s="1"/>
  <c r="E14" i="1"/>
  <c r="K9" i="1" s="1"/>
  <c r="G8" i="20"/>
  <c r="D7" i="2" l="1"/>
  <c r="L9" i="1"/>
  <c r="E9" i="2" s="1"/>
  <c r="D9" i="2"/>
  <c r="L11" i="1"/>
  <c r="D8" i="2"/>
  <c r="L10" i="1"/>
  <c r="E8" i="2" s="1"/>
  <c r="N22" i="15"/>
  <c r="K19" i="14"/>
  <c r="K20" i="14" s="1"/>
  <c r="K8" i="1"/>
  <c r="K12" i="1" s="1"/>
  <c r="G9" i="20"/>
  <c r="E48" i="1"/>
  <c r="D17" i="2" s="1"/>
  <c r="E7" i="2" l="1"/>
  <c r="D18" i="2"/>
  <c r="E17" i="2"/>
  <c r="E18" i="2" s="1"/>
  <c r="D6" i="2"/>
  <c r="L8" i="1"/>
  <c r="E6" i="2" s="1"/>
  <c r="O22" i="15"/>
  <c r="O23" i="15" s="1"/>
  <c r="N23" i="15"/>
  <c r="O15" i="15"/>
  <c r="G14" i="20"/>
  <c r="L12" i="1" l="1"/>
  <c r="E12" i="2"/>
  <c r="E25" i="2" s="1"/>
  <c r="D11" i="2"/>
  <c r="D12" i="2" s="1"/>
  <c r="F7" i="15"/>
  <c r="E7" i="15" l="1"/>
  <c r="C9" i="8"/>
  <c r="C13" i="8" s="1"/>
  <c r="J40" i="13"/>
  <c r="I40" i="13" s="1"/>
  <c r="D40" i="13"/>
  <c r="C40" i="13" s="1"/>
  <c r="F40" i="13"/>
  <c r="E40" i="13" s="1"/>
  <c r="L40" i="13"/>
  <c r="K40" i="13" s="1"/>
  <c r="H40" i="13"/>
  <c r="G40" i="13" s="1"/>
  <c r="D6" i="29"/>
  <c r="C34" i="29" s="1"/>
  <c r="D25" i="2"/>
  <c r="G7" i="15"/>
  <c r="H7" i="15"/>
  <c r="E9" i="8" l="1"/>
  <c r="E13" i="8" s="1"/>
  <c r="D9" i="8"/>
  <c r="D13" i="8" s="1"/>
  <c r="C36" i="14"/>
  <c r="E36" i="14"/>
  <c r="C6" i="29"/>
  <c r="G36" i="14"/>
  <c r="I36" i="14"/>
  <c r="K36" i="14"/>
  <c r="I7" i="15"/>
  <c r="J7" i="15"/>
  <c r="G9" i="8" s="1"/>
  <c r="C11" i="8"/>
  <c r="D36" i="14"/>
  <c r="F9" i="8" l="1"/>
  <c r="F13" i="8" s="1"/>
  <c r="G13" i="8"/>
  <c r="L7" i="15"/>
  <c r="F8" i="15"/>
  <c r="F9" i="15" s="1"/>
  <c r="J36" i="14"/>
  <c r="H36" i="14"/>
  <c r="F36" i="14"/>
  <c r="L36" i="14"/>
  <c r="G8" i="15"/>
  <c r="K7" i="15"/>
  <c r="H9" i="8" l="1"/>
  <c r="H13" i="8" s="1"/>
  <c r="N7" i="15"/>
  <c r="K9" i="8" s="1"/>
  <c r="K13" i="8" s="1"/>
  <c r="I9" i="8"/>
  <c r="I13" i="8" s="1"/>
  <c r="H8" i="15"/>
  <c r="H9" i="15" s="1"/>
  <c r="G9" i="15"/>
  <c r="I8" i="15"/>
  <c r="M7" i="15"/>
  <c r="J9" i="8" l="1"/>
  <c r="J13" i="8" s="1"/>
  <c r="J8" i="15"/>
  <c r="J9" i="15" s="1"/>
  <c r="I9" i="15"/>
  <c r="K8" i="15"/>
  <c r="O7" i="15"/>
  <c r="L9" i="8" l="1"/>
  <c r="L13" i="8" s="1"/>
  <c r="L8" i="15"/>
  <c r="L9" i="15" s="1"/>
  <c r="K9" i="15"/>
  <c r="M8" i="15"/>
  <c r="N8" i="15" l="1"/>
  <c r="N9" i="15" s="1"/>
  <c r="M9" i="15"/>
  <c r="O8" i="15"/>
  <c r="O9" i="15" s="1"/>
  <c r="H14" i="20" l="1"/>
  <c r="D11" i="8" l="1"/>
  <c r="C19" i="13"/>
  <c r="C20" i="13"/>
  <c r="D37" i="13"/>
  <c r="F37" i="13"/>
  <c r="H37" i="13"/>
  <c r="G37" i="13" s="1"/>
  <c r="J37" i="13"/>
  <c r="I37" i="13" s="1"/>
  <c r="L37" i="13"/>
  <c r="L33" i="14" l="1"/>
  <c r="L39" i="14" s="1"/>
  <c r="L41" i="14" s="1"/>
  <c r="L43" i="14" s="1"/>
  <c r="L46" i="14" s="1"/>
  <c r="L11" i="8" s="1"/>
  <c r="K37" i="13"/>
  <c r="K43" i="13" s="1"/>
  <c r="F33" i="14"/>
  <c r="F39" i="14" s="1"/>
  <c r="F41" i="14" s="1"/>
  <c r="F43" i="14" s="1"/>
  <c r="F46" i="14" s="1"/>
  <c r="F11" i="8" s="1"/>
  <c r="E37" i="13"/>
  <c r="J43" i="13"/>
  <c r="F6" i="20" s="1"/>
  <c r="F16" i="20" s="1"/>
  <c r="D33" i="14"/>
  <c r="D39" i="14" s="1"/>
  <c r="D41" i="14" s="1"/>
  <c r="D43" i="14" s="1"/>
  <c r="C37" i="13"/>
  <c r="F43" i="13"/>
  <c r="F44" i="13" s="1"/>
  <c r="F7" i="8" s="1"/>
  <c r="F8" i="8" s="1"/>
  <c r="F10" i="8" s="1"/>
  <c r="F12" i="8" s="1"/>
  <c r="F14" i="8" s="1"/>
  <c r="J33" i="14"/>
  <c r="J39" i="14" s="1"/>
  <c r="J41" i="14" s="1"/>
  <c r="J43" i="14" s="1"/>
  <c r="J46" i="14" s="1"/>
  <c r="J11" i="8" s="1"/>
  <c r="H43" i="13"/>
  <c r="H33" i="14"/>
  <c r="H39" i="14" s="1"/>
  <c r="H41" i="14" s="1"/>
  <c r="H43" i="14" s="1"/>
  <c r="L43" i="13"/>
  <c r="D43" i="13"/>
  <c r="D44" i="13" s="1"/>
  <c r="D6" i="20" l="1"/>
  <c r="D12" i="20" s="1"/>
  <c r="F12" i="20"/>
  <c r="J44" i="13"/>
  <c r="J7" i="8" s="1"/>
  <c r="J8" i="8" s="1"/>
  <c r="J10" i="8" s="1"/>
  <c r="J12" i="8" s="1"/>
  <c r="J14" i="8" s="1"/>
  <c r="H44" i="13"/>
  <c r="H7" i="8" s="1"/>
  <c r="H8" i="8" s="1"/>
  <c r="H10" i="8" s="1"/>
  <c r="E6" i="20"/>
  <c r="H46" i="14"/>
  <c r="H11" i="8" s="1"/>
  <c r="C33" i="14"/>
  <c r="C39" i="14" s="1"/>
  <c r="C41" i="14" s="1"/>
  <c r="C43" i="14" s="1"/>
  <c r="C43" i="13"/>
  <c r="C44" i="13" s="1"/>
  <c r="C7" i="8" s="1"/>
  <c r="C6" i="20"/>
  <c r="L44" i="13"/>
  <c r="L7" i="8" s="1"/>
  <c r="L8" i="8" s="1"/>
  <c r="L10" i="8" s="1"/>
  <c r="L12" i="8" s="1"/>
  <c r="L14" i="8" s="1"/>
  <c r="G6" i="20"/>
  <c r="E8" i="27"/>
  <c r="D8" i="29"/>
  <c r="C37" i="29" s="1"/>
  <c r="F37" i="29" s="1"/>
  <c r="C8" i="8" l="1"/>
  <c r="C10" i="8" s="1"/>
  <c r="C12" i="8" s="1"/>
  <c r="C14" i="8" s="1"/>
  <c r="D16" i="20"/>
  <c r="D10" i="29"/>
  <c r="C39" i="29" s="1"/>
  <c r="F39" i="29" s="1"/>
  <c r="E10" i="27"/>
  <c r="D7" i="8"/>
  <c r="D8" i="8" s="1"/>
  <c r="D10" i="8" s="1"/>
  <c r="D12" i="8" s="1"/>
  <c r="D14" i="8" s="1"/>
  <c r="G16" i="20"/>
  <c r="G12" i="20"/>
  <c r="H6" i="20"/>
  <c r="C12" i="20"/>
  <c r="C16" i="20"/>
  <c r="E33" i="14"/>
  <c r="E39" i="14" s="1"/>
  <c r="E41" i="14" s="1"/>
  <c r="E43" i="14" s="1"/>
  <c r="E46" i="14" s="1"/>
  <c r="E11" i="8" s="1"/>
  <c r="E43" i="13"/>
  <c r="E16" i="20"/>
  <c r="E12" i="20"/>
  <c r="E11" i="27"/>
  <c r="D11" i="29"/>
  <c r="C40" i="29" s="1"/>
  <c r="F40" i="29" s="1"/>
  <c r="H12" i="8"/>
  <c r="H14" i="8" s="1"/>
  <c r="C7" i="29" l="1"/>
  <c r="D7" i="27"/>
  <c r="E44" i="13"/>
  <c r="H12" i="20"/>
  <c r="H16" i="20"/>
  <c r="D9" i="29"/>
  <c r="C38" i="29" s="1"/>
  <c r="F38" i="29" s="1"/>
  <c r="F41" i="29" s="1"/>
  <c r="E9" i="27"/>
  <c r="E12" i="27"/>
  <c r="G14" i="15"/>
  <c r="E14" i="15" s="1"/>
  <c r="G43" i="13"/>
  <c r="G44" i="13" s="1"/>
  <c r="G7" i="8" s="1"/>
  <c r="G8" i="8" s="1"/>
  <c r="G10" i="8" s="1"/>
  <c r="G33" i="14"/>
  <c r="G39" i="14" s="1"/>
  <c r="G41" i="14" s="1"/>
  <c r="G43" i="14" s="1"/>
  <c r="D7" i="29"/>
  <c r="C35" i="29" s="1"/>
  <c r="E7" i="27"/>
  <c r="N13" i="15" l="1"/>
  <c r="G13" i="15"/>
  <c r="G16" i="15" s="1"/>
  <c r="G18" i="15" s="1"/>
  <c r="G38" i="15" s="1"/>
  <c r="O13" i="15"/>
  <c r="M13" i="15"/>
  <c r="H13" i="15"/>
  <c r="H16" i="15" s="1"/>
  <c r="H18" i="15" s="1"/>
  <c r="F13" i="15"/>
  <c r="F16" i="15" s="1"/>
  <c r="F18" i="15" s="1"/>
  <c r="F38" i="15" s="1"/>
  <c r="I13" i="15"/>
  <c r="K13" i="15"/>
  <c r="J13" i="15"/>
  <c r="L13" i="15"/>
  <c r="G46" i="14"/>
  <c r="G11" i="8" s="1"/>
  <c r="G12" i="8" s="1"/>
  <c r="G14" i="8" s="1"/>
  <c r="I14" i="15"/>
  <c r="I33" i="14"/>
  <c r="I39" i="14" s="1"/>
  <c r="I41" i="14" s="1"/>
  <c r="I43" i="14" s="1"/>
  <c r="I43" i="13"/>
  <c r="I44" i="13" s="1"/>
  <c r="I7" i="8" s="1"/>
  <c r="I8" i="8" s="1"/>
  <c r="I10" i="8" s="1"/>
  <c r="E7" i="8"/>
  <c r="E8" i="8" s="1"/>
  <c r="E10" i="8" s="1"/>
  <c r="E12" i="8" s="1"/>
  <c r="E14" i="8" s="1"/>
  <c r="I16" i="15" l="1"/>
  <c r="I18" i="15" s="1"/>
  <c r="I38" i="15" s="1"/>
  <c r="D8" i="27"/>
  <c r="C8" i="29"/>
  <c r="I46" i="14"/>
  <c r="I11" i="8" s="1"/>
  <c r="I12" i="8" s="1"/>
  <c r="I14" i="8" s="1"/>
  <c r="K33" i="14"/>
  <c r="K39" i="14" s="1"/>
  <c r="K41" i="14" s="1"/>
  <c r="K43" i="14" s="1"/>
  <c r="K44" i="13"/>
  <c r="C9" i="29"/>
  <c r="D9" i="27"/>
  <c r="K14" i="15"/>
  <c r="K16" i="15" s="1"/>
  <c r="K18" i="15" s="1"/>
  <c r="K38" i="15" s="1"/>
  <c r="J16" i="15"/>
  <c r="J18" i="15" s="1"/>
  <c r="J38" i="15" s="1"/>
  <c r="H38" i="15"/>
  <c r="D10" i="27" l="1"/>
  <c r="C10" i="29"/>
  <c r="K7" i="8"/>
  <c r="K8" i="8" s="1"/>
  <c r="K10" i="8" s="1"/>
  <c r="L16" i="15"/>
  <c r="L18" i="15" s="1"/>
  <c r="L38" i="15" s="1"/>
  <c r="M14" i="15"/>
  <c r="M16" i="15" s="1"/>
  <c r="M18" i="15" s="1"/>
  <c r="M38" i="15" s="1"/>
  <c r="K46" i="14"/>
  <c r="K11" i="8" s="1"/>
  <c r="O14" i="15" l="1"/>
  <c r="O16" i="15" s="1"/>
  <c r="O18" i="15" s="1"/>
  <c r="O38" i="15" s="1"/>
  <c r="N16" i="15"/>
  <c r="N18" i="15" s="1"/>
  <c r="N38" i="15" s="1"/>
  <c r="K12" i="8"/>
  <c r="K14" i="8" s="1"/>
  <c r="D11" i="27" l="1"/>
  <c r="C11" i="29"/>
  <c r="D12" i="27" l="1"/>
  <c r="F26" i="15" l="1"/>
  <c r="G26" i="15"/>
  <c r="H26" i="15"/>
  <c r="I26" i="15"/>
  <c r="J26" i="15"/>
  <c r="K26" i="15"/>
  <c r="L26" i="15"/>
  <c r="M26" i="15"/>
  <c r="N26" i="15"/>
  <c r="O26" i="15"/>
  <c r="F27" i="15"/>
  <c r="G27" i="15"/>
  <c r="H27" i="15"/>
  <c r="I27" i="15"/>
  <c r="J27" i="15"/>
  <c r="K27" i="15"/>
  <c r="L27" i="15"/>
  <c r="M27" i="15"/>
  <c r="N27" i="15"/>
  <c r="O27" i="15"/>
  <c r="F31" i="15"/>
  <c r="G31" i="15"/>
  <c r="H31" i="15"/>
  <c r="I31" i="15"/>
  <c r="J31" i="15"/>
  <c r="K31" i="15"/>
  <c r="L31" i="15"/>
  <c r="M31" i="15"/>
  <c r="N31" i="15"/>
  <c r="O31" i="15"/>
  <c r="F32" i="15"/>
  <c r="G32" i="15"/>
  <c r="H32" i="15"/>
  <c r="I32" i="15"/>
  <c r="J32" i="15"/>
  <c r="K32" i="15"/>
  <c r="L32" i="15"/>
  <c r="M32" i="15"/>
  <c r="N32" i="15"/>
  <c r="O32" i="15"/>
  <c r="F33" i="15"/>
  <c r="G33" i="15"/>
  <c r="H33" i="15"/>
  <c r="I33" i="15"/>
  <c r="J33" i="15"/>
  <c r="K33" i="15"/>
  <c r="L33" i="15"/>
  <c r="M33" i="15"/>
  <c r="N33" i="15"/>
  <c r="O33" i="15"/>
  <c r="F35" i="15"/>
  <c r="G35" i="15"/>
  <c r="H35" i="15"/>
  <c r="I35" i="15"/>
  <c r="J35" i="15"/>
  <c r="K35" i="15"/>
  <c r="L35" i="15"/>
  <c r="M35" i="15"/>
  <c r="N35" i="15"/>
  <c r="O35" i="15"/>
  <c r="F39" i="15"/>
  <c r="G39" i="15"/>
  <c r="H39" i="15"/>
  <c r="I39" i="15"/>
  <c r="J39" i="15"/>
  <c r="K39" i="15"/>
  <c r="L39" i="15"/>
  <c r="M39" i="15"/>
  <c r="N39" i="15"/>
  <c r="O39" i="15"/>
  <c r="F40" i="15"/>
  <c r="G40" i="15"/>
  <c r="H40" i="15"/>
  <c r="I40" i="15"/>
  <c r="J40" i="15"/>
  <c r="K40" i="15"/>
  <c r="L40" i="15"/>
  <c r="M40" i="15"/>
  <c r="N40" i="15"/>
  <c r="O40" i="15"/>
  <c r="E49" i="15"/>
  <c r="F49" i="15"/>
  <c r="G49" i="15"/>
  <c r="E50" i="15"/>
  <c r="F50" i="15"/>
  <c r="G50" i="15"/>
  <c r="E51" i="15"/>
  <c r="F51" i="15"/>
  <c r="E5" i="29"/>
  <c r="E6" i="29"/>
  <c r="F6" i="29"/>
  <c r="G6" i="29"/>
  <c r="E7" i="29"/>
  <c r="F7" i="29"/>
  <c r="G7" i="29"/>
  <c r="E8" i="29"/>
  <c r="F8" i="29"/>
  <c r="G8" i="29"/>
  <c r="E9" i="29"/>
  <c r="F9" i="29"/>
  <c r="G9" i="29"/>
  <c r="E10" i="29"/>
  <c r="F10" i="29"/>
  <c r="G10" i="29"/>
  <c r="E11" i="29"/>
  <c r="F11" i="29"/>
  <c r="G11" i="29"/>
  <c r="F12" i="29"/>
  <c r="G12" i="29"/>
  <c r="E25" i="29"/>
  <c r="E26" i="29"/>
  <c r="E27" i="29"/>
  <c r="D33" i="29"/>
  <c r="D34" i="29"/>
  <c r="F34" i="29"/>
  <c r="D35" i="29"/>
  <c r="F35" i="29"/>
  <c r="F36" i="29"/>
  <c r="E43" i="29"/>
  <c r="C44" i="14"/>
  <c r="D44" i="14"/>
  <c r="E44" i="14"/>
  <c r="F44" i="14"/>
  <c r="G44" i="14"/>
  <c r="H44" i="14"/>
  <c r="I44" i="14"/>
  <c r="J44" i="14"/>
  <c r="K44" i="14"/>
  <c r="L44" i="14"/>
  <c r="C45" i="14"/>
  <c r="D45" i="14"/>
  <c r="E45" i="14"/>
  <c r="F45" i="14"/>
  <c r="G45" i="14"/>
  <c r="H45" i="14"/>
  <c r="I45" i="14"/>
  <c r="J45" i="14"/>
  <c r="K45" i="14"/>
  <c r="L45" i="14"/>
  <c r="C47" i="14"/>
  <c r="D47" i="14"/>
  <c r="E47" i="14"/>
  <c r="F47" i="14"/>
  <c r="G47" i="14"/>
  <c r="H47" i="14"/>
  <c r="I47" i="14"/>
  <c r="J47" i="14"/>
  <c r="K47" i="14"/>
  <c r="L47" i="14"/>
  <c r="C49" i="14"/>
  <c r="D49" i="14"/>
  <c r="E49" i="14"/>
  <c r="F49" i="14"/>
  <c r="G49" i="14"/>
  <c r="H49" i="14"/>
  <c r="I49" i="14"/>
  <c r="J49" i="14"/>
  <c r="K49" i="14"/>
  <c r="L49" i="14"/>
  <c r="C50" i="14"/>
  <c r="D50" i="14"/>
  <c r="E50" i="14"/>
  <c r="F50" i="14"/>
  <c r="G50" i="14"/>
  <c r="H50" i="14"/>
  <c r="I50" i="14"/>
  <c r="J50" i="14"/>
  <c r="K50" i="14"/>
  <c r="L50" i="14"/>
  <c r="F2" i="27"/>
  <c r="F7" i="27"/>
  <c r="G7" i="27"/>
  <c r="H7" i="27"/>
  <c r="F8" i="27"/>
  <c r="G8" i="27"/>
  <c r="H8" i="27"/>
  <c r="F9" i="27"/>
  <c r="G9" i="27"/>
  <c r="H9" i="27"/>
  <c r="F10" i="27"/>
  <c r="G10" i="27"/>
  <c r="H10" i="27"/>
  <c r="F11" i="27"/>
  <c r="G11" i="27"/>
  <c r="H11" i="27"/>
  <c r="F12" i="27"/>
  <c r="G12" i="27"/>
  <c r="H12" i="27"/>
  <c r="G13" i="27"/>
  <c r="H13" i="27"/>
  <c r="G17" i="27"/>
  <c r="H17" i="27"/>
  <c r="C14" i="25"/>
  <c r="C15" i="25"/>
  <c r="C16" i="25"/>
  <c r="C18" i="25"/>
  <c r="C19" i="25"/>
  <c r="C22" i="25"/>
</calcChain>
</file>

<file path=xl/sharedStrings.xml><?xml version="1.0" encoding="utf-8"?>
<sst xmlns="http://schemas.openxmlformats.org/spreadsheetml/2006/main" count="497" uniqueCount="291">
  <si>
    <t>Initial Cash Outflow</t>
  </si>
  <si>
    <t>Assets</t>
  </si>
  <si>
    <t>Quantity</t>
  </si>
  <si>
    <t>Office Equipment</t>
  </si>
  <si>
    <t>Vehicles</t>
  </si>
  <si>
    <t>Appliances</t>
  </si>
  <si>
    <t>Total</t>
  </si>
  <si>
    <t>Other Costs</t>
  </si>
  <si>
    <t>Registration</t>
  </si>
  <si>
    <t>Miscellaneous</t>
  </si>
  <si>
    <t>Involving Capital Expenditure</t>
  </si>
  <si>
    <t>Transporation</t>
  </si>
  <si>
    <t>Installation</t>
  </si>
  <si>
    <t>Initial Project Investment Cost</t>
  </si>
  <si>
    <t>OPERATING NEEDS</t>
  </si>
  <si>
    <t>Item</t>
  </si>
  <si>
    <t>Item Price(GHC)</t>
  </si>
  <si>
    <t>Cost(GHC)</t>
  </si>
  <si>
    <t>Air conditioners</t>
  </si>
  <si>
    <t>Fridge</t>
  </si>
  <si>
    <t>Stabilizer</t>
  </si>
  <si>
    <t>Water Dispensers</t>
  </si>
  <si>
    <t>Office</t>
  </si>
  <si>
    <t>Laptop</t>
  </si>
  <si>
    <t>Router</t>
  </si>
  <si>
    <t>Wi-fi</t>
  </si>
  <si>
    <t>Desks</t>
  </si>
  <si>
    <t>Chairs</t>
  </si>
  <si>
    <t>Landline Phone</t>
  </si>
  <si>
    <t xml:space="preserve">Vehicles </t>
  </si>
  <si>
    <t>Delivery</t>
  </si>
  <si>
    <t>Sedan branded Cars</t>
  </si>
  <si>
    <t>Cleaning Items</t>
  </si>
  <si>
    <t>Medical Suppliers</t>
  </si>
  <si>
    <t>Fire Extingusher</t>
  </si>
  <si>
    <t>Year</t>
  </si>
  <si>
    <t>Projected Year 1</t>
  </si>
  <si>
    <t>Projected Year 2</t>
  </si>
  <si>
    <t>Projected Year 3</t>
  </si>
  <si>
    <t>GHS</t>
  </si>
  <si>
    <t>Operating Revenue</t>
  </si>
  <si>
    <t>Operating Expenses</t>
  </si>
  <si>
    <t>Net Operating Income</t>
  </si>
  <si>
    <t>Capital Allowance</t>
  </si>
  <si>
    <t>Net Operating Income (before tax)</t>
  </si>
  <si>
    <t>Tax</t>
  </si>
  <si>
    <t>Net Operating Income (after tax)</t>
  </si>
  <si>
    <t>Add Back Capital Allowance</t>
  </si>
  <si>
    <t>Input</t>
  </si>
  <si>
    <t>Quantity Produced</t>
  </si>
  <si>
    <t>first month</t>
  </si>
  <si>
    <t>Production Growth rate</t>
  </si>
  <si>
    <t>per month</t>
  </si>
  <si>
    <t>Estimated Closing Inventory</t>
  </si>
  <si>
    <t>of quantity produced</t>
  </si>
  <si>
    <t>Estimated Begining Inventory</t>
  </si>
  <si>
    <t>Equals Closing Inventory</t>
  </si>
  <si>
    <t>Sales</t>
  </si>
  <si>
    <t>Begining Inventory+Quantity Produced - Closing Inventory</t>
  </si>
  <si>
    <t>YEAR/MONTH</t>
  </si>
  <si>
    <t>JANUARY</t>
  </si>
  <si>
    <t>FEBRUARY</t>
  </si>
  <si>
    <t>MARCH</t>
  </si>
  <si>
    <t>APRIL</t>
  </si>
  <si>
    <t>MAY</t>
  </si>
  <si>
    <t>JUNE</t>
  </si>
  <si>
    <t>JULY</t>
  </si>
  <si>
    <t>SEPTEMBER</t>
  </si>
  <si>
    <t>OCTOBER</t>
  </si>
  <si>
    <t>NOVEMBER</t>
  </si>
  <si>
    <t>DECEMBER</t>
  </si>
  <si>
    <t>TOTAL</t>
  </si>
  <si>
    <t>Begining Inventory</t>
  </si>
  <si>
    <t>Quantity Sold</t>
  </si>
  <si>
    <t>Closing Inventory</t>
  </si>
  <si>
    <t>Fixed Cost</t>
  </si>
  <si>
    <t>Variable Cost</t>
  </si>
  <si>
    <t>Input Data</t>
  </si>
  <si>
    <t>Month/year</t>
  </si>
  <si>
    <t>SELLING COST:</t>
  </si>
  <si>
    <t>DISTRIBUTION COST</t>
  </si>
  <si>
    <t>PACKAGING COST</t>
  </si>
  <si>
    <t>ADVERTISING COST</t>
  </si>
  <si>
    <t>SUB TOTAL</t>
  </si>
  <si>
    <t>Increment in Selling Cost every year</t>
  </si>
  <si>
    <t>ADMINISTRATION COST:</t>
  </si>
  <si>
    <t>TELEPHONE BILLS</t>
  </si>
  <si>
    <t>SALARY:</t>
  </si>
  <si>
    <t>ACCOUNTANT</t>
  </si>
  <si>
    <t>IT MANAGER</t>
  </si>
  <si>
    <t>SALES MANAGER</t>
  </si>
  <si>
    <t>OPERATIONS MANAGER</t>
  </si>
  <si>
    <t>OFFICE SUPPLIES</t>
  </si>
  <si>
    <t>OPERATING COST</t>
  </si>
  <si>
    <t>Maintenance</t>
  </si>
  <si>
    <t>Sales Price Per Unit (GHS)</t>
  </si>
  <si>
    <t>Number of Units Sold </t>
  </si>
  <si>
    <t xml:space="preserve"> Statement of Financial Position </t>
  </si>
  <si>
    <t>Percentage of sales</t>
  </si>
  <si>
    <t>ASSETS</t>
  </si>
  <si>
    <t>Non-Current Assets</t>
  </si>
  <si>
    <t>Machines and Equipment</t>
  </si>
  <si>
    <t>Current Assets</t>
  </si>
  <si>
    <t>Inventory</t>
  </si>
  <si>
    <t>Cash at Hand</t>
  </si>
  <si>
    <t>Total Current Assets</t>
  </si>
  <si>
    <t>Total Assets</t>
  </si>
  <si>
    <t>LIABILITIES</t>
  </si>
  <si>
    <t>Current liabilities</t>
  </si>
  <si>
    <t>Account Payable</t>
  </si>
  <si>
    <t>Non-Current Liabilities</t>
  </si>
  <si>
    <t>Total Liabilities</t>
  </si>
  <si>
    <t>EQUITY</t>
  </si>
  <si>
    <t>Capital</t>
  </si>
  <si>
    <t>Additional Shares Proceeds</t>
  </si>
  <si>
    <t>Total Equity</t>
  </si>
  <si>
    <t>TOTAL LIABILITIES AND EQUITY</t>
  </si>
  <si>
    <t>External Financing</t>
  </si>
  <si>
    <t xml:space="preserve">Asset </t>
  </si>
  <si>
    <t>Liabilities &amp; Capital</t>
  </si>
  <si>
    <t>External Financing Needed</t>
  </si>
  <si>
    <t>Acquistion of external financing</t>
  </si>
  <si>
    <t xml:space="preserve">Debt  </t>
  </si>
  <si>
    <t>Equity</t>
  </si>
  <si>
    <t>Break Even Point Analysis</t>
  </si>
  <si>
    <t>Selling Price</t>
  </si>
  <si>
    <t>Contribution Margin</t>
  </si>
  <si>
    <t>Break Even Point (Unit)</t>
  </si>
  <si>
    <t xml:space="preserve">Contribution Margin : Selling Price </t>
  </si>
  <si>
    <t>Break Even Point Sales</t>
  </si>
  <si>
    <t>Total Current Liabilities</t>
  </si>
  <si>
    <t>Free cash flows after tax</t>
  </si>
  <si>
    <t>from projections</t>
  </si>
  <si>
    <t>Effective tax rate (used as proxy for Tc)</t>
  </si>
  <si>
    <t>After-tax Cost of Debt</t>
  </si>
  <si>
    <t>Calculating the WACC for PBC</t>
  </si>
  <si>
    <t>Cost of equity, ke</t>
  </si>
  <si>
    <t>After-tax cost of debt, kdt</t>
  </si>
  <si>
    <t>from calculated cost of debt</t>
  </si>
  <si>
    <t>Percentage of equity, E/V</t>
  </si>
  <si>
    <t>Percentage of debt, D/V</t>
  </si>
  <si>
    <t>WACC</t>
  </si>
  <si>
    <t>&lt;--- =E/V*ke + D/V*kdt</t>
  </si>
  <si>
    <t>Outstanding Shares</t>
  </si>
  <si>
    <t>PERIOD</t>
  </si>
  <si>
    <t>FCF</t>
  </si>
  <si>
    <t>DISCOUNTING FACTOR</t>
  </si>
  <si>
    <t>PRESENT VALUE</t>
  </si>
  <si>
    <t>(1+WACC)^n</t>
  </si>
  <si>
    <t>(FCF*DISCOUNTING FACTOR)</t>
  </si>
  <si>
    <t xml:space="preserve"> (TERMINAL VALUE)</t>
  </si>
  <si>
    <t>Present Value per share</t>
  </si>
  <si>
    <t>Projected Year 4</t>
  </si>
  <si>
    <t>Projected Year 5</t>
  </si>
  <si>
    <t>Period(years)</t>
  </si>
  <si>
    <t>Cash at Bank</t>
  </si>
  <si>
    <t>Forecast Summary</t>
  </si>
  <si>
    <t xml:space="preserve">Net Cash Flow </t>
  </si>
  <si>
    <t>Discount Factor (1/(1+r)^n)</t>
  </si>
  <si>
    <t>Present Value</t>
  </si>
  <si>
    <t>Net Present Value</t>
  </si>
  <si>
    <t>Profitability Index</t>
  </si>
  <si>
    <t>Plant</t>
  </si>
  <si>
    <t>Property, Plant &amp; Equipment</t>
  </si>
  <si>
    <t>Leather Cutting Machine</t>
  </si>
  <si>
    <t>Sewing Machine for bag stitching</t>
  </si>
  <si>
    <t>Leather Bag Finishing Machine</t>
  </si>
  <si>
    <t>Computer Aided Machines</t>
  </si>
  <si>
    <t>Items</t>
  </si>
  <si>
    <t>ARG Peso</t>
  </si>
  <si>
    <t>Furniture, Fixtures and Fittings</t>
  </si>
  <si>
    <t>Office Equipments</t>
  </si>
  <si>
    <t>Factory Equipments</t>
  </si>
  <si>
    <t>Currency Exchange Rate</t>
  </si>
  <si>
    <t>DEPRECIATION</t>
  </si>
  <si>
    <t>Estimated Salvage Value for each asset</t>
  </si>
  <si>
    <t>COGS</t>
  </si>
  <si>
    <t>of sales</t>
  </si>
  <si>
    <t>REVENUE</t>
  </si>
  <si>
    <t>COST OF GOODS SOLD</t>
  </si>
  <si>
    <t>GROSS PROFIT</t>
  </si>
  <si>
    <t>MAINTENANCE</t>
  </si>
  <si>
    <t>SG&amp;A COSTS</t>
  </si>
  <si>
    <t>TOTAL SG&amp;A COST</t>
  </si>
  <si>
    <t>Tax Rate</t>
  </si>
  <si>
    <t>DIVIDEND</t>
  </si>
  <si>
    <t>RETAINED EARNINGS</t>
  </si>
  <si>
    <t>Dividend Payout ratio</t>
  </si>
  <si>
    <t xml:space="preserve">Retained Earnings </t>
  </si>
  <si>
    <t>Retained Earnings</t>
  </si>
  <si>
    <t>Five year forecast exchange rate</t>
  </si>
  <si>
    <t>Exchange rate</t>
  </si>
  <si>
    <t>Inflation Rate in April 2019</t>
  </si>
  <si>
    <t xml:space="preserve">Ghana </t>
  </si>
  <si>
    <t>Argentina</t>
  </si>
  <si>
    <t>5 - Loan</t>
  </si>
  <si>
    <t>ARS</t>
  </si>
  <si>
    <t>GHSARS</t>
  </si>
  <si>
    <t>Sales Price Per Unit (ARS)</t>
  </si>
  <si>
    <t>Furniture, Fixture and Fittings</t>
  </si>
  <si>
    <t>Operating Cash Flows</t>
  </si>
  <si>
    <t>Building</t>
  </si>
  <si>
    <t>Accumulated Depreciation</t>
  </si>
  <si>
    <t>Total Non-Current Assets</t>
  </si>
  <si>
    <t>Interest Expense</t>
  </si>
  <si>
    <t>PROFIT BEFORE TAX AND INTEREST</t>
  </si>
  <si>
    <t>INTEREST EXPENSE</t>
  </si>
  <si>
    <t>TAX</t>
  </si>
  <si>
    <t>PROFIT AFTER TAX</t>
  </si>
  <si>
    <t xml:space="preserve">&lt;--- Effective tax rate </t>
  </si>
  <si>
    <t>MIRR</t>
  </si>
  <si>
    <t>Reinvestment Rate (1/(1+r)^n)</t>
  </si>
  <si>
    <t>Modified Internal Rate of Return</t>
  </si>
  <si>
    <t>Sum of PV of Future Net Cashflow</t>
  </si>
  <si>
    <t>Using cost of equity:</t>
  </si>
  <si>
    <t>Equity value, E</t>
  </si>
  <si>
    <t>Debt value, D</t>
  </si>
  <si>
    <t>Total capital, V</t>
  </si>
  <si>
    <t>PRODUCTION ASSUMPTIONS SUMMARY</t>
  </si>
  <si>
    <t>YEAR 1</t>
  </si>
  <si>
    <t>YEAR 2</t>
  </si>
  <si>
    <t>YEAR 3</t>
  </si>
  <si>
    <t>YEAR 4</t>
  </si>
  <si>
    <t>YEAR 5</t>
  </si>
  <si>
    <t>UNITS PRODUCED</t>
  </si>
  <si>
    <t>UNITS SOLD</t>
  </si>
  <si>
    <t>CLOSING STOCK</t>
  </si>
  <si>
    <t>PRICE (ARS)</t>
  </si>
  <si>
    <t>PRICE (GHS)</t>
  </si>
  <si>
    <t>Direct Material Cost</t>
  </si>
  <si>
    <t>Direct Labour Cost</t>
  </si>
  <si>
    <t>Selling Cost</t>
  </si>
  <si>
    <t>Variable cost per unit sold</t>
  </si>
  <si>
    <t>Total Variable Cost</t>
  </si>
  <si>
    <t>Account Receivable</t>
  </si>
  <si>
    <t>Present Value of Negative Cash flows</t>
  </si>
  <si>
    <t>Future Value of Positive Cash flows</t>
  </si>
  <si>
    <t>Financing Rate (1+r)^n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</si>
  <si>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o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</si>
  <si>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</si>
  <si>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</si>
  <si>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</si>
  <si>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</si>
  <si>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</si>
  <si>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>Cost of debt, k</t>
    </r>
    <r>
      <rPr>
        <vertAlign val="subscript"/>
        <sz val="22"/>
        <color theme="1"/>
        <rFont val="Calibri"/>
        <family val="2"/>
        <scheme val="minor"/>
      </rPr>
      <t>d</t>
    </r>
  </si>
  <si>
    <r>
      <t>Corporate tax rate, T</t>
    </r>
    <r>
      <rPr>
        <vertAlign val="subscript"/>
        <sz val="22"/>
        <color theme="1"/>
        <rFont val="Calibri"/>
        <family val="2"/>
        <scheme val="minor"/>
      </rPr>
      <t>c</t>
    </r>
  </si>
  <si>
    <r>
      <t>After-tax cost of debt, k</t>
    </r>
    <r>
      <rPr>
        <vertAlign val="subscript"/>
        <sz val="22"/>
        <color theme="1"/>
        <rFont val="Calibri"/>
        <family val="2"/>
        <scheme val="minor"/>
      </rPr>
      <t>d</t>
    </r>
    <r>
      <rPr>
        <sz val="22"/>
        <color theme="1"/>
        <rFont val="Calibri"/>
        <family val="2"/>
        <scheme val="minor"/>
      </rPr>
      <t>(1-T</t>
    </r>
    <r>
      <rPr>
        <vertAlign val="subscript"/>
        <sz val="22"/>
        <color theme="1"/>
        <rFont val="Calibri"/>
        <family val="2"/>
        <scheme val="minor"/>
      </rPr>
      <t>c</t>
    </r>
    <r>
      <rPr>
        <sz val="22"/>
        <color theme="1"/>
        <rFont val="Calibri"/>
        <family val="2"/>
        <scheme val="minor"/>
      </rPr>
      <t>)</t>
    </r>
  </si>
  <si>
    <t>IHS COUNTRY RISK RATING OF ARGENTINA</t>
  </si>
  <si>
    <t>RISKS</t>
  </si>
  <si>
    <t xml:space="preserve">RISK SCORE </t>
  </si>
  <si>
    <t>WEIGHTINGS</t>
  </si>
  <si>
    <t>RISK SCORE * WEIGHTINGS</t>
  </si>
  <si>
    <t>Political risk</t>
  </si>
  <si>
    <t>Economic Risk</t>
  </si>
  <si>
    <t>Legal risk</t>
  </si>
  <si>
    <t>Tax Risk</t>
  </si>
  <si>
    <t>Operational risk</t>
  </si>
  <si>
    <t>Security Risk</t>
  </si>
  <si>
    <t>Overall Risk Rating</t>
  </si>
  <si>
    <t>Square Root of Sum</t>
  </si>
  <si>
    <t>Overall Risk description</t>
  </si>
  <si>
    <t>Overall Risk rating</t>
  </si>
  <si>
    <t>Rate</t>
  </si>
  <si>
    <t>Risk Description</t>
  </si>
  <si>
    <t>1.0 - 1.24</t>
  </si>
  <si>
    <t>1.25 - 1.74</t>
  </si>
  <si>
    <t>1.75 - 1.99</t>
  </si>
  <si>
    <t>2.0 - 2.49</t>
  </si>
  <si>
    <t>2.50 - 2.99</t>
  </si>
  <si>
    <t>3.0 - 3.49</t>
  </si>
  <si>
    <t>3.50 - 3.99</t>
  </si>
  <si>
    <t>4.0 - 4.49</t>
  </si>
  <si>
    <t>4.5 - 5.0</t>
  </si>
  <si>
    <t>Extreme</t>
  </si>
  <si>
    <t>Very High</t>
  </si>
  <si>
    <t>High</t>
  </si>
  <si>
    <t>Significant</t>
  </si>
  <si>
    <t xml:space="preserve">Medium </t>
  </si>
  <si>
    <t>Moderate</t>
  </si>
  <si>
    <t>Low</t>
  </si>
  <si>
    <t>Negligible</t>
  </si>
  <si>
    <t>Insignificant</t>
  </si>
  <si>
    <t>RISK RATINGS (Out of 5)</t>
  </si>
  <si>
    <t>MEDIUM</t>
  </si>
  <si>
    <t xml:space="preserve">Property, Plant &amp; Equipment </t>
  </si>
  <si>
    <t>FINANCING</t>
  </si>
  <si>
    <t>DEBT</t>
  </si>
  <si>
    <t>TOTAL INVESTMENT</t>
  </si>
  <si>
    <t>WEIGHT</t>
  </si>
  <si>
    <t>Incremental Cash flow Statement</t>
  </si>
  <si>
    <t>DML HOLDINGS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</si>
</sst>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u/>
      <sz val="18"/>
      <color theme="1"/>
      <name val="Calibri"/>
      <family val="2"/>
      <scheme val="minor"/>
    </font>
    <font>
      <u val="double"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Bell MT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u val="double"/>
      <sz val="14"/>
      <color theme="1"/>
      <name val="Times New Roman"/>
      <family val="1"/>
    </font>
    <font>
      <b/>
      <u val="doubleAccounting"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 val="double"/>
      <sz val="14"/>
      <color theme="1"/>
      <name val="Calibri"/>
      <family val="2"/>
      <scheme val="minor"/>
    </font>
    <font>
      <u val="doubleAccounting"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0" fontId="2" fillId="0" borderId="1" xfId="0" applyFont="1" applyBorder="1"/>
    <xf numFmtId="0" fontId="6" fillId="0" borderId="1" xfId="0" applyFont="1" applyBorder="1"/>
    <xf numFmtId="164" fontId="0" fillId="0" borderId="1" xfId="1" applyNumberFormat="1" applyFont="1" applyBorder="1" applyAlignment="1"/>
    <xf numFmtId="43" fontId="0" fillId="0" borderId="1" xfId="1" applyFont="1" applyBorder="1"/>
    <xf numFmtId="164" fontId="0" fillId="0" borderId="1" xfId="0" applyNumberFormat="1" applyBorder="1"/>
    <xf numFmtId="0" fontId="2" fillId="0" borderId="7" xfId="0" applyFont="1" applyBorder="1" applyAlignment="1">
      <alignment wrapText="1"/>
    </xf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2" fillId="0" borderId="9" xfId="0" applyFont="1" applyBorder="1" applyAlignment="1">
      <alignment wrapText="1"/>
    </xf>
    <xf numFmtId="0" fontId="0" fillId="0" borderId="10" xfId="0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0" fontId="0" fillId="0" borderId="0" xfId="0" applyBorder="1"/>
    <xf numFmtId="0" fontId="0" fillId="0" borderId="14" xfId="0" applyBorder="1" applyAlignment="1">
      <alignment horizontal="center"/>
    </xf>
    <xf numFmtId="0" fontId="2" fillId="0" borderId="0" xfId="0" applyFont="1" applyBorder="1"/>
    <xf numFmtId="0" fontId="2" fillId="0" borderId="21" xfId="0" applyFont="1" applyBorder="1"/>
    <xf numFmtId="0" fontId="2" fillId="0" borderId="23" xfId="0" applyFont="1" applyBorder="1"/>
    <xf numFmtId="0" fontId="0" fillId="0" borderId="24" xfId="0" applyBorder="1"/>
    <xf numFmtId="0" fontId="0" fillId="0" borderId="29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0" fillId="3" borderId="14" xfId="0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 wrapText="1"/>
    </xf>
    <xf numFmtId="9" fontId="0" fillId="0" borderId="11" xfId="0" applyNumberFormat="1" applyBorder="1" applyAlignment="1">
      <alignment horizontal="center" wrapText="1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wrapText="1"/>
    </xf>
    <xf numFmtId="1" fontId="0" fillId="0" borderId="0" xfId="0" applyNumberFormat="1"/>
    <xf numFmtId="2" fontId="0" fillId="0" borderId="0" xfId="0" applyNumberFormat="1" applyBorder="1"/>
    <xf numFmtId="43" fontId="0" fillId="0" borderId="0" xfId="0" applyNumberFormat="1"/>
    <xf numFmtId="0" fontId="0" fillId="3" borderId="0" xfId="0" applyFill="1"/>
    <xf numFmtId="43" fontId="0" fillId="0" borderId="22" xfId="0" applyNumberFormat="1" applyBorder="1"/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40" xfId="0" applyBorder="1"/>
    <xf numFmtId="0" fontId="2" fillId="0" borderId="40" xfId="0" applyFont="1" applyBorder="1"/>
    <xf numFmtId="0" fontId="2" fillId="0" borderId="42" xfId="0" applyFont="1" applyBorder="1"/>
    <xf numFmtId="43" fontId="0" fillId="0" borderId="43" xfId="0" applyNumberFormat="1" applyBorder="1"/>
    <xf numFmtId="0" fontId="0" fillId="0" borderId="42" xfId="0" applyBorder="1"/>
    <xf numFmtId="43" fontId="0" fillId="0" borderId="42" xfId="0" applyNumberFormat="1" applyBorder="1"/>
    <xf numFmtId="0" fontId="2" fillId="0" borderId="41" xfId="0" applyFon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10" fontId="0" fillId="0" borderId="45" xfId="2" applyNumberFormat="1" applyFont="1" applyBorder="1"/>
    <xf numFmtId="0" fontId="0" fillId="0" borderId="46" xfId="0" applyBorder="1"/>
    <xf numFmtId="0" fontId="2" fillId="3" borderId="46" xfId="0" applyFont="1" applyFill="1" applyBorder="1"/>
    <xf numFmtId="0" fontId="0" fillId="3" borderId="46" xfId="0" applyFill="1" applyBorder="1"/>
    <xf numFmtId="43" fontId="5" fillId="3" borderId="43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9" xfId="0" applyBorder="1"/>
    <xf numFmtId="0" fontId="0" fillId="0" borderId="22" xfId="0" applyBorder="1"/>
    <xf numFmtId="0" fontId="0" fillId="0" borderId="0" xfId="0" applyFill="1" applyBorder="1"/>
    <xf numFmtId="43" fontId="0" fillId="0" borderId="0" xfId="1" applyFont="1"/>
    <xf numFmtId="0" fontId="2" fillId="0" borderId="29" xfId="0" applyFont="1" applyBorder="1"/>
    <xf numFmtId="0" fontId="0" fillId="0" borderId="29" xfId="0" applyBorder="1"/>
    <xf numFmtId="0" fontId="0" fillId="0" borderId="30" xfId="0" applyBorder="1"/>
    <xf numFmtId="0" fontId="2" fillId="0" borderId="30" xfId="0" applyFont="1" applyBorder="1"/>
    <xf numFmtId="0" fontId="0" fillId="3" borderId="27" xfId="0" applyFill="1" applyBorder="1"/>
    <xf numFmtId="165" fontId="0" fillId="0" borderId="0" xfId="0" applyNumberFormat="1"/>
    <xf numFmtId="0" fontId="0" fillId="0" borderId="47" xfId="0" applyBorder="1"/>
    <xf numFmtId="43" fontId="0" fillId="0" borderId="0" xfId="1" applyFont="1" applyBorder="1"/>
    <xf numFmtId="43" fontId="0" fillId="0" borderId="22" xfId="1" applyFont="1" applyBorder="1"/>
    <xf numFmtId="43" fontId="0" fillId="0" borderId="25" xfId="1" applyFont="1" applyBorder="1"/>
    <xf numFmtId="43" fontId="0" fillId="0" borderId="21" xfId="1" applyFont="1" applyBorder="1"/>
    <xf numFmtId="0" fontId="2" fillId="0" borderId="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21" xfId="0" applyBorder="1"/>
    <xf numFmtId="4" fontId="0" fillId="0" borderId="0" xfId="0" applyNumberForma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0" fillId="0" borderId="23" xfId="0" applyBorder="1"/>
    <xf numFmtId="0" fontId="2" fillId="0" borderId="48" xfId="0" applyFont="1" applyBorder="1"/>
    <xf numFmtId="0" fontId="2" fillId="0" borderId="31" xfId="0" applyFont="1" applyBorder="1"/>
    <xf numFmtId="0" fontId="2" fillId="0" borderId="49" xfId="0" applyFont="1" applyBorder="1"/>
    <xf numFmtId="43" fontId="7" fillId="0" borderId="32" xfId="1" applyFont="1" applyBorder="1"/>
    <xf numFmtId="0" fontId="2" fillId="0" borderId="47" xfId="0" applyFont="1" applyBorder="1"/>
    <xf numFmtId="43" fontId="0" fillId="0" borderId="29" xfId="1" applyFont="1" applyBorder="1"/>
    <xf numFmtId="43" fontId="7" fillId="0" borderId="31" xfId="1" applyFont="1" applyBorder="1"/>
    <xf numFmtId="43" fontId="0" fillId="0" borderId="47" xfId="1" applyFont="1" applyBorder="1"/>
    <xf numFmtId="43" fontId="0" fillId="0" borderId="28" xfId="1" applyFont="1" applyBorder="1"/>
    <xf numFmtId="0" fontId="0" fillId="0" borderId="18" xfId="0" applyBorder="1"/>
    <xf numFmtId="0" fontId="0" fillId="0" borderId="20" xfId="0" applyBorder="1"/>
    <xf numFmtId="3" fontId="0" fillId="0" borderId="22" xfId="0" applyNumberFormat="1" applyBorder="1"/>
    <xf numFmtId="0" fontId="0" fillId="3" borderId="26" xfId="0" applyFill="1" applyBorder="1"/>
    <xf numFmtId="2" fontId="0" fillId="3" borderId="28" xfId="0" applyNumberFormat="1" applyFill="1" applyBorder="1"/>
    <xf numFmtId="0" fontId="0" fillId="0" borderId="35" xfId="0" applyBorder="1"/>
    <xf numFmtId="164" fontId="0" fillId="0" borderId="36" xfId="1" applyNumberFormat="1" applyFont="1" applyBorder="1"/>
    <xf numFmtId="0" fontId="2" fillId="0" borderId="35" xfId="0" applyFont="1" applyBorder="1"/>
    <xf numFmtId="164" fontId="5" fillId="0" borderId="36" xfId="1" applyNumberFormat="1" applyFont="1" applyBorder="1"/>
    <xf numFmtId="0" fontId="0" fillId="0" borderId="36" xfId="0" applyBorder="1"/>
    <xf numFmtId="0" fontId="6" fillId="0" borderId="36" xfId="0" applyFont="1" applyBorder="1"/>
    <xf numFmtId="0" fontId="2" fillId="0" borderId="37" xfId="0" applyFont="1" applyBorder="1"/>
    <xf numFmtId="164" fontId="0" fillId="0" borderId="38" xfId="1" applyNumberFormat="1" applyFont="1" applyBorder="1" applyAlignment="1">
      <alignment horizontal="center"/>
    </xf>
    <xf numFmtId="164" fontId="0" fillId="0" borderId="38" xfId="1" applyNumberFormat="1" applyFont="1" applyBorder="1"/>
    <xf numFmtId="164" fontId="5" fillId="0" borderId="39" xfId="1" applyNumberFormat="1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47" xfId="0" applyFill="1" applyBorder="1"/>
    <xf numFmtId="43" fontId="0" fillId="0" borderId="30" xfId="1" applyFont="1" applyBorder="1"/>
    <xf numFmtId="43" fontId="7" fillId="0" borderId="24" xfId="1" applyFont="1" applyBorder="1"/>
    <xf numFmtId="43" fontId="0" fillId="0" borderId="27" xfId="0" applyNumberFormat="1" applyBorder="1"/>
    <xf numFmtId="43" fontId="0" fillId="0" borderId="47" xfId="1" applyFont="1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0" fontId="0" fillId="0" borderId="22" xfId="0" applyNumberFormat="1" applyBorder="1"/>
    <xf numFmtId="10" fontId="0" fillId="0" borderId="25" xfId="0" applyNumberFormat="1" applyBorder="1"/>
    <xf numFmtId="0" fontId="2" fillId="0" borderId="4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2" xfId="0" applyFont="1" applyBorder="1"/>
    <xf numFmtId="3" fontId="0" fillId="0" borderId="0" xfId="0" applyNumberFormat="1" applyBorder="1" applyAlignment="1">
      <alignment horizontal="center"/>
    </xf>
    <xf numFmtId="3" fontId="0" fillId="0" borderId="0" xfId="0" applyNumberFormat="1" applyBorder="1"/>
    <xf numFmtId="0" fontId="2" fillId="0" borderId="18" xfId="0" applyFont="1" applyBorder="1"/>
    <xf numFmtId="0" fontId="2" fillId="0" borderId="26" xfId="0" applyFont="1" applyBorder="1"/>
    <xf numFmtId="0" fontId="2" fillId="0" borderId="20" xfId="0" applyFont="1" applyBorder="1"/>
    <xf numFmtId="0" fontId="2" fillId="0" borderId="28" xfId="0" applyFont="1" applyBorder="1"/>
    <xf numFmtId="9" fontId="2" fillId="0" borderId="0" xfId="0" applyNumberFormat="1" applyFont="1" applyBorder="1"/>
    <xf numFmtId="43" fontId="2" fillId="0" borderId="0" xfId="1" applyFont="1" applyFill="1" applyBorder="1"/>
    <xf numFmtId="0" fontId="2" fillId="0" borderId="24" xfId="0" applyFont="1" applyBorder="1"/>
    <xf numFmtId="9" fontId="2" fillId="0" borderId="0" xfId="0" applyNumberFormat="1" applyFont="1" applyBorder="1" applyAlignment="1">
      <alignment horizontal="center"/>
    </xf>
    <xf numFmtId="0" fontId="0" fillId="0" borderId="59" xfId="0" applyBorder="1"/>
    <xf numFmtId="0" fontId="2" fillId="0" borderId="44" xfId="0" applyFont="1" applyBorder="1"/>
    <xf numFmtId="0" fontId="2" fillId="0" borderId="60" xfId="0" applyFont="1" applyBorder="1"/>
    <xf numFmtId="0" fontId="2" fillId="0" borderId="61" xfId="0" applyFont="1" applyBorder="1" applyAlignment="1">
      <alignment horizontal="center" vertical="center"/>
    </xf>
    <xf numFmtId="0" fontId="2" fillId="0" borderId="43" xfId="0" applyFont="1" applyBorder="1"/>
    <xf numFmtId="0" fontId="2" fillId="0" borderId="47" xfId="0" applyFont="1" applyBorder="1" applyAlignment="1">
      <alignment horizontal="center" vertical="center"/>
    </xf>
    <xf numFmtId="0" fontId="0" fillId="0" borderId="62" xfId="0" applyBorder="1"/>
    <xf numFmtId="43" fontId="0" fillId="0" borderId="62" xfId="0" applyNumberFormat="1" applyBorder="1"/>
    <xf numFmtId="43" fontId="0" fillId="0" borderId="63" xfId="0" applyNumberFormat="1" applyBorder="1"/>
    <xf numFmtId="43" fontId="5" fillId="3" borderId="64" xfId="0" applyNumberFormat="1" applyFont="1" applyFill="1" applyBorder="1"/>
    <xf numFmtId="0" fontId="2" fillId="0" borderId="27" xfId="0" applyFont="1" applyBorder="1" applyAlignment="1"/>
    <xf numFmtId="0" fontId="2" fillId="0" borderId="0" xfId="0" applyFont="1" applyBorder="1" applyAlignment="1"/>
    <xf numFmtId="43" fontId="7" fillId="0" borderId="55" xfId="1" applyFont="1" applyBorder="1"/>
    <xf numFmtId="43" fontId="7" fillId="0" borderId="57" xfId="1" applyFont="1" applyBorder="1"/>
    <xf numFmtId="9" fontId="0" fillId="0" borderId="0" xfId="0" applyNumberFormat="1"/>
    <xf numFmtId="10" fontId="2" fillId="0" borderId="47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2" fillId="0" borderId="21" xfId="0" applyFont="1" applyBorder="1" applyAlignment="1"/>
    <xf numFmtId="10" fontId="2" fillId="0" borderId="21" xfId="0" applyNumberFormat="1" applyFont="1" applyBorder="1" applyAlignment="1">
      <alignment horizontal="center"/>
    </xf>
    <xf numFmtId="0" fontId="2" fillId="0" borderId="19" xfId="0" applyFont="1" applyBorder="1"/>
    <xf numFmtId="0" fontId="2" fillId="0" borderId="25" xfId="0" applyFont="1" applyBorder="1"/>
    <xf numFmtId="3" fontId="0" fillId="0" borderId="21" xfId="0" applyNumberFormat="1" applyBorder="1" applyAlignment="1">
      <alignment horizontal="center"/>
    </xf>
    <xf numFmtId="164" fontId="0" fillId="0" borderId="22" xfId="0" applyNumberFormat="1" applyBorder="1"/>
    <xf numFmtId="164" fontId="0" fillId="0" borderId="29" xfId="0" applyNumberFormat="1" applyBorder="1"/>
    <xf numFmtId="2" fontId="2" fillId="0" borderId="30" xfId="0" applyNumberFormat="1" applyFont="1" applyBorder="1"/>
    <xf numFmtId="43" fontId="0" fillId="0" borderId="25" xfId="0" applyNumberFormat="1" applyBorder="1"/>
    <xf numFmtId="43" fontId="0" fillId="0" borderId="29" xfId="1" applyFont="1" applyBorder="1" applyAlignment="1">
      <alignment horizontal="center"/>
    </xf>
    <xf numFmtId="43" fontId="0" fillId="0" borderId="22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2" fontId="2" fillId="0" borderId="22" xfId="0" applyNumberFormat="1" applyFont="1" applyBorder="1"/>
    <xf numFmtId="2" fontId="2" fillId="0" borderId="25" xfId="0" applyNumberFormat="1" applyFont="1" applyBorder="1"/>
    <xf numFmtId="164" fontId="0" fillId="0" borderId="22" xfId="1" applyNumberFormat="1" applyFont="1" applyBorder="1" applyAlignment="1">
      <alignment horizontal="center"/>
    </xf>
    <xf numFmtId="164" fontId="2" fillId="3" borderId="22" xfId="0" applyNumberFormat="1" applyFont="1" applyFill="1" applyBorder="1"/>
    <xf numFmtId="4" fontId="0" fillId="0" borderId="22" xfId="0" applyNumberFormat="1" applyBorder="1"/>
    <xf numFmtId="164" fontId="2" fillId="0" borderId="22" xfId="1" applyNumberFormat="1" applyFont="1" applyBorder="1"/>
    <xf numFmtId="164" fontId="2" fillId="0" borderId="22" xfId="0" applyNumberFormat="1" applyFont="1" applyBorder="1"/>
    <xf numFmtId="0" fontId="0" fillId="3" borderId="24" xfId="0" applyFill="1" applyBorder="1"/>
    <xf numFmtId="164" fontId="5" fillId="3" borderId="25" xfId="0" applyNumberFormat="1" applyFont="1" applyFill="1" applyBorder="1"/>
    <xf numFmtId="0" fontId="3" fillId="0" borderId="4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3" borderId="22" xfId="0" applyFill="1" applyBorder="1"/>
    <xf numFmtId="0" fontId="0" fillId="3" borderId="25" xfId="0" applyFill="1" applyBorder="1"/>
    <xf numFmtId="164" fontId="0" fillId="0" borderId="22" xfId="1" applyNumberFormat="1" applyFont="1" applyBorder="1"/>
    <xf numFmtId="0" fontId="3" fillId="0" borderId="22" xfId="0" applyFont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12" fillId="0" borderId="48" xfId="0" applyFont="1" applyBorder="1"/>
    <xf numFmtId="0" fontId="12" fillId="0" borderId="20" xfId="0" applyFont="1" applyBorder="1"/>
    <xf numFmtId="0" fontId="12" fillId="0" borderId="29" xfId="0" applyFont="1" applyBorder="1"/>
    <xf numFmtId="9" fontId="12" fillId="4" borderId="22" xfId="2" applyFont="1" applyFill="1" applyBorder="1"/>
    <xf numFmtId="0" fontId="12" fillId="0" borderId="22" xfId="0" applyFont="1" applyBorder="1"/>
    <xf numFmtId="0" fontId="13" fillId="0" borderId="29" xfId="0" applyFont="1" applyBorder="1"/>
    <xf numFmtId="10" fontId="12" fillId="4" borderId="22" xfId="0" applyNumberFormat="1" applyFont="1" applyFill="1" applyBorder="1"/>
    <xf numFmtId="2" fontId="12" fillId="4" borderId="22" xfId="2" applyNumberFormat="1" applyFont="1" applyFill="1" applyBorder="1"/>
    <xf numFmtId="10" fontId="12" fillId="4" borderId="22" xfId="2" applyNumberFormat="1" applyFont="1" applyFill="1" applyBorder="1"/>
    <xf numFmtId="43" fontId="12" fillId="0" borderId="22" xfId="0" applyNumberFormat="1" applyFont="1" applyBorder="1"/>
    <xf numFmtId="43" fontId="12" fillId="0" borderId="22" xfId="1" applyNumberFormat="1" applyFont="1" applyBorder="1"/>
    <xf numFmtId="10" fontId="12" fillId="0" borderId="22" xfId="2" applyNumberFormat="1" applyFont="1" applyBorder="1"/>
    <xf numFmtId="166" fontId="12" fillId="0" borderId="22" xfId="2" applyNumberFormat="1" applyFont="1" applyBorder="1"/>
    <xf numFmtId="0" fontId="13" fillId="0" borderId="30" xfId="0" applyFont="1" applyBorder="1"/>
    <xf numFmtId="10" fontId="13" fillId="4" borderId="25" xfId="2" applyNumberFormat="1" applyFont="1" applyFill="1" applyBorder="1"/>
    <xf numFmtId="0" fontId="15" fillId="0" borderId="25" xfId="0" applyFont="1" applyBorder="1"/>
    <xf numFmtId="0" fontId="10" fillId="0" borderId="0" xfId="0" applyFont="1"/>
    <xf numFmtId="0" fontId="11" fillId="0" borderId="4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43" fontId="10" fillId="0" borderId="29" xfId="1" applyFont="1" applyBorder="1" applyAlignment="1">
      <alignment horizontal="center"/>
    </xf>
    <xf numFmtId="43" fontId="10" fillId="0" borderId="22" xfId="1" applyFont="1" applyBorder="1" applyAlignment="1">
      <alignment horizontal="center"/>
    </xf>
    <xf numFmtId="43" fontId="16" fillId="0" borderId="29" xfId="1" applyFont="1" applyBorder="1" applyAlignment="1">
      <alignment horizontal="center"/>
    </xf>
    <xf numFmtId="43" fontId="16" fillId="0" borderId="22" xfId="1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43" fontId="17" fillId="0" borderId="30" xfId="1" applyFont="1" applyBorder="1" applyAlignment="1">
      <alignment horizontal="center"/>
    </xf>
    <xf numFmtId="43" fontId="17" fillId="0" borderId="25" xfId="1" applyFont="1" applyBorder="1" applyAlignment="1">
      <alignment horizontal="center"/>
    </xf>
    <xf numFmtId="4" fontId="10" fillId="0" borderId="0" xfId="0" applyNumberFormat="1" applyFont="1"/>
    <xf numFmtId="2" fontId="10" fillId="0" borderId="0" xfId="0" applyNumberFormat="1" applyFont="1"/>
    <xf numFmtId="43" fontId="0" fillId="0" borderId="58" xfId="1" applyFont="1" applyBorder="1" applyAlignment="1">
      <alignment horizontal="center"/>
    </xf>
    <xf numFmtId="43" fontId="2" fillId="0" borderId="47" xfId="1" applyFont="1" applyBorder="1" applyAlignment="1">
      <alignment horizontal="center"/>
    </xf>
    <xf numFmtId="43" fontId="7" fillId="0" borderId="28" xfId="1" applyFont="1" applyBorder="1" applyAlignment="1">
      <alignment horizontal="center"/>
    </xf>
    <xf numFmtId="43" fontId="2" fillId="0" borderId="29" xfId="1" applyFont="1" applyBorder="1"/>
    <xf numFmtId="43" fontId="2" fillId="0" borderId="30" xfId="1" applyFont="1" applyBorder="1"/>
    <xf numFmtId="43" fontId="0" fillId="0" borderId="47" xfId="1" applyFont="1" applyBorder="1" applyAlignment="1">
      <alignment horizontal="center"/>
    </xf>
    <xf numFmtId="43" fontId="2" fillId="0" borderId="28" xfId="1" applyFont="1" applyBorder="1" applyAlignment="1">
      <alignment horizontal="center"/>
    </xf>
    <xf numFmtId="43" fontId="0" fillId="0" borderId="28" xfId="1" applyFont="1" applyBorder="1" applyAlignment="1">
      <alignment horizontal="center"/>
    </xf>
    <xf numFmtId="43" fontId="7" fillId="0" borderId="54" xfId="1" applyFont="1" applyBorder="1"/>
    <xf numFmtId="43" fontId="0" fillId="0" borderId="26" xfId="1" applyNumberFormat="1" applyFont="1" applyBorder="1"/>
    <xf numFmtId="43" fontId="7" fillId="0" borderId="66" xfId="1" applyFont="1" applyBorder="1"/>
    <xf numFmtId="0" fontId="2" fillId="0" borderId="27" xfId="0" applyFont="1" applyBorder="1"/>
    <xf numFmtId="164" fontId="7" fillId="0" borderId="49" xfId="1" applyNumberFormat="1" applyFont="1" applyBorder="1"/>
    <xf numFmtId="164" fontId="7" fillId="0" borderId="65" xfId="1" applyNumberFormat="1" applyFont="1" applyBorder="1"/>
    <xf numFmtId="164" fontId="7" fillId="0" borderId="56" xfId="1" applyNumberFormat="1" applyFont="1" applyBorder="1"/>
    <xf numFmtId="0" fontId="2" fillId="3" borderId="23" xfId="0" applyFont="1" applyFill="1" applyBorder="1"/>
    <xf numFmtId="0" fontId="2" fillId="3" borderId="30" xfId="0" applyFont="1" applyFill="1" applyBorder="1" applyAlignment="1">
      <alignment horizontal="center"/>
    </xf>
    <xf numFmtId="43" fontId="0" fillId="0" borderId="29" xfId="0" applyNumberFormat="1" applyBorder="1"/>
    <xf numFmtId="43" fontId="7" fillId="0" borderId="25" xfId="1" applyFont="1" applyBorder="1"/>
    <xf numFmtId="0" fontId="2" fillId="0" borderId="29" xfId="0" applyFont="1" applyBorder="1" applyAlignment="1">
      <alignment horizontal="center" wrapText="1"/>
    </xf>
    <xf numFmtId="0" fontId="0" fillId="0" borderId="29" xfId="0" applyBorder="1" applyAlignment="1">
      <alignment horizontal="left"/>
    </xf>
    <xf numFmtId="43" fontId="7" fillId="0" borderId="23" xfId="1" applyFont="1" applyBorder="1"/>
    <xf numFmtId="0" fontId="2" fillId="0" borderId="28" xfId="0" applyFont="1" applyFill="1" applyBorder="1" applyAlignment="1">
      <alignment horizontal="center"/>
    </xf>
    <xf numFmtId="43" fontId="0" fillId="0" borderId="30" xfId="0" applyNumberFormat="1" applyBorder="1"/>
    <xf numFmtId="0" fontId="18" fillId="0" borderId="0" xfId="0" applyFont="1"/>
    <xf numFmtId="0" fontId="19" fillId="0" borderId="0" xfId="0" applyFont="1"/>
    <xf numFmtId="0" fontId="18" fillId="0" borderId="22" xfId="0" applyFont="1" applyBorder="1"/>
    <xf numFmtId="0" fontId="20" fillId="0" borderId="30" xfId="0" applyFont="1" applyBorder="1"/>
    <xf numFmtId="0" fontId="21" fillId="0" borderId="47" xfId="0" applyFont="1" applyBorder="1"/>
    <xf numFmtId="0" fontId="18" fillId="0" borderId="47" xfId="0" applyFont="1" applyBorder="1"/>
    <xf numFmtId="0" fontId="20" fillId="0" borderId="28" xfId="0" applyFont="1" applyBorder="1" applyAlignment="1">
      <alignment horizontal="center"/>
    </xf>
    <xf numFmtId="2" fontId="21" fillId="0" borderId="47" xfId="0" applyNumberFormat="1" applyFont="1" applyBorder="1"/>
    <xf numFmtId="0" fontId="21" fillId="0" borderId="28" xfId="0" applyFont="1" applyBorder="1"/>
    <xf numFmtId="0" fontId="20" fillId="0" borderId="47" xfId="0" applyFont="1" applyBorder="1"/>
    <xf numFmtId="9" fontId="21" fillId="0" borderId="30" xfId="0" applyNumberFormat="1" applyFont="1" applyBorder="1"/>
    <xf numFmtId="0" fontId="21" fillId="0" borderId="24" xfId="0" applyFont="1" applyBorder="1"/>
    <xf numFmtId="0" fontId="21" fillId="0" borderId="25" xfId="0" applyFont="1" applyBorder="1"/>
    <xf numFmtId="0" fontId="21" fillId="0" borderId="27" xfId="0" applyFont="1" applyBorder="1"/>
    <xf numFmtId="0" fontId="20" fillId="0" borderId="29" xfId="0" applyFont="1" applyBorder="1"/>
    <xf numFmtId="0" fontId="18" fillId="0" borderId="0" xfId="0" applyFont="1" applyBorder="1"/>
    <xf numFmtId="0" fontId="20" fillId="0" borderId="23" xfId="0" applyFont="1" applyBorder="1"/>
    <xf numFmtId="0" fontId="21" fillId="0" borderId="19" xfId="0" applyFont="1" applyBorder="1"/>
    <xf numFmtId="1" fontId="21" fillId="0" borderId="19" xfId="0" applyNumberFormat="1" applyFont="1" applyBorder="1"/>
    <xf numFmtId="1" fontId="21" fillId="0" borderId="0" xfId="0" applyNumberFormat="1" applyFont="1" applyBorder="1"/>
    <xf numFmtId="1" fontId="21" fillId="0" borderId="0" xfId="0" applyNumberFormat="1" applyFont="1"/>
    <xf numFmtId="0" fontId="21" fillId="0" borderId="0" xfId="0" applyFont="1"/>
    <xf numFmtId="0" fontId="21" fillId="0" borderId="20" xfId="0" applyFont="1" applyBorder="1"/>
    <xf numFmtId="0" fontId="18" fillId="0" borderId="21" xfId="0" applyFont="1" applyBorder="1"/>
    <xf numFmtId="0" fontId="20" fillId="0" borderId="20" xfId="0" applyFont="1" applyBorder="1"/>
    <xf numFmtId="0" fontId="20" fillId="0" borderId="48" xfId="0" applyFont="1" applyBorder="1"/>
    <xf numFmtId="0" fontId="21" fillId="0" borderId="48" xfId="0" applyFont="1" applyBorder="1"/>
    <xf numFmtId="0" fontId="21" fillId="0" borderId="0" xfId="0" applyFont="1" applyBorder="1"/>
    <xf numFmtId="43" fontId="21" fillId="0" borderId="22" xfId="1" applyFont="1" applyBorder="1"/>
    <xf numFmtId="43" fontId="21" fillId="0" borderId="29" xfId="1" applyFont="1" applyBorder="1"/>
    <xf numFmtId="43" fontId="20" fillId="0" borderId="20" xfId="1" applyFont="1" applyBorder="1"/>
    <xf numFmtId="43" fontId="20" fillId="0" borderId="48" xfId="1" applyFont="1" applyBorder="1"/>
    <xf numFmtId="43" fontId="20" fillId="0" borderId="22" xfId="1" applyFont="1" applyBorder="1"/>
    <xf numFmtId="43" fontId="20" fillId="0" borderId="29" xfId="1" applyFont="1" applyBorder="1"/>
    <xf numFmtId="43" fontId="21" fillId="0" borderId="25" xfId="1" applyFont="1" applyBorder="1"/>
    <xf numFmtId="43" fontId="21" fillId="0" borderId="30" xfId="1" applyFont="1" applyBorder="1"/>
    <xf numFmtId="0" fontId="20" fillId="0" borderId="29" xfId="0" applyFont="1" applyBorder="1" applyAlignment="1">
      <alignment wrapText="1"/>
    </xf>
    <xf numFmtId="0" fontId="20" fillId="0" borderId="29" xfId="0" applyFont="1" applyFill="1" applyBorder="1"/>
    <xf numFmtId="0" fontId="20" fillId="0" borderId="30" xfId="0" applyFont="1" applyFill="1" applyBorder="1"/>
    <xf numFmtId="43" fontId="22" fillId="0" borderId="25" xfId="1" applyFont="1" applyBorder="1"/>
    <xf numFmtId="43" fontId="22" fillId="0" borderId="30" xfId="1" applyFont="1" applyBorder="1"/>
    <xf numFmtId="43" fontId="23" fillId="0" borderId="0" xfId="0" applyNumberFormat="1" applyFont="1" applyBorder="1"/>
    <xf numFmtId="43" fontId="18" fillId="0" borderId="0" xfId="0" applyNumberFormat="1" applyFont="1"/>
    <xf numFmtId="0" fontId="20" fillId="0" borderId="48" xfId="0" applyFont="1" applyFill="1" applyBorder="1"/>
    <xf numFmtId="43" fontId="18" fillId="0" borderId="20" xfId="0" applyNumberFormat="1" applyFont="1" applyBorder="1"/>
    <xf numFmtId="43" fontId="18" fillId="0" borderId="48" xfId="0" applyNumberFormat="1" applyFont="1" applyBorder="1"/>
    <xf numFmtId="43" fontId="18" fillId="0" borderId="28" xfId="0" applyNumberFormat="1" applyFont="1" applyBorder="1"/>
    <xf numFmtId="43" fontId="18" fillId="0" borderId="47" xfId="0" applyNumberFormat="1" applyFont="1" applyBorder="1"/>
    <xf numFmtId="0" fontId="24" fillId="0" borderId="0" xfId="0" applyFont="1"/>
    <xf numFmtId="0" fontId="24" fillId="0" borderId="21" xfId="0" applyFont="1" applyBorder="1"/>
    <xf numFmtId="0" fontId="24" fillId="0" borderId="29" xfId="0" applyFont="1" applyBorder="1" applyAlignment="1">
      <alignment horizontal="center"/>
    </xf>
    <xf numFmtId="0" fontId="24" fillId="0" borderId="48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24" fillId="3" borderId="21" xfId="0" applyFont="1" applyFill="1" applyBorder="1"/>
    <xf numFmtId="0" fontId="18" fillId="0" borderId="29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43" fontId="18" fillId="0" borderId="29" xfId="1" applyFont="1" applyBorder="1" applyAlignment="1">
      <alignment horizontal="center"/>
    </xf>
    <xf numFmtId="43" fontId="18" fillId="0" borderId="22" xfId="1" applyFont="1" applyBorder="1" applyAlignment="1">
      <alignment horizontal="center"/>
    </xf>
    <xf numFmtId="43" fontId="18" fillId="0" borderId="49" xfId="1" applyFont="1" applyBorder="1" applyAlignment="1">
      <alignment horizontal="center"/>
    </xf>
    <xf numFmtId="43" fontId="18" fillId="0" borderId="56" xfId="1" applyFont="1" applyBorder="1" applyAlignment="1">
      <alignment horizontal="center"/>
    </xf>
    <xf numFmtId="43" fontId="18" fillId="0" borderId="3" xfId="1" applyFont="1" applyBorder="1" applyAlignment="1">
      <alignment horizontal="center"/>
    </xf>
    <xf numFmtId="43" fontId="18" fillId="0" borderId="65" xfId="1" applyFont="1" applyBorder="1" applyAlignment="1">
      <alignment horizontal="center"/>
    </xf>
    <xf numFmtId="43" fontId="18" fillId="0" borderId="0" xfId="1" applyFont="1" applyBorder="1" applyAlignment="1">
      <alignment horizontal="center"/>
    </xf>
    <xf numFmtId="43" fontId="18" fillId="0" borderId="21" xfId="1" applyFont="1" applyBorder="1" applyAlignment="1">
      <alignment horizontal="center"/>
    </xf>
    <xf numFmtId="43" fontId="18" fillId="0" borderId="29" xfId="0" applyNumberFormat="1" applyFont="1" applyBorder="1" applyAlignment="1">
      <alignment horizontal="center"/>
    </xf>
    <xf numFmtId="43" fontId="18" fillId="0" borderId="31" xfId="1" applyFont="1" applyBorder="1" applyAlignment="1">
      <alignment horizontal="center"/>
    </xf>
    <xf numFmtId="43" fontId="18" fillId="0" borderId="55" xfId="1" applyFont="1" applyBorder="1" applyAlignment="1">
      <alignment horizontal="center"/>
    </xf>
    <xf numFmtId="43" fontId="25" fillId="0" borderId="31" xfId="1" applyFont="1" applyBorder="1" applyAlignment="1">
      <alignment horizontal="center"/>
    </xf>
    <xf numFmtId="43" fontId="25" fillId="0" borderId="55" xfId="1" applyFont="1" applyBorder="1" applyAlignment="1">
      <alignment horizontal="center"/>
    </xf>
    <xf numFmtId="43" fontId="25" fillId="0" borderId="13" xfId="1" applyFont="1" applyBorder="1" applyAlignment="1">
      <alignment horizontal="center"/>
    </xf>
    <xf numFmtId="43" fontId="25" fillId="0" borderId="54" xfId="1" applyFont="1" applyBorder="1" applyAlignment="1">
      <alignment horizontal="center"/>
    </xf>
    <xf numFmtId="4" fontId="18" fillId="0" borderId="0" xfId="0" applyNumberFormat="1" applyFont="1"/>
    <xf numFmtId="9" fontId="18" fillId="0" borderId="29" xfId="2" applyFont="1" applyBorder="1" applyAlignment="1">
      <alignment horizontal="right"/>
    </xf>
    <xf numFmtId="43" fontId="18" fillId="0" borderId="13" xfId="1" applyFont="1" applyBorder="1" applyAlignment="1">
      <alignment horizontal="center"/>
    </xf>
    <xf numFmtId="43" fontId="18" fillId="0" borderId="54" xfId="1" applyFont="1" applyBorder="1" applyAlignment="1">
      <alignment horizontal="center"/>
    </xf>
    <xf numFmtId="0" fontId="24" fillId="0" borderId="23" xfId="0" applyFont="1" applyBorder="1"/>
    <xf numFmtId="0" fontId="18" fillId="0" borderId="30" xfId="0" applyFont="1" applyBorder="1" applyAlignment="1">
      <alignment horizontal="center"/>
    </xf>
    <xf numFmtId="43" fontId="25" fillId="0" borderId="32" xfId="1" applyFont="1" applyBorder="1" applyAlignment="1">
      <alignment horizontal="center"/>
    </xf>
    <xf numFmtId="43" fontId="25" fillId="0" borderId="57" xfId="1" applyFont="1" applyBorder="1" applyAlignment="1">
      <alignment horizontal="center"/>
    </xf>
    <xf numFmtId="0" fontId="24" fillId="0" borderId="33" xfId="0" applyFont="1" applyBorder="1"/>
    <xf numFmtId="4" fontId="18" fillId="0" borderId="0" xfId="0" applyNumberFormat="1" applyFont="1" applyBorder="1"/>
    <xf numFmtId="4" fontId="18" fillId="0" borderId="20" xfId="0" applyNumberFormat="1" applyFont="1" applyBorder="1"/>
    <xf numFmtId="43" fontId="18" fillId="0" borderId="0" xfId="0" applyNumberFormat="1" applyFont="1" applyBorder="1"/>
    <xf numFmtId="43" fontId="18" fillId="0" borderId="22" xfId="0" applyNumberFormat="1" applyFont="1" applyBorder="1"/>
    <xf numFmtId="0" fontId="24" fillId="0" borderId="34" xfId="0" applyFont="1" applyBorder="1"/>
    <xf numFmtId="0" fontId="18" fillId="0" borderId="24" xfId="0" applyFont="1" applyBorder="1"/>
    <xf numFmtId="43" fontId="18" fillId="0" borderId="24" xfId="0" applyNumberFormat="1" applyFont="1" applyBorder="1"/>
    <xf numFmtId="43" fontId="18" fillId="0" borderId="25" xfId="0" applyNumberFormat="1" applyFont="1" applyBorder="1"/>
    <xf numFmtId="0" fontId="18" fillId="0" borderId="19" xfId="0" applyFont="1" applyBorder="1"/>
    <xf numFmtId="9" fontId="18" fillId="0" borderId="22" xfId="0" applyNumberFormat="1" applyFont="1" applyBorder="1"/>
    <xf numFmtId="9" fontId="18" fillId="0" borderId="25" xfId="0" applyNumberFormat="1" applyFont="1" applyBorder="1"/>
    <xf numFmtId="0" fontId="18" fillId="0" borderId="27" xfId="0" applyFont="1" applyBorder="1"/>
    <xf numFmtId="0" fontId="24" fillId="0" borderId="47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24" fillId="0" borderId="29" xfId="0" applyFont="1" applyBorder="1"/>
    <xf numFmtId="43" fontId="18" fillId="0" borderId="29" xfId="0" applyNumberFormat="1" applyFont="1" applyBorder="1"/>
    <xf numFmtId="2" fontId="18" fillId="0" borderId="22" xfId="0" applyNumberFormat="1" applyFont="1" applyBorder="1"/>
    <xf numFmtId="0" fontId="24" fillId="0" borderId="47" xfId="0" applyFont="1" applyBorder="1"/>
    <xf numFmtId="43" fontId="26" fillId="0" borderId="47" xfId="0" applyNumberFormat="1" applyFont="1" applyBorder="1"/>
    <xf numFmtId="0" fontId="18" fillId="0" borderId="28" xfId="0" applyFont="1" applyBorder="1"/>
    <xf numFmtId="0" fontId="2" fillId="0" borderId="67" xfId="0" applyFon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2" fillId="0" borderId="68" xfId="0" applyFon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64" fontId="2" fillId="0" borderId="22" xfId="1" applyNumberFormat="1" applyFont="1" applyBorder="1" applyAlignment="1">
      <alignment horizontal="center"/>
    </xf>
    <xf numFmtId="164" fontId="2" fillId="0" borderId="25" xfId="1" applyNumberFormat="1" applyFont="1" applyBorder="1" applyAlignment="1">
      <alignment horizontal="center"/>
    </xf>
    <xf numFmtId="0" fontId="2" fillId="0" borderId="69" xfId="0" applyFont="1" applyBorder="1" applyAlignment="1">
      <alignment horizontal="center"/>
    </xf>
    <xf numFmtId="43" fontId="2" fillId="0" borderId="47" xfId="1" applyFont="1" applyBorder="1"/>
    <xf numFmtId="2" fontId="0" fillId="0" borderId="4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28" xfId="0" applyFont="1" applyBorder="1" applyAlignment="1">
      <alignment horizontal="center"/>
    </xf>
    <xf numFmtId="43" fontId="21" fillId="0" borderId="26" xfId="1" applyFont="1" applyBorder="1" applyAlignment="1"/>
    <xf numFmtId="43" fontId="21" fillId="0" borderId="28" xfId="1" applyFont="1" applyBorder="1" applyAlignment="1"/>
    <xf numFmtId="43" fontId="21" fillId="0" borderId="26" xfId="1" applyFont="1" applyBorder="1" applyAlignment="1">
      <alignment horizontal="center"/>
    </xf>
    <xf numFmtId="43" fontId="21" fillId="0" borderId="28" xfId="1" applyFont="1" applyBorder="1" applyAlignment="1">
      <alignment horizontal="center"/>
    </xf>
    <xf numFmtId="43" fontId="21" fillId="0" borderId="27" xfId="1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24" fillId="0" borderId="47" xfId="0" applyFont="1" applyBorder="1" applyAlignment="1">
      <alignment horizontal="center"/>
    </xf>
    <xf numFmtId="0" fontId="24" fillId="0" borderId="4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4</xdr:col>
      <xdr:colOff>647700</xdr:colOff>
      <xdr:row>2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7A5BD9-668A-4604-ACC1-E54B07E780DA}"/>
            </a:ext>
          </a:extLst>
        </xdr:cNvPr>
        <xdr:cNvSpPr txBox="1"/>
      </xdr:nvSpPr>
      <xdr:spPr>
        <a:xfrm>
          <a:off x="1670050" y="4419600"/>
          <a:ext cx="3111500" cy="2889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Net Present Value</a:t>
          </a:r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4</xdr:col>
      <xdr:colOff>1504950</xdr:colOff>
      <xdr:row>17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E97255E-FA2F-4EFA-AE36-D7310D35B16B}"/>
            </a:ext>
          </a:extLst>
        </xdr:cNvPr>
        <xdr:cNvSpPr txBox="1"/>
      </xdr:nvSpPr>
      <xdr:spPr>
        <a:xfrm>
          <a:off x="1670050" y="11601450"/>
          <a:ext cx="3968750" cy="2889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Profitability Index</a:t>
          </a:r>
        </a:p>
      </xdr:txBody>
    </xdr:sp>
    <xdr:clientData/>
  </xdr:twoCellAnchor>
  <xdr:twoCellAnchor>
    <xdr:from>
      <xdr:col>1</xdr:col>
      <xdr:colOff>847725</xdr:colOff>
      <xdr:row>19</xdr:row>
      <xdr:rowOff>28575</xdr:rowOff>
    </xdr:from>
    <xdr:to>
      <xdr:col>5</xdr:col>
      <xdr:colOff>400050</xdr:colOff>
      <xdr:row>22</xdr:row>
      <xdr:rowOff>95250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8853CF3-6090-49B9-B47C-AC5974C957BA}"/>
                </a:ext>
              </a:extLst>
            </xdr:cNvPr>
            <xdr:cNvSpPr txBox="1"/>
          </xdr:nvSpPr>
          <xdr:spPr>
            <a:xfrm>
              <a:off x="1457325" y="12182475"/>
              <a:ext cx="5070475" cy="619125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/>
                <a:t>Profitability Index  = 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4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b="1" i="1">
                          <a:latin typeface="Cambria Math" panose="02040503050406030204" pitchFamily="18" charset="0"/>
                        </a:rPr>
                        <m:t>  </m:t>
                      </m:r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𝑺𝒖𝒎</m:t>
                      </m:r>
                      <m:r>
                        <a:rPr lang="en-US" sz="1400" b="1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𝒐𝒇</m:t>
                      </m:r>
                      <m:r>
                        <a:rPr lang="en-US" sz="1400" b="1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𝑷𝑽</m:t>
                      </m:r>
                      <m:r>
                        <a:rPr lang="en-US" sz="1400" b="1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𝒐𝒇</m:t>
                      </m:r>
                      <m:r>
                        <a:rPr lang="en-US" sz="1400" b="1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𝑭𝒖𝒕𝒖𝒓𝒆</m:t>
                      </m:r>
                      <m:r>
                        <a:rPr lang="en-US" sz="1400" b="1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𝑵𝒆𝒕</m:t>
                      </m:r>
                      <m:r>
                        <a:rPr lang="en-US" sz="1400" b="1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𝑪𝒂𝒔𝒉𝒇𝒍𝒐𝒘</m:t>
                      </m:r>
                    </m:num>
                    <m:den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𝑰𝒏𝒊𝒕𝒊𝒂𝒍</m:t>
                      </m:r>
                      <m:r>
                        <a:rPr lang="en-US" sz="1400" b="1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𝑪𝒂𝒔𝒉𝒐𝒖𝒕𝒇𝒍𝒐𝒘</m:t>
                      </m:r>
                    </m:den>
                  </m:f>
                </m:oMath>
              </a14:m>
              <a:endParaRPr lang="en-US" sz="14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8853CF3-6090-49B9-B47C-AC5974C957BA}"/>
                </a:ext>
              </a:extLst>
            </xdr:cNvPr>
            <xdr:cNvSpPr txBox="1"/>
          </xdr:nvSpPr>
          <xdr:spPr>
            <a:xfrm>
              <a:off x="1457325" y="12182475"/>
              <a:ext cx="5070475" cy="619125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/>
                <a:t>Profitability Index  =  </a:t>
              </a:r>
              <a:r>
                <a:rPr lang="en-US" sz="1400" b="1" i="0">
                  <a:latin typeface="Cambria Math" panose="02040503050406030204" pitchFamily="18" charset="0"/>
                </a:rPr>
                <a:t>(  𝑺𝒖𝒎 𝒐𝒇 𝑷𝑽 𝒐𝒇 𝑭𝒖𝒕𝒖𝒓𝒆 𝑵𝒆𝒕 𝑪𝒂𝒔𝒉𝒇𝒍𝒐𝒘)/(𝑰𝒏𝒊𝒕𝒊𝒂𝒍 𝑪𝒂𝒔𝒉𝒐𝒖𝒕𝒇𝒍𝒐𝒘)</a:t>
              </a:r>
              <a:endParaRPr lang="en-US" sz="1400" b="1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F9A81-D1F4-4F13-A375-2093DFCA2578}">
  <dimension ref="B2:F27"/>
  <sheetViews>
    <sheetView showGridLines="0" zoomScale="86" zoomScaleNormal="86" workbookViewId="0">
      <selection activeCell="L10" sqref="L10"/>
    </sheetView>
  </sheetViews>
  <sheetFormatPr defaultRowHeight="14.5" x14ac:dyDescent="0.35"/>
  <cols>
    <col min="2" max="2" width="20.36328125" bestFit="1" customWidth="1"/>
    <col min="3" max="3" width="36.54296875" bestFit="1" customWidth="1"/>
    <col min="4" max="4" width="10.7265625" bestFit="1" customWidth="1"/>
    <col min="5" max="5" width="11.7265625" bestFit="1" customWidth="1"/>
    <col min="6" max="6" width="23.36328125" bestFit="1" customWidth="1"/>
  </cols>
  <sheetData>
    <row r="2" spans="2:6" ht="15" thickBot="1" x14ac:dyDescent="0.4"/>
    <row r="3" spans="2:6" ht="15" thickBot="1" x14ac:dyDescent="0.4">
      <c r="B3" s="365" t="s">
        <v>247</v>
      </c>
      <c r="C3" s="366"/>
      <c r="D3" s="366"/>
      <c r="E3" s="366"/>
      <c r="F3" s="367"/>
    </row>
    <row r="4" spans="2:6" ht="15" thickBot="1" x14ac:dyDescent="0.4">
      <c r="B4" s="95" t="s">
        <v>248</v>
      </c>
      <c r="C4" s="144" t="s">
        <v>282</v>
      </c>
      <c r="D4" s="144" t="s">
        <v>249</v>
      </c>
      <c r="E4" s="144" t="s">
        <v>250</v>
      </c>
      <c r="F4" s="144" t="s">
        <v>251</v>
      </c>
    </row>
    <row r="5" spans="2:6" x14ac:dyDescent="0.35">
      <c r="B5" s="71" t="s">
        <v>252</v>
      </c>
      <c r="C5" s="67">
        <v>2.7</v>
      </c>
      <c r="D5" s="67">
        <f>C5^2</f>
        <v>7.2900000000000009</v>
      </c>
      <c r="E5" s="67">
        <v>0.25</v>
      </c>
      <c r="F5" s="362">
        <f>D5*E5</f>
        <v>1.8225000000000002</v>
      </c>
    </row>
    <row r="6" spans="2:6" x14ac:dyDescent="0.35">
      <c r="B6" s="71" t="s">
        <v>253</v>
      </c>
      <c r="C6" s="67">
        <v>3.5</v>
      </c>
      <c r="D6" s="67">
        <f t="shared" ref="D6:D10" si="0">C6^2</f>
        <v>12.25</v>
      </c>
      <c r="E6" s="67">
        <v>0.25</v>
      </c>
      <c r="F6" s="363">
        <f t="shared" ref="F6:F10" si="1">D6*E6</f>
        <v>3.0625</v>
      </c>
    </row>
    <row r="7" spans="2:6" x14ac:dyDescent="0.35">
      <c r="B7" s="71" t="s">
        <v>254</v>
      </c>
      <c r="C7" s="67">
        <v>1.5</v>
      </c>
      <c r="D7" s="67">
        <f t="shared" si="0"/>
        <v>2.25</v>
      </c>
      <c r="E7" s="67">
        <v>0.15</v>
      </c>
      <c r="F7" s="363">
        <f t="shared" si="1"/>
        <v>0.33749999999999997</v>
      </c>
    </row>
    <row r="8" spans="2:6" x14ac:dyDescent="0.35">
      <c r="B8" s="71" t="s">
        <v>255</v>
      </c>
      <c r="C8" s="67">
        <v>1.7</v>
      </c>
      <c r="D8" s="67">
        <f t="shared" si="0"/>
        <v>2.8899999999999997</v>
      </c>
      <c r="E8" s="67">
        <v>0.15</v>
      </c>
      <c r="F8" s="363">
        <f t="shared" si="1"/>
        <v>0.43349999999999994</v>
      </c>
    </row>
    <row r="9" spans="2:6" x14ac:dyDescent="0.35">
      <c r="B9" s="71" t="s">
        <v>256</v>
      </c>
      <c r="C9" s="67">
        <v>3</v>
      </c>
      <c r="D9" s="67">
        <f t="shared" si="0"/>
        <v>9</v>
      </c>
      <c r="E9" s="67">
        <v>0.1</v>
      </c>
      <c r="F9" s="363">
        <f t="shared" si="1"/>
        <v>0.9</v>
      </c>
    </row>
    <row r="10" spans="2:6" ht="15" thickBot="1" x14ac:dyDescent="0.4">
      <c r="B10" s="72" t="s">
        <v>257</v>
      </c>
      <c r="C10" s="115">
        <v>2</v>
      </c>
      <c r="D10" s="72">
        <f t="shared" si="0"/>
        <v>4</v>
      </c>
      <c r="E10" s="115">
        <v>0.1</v>
      </c>
      <c r="F10" s="364">
        <f t="shared" si="1"/>
        <v>0.4</v>
      </c>
    </row>
    <row r="11" spans="2:6" ht="15" thickBot="1" x14ac:dyDescent="0.4">
      <c r="B11" s="84"/>
      <c r="C11" s="20"/>
      <c r="D11" s="20"/>
      <c r="E11" s="20"/>
      <c r="F11" s="67"/>
    </row>
    <row r="12" spans="2:6" x14ac:dyDescent="0.35">
      <c r="B12" s="141" t="s">
        <v>258</v>
      </c>
      <c r="C12" s="66"/>
      <c r="D12" s="66"/>
      <c r="E12" s="66"/>
      <c r="F12" s="362">
        <f>SUM(F5:F10)</f>
        <v>6.9560000000000004</v>
      </c>
    </row>
    <row r="13" spans="2:6" x14ac:dyDescent="0.35">
      <c r="B13" s="23" t="s">
        <v>259</v>
      </c>
      <c r="C13" s="20"/>
      <c r="D13" s="20"/>
      <c r="E13" s="20"/>
      <c r="F13" s="363">
        <f>SQRT(F12)</f>
        <v>2.6374229846575616</v>
      </c>
    </row>
    <row r="14" spans="2:6" ht="15" thickBot="1" x14ac:dyDescent="0.4">
      <c r="B14" s="242" t="s">
        <v>260</v>
      </c>
      <c r="C14" s="185"/>
      <c r="D14" s="185"/>
      <c r="E14" s="185"/>
      <c r="F14" s="243" t="s">
        <v>283</v>
      </c>
    </row>
    <row r="15" spans="2:6" ht="15" thickBot="1" x14ac:dyDescent="0.4">
      <c r="B15" s="84"/>
      <c r="C15" s="20"/>
      <c r="D15" s="20"/>
      <c r="E15" s="20"/>
      <c r="F15" s="67"/>
    </row>
    <row r="16" spans="2:6" ht="15" thickBot="1" x14ac:dyDescent="0.4">
      <c r="B16" s="365" t="s">
        <v>261</v>
      </c>
      <c r="C16" s="367"/>
      <c r="D16" s="20"/>
      <c r="E16" s="20"/>
      <c r="F16" s="67"/>
    </row>
    <row r="17" spans="2:6" ht="15" thickBot="1" x14ac:dyDescent="0.4">
      <c r="B17" s="89" t="s">
        <v>262</v>
      </c>
      <c r="C17" s="83" t="s">
        <v>263</v>
      </c>
      <c r="D17" s="20"/>
      <c r="E17" s="20"/>
      <c r="F17" s="67"/>
    </row>
    <row r="18" spans="2:6" x14ac:dyDescent="0.35">
      <c r="B18" s="71" t="s">
        <v>264</v>
      </c>
      <c r="C18" s="67" t="s">
        <v>281</v>
      </c>
      <c r="D18" s="20"/>
      <c r="E18" s="20"/>
      <c r="F18" s="67"/>
    </row>
    <row r="19" spans="2:6" x14ac:dyDescent="0.35">
      <c r="B19" s="71" t="s">
        <v>265</v>
      </c>
      <c r="C19" s="67" t="s">
        <v>280</v>
      </c>
      <c r="D19" s="20"/>
      <c r="E19" s="20"/>
      <c r="F19" s="67"/>
    </row>
    <row r="20" spans="2:6" x14ac:dyDescent="0.35">
      <c r="B20" s="71" t="s">
        <v>266</v>
      </c>
      <c r="C20" s="67" t="s">
        <v>279</v>
      </c>
      <c r="D20" s="20"/>
      <c r="E20" s="20"/>
      <c r="F20" s="67"/>
    </row>
    <row r="21" spans="2:6" x14ac:dyDescent="0.35">
      <c r="B21" s="71" t="s">
        <v>267</v>
      </c>
      <c r="C21" s="67" t="s">
        <v>278</v>
      </c>
      <c r="D21" s="20"/>
      <c r="E21" s="20"/>
      <c r="F21" s="67"/>
    </row>
    <row r="22" spans="2:6" x14ac:dyDescent="0.35">
      <c r="B22" s="71" t="s">
        <v>268</v>
      </c>
      <c r="C22" s="67" t="s">
        <v>277</v>
      </c>
      <c r="D22" s="20"/>
      <c r="E22" s="20"/>
      <c r="F22" s="67"/>
    </row>
    <row r="23" spans="2:6" x14ac:dyDescent="0.35">
      <c r="B23" s="71" t="s">
        <v>269</v>
      </c>
      <c r="C23" s="67" t="s">
        <v>276</v>
      </c>
      <c r="D23" s="20"/>
      <c r="E23" s="20"/>
      <c r="F23" s="67"/>
    </row>
    <row r="24" spans="2:6" x14ac:dyDescent="0.35">
      <c r="B24" s="71" t="s">
        <v>270</v>
      </c>
      <c r="C24" s="67" t="s">
        <v>275</v>
      </c>
      <c r="D24" s="20"/>
      <c r="E24" s="20"/>
      <c r="F24" s="67"/>
    </row>
    <row r="25" spans="2:6" x14ac:dyDescent="0.35">
      <c r="B25" s="71" t="s">
        <v>271</v>
      </c>
      <c r="C25" s="67" t="s">
        <v>274</v>
      </c>
      <c r="D25" s="20"/>
      <c r="E25" s="20"/>
      <c r="F25" s="67"/>
    </row>
    <row r="26" spans="2:6" ht="15" thickBot="1" x14ac:dyDescent="0.4">
      <c r="B26" s="72" t="s">
        <v>272</v>
      </c>
      <c r="C26" s="115" t="s">
        <v>273</v>
      </c>
      <c r="D26" s="20"/>
      <c r="E26" s="20"/>
      <c r="F26" s="67"/>
    </row>
    <row r="27" spans="2:6" ht="15" thickBot="1" x14ac:dyDescent="0.4">
      <c r="B27" s="90"/>
      <c r="C27" s="25"/>
      <c r="D27" s="25"/>
      <c r="E27" s="25"/>
      <c r="F27" s="115"/>
    </row>
  </sheetData>
  <mergeCells count="2">
    <mergeCell ref="B3:F3"/>
    <mergeCell ref="B16:C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8"/>
  <sheetViews>
    <sheetView showGridLines="0" zoomScaleNormal="100" workbookViewId="0">
      <selection activeCell="F13" sqref="F13"/>
    </sheetView>
  </sheetViews>
  <sheetFormatPr defaultRowHeight="14.5" x14ac:dyDescent="0.35"/>
  <cols>
    <col min="2" max="2" width="28.36328125" bestFit="1" customWidth="1"/>
    <col min="3" max="3" width="8.1796875" bestFit="1" customWidth="1"/>
    <col min="4" max="4" width="14.26953125" bestFit="1" customWidth="1"/>
    <col min="5" max="5" width="11.1796875" bestFit="1" customWidth="1"/>
    <col min="10" max="10" width="26.36328125" bestFit="1" customWidth="1"/>
    <col min="11" max="11" width="13.6328125" bestFit="1" customWidth="1"/>
    <col min="12" max="12" width="14.6328125" bestFit="1" customWidth="1"/>
  </cols>
  <sheetData>
    <row r="2" spans="2:12" ht="15" thickBot="1" x14ac:dyDescent="0.4">
      <c r="B2" s="384" t="s">
        <v>290</v>
      </c>
      <c r="C2" s="384"/>
      <c r="D2" s="384"/>
      <c r="E2" s="384"/>
    </row>
    <row r="3" spans="2:12" ht="15" thickBot="1" x14ac:dyDescent="0.4">
      <c r="B3" s="1" t="s">
        <v>14</v>
      </c>
      <c r="J3" s="365" t="s">
        <v>284</v>
      </c>
      <c r="K3" s="366"/>
      <c r="L3" s="367"/>
    </row>
    <row r="4" spans="2:12" ht="15" thickBot="1" x14ac:dyDescent="0.4">
      <c r="B4" s="365" t="s">
        <v>163</v>
      </c>
      <c r="C4" s="366"/>
      <c r="D4" s="366"/>
      <c r="E4" s="367"/>
      <c r="J4" s="95" t="s">
        <v>168</v>
      </c>
      <c r="K4" s="95" t="s">
        <v>39</v>
      </c>
      <c r="L4" s="95" t="s">
        <v>169</v>
      </c>
    </row>
    <row r="5" spans="2:12" x14ac:dyDescent="0.35">
      <c r="B5" s="65"/>
      <c r="C5" s="64"/>
      <c r="D5" s="64"/>
      <c r="E5" s="86"/>
      <c r="J5" s="70" t="s">
        <v>173</v>
      </c>
      <c r="K5" s="70"/>
      <c r="L5" s="70">
        <v>11.51</v>
      </c>
    </row>
    <row r="6" spans="2:12" x14ac:dyDescent="0.35">
      <c r="B6" s="87"/>
      <c r="C6" s="28"/>
      <c r="D6" s="28"/>
      <c r="E6" s="88"/>
      <c r="J6" s="71" t="s">
        <v>170</v>
      </c>
      <c r="K6" s="96">
        <v>10000000</v>
      </c>
      <c r="L6" s="96">
        <f>K6*$L$5</f>
        <v>115100000</v>
      </c>
    </row>
    <row r="7" spans="2:12" x14ac:dyDescent="0.35">
      <c r="B7" s="394" t="s">
        <v>5</v>
      </c>
      <c r="C7" s="393"/>
      <c r="D7" s="393"/>
      <c r="E7" s="395"/>
      <c r="J7" s="71" t="s">
        <v>201</v>
      </c>
      <c r="K7" s="96">
        <v>20000000</v>
      </c>
      <c r="L7" s="96">
        <f>K7*$L$5</f>
        <v>230200000</v>
      </c>
    </row>
    <row r="8" spans="2:12" x14ac:dyDescent="0.35">
      <c r="B8" s="44" t="s">
        <v>15</v>
      </c>
      <c r="C8" s="63" t="s">
        <v>2</v>
      </c>
      <c r="D8" s="63" t="s">
        <v>16</v>
      </c>
      <c r="E8" s="45" t="s">
        <v>17</v>
      </c>
      <c r="J8" s="71" t="s">
        <v>172</v>
      </c>
      <c r="K8" s="96">
        <f>E23</f>
        <v>4200000</v>
      </c>
      <c r="L8" s="96">
        <f t="shared" ref="L8:L11" si="0">K8*$L$5</f>
        <v>48342000</v>
      </c>
    </row>
    <row r="9" spans="2:12" x14ac:dyDescent="0.35">
      <c r="B9" s="105" t="s">
        <v>18</v>
      </c>
      <c r="C9" s="6">
        <v>15</v>
      </c>
      <c r="D9" s="7">
        <v>10000</v>
      </c>
      <c r="E9" s="106">
        <f>D9*C9</f>
        <v>150000</v>
      </c>
      <c r="J9" s="71" t="s">
        <v>5</v>
      </c>
      <c r="K9" s="96">
        <f>E14</f>
        <v>386000</v>
      </c>
      <c r="L9" s="96">
        <f t="shared" si="0"/>
        <v>4442860</v>
      </c>
    </row>
    <row r="10" spans="2:12" x14ac:dyDescent="0.35">
      <c r="B10" s="105" t="s">
        <v>19</v>
      </c>
      <c r="C10" s="6">
        <v>2</v>
      </c>
      <c r="D10" s="7">
        <v>7500</v>
      </c>
      <c r="E10" s="106">
        <f>D10*C10</f>
        <v>15000</v>
      </c>
      <c r="J10" s="71" t="s">
        <v>4</v>
      </c>
      <c r="K10" s="96">
        <f>E41</f>
        <v>170000</v>
      </c>
      <c r="L10" s="96">
        <f t="shared" si="0"/>
        <v>1956700</v>
      </c>
    </row>
    <row r="11" spans="2:12" ht="15" thickBot="1" x14ac:dyDescent="0.4">
      <c r="B11" s="105" t="s">
        <v>162</v>
      </c>
      <c r="C11" s="6">
        <v>2</v>
      </c>
      <c r="D11" s="7">
        <v>100000</v>
      </c>
      <c r="E11" s="106">
        <f>D11*C11</f>
        <v>200000</v>
      </c>
      <c r="J11" s="72" t="s">
        <v>171</v>
      </c>
      <c r="K11" s="120">
        <f>E35</f>
        <v>72000</v>
      </c>
      <c r="L11" s="96">
        <f t="shared" si="0"/>
        <v>828720</v>
      </c>
    </row>
    <row r="12" spans="2:12" ht="15" thickBot="1" x14ac:dyDescent="0.4">
      <c r="B12" s="105" t="s">
        <v>20</v>
      </c>
      <c r="C12" s="6">
        <v>2</v>
      </c>
      <c r="D12" s="7">
        <v>10000</v>
      </c>
      <c r="E12" s="106">
        <f>D12*C12</f>
        <v>20000</v>
      </c>
      <c r="J12" s="119" t="s">
        <v>6</v>
      </c>
      <c r="K12" s="98">
        <f>SUM(K6:K11)</f>
        <v>34828000</v>
      </c>
      <c r="L12" s="98">
        <f>SUM(L6:L11)</f>
        <v>400870280</v>
      </c>
    </row>
    <row r="13" spans="2:12" x14ac:dyDescent="0.35">
      <c r="B13" s="105" t="s">
        <v>21</v>
      </c>
      <c r="C13" s="6">
        <v>10</v>
      </c>
      <c r="D13" s="7">
        <v>100</v>
      </c>
      <c r="E13" s="106">
        <f>D13*C13</f>
        <v>1000</v>
      </c>
    </row>
    <row r="14" spans="2:12" ht="16.5" thickBot="1" x14ac:dyDescent="0.55000000000000004">
      <c r="B14" s="107" t="s">
        <v>6</v>
      </c>
      <c r="C14" s="7"/>
      <c r="D14" s="7"/>
      <c r="E14" s="108">
        <f>SUM(E9:E13)</f>
        <v>386000</v>
      </c>
      <c r="J14" t="s">
        <v>175</v>
      </c>
    </row>
    <row r="15" spans="2:12" ht="15" thickBot="1" x14ac:dyDescent="0.4">
      <c r="B15" s="84"/>
      <c r="C15" s="20"/>
      <c r="D15" s="20"/>
      <c r="E15" s="67"/>
      <c r="J15" s="95" t="s">
        <v>168</v>
      </c>
      <c r="K15" s="95" t="s">
        <v>39</v>
      </c>
      <c r="L15" s="95" t="s">
        <v>169</v>
      </c>
    </row>
    <row r="16" spans="2:12" x14ac:dyDescent="0.35">
      <c r="B16" s="84"/>
      <c r="C16" s="20"/>
      <c r="D16" s="20"/>
      <c r="E16" s="67"/>
      <c r="J16" s="70" t="s">
        <v>173</v>
      </c>
      <c r="K16" s="70"/>
      <c r="L16" s="70">
        <v>11.51</v>
      </c>
    </row>
    <row r="17" spans="2:12" x14ac:dyDescent="0.35">
      <c r="B17" s="394" t="s">
        <v>172</v>
      </c>
      <c r="C17" s="393"/>
      <c r="D17" s="393"/>
      <c r="E17" s="395"/>
      <c r="J17" s="71" t="s">
        <v>170</v>
      </c>
      <c r="K17" s="96">
        <v>7500000</v>
      </c>
      <c r="L17" s="96">
        <f>K17*$L$5</f>
        <v>86325000</v>
      </c>
    </row>
    <row r="18" spans="2:12" x14ac:dyDescent="0.35">
      <c r="B18" s="44" t="s">
        <v>15</v>
      </c>
      <c r="C18" s="63" t="s">
        <v>2</v>
      </c>
      <c r="D18" s="63" t="s">
        <v>16</v>
      </c>
      <c r="E18" s="45" t="s">
        <v>17</v>
      </c>
      <c r="J18" s="71" t="s">
        <v>201</v>
      </c>
      <c r="K18" s="96">
        <v>25000000</v>
      </c>
      <c r="L18" s="96">
        <f>K18*$L$5</f>
        <v>287750000</v>
      </c>
    </row>
    <row r="19" spans="2:12" x14ac:dyDescent="0.35">
      <c r="B19" s="105" t="s">
        <v>164</v>
      </c>
      <c r="C19" s="6">
        <v>10</v>
      </c>
      <c r="D19" s="7">
        <v>60000</v>
      </c>
      <c r="E19" s="106">
        <f t="shared" ref="E19:E22" si="1">D19*C19</f>
        <v>600000</v>
      </c>
      <c r="J19" s="71" t="s">
        <v>172</v>
      </c>
      <c r="K19" s="96">
        <v>6000000</v>
      </c>
      <c r="L19" s="96">
        <f t="shared" ref="L19:L22" si="2">K19*$L$5</f>
        <v>69060000</v>
      </c>
    </row>
    <row r="20" spans="2:12" x14ac:dyDescent="0.35">
      <c r="B20" s="105" t="s">
        <v>165</v>
      </c>
      <c r="C20" s="10">
        <v>20</v>
      </c>
      <c r="D20" s="7">
        <v>100000</v>
      </c>
      <c r="E20" s="106">
        <f t="shared" si="1"/>
        <v>2000000</v>
      </c>
      <c r="J20" s="71" t="s">
        <v>5</v>
      </c>
      <c r="K20" s="96">
        <v>80000</v>
      </c>
      <c r="L20" s="96">
        <f t="shared" si="2"/>
        <v>920800</v>
      </c>
    </row>
    <row r="21" spans="2:12" x14ac:dyDescent="0.35">
      <c r="B21" s="105" t="s">
        <v>166</v>
      </c>
      <c r="C21" s="10">
        <v>10</v>
      </c>
      <c r="D21" s="7">
        <v>100000</v>
      </c>
      <c r="E21" s="106">
        <f t="shared" si="1"/>
        <v>1000000</v>
      </c>
      <c r="J21" s="71" t="s">
        <v>4</v>
      </c>
      <c r="K21" s="96">
        <v>100000</v>
      </c>
      <c r="L21" s="96">
        <f t="shared" si="2"/>
        <v>1151000</v>
      </c>
    </row>
    <row r="22" spans="2:12" ht="15" thickBot="1" x14ac:dyDescent="0.4">
      <c r="B22" s="105" t="s">
        <v>167</v>
      </c>
      <c r="C22" s="10">
        <v>5</v>
      </c>
      <c r="D22" s="7">
        <v>120000</v>
      </c>
      <c r="E22" s="106">
        <f t="shared" si="1"/>
        <v>600000</v>
      </c>
      <c r="J22" s="72" t="s">
        <v>171</v>
      </c>
      <c r="K22" s="120">
        <v>40000</v>
      </c>
      <c r="L22" s="120">
        <f t="shared" si="2"/>
        <v>460400</v>
      </c>
    </row>
    <row r="23" spans="2:12" ht="16.5" thickBot="1" x14ac:dyDescent="0.55000000000000004">
      <c r="B23" s="107" t="s">
        <v>6</v>
      </c>
      <c r="C23" s="7"/>
      <c r="D23" s="7"/>
      <c r="E23" s="108">
        <f>SUM(E19:E22)</f>
        <v>4200000</v>
      </c>
      <c r="J23" s="119" t="s">
        <v>6</v>
      </c>
      <c r="K23" s="122">
        <f>SUM(K17:K22)</f>
        <v>38720000</v>
      </c>
      <c r="L23" s="123">
        <f>SUM(L16:L22)</f>
        <v>445667211.50999999</v>
      </c>
    </row>
    <row r="24" spans="2:12" x14ac:dyDescent="0.35">
      <c r="B24" s="84"/>
      <c r="C24" s="20"/>
      <c r="D24" s="20"/>
      <c r="E24" s="67"/>
    </row>
    <row r="25" spans="2:12" x14ac:dyDescent="0.35">
      <c r="B25" s="84"/>
      <c r="C25" s="20"/>
      <c r="D25" s="20"/>
      <c r="E25" s="67"/>
    </row>
    <row r="26" spans="2:12" x14ac:dyDescent="0.35">
      <c r="B26" s="84"/>
      <c r="C26" s="20"/>
      <c r="D26" s="20"/>
      <c r="E26" s="67"/>
    </row>
    <row r="27" spans="2:12" x14ac:dyDescent="0.35">
      <c r="B27" s="396" t="s">
        <v>22</v>
      </c>
      <c r="C27" s="397"/>
      <c r="D27" s="397"/>
      <c r="E27" s="398"/>
    </row>
    <row r="28" spans="2:12" x14ac:dyDescent="0.35">
      <c r="B28" s="44" t="s">
        <v>15</v>
      </c>
      <c r="C28" s="63" t="s">
        <v>2</v>
      </c>
      <c r="D28" s="63" t="s">
        <v>16</v>
      </c>
      <c r="E28" s="45" t="s">
        <v>17</v>
      </c>
    </row>
    <row r="29" spans="2:12" x14ac:dyDescent="0.35">
      <c r="B29" s="105" t="s">
        <v>23</v>
      </c>
      <c r="C29" s="4">
        <v>10</v>
      </c>
      <c r="D29" s="5">
        <v>5000</v>
      </c>
      <c r="E29" s="109">
        <f t="shared" ref="E29:E34" si="3">D29*C29</f>
        <v>50000</v>
      </c>
    </row>
    <row r="30" spans="2:12" x14ac:dyDescent="0.35">
      <c r="B30" s="105" t="s">
        <v>24</v>
      </c>
      <c r="C30" s="4">
        <v>5</v>
      </c>
      <c r="D30" s="5">
        <v>500</v>
      </c>
      <c r="E30" s="109">
        <f t="shared" si="3"/>
        <v>2500</v>
      </c>
    </row>
    <row r="31" spans="2:12" x14ac:dyDescent="0.35">
      <c r="B31" s="105" t="s">
        <v>25</v>
      </c>
      <c r="C31" s="4">
        <v>5</v>
      </c>
      <c r="D31" s="5">
        <v>700</v>
      </c>
      <c r="E31" s="109">
        <f t="shared" si="3"/>
        <v>3500</v>
      </c>
    </row>
    <row r="32" spans="2:12" x14ac:dyDescent="0.35">
      <c r="B32" s="105" t="s">
        <v>26</v>
      </c>
      <c r="C32" s="4">
        <v>40</v>
      </c>
      <c r="D32" s="5">
        <v>100</v>
      </c>
      <c r="E32" s="109">
        <f t="shared" si="3"/>
        <v>4000</v>
      </c>
    </row>
    <row r="33" spans="2:5" x14ac:dyDescent="0.35">
      <c r="B33" s="105" t="s">
        <v>27</v>
      </c>
      <c r="C33" s="4">
        <v>40</v>
      </c>
      <c r="D33" s="5">
        <v>100</v>
      </c>
      <c r="E33" s="109">
        <f t="shared" si="3"/>
        <v>4000</v>
      </c>
    </row>
    <row r="34" spans="2:5" x14ac:dyDescent="0.35">
      <c r="B34" s="105" t="s">
        <v>28</v>
      </c>
      <c r="C34" s="4">
        <v>10</v>
      </c>
      <c r="D34" s="5">
        <v>800</v>
      </c>
      <c r="E34" s="109">
        <f t="shared" si="3"/>
        <v>8000</v>
      </c>
    </row>
    <row r="35" spans="2:5" x14ac:dyDescent="0.35">
      <c r="B35" s="107" t="s">
        <v>6</v>
      </c>
      <c r="C35" s="5"/>
      <c r="D35" s="5"/>
      <c r="E35" s="110">
        <f>SUM(E29:E34)</f>
        <v>72000</v>
      </c>
    </row>
    <row r="36" spans="2:5" x14ac:dyDescent="0.35">
      <c r="B36" s="84"/>
      <c r="C36" s="20"/>
      <c r="D36" s="20"/>
      <c r="E36" s="67"/>
    </row>
    <row r="37" spans="2:5" x14ac:dyDescent="0.35">
      <c r="B37" s="399" t="s">
        <v>29</v>
      </c>
      <c r="C37" s="400"/>
      <c r="D37" s="400"/>
      <c r="E37" s="401"/>
    </row>
    <row r="38" spans="2:5" x14ac:dyDescent="0.35">
      <c r="B38" s="44" t="s">
        <v>15</v>
      </c>
      <c r="C38" s="63" t="s">
        <v>2</v>
      </c>
      <c r="D38" s="63" t="s">
        <v>16</v>
      </c>
      <c r="E38" s="45" t="s">
        <v>17</v>
      </c>
    </row>
    <row r="39" spans="2:5" x14ac:dyDescent="0.35">
      <c r="B39" s="105" t="s">
        <v>30</v>
      </c>
      <c r="C39" s="6">
        <v>2</v>
      </c>
      <c r="D39" s="7">
        <v>40000</v>
      </c>
      <c r="E39" s="106">
        <f>D39*C39</f>
        <v>80000</v>
      </c>
    </row>
    <row r="40" spans="2:5" x14ac:dyDescent="0.35">
      <c r="B40" s="105" t="s">
        <v>31</v>
      </c>
      <c r="C40" s="6">
        <v>3</v>
      </c>
      <c r="D40" s="7">
        <v>30000</v>
      </c>
      <c r="E40" s="106">
        <f>D40*C40</f>
        <v>90000</v>
      </c>
    </row>
    <row r="41" spans="2:5" ht="16.5" thickBot="1" x14ac:dyDescent="0.55000000000000004">
      <c r="B41" s="111" t="s">
        <v>6</v>
      </c>
      <c r="C41" s="112"/>
      <c r="D41" s="113"/>
      <c r="E41" s="114">
        <f>SUM(E39:E40)</f>
        <v>170000</v>
      </c>
    </row>
    <row r="43" spans="2:5" x14ac:dyDescent="0.35">
      <c r="B43" s="393" t="s">
        <v>9</v>
      </c>
      <c r="C43" s="393"/>
      <c r="D43" s="393"/>
      <c r="E43" s="393"/>
    </row>
    <row r="44" spans="2:5" x14ac:dyDescent="0.35">
      <c r="B44" s="47" t="s">
        <v>15</v>
      </c>
      <c r="C44" s="47" t="s">
        <v>2</v>
      </c>
      <c r="D44" s="47" t="s">
        <v>16</v>
      </c>
      <c r="E44" s="47" t="s">
        <v>17</v>
      </c>
    </row>
    <row r="45" spans="2:5" x14ac:dyDescent="0.35">
      <c r="B45" s="5" t="s">
        <v>32</v>
      </c>
      <c r="C45" s="7">
        <v>0</v>
      </c>
      <c r="D45" s="11">
        <v>0</v>
      </c>
      <c r="E45" s="5">
        <v>2000</v>
      </c>
    </row>
    <row r="46" spans="2:5" x14ac:dyDescent="0.35">
      <c r="B46" s="5" t="s">
        <v>33</v>
      </c>
      <c r="C46" s="7">
        <v>0</v>
      </c>
      <c r="D46" s="11">
        <v>0</v>
      </c>
      <c r="E46" s="5">
        <v>4000</v>
      </c>
    </row>
    <row r="47" spans="2:5" x14ac:dyDescent="0.35">
      <c r="B47" s="5" t="s">
        <v>34</v>
      </c>
      <c r="C47" s="7">
        <v>2</v>
      </c>
      <c r="D47" s="5">
        <v>500</v>
      </c>
      <c r="E47" s="12">
        <v>10000</v>
      </c>
    </row>
    <row r="48" spans="2:5" x14ac:dyDescent="0.35">
      <c r="B48" s="8" t="s">
        <v>6</v>
      </c>
      <c r="C48" s="5"/>
      <c r="D48" s="5"/>
      <c r="E48" s="9">
        <f>SUM(E45:E47)</f>
        <v>16000</v>
      </c>
    </row>
  </sheetData>
  <mergeCells count="8">
    <mergeCell ref="J3:L3"/>
    <mergeCell ref="B43:E43"/>
    <mergeCell ref="B2:E2"/>
    <mergeCell ref="B7:E7"/>
    <mergeCell ref="B17:E17"/>
    <mergeCell ref="B27:E27"/>
    <mergeCell ref="B37:E37"/>
    <mergeCell ref="B4:E4"/>
  </mergeCells>
  <pageMargins left="0.7" right="0.7" top="0.75" bottom="0.75" header="0.3" footer="0.3"/>
  <pageSetup orientation="portrait" horizontalDpi="200" verticalDpi="20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C4DF-6436-4914-9C66-92DCA3C79E55}">
  <dimension ref="B2:O45"/>
  <sheetViews>
    <sheetView showGridLines="0" zoomScale="66" zoomScaleNormal="66" workbookViewId="0">
      <selection activeCell="P18" sqref="P18"/>
    </sheetView>
  </sheetViews>
  <sheetFormatPr defaultRowHeight="14.5" x14ac:dyDescent="0.35"/>
  <cols>
    <col min="2" max="2" width="15.1796875" style="1" customWidth="1"/>
    <col min="3" max="3" width="18.54296875" customWidth="1"/>
    <col min="4" max="4" width="16.6328125" bestFit="1" customWidth="1"/>
    <col min="5" max="5" width="18.1796875" customWidth="1"/>
    <col min="6" max="7" width="11.36328125" bestFit="1" customWidth="1"/>
    <col min="8" max="8" width="19.36328125" bestFit="1" customWidth="1"/>
    <col min="9" max="9" width="11.36328125" bestFit="1" customWidth="1"/>
    <col min="10" max="10" width="7.90625" bestFit="1" customWidth="1"/>
    <col min="11" max="11" width="12.81640625" customWidth="1"/>
    <col min="12" max="12" width="11.7265625" customWidth="1"/>
    <col min="13" max="13" width="12.81640625" customWidth="1"/>
    <col min="14" max="14" width="11.54296875" customWidth="1"/>
    <col min="15" max="15" width="14.81640625" customWidth="1"/>
  </cols>
  <sheetData>
    <row r="2" spans="2:15" x14ac:dyDescent="0.35">
      <c r="D2" s="402" t="s">
        <v>48</v>
      </c>
      <c r="E2" s="403"/>
      <c r="F2" s="404"/>
      <c r="G2" s="404"/>
      <c r="H2" s="403"/>
      <c r="I2" s="405"/>
    </row>
    <row r="3" spans="2:15" ht="43.5" customHeight="1" x14ac:dyDescent="0.35">
      <c r="D3" s="13" t="s">
        <v>49</v>
      </c>
      <c r="E3" s="28">
        <v>100</v>
      </c>
      <c r="F3" s="21" t="s">
        <v>50</v>
      </c>
      <c r="G3" s="31"/>
      <c r="H3" s="29"/>
      <c r="I3" s="15"/>
    </row>
    <row r="4" spans="2:15" ht="39" customHeight="1" x14ac:dyDescent="0.35">
      <c r="D4" s="13" t="s">
        <v>51</v>
      </c>
      <c r="E4" s="32">
        <v>0.2</v>
      </c>
      <c r="F4" s="37" t="s">
        <v>52</v>
      </c>
      <c r="G4" s="35"/>
      <c r="H4" s="29"/>
      <c r="I4" s="14"/>
    </row>
    <row r="5" spans="2:15" ht="53.5" customHeight="1" x14ac:dyDescent="0.35">
      <c r="D5" s="13" t="s">
        <v>53</v>
      </c>
      <c r="E5" s="32">
        <v>0.2</v>
      </c>
      <c r="F5" s="38" t="s">
        <v>54</v>
      </c>
      <c r="G5" s="35"/>
      <c r="H5" s="29"/>
      <c r="I5" s="14"/>
    </row>
    <row r="6" spans="2:15" ht="48" customHeight="1" x14ac:dyDescent="0.35">
      <c r="D6" s="13" t="s">
        <v>55</v>
      </c>
      <c r="E6" s="33" t="s">
        <v>56</v>
      </c>
      <c r="F6" s="37"/>
      <c r="G6" s="35"/>
      <c r="H6" s="29"/>
      <c r="I6" s="14"/>
    </row>
    <row r="7" spans="2:15" ht="60.65" customHeight="1" x14ac:dyDescent="0.35">
      <c r="D7" s="16" t="s">
        <v>57</v>
      </c>
      <c r="E7" s="34" t="s">
        <v>58</v>
      </c>
      <c r="F7" s="46"/>
      <c r="G7" s="36"/>
      <c r="H7" s="30"/>
      <c r="I7" s="17"/>
    </row>
    <row r="8" spans="2:15" x14ac:dyDescent="0.35">
      <c r="L8" s="39"/>
    </row>
    <row r="10" spans="2:15" ht="15" thickBot="1" x14ac:dyDescent="0.4"/>
    <row r="11" spans="2:15" s="1" customFormat="1" x14ac:dyDescent="0.35">
      <c r="B11" s="360" t="s">
        <v>59</v>
      </c>
      <c r="C11" s="360"/>
      <c r="D11" s="352" t="s">
        <v>60</v>
      </c>
      <c r="E11" s="355" t="s">
        <v>61</v>
      </c>
      <c r="F11" s="355" t="s">
        <v>62</v>
      </c>
      <c r="G11" s="355" t="s">
        <v>63</v>
      </c>
      <c r="H11" s="355" t="s">
        <v>64</v>
      </c>
      <c r="I11" s="355" t="s">
        <v>65</v>
      </c>
      <c r="J11" s="355" t="s">
        <v>66</v>
      </c>
      <c r="K11" s="355" t="s">
        <v>67</v>
      </c>
      <c r="L11" s="355" t="s">
        <v>68</v>
      </c>
      <c r="M11" s="355" t="s">
        <v>69</v>
      </c>
      <c r="N11" s="355" t="s">
        <v>70</v>
      </c>
      <c r="O11" s="355" t="s">
        <v>71</v>
      </c>
    </row>
    <row r="12" spans="2:15" x14ac:dyDescent="0.35">
      <c r="B12" s="23">
        <v>2021</v>
      </c>
      <c r="C12" s="84" t="s">
        <v>72</v>
      </c>
      <c r="D12" s="353">
        <v>0</v>
      </c>
      <c r="E12" s="356">
        <f t="shared" ref="E12:N12" si="0">D15</f>
        <v>60</v>
      </c>
      <c r="F12" s="356">
        <f t="shared" si="0"/>
        <v>72</v>
      </c>
      <c r="G12" s="356">
        <f>F15</f>
        <v>86.4</v>
      </c>
      <c r="H12" s="356">
        <f t="shared" si="0"/>
        <v>103.68</v>
      </c>
      <c r="I12" s="356">
        <f t="shared" si="0"/>
        <v>124.416</v>
      </c>
      <c r="J12" s="356">
        <f t="shared" si="0"/>
        <v>149.29919999999998</v>
      </c>
      <c r="K12" s="356">
        <f t="shared" si="0"/>
        <v>179.15903999999998</v>
      </c>
      <c r="L12" s="356">
        <f t="shared" si="0"/>
        <v>214.99084799999997</v>
      </c>
      <c r="M12" s="356">
        <f t="shared" si="0"/>
        <v>257.98901759999995</v>
      </c>
      <c r="N12" s="356">
        <f t="shared" si="0"/>
        <v>309.58682111999997</v>
      </c>
      <c r="O12" s="358">
        <f>SUM(G12:N12)</f>
        <v>1425.5209267199998</v>
      </c>
    </row>
    <row r="13" spans="2:15" x14ac:dyDescent="0.35">
      <c r="B13" s="23"/>
      <c r="C13" s="84" t="s">
        <v>49</v>
      </c>
      <c r="D13" s="353">
        <v>300</v>
      </c>
      <c r="E13" s="356">
        <f t="shared" ref="E13:N13" si="1">(1+$E$4)*D13</f>
        <v>360</v>
      </c>
      <c r="F13" s="356">
        <f t="shared" si="1"/>
        <v>432</v>
      </c>
      <c r="G13" s="356">
        <f t="shared" si="1"/>
        <v>518.4</v>
      </c>
      <c r="H13" s="356">
        <f t="shared" si="1"/>
        <v>622.07999999999993</v>
      </c>
      <c r="I13" s="356">
        <f t="shared" si="1"/>
        <v>746.49599999999987</v>
      </c>
      <c r="J13" s="356">
        <f t="shared" si="1"/>
        <v>895.7951999999998</v>
      </c>
      <c r="K13" s="356">
        <f t="shared" si="1"/>
        <v>1074.9542399999998</v>
      </c>
      <c r="L13" s="356">
        <f t="shared" si="1"/>
        <v>1289.9450879999997</v>
      </c>
      <c r="M13" s="356">
        <f t="shared" si="1"/>
        <v>1547.9341055999996</v>
      </c>
      <c r="N13" s="356">
        <f t="shared" si="1"/>
        <v>1857.5209267199994</v>
      </c>
      <c r="O13" s="358">
        <f t="shared" ref="O13:O15" si="2">SUM(G13:N13)</f>
        <v>8553.125560319997</v>
      </c>
    </row>
    <row r="14" spans="2:15" x14ac:dyDescent="0.35">
      <c r="B14" s="23"/>
      <c r="C14" s="84" t="s">
        <v>73</v>
      </c>
      <c r="D14" s="353">
        <f t="shared" ref="D14:E14" si="3">D12+D13-D15</f>
        <v>240</v>
      </c>
      <c r="E14" s="356">
        <f t="shared" si="3"/>
        <v>348</v>
      </c>
      <c r="F14" s="356">
        <f>F12+F13-F15</f>
        <v>417.6</v>
      </c>
      <c r="G14" s="356">
        <f t="shared" ref="G14:M14" si="4">G12+G13-G15</f>
        <v>501.11999999999995</v>
      </c>
      <c r="H14" s="356">
        <f t="shared" si="4"/>
        <v>601.34400000000005</v>
      </c>
      <c r="I14" s="356">
        <f t="shared" si="4"/>
        <v>721.61279999999988</v>
      </c>
      <c r="J14" s="356">
        <f t="shared" si="4"/>
        <v>865.93535999999972</v>
      </c>
      <c r="K14" s="356">
        <f t="shared" si="4"/>
        <v>1039.1224319999999</v>
      </c>
      <c r="L14" s="356">
        <f t="shared" si="4"/>
        <v>1246.9469183999997</v>
      </c>
      <c r="M14" s="356">
        <f t="shared" si="4"/>
        <v>1496.3363020799995</v>
      </c>
      <c r="N14" s="356">
        <f>N12+N13-N15</f>
        <v>1795.6035624959995</v>
      </c>
      <c r="O14" s="358">
        <f t="shared" si="2"/>
        <v>8268.0213749759987</v>
      </c>
    </row>
    <row r="15" spans="2:15" x14ac:dyDescent="0.35">
      <c r="B15" s="23"/>
      <c r="C15" s="84" t="s">
        <v>74</v>
      </c>
      <c r="D15" s="353">
        <f>$E$5*D13</f>
        <v>60</v>
      </c>
      <c r="E15" s="356">
        <f t="shared" ref="E15:N15" si="5">$E$5*E13</f>
        <v>72</v>
      </c>
      <c r="F15" s="356">
        <f t="shared" si="5"/>
        <v>86.4</v>
      </c>
      <c r="G15" s="356">
        <f t="shared" si="5"/>
        <v>103.68</v>
      </c>
      <c r="H15" s="356">
        <f t="shared" si="5"/>
        <v>124.416</v>
      </c>
      <c r="I15" s="356">
        <f t="shared" si="5"/>
        <v>149.29919999999998</v>
      </c>
      <c r="J15" s="356">
        <f t="shared" si="5"/>
        <v>179.15903999999998</v>
      </c>
      <c r="K15" s="356">
        <f t="shared" si="5"/>
        <v>214.99084799999997</v>
      </c>
      <c r="L15" s="356">
        <f t="shared" si="5"/>
        <v>257.98901759999995</v>
      </c>
      <c r="M15" s="356">
        <f t="shared" si="5"/>
        <v>309.58682111999997</v>
      </c>
      <c r="N15" s="356">
        <f t="shared" si="5"/>
        <v>371.50418534399989</v>
      </c>
      <c r="O15" s="358">
        <f t="shared" si="2"/>
        <v>1710.6251120639995</v>
      </c>
    </row>
    <row r="16" spans="2:15" x14ac:dyDescent="0.35">
      <c r="B16" s="23"/>
      <c r="C16" s="84"/>
      <c r="D16" s="353"/>
      <c r="E16" s="356"/>
      <c r="F16" s="356"/>
      <c r="G16" s="356"/>
      <c r="H16" s="356"/>
      <c r="I16" s="356"/>
      <c r="J16" s="356"/>
      <c r="K16" s="356"/>
      <c r="L16" s="356"/>
      <c r="M16" s="356"/>
      <c r="N16" s="356"/>
      <c r="O16" s="358"/>
    </row>
    <row r="17" spans="2:15" x14ac:dyDescent="0.35">
      <c r="B17" s="23">
        <v>2022</v>
      </c>
      <c r="C17" s="84" t="s">
        <v>72</v>
      </c>
      <c r="D17" s="353">
        <f>N15</f>
        <v>371.50418534399989</v>
      </c>
      <c r="E17" s="356">
        <f>D20</f>
        <v>445.80502241279987</v>
      </c>
      <c r="F17" s="356">
        <f>E20</f>
        <v>534.96602689535973</v>
      </c>
      <c r="G17" s="356">
        <f>F20</f>
        <v>641.95923227443177</v>
      </c>
      <c r="H17" s="356">
        <f t="shared" ref="H17:N17" si="6">G20</f>
        <v>770.35107872931803</v>
      </c>
      <c r="I17" s="356">
        <f t="shared" si="6"/>
        <v>924.42129447518164</v>
      </c>
      <c r="J17" s="356">
        <f t="shared" si="6"/>
        <v>1109.3055533702179</v>
      </c>
      <c r="K17" s="356">
        <f t="shared" si="6"/>
        <v>1331.1666640442618</v>
      </c>
      <c r="L17" s="356">
        <f t="shared" si="6"/>
        <v>1597.3999968531139</v>
      </c>
      <c r="M17" s="356">
        <f t="shared" si="6"/>
        <v>1916.8799962237365</v>
      </c>
      <c r="N17" s="356">
        <f t="shared" si="6"/>
        <v>2300.2559954684834</v>
      </c>
      <c r="O17" s="358">
        <f>SUM(G17:N17)</f>
        <v>10591.739811438747</v>
      </c>
    </row>
    <row r="18" spans="2:15" x14ac:dyDescent="0.35">
      <c r="B18" s="23"/>
      <c r="C18" s="84" t="s">
        <v>49</v>
      </c>
      <c r="D18" s="353">
        <f>(1+$E$4)*N13</f>
        <v>2229.0251120639991</v>
      </c>
      <c r="E18" s="356">
        <f>(1+$E$4)*D18</f>
        <v>2674.8301344767988</v>
      </c>
      <c r="F18" s="356">
        <f t="shared" ref="F18:N18" si="7">(1+$E$4)*E18</f>
        <v>3209.7961613721586</v>
      </c>
      <c r="G18" s="356">
        <f t="shared" si="7"/>
        <v>3851.7553936465902</v>
      </c>
      <c r="H18" s="356">
        <f t="shared" si="7"/>
        <v>4622.1064723759082</v>
      </c>
      <c r="I18" s="356">
        <f t="shared" si="7"/>
        <v>5546.5277668510898</v>
      </c>
      <c r="J18" s="356">
        <f t="shared" si="7"/>
        <v>6655.833320221308</v>
      </c>
      <c r="K18" s="356">
        <f t="shared" si="7"/>
        <v>7986.9999842655689</v>
      </c>
      <c r="L18" s="356">
        <f t="shared" si="7"/>
        <v>9584.3999811186823</v>
      </c>
      <c r="M18" s="356">
        <f t="shared" si="7"/>
        <v>11501.279977342418</v>
      </c>
      <c r="N18" s="356">
        <f t="shared" si="7"/>
        <v>13801.535972810902</v>
      </c>
      <c r="O18" s="358">
        <f t="shared" ref="O18:O20" si="8">SUM(G18:N18)</f>
        <v>63550.438868632467</v>
      </c>
    </row>
    <row r="19" spans="2:15" x14ac:dyDescent="0.35">
      <c r="B19" s="23"/>
      <c r="C19" s="84" t="s">
        <v>73</v>
      </c>
      <c r="D19" s="353">
        <f>D17+D18-D20</f>
        <v>2154.7242749951993</v>
      </c>
      <c r="E19" s="356">
        <f t="shared" ref="E19:L19" si="9">E17+E18-E20</f>
        <v>2585.669129994239</v>
      </c>
      <c r="F19" s="356">
        <f t="shared" si="9"/>
        <v>3102.8029559930865</v>
      </c>
      <c r="G19" s="356">
        <f t="shared" si="9"/>
        <v>3723.3635471917041</v>
      </c>
      <c r="H19" s="356">
        <f t="shared" si="9"/>
        <v>4468.0362566300446</v>
      </c>
      <c r="I19" s="356">
        <f t="shared" si="9"/>
        <v>5361.6435079560533</v>
      </c>
      <c r="J19" s="356">
        <f t="shared" si="9"/>
        <v>6433.9722095472644</v>
      </c>
      <c r="K19" s="356">
        <f t="shared" si="9"/>
        <v>7720.7666514567172</v>
      </c>
      <c r="L19" s="356">
        <f t="shared" si="9"/>
        <v>9264.9199817480585</v>
      </c>
      <c r="M19" s="356">
        <f>M17+M18-M20</f>
        <v>11117.903978097671</v>
      </c>
      <c r="N19" s="356">
        <f t="shared" ref="N19" si="10">N17+N18-N20</f>
        <v>13341.484773717206</v>
      </c>
      <c r="O19" s="358">
        <f t="shared" si="8"/>
        <v>61432.090906344718</v>
      </c>
    </row>
    <row r="20" spans="2:15" x14ac:dyDescent="0.35">
      <c r="B20" s="23"/>
      <c r="C20" s="84" t="s">
        <v>74</v>
      </c>
      <c r="D20" s="353">
        <f>$E$5*D18</f>
        <v>445.80502241279987</v>
      </c>
      <c r="E20" s="356">
        <f t="shared" ref="E20:N20" si="11">$E$5*E18</f>
        <v>534.96602689535973</v>
      </c>
      <c r="F20" s="356">
        <f t="shared" si="11"/>
        <v>641.95923227443177</v>
      </c>
      <c r="G20" s="356">
        <f t="shared" si="11"/>
        <v>770.35107872931803</v>
      </c>
      <c r="H20" s="356">
        <f t="shared" si="11"/>
        <v>924.42129447518164</v>
      </c>
      <c r="I20" s="356">
        <f t="shared" si="11"/>
        <v>1109.3055533702179</v>
      </c>
      <c r="J20" s="356">
        <f t="shared" si="11"/>
        <v>1331.1666640442618</v>
      </c>
      <c r="K20" s="356">
        <f t="shared" si="11"/>
        <v>1597.3999968531139</v>
      </c>
      <c r="L20" s="356">
        <f t="shared" si="11"/>
        <v>1916.8799962237365</v>
      </c>
      <c r="M20" s="356">
        <f t="shared" si="11"/>
        <v>2300.2559954684834</v>
      </c>
      <c r="N20" s="356">
        <f t="shared" si="11"/>
        <v>2760.3071945621805</v>
      </c>
      <c r="O20" s="358">
        <f t="shared" si="8"/>
        <v>12710.087773726493</v>
      </c>
    </row>
    <row r="21" spans="2:15" x14ac:dyDescent="0.35">
      <c r="B21" s="23"/>
      <c r="C21" s="84"/>
      <c r="D21" s="353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8"/>
    </row>
    <row r="22" spans="2:15" x14ac:dyDescent="0.35">
      <c r="B22" s="23">
        <v>2023</v>
      </c>
      <c r="C22" s="84" t="s">
        <v>72</v>
      </c>
      <c r="D22" s="353">
        <f>N20</f>
        <v>2760.3071945621805</v>
      </c>
      <c r="E22" s="356">
        <f>D25</f>
        <v>3312.3686334746162</v>
      </c>
      <c r="F22" s="356">
        <f>E25</f>
        <v>3974.8423601695395</v>
      </c>
      <c r="G22" s="356">
        <f>F25</f>
        <v>4769.8108322034477</v>
      </c>
      <c r="H22" s="356">
        <f t="shared" ref="H22:N22" si="12">G25</f>
        <v>5723.7729986441373</v>
      </c>
      <c r="I22" s="356">
        <f t="shared" si="12"/>
        <v>6868.5275983729634</v>
      </c>
      <c r="J22" s="356">
        <f t="shared" si="12"/>
        <v>8242.2331180475558</v>
      </c>
      <c r="K22" s="356">
        <f t="shared" si="12"/>
        <v>9890.6797416570662</v>
      </c>
      <c r="L22" s="356">
        <f t="shared" si="12"/>
        <v>11868.815689988478</v>
      </c>
      <c r="M22" s="356">
        <f t="shared" si="12"/>
        <v>14242.578827986174</v>
      </c>
      <c r="N22" s="356">
        <f t="shared" si="12"/>
        <v>17091.09459358341</v>
      </c>
      <c r="O22" s="358">
        <f>SUM(G22:N22)</f>
        <v>78697.513400483236</v>
      </c>
    </row>
    <row r="23" spans="2:15" x14ac:dyDescent="0.35">
      <c r="B23" s="23"/>
      <c r="C23" s="84" t="s">
        <v>49</v>
      </c>
      <c r="D23" s="353">
        <f>(1+$E$4)*N18</f>
        <v>16561.843167373081</v>
      </c>
      <c r="E23" s="356">
        <f>(1+$E$4)*D23</f>
        <v>19874.211800847697</v>
      </c>
      <c r="F23" s="356">
        <f t="shared" ref="F23:N23" si="13">(1+$E$4)*E23</f>
        <v>23849.054161017237</v>
      </c>
      <c r="G23" s="356">
        <f t="shared" si="13"/>
        <v>28618.864993220683</v>
      </c>
      <c r="H23" s="356">
        <f t="shared" si="13"/>
        <v>34342.637991864816</v>
      </c>
      <c r="I23" s="356">
        <f t="shared" si="13"/>
        <v>41211.165590237775</v>
      </c>
      <c r="J23" s="356">
        <f t="shared" si="13"/>
        <v>49453.398708285327</v>
      </c>
      <c r="K23" s="356">
        <f t="shared" si="13"/>
        <v>59344.07844994239</v>
      </c>
      <c r="L23" s="356">
        <f t="shared" si="13"/>
        <v>71212.894139930868</v>
      </c>
      <c r="M23" s="356">
        <f t="shared" si="13"/>
        <v>85455.472967917041</v>
      </c>
      <c r="N23" s="356">
        <f t="shared" si="13"/>
        <v>102546.56756150044</v>
      </c>
      <c r="O23" s="358">
        <f t="shared" ref="O23:O25" si="14">SUM(G23:N23)</f>
        <v>472185.0804028993</v>
      </c>
    </row>
    <row r="24" spans="2:15" x14ac:dyDescent="0.35">
      <c r="B24" s="23"/>
      <c r="C24" s="84" t="s">
        <v>73</v>
      </c>
      <c r="D24" s="353">
        <f>D22+D23-D25</f>
        <v>16009.781728460646</v>
      </c>
      <c r="E24" s="356">
        <f t="shared" ref="E24:N24" si="15">E22+E23-E25</f>
        <v>19211.738074152774</v>
      </c>
      <c r="F24" s="356">
        <f t="shared" si="15"/>
        <v>23054.08568898333</v>
      </c>
      <c r="G24" s="356">
        <f t="shared" si="15"/>
        <v>27664.902826779991</v>
      </c>
      <c r="H24" s="356">
        <f t="shared" si="15"/>
        <v>33197.883392135991</v>
      </c>
      <c r="I24" s="356">
        <f t="shared" si="15"/>
        <v>39837.460070563189</v>
      </c>
      <c r="J24" s="356">
        <f t="shared" si="15"/>
        <v>47804.952084675824</v>
      </c>
      <c r="K24" s="356">
        <f t="shared" si="15"/>
        <v>57365.942501610974</v>
      </c>
      <c r="L24" s="356">
        <f t="shared" si="15"/>
        <v>68839.131001933172</v>
      </c>
      <c r="M24" s="356">
        <f t="shared" si="15"/>
        <v>82606.957202319812</v>
      </c>
      <c r="N24" s="356">
        <f t="shared" si="15"/>
        <v>99128.348642783763</v>
      </c>
      <c r="O24" s="358">
        <f t="shared" si="14"/>
        <v>456445.5777228027</v>
      </c>
    </row>
    <row r="25" spans="2:15" x14ac:dyDescent="0.35">
      <c r="B25" s="23"/>
      <c r="C25" s="84" t="s">
        <v>74</v>
      </c>
      <c r="D25" s="353">
        <f>$E$5*D23</f>
        <v>3312.3686334746162</v>
      </c>
      <c r="E25" s="356">
        <f t="shared" ref="E25:N25" si="16">$E$5*E23</f>
        <v>3974.8423601695395</v>
      </c>
      <c r="F25" s="356">
        <f t="shared" si="16"/>
        <v>4769.8108322034477</v>
      </c>
      <c r="G25" s="356">
        <f t="shared" si="16"/>
        <v>5723.7729986441373</v>
      </c>
      <c r="H25" s="356">
        <f t="shared" si="16"/>
        <v>6868.5275983729634</v>
      </c>
      <c r="I25" s="356">
        <f t="shared" si="16"/>
        <v>8242.2331180475558</v>
      </c>
      <c r="J25" s="356">
        <f t="shared" si="16"/>
        <v>9890.6797416570662</v>
      </c>
      <c r="K25" s="356">
        <f t="shared" si="16"/>
        <v>11868.815689988478</v>
      </c>
      <c r="L25" s="356">
        <f t="shared" si="16"/>
        <v>14242.578827986174</v>
      </c>
      <c r="M25" s="356">
        <f t="shared" si="16"/>
        <v>17091.09459358341</v>
      </c>
      <c r="N25" s="356">
        <f t="shared" si="16"/>
        <v>20509.31351230009</v>
      </c>
      <c r="O25" s="358">
        <f t="shared" si="14"/>
        <v>94437.016080579866</v>
      </c>
    </row>
    <row r="26" spans="2:15" x14ac:dyDescent="0.35">
      <c r="B26" s="23"/>
      <c r="C26" s="84"/>
      <c r="D26" s="353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8"/>
    </row>
    <row r="27" spans="2:15" x14ac:dyDescent="0.35">
      <c r="B27" s="23">
        <v>2024</v>
      </c>
      <c r="C27" s="84" t="s">
        <v>72</v>
      </c>
      <c r="D27" s="353">
        <f>N25</f>
        <v>20509.31351230009</v>
      </c>
      <c r="E27" s="356">
        <f>D30</f>
        <v>24611.176214760108</v>
      </c>
      <c r="F27" s="356">
        <f>E30</f>
        <v>29533.411457712129</v>
      </c>
      <c r="G27" s="356">
        <f>F30</f>
        <v>35440.093749254556</v>
      </c>
      <c r="H27" s="356">
        <f t="shared" ref="H27:N27" si="17">G30</f>
        <v>42528.11249910546</v>
      </c>
      <c r="I27" s="356">
        <f t="shared" si="17"/>
        <v>51033.734998926549</v>
      </c>
      <c r="J27" s="356">
        <f t="shared" si="17"/>
        <v>61240.481998711861</v>
      </c>
      <c r="K27" s="356">
        <f t="shared" si="17"/>
        <v>73488.578398454221</v>
      </c>
      <c r="L27" s="356">
        <f t="shared" si="17"/>
        <v>88186.294078145074</v>
      </c>
      <c r="M27" s="356">
        <f t="shared" si="17"/>
        <v>105823.55289377407</v>
      </c>
      <c r="N27" s="356">
        <f t="shared" si="17"/>
        <v>126988.26347252888</v>
      </c>
      <c r="O27" s="358">
        <f>SUM(G27:N27)</f>
        <v>584729.11208890064</v>
      </c>
    </row>
    <row r="28" spans="2:15" x14ac:dyDescent="0.35">
      <c r="B28" s="23"/>
      <c r="C28" s="84" t="s">
        <v>49</v>
      </c>
      <c r="D28" s="353">
        <f>(1+$E$4)*N23</f>
        <v>123055.88107380053</v>
      </c>
      <c r="E28" s="356">
        <f>(1+$E$4)*D28</f>
        <v>147667.05728856064</v>
      </c>
      <c r="F28" s="356">
        <f t="shared" ref="F28:N28" si="18">(1+$E$4)*E28</f>
        <v>177200.46874627276</v>
      </c>
      <c r="G28" s="356">
        <f t="shared" si="18"/>
        <v>212640.56249552729</v>
      </c>
      <c r="H28" s="356">
        <f t="shared" si="18"/>
        <v>255168.67499463275</v>
      </c>
      <c r="I28" s="356">
        <f t="shared" si="18"/>
        <v>306202.4099935593</v>
      </c>
      <c r="J28" s="356">
        <f t="shared" si="18"/>
        <v>367442.89199227112</v>
      </c>
      <c r="K28" s="356">
        <f t="shared" si="18"/>
        <v>440931.47039072536</v>
      </c>
      <c r="L28" s="356">
        <f t="shared" si="18"/>
        <v>529117.76446887036</v>
      </c>
      <c r="M28" s="356">
        <f t="shared" si="18"/>
        <v>634941.31736264436</v>
      </c>
      <c r="N28" s="356">
        <f t="shared" si="18"/>
        <v>761929.58083517326</v>
      </c>
      <c r="O28" s="358">
        <f t="shared" ref="O28:O30" si="19">SUM(G28:N28)</f>
        <v>3508374.6725334041</v>
      </c>
    </row>
    <row r="29" spans="2:15" x14ac:dyDescent="0.35">
      <c r="B29" s="23"/>
      <c r="C29" s="84" t="s">
        <v>73</v>
      </c>
      <c r="D29" s="353">
        <f>D27+D28-D30</f>
        <v>118954.0183713405</v>
      </c>
      <c r="E29" s="356">
        <f t="shared" ref="E29:N29" si="20">E27+E28-E30</f>
        <v>142744.82204560863</v>
      </c>
      <c r="F29" s="356">
        <f t="shared" si="20"/>
        <v>171293.78645473032</v>
      </c>
      <c r="G29" s="356">
        <f t="shared" si="20"/>
        <v>205552.5437456764</v>
      </c>
      <c r="H29" s="356">
        <f t="shared" si="20"/>
        <v>246663.05249481168</v>
      </c>
      <c r="I29" s="356">
        <f t="shared" si="20"/>
        <v>295995.66299377399</v>
      </c>
      <c r="J29" s="356">
        <f t="shared" si="20"/>
        <v>355194.79559252877</v>
      </c>
      <c r="K29" s="356">
        <f t="shared" si="20"/>
        <v>426233.75471103453</v>
      </c>
      <c r="L29" s="356">
        <f t="shared" si="20"/>
        <v>511480.50565324136</v>
      </c>
      <c r="M29" s="356">
        <f t="shared" si="20"/>
        <v>613776.60678388958</v>
      </c>
      <c r="N29" s="356">
        <f t="shared" si="20"/>
        <v>736531.9281406675</v>
      </c>
      <c r="O29" s="358">
        <f t="shared" si="19"/>
        <v>3391428.8501156243</v>
      </c>
    </row>
    <row r="30" spans="2:15" x14ac:dyDescent="0.35">
      <c r="B30" s="23"/>
      <c r="C30" s="84" t="s">
        <v>74</v>
      </c>
      <c r="D30" s="353">
        <f>$E$5*D28</f>
        <v>24611.176214760108</v>
      </c>
      <c r="E30" s="356">
        <f t="shared" ref="E30:N30" si="21">$E$5*E28</f>
        <v>29533.411457712129</v>
      </c>
      <c r="F30" s="356">
        <f t="shared" si="21"/>
        <v>35440.093749254556</v>
      </c>
      <c r="G30" s="356">
        <f t="shared" si="21"/>
        <v>42528.11249910546</v>
      </c>
      <c r="H30" s="356">
        <f t="shared" si="21"/>
        <v>51033.734998926549</v>
      </c>
      <c r="I30" s="356">
        <f t="shared" si="21"/>
        <v>61240.481998711861</v>
      </c>
      <c r="J30" s="356">
        <f t="shared" si="21"/>
        <v>73488.578398454221</v>
      </c>
      <c r="K30" s="356">
        <f t="shared" si="21"/>
        <v>88186.294078145074</v>
      </c>
      <c r="L30" s="356">
        <f t="shared" si="21"/>
        <v>105823.55289377407</v>
      </c>
      <c r="M30" s="356">
        <f t="shared" si="21"/>
        <v>126988.26347252888</v>
      </c>
      <c r="N30" s="356">
        <f t="shared" si="21"/>
        <v>152385.91616703465</v>
      </c>
      <c r="O30" s="358">
        <f t="shared" si="19"/>
        <v>701674.9345066807</v>
      </c>
    </row>
    <row r="31" spans="2:15" x14ac:dyDescent="0.35">
      <c r="B31" s="23"/>
      <c r="C31" s="84"/>
      <c r="D31" s="353"/>
      <c r="E31" s="356"/>
      <c r="F31" s="356"/>
      <c r="G31" s="356"/>
      <c r="H31" s="356"/>
      <c r="I31" s="356"/>
      <c r="J31" s="356"/>
      <c r="K31" s="356"/>
      <c r="L31" s="356"/>
      <c r="M31" s="356"/>
      <c r="N31" s="356"/>
      <c r="O31" s="358"/>
    </row>
    <row r="32" spans="2:15" x14ac:dyDescent="0.35">
      <c r="B32" s="23">
        <v>2025</v>
      </c>
      <c r="C32" s="84" t="s">
        <v>72</v>
      </c>
      <c r="D32" s="353">
        <f>N30</f>
        <v>152385.91616703465</v>
      </c>
      <c r="E32" s="356">
        <f>D35</f>
        <v>182863.0994004416</v>
      </c>
      <c r="F32" s="356">
        <f>E35</f>
        <v>219435.71928052991</v>
      </c>
      <c r="G32" s="356">
        <f>F35</f>
        <v>263322.86313663586</v>
      </c>
      <c r="H32" s="356">
        <f t="shared" ref="H32:N32" si="22">G35</f>
        <v>315987.43576396303</v>
      </c>
      <c r="I32" s="356">
        <f t="shared" si="22"/>
        <v>379184.92291675566</v>
      </c>
      <c r="J32" s="356">
        <f t="shared" si="22"/>
        <v>455021.90750010678</v>
      </c>
      <c r="K32" s="356">
        <f t="shared" si="22"/>
        <v>546026.28900012816</v>
      </c>
      <c r="L32" s="356">
        <f t="shared" si="22"/>
        <v>655231.5468001538</v>
      </c>
      <c r="M32" s="356">
        <f t="shared" si="22"/>
        <v>786277.85616018437</v>
      </c>
      <c r="N32" s="356">
        <f t="shared" si="22"/>
        <v>943533.42739222129</v>
      </c>
      <c r="O32" s="358">
        <f>SUM(G32:N32)</f>
        <v>4344586.2486701487</v>
      </c>
    </row>
    <row r="33" spans="2:15" x14ac:dyDescent="0.35">
      <c r="B33" s="23"/>
      <c r="C33" s="84" t="s">
        <v>49</v>
      </c>
      <c r="D33" s="353">
        <f>(1+$E$4)*N28</f>
        <v>914315.49700220791</v>
      </c>
      <c r="E33" s="356">
        <f>(1+$E$4)*D33</f>
        <v>1097178.5964026495</v>
      </c>
      <c r="F33" s="356">
        <f t="shared" ref="F33:N33" si="23">(1+$E$4)*E33</f>
        <v>1316614.3156831793</v>
      </c>
      <c r="G33" s="356">
        <f t="shared" si="23"/>
        <v>1579937.1788198152</v>
      </c>
      <c r="H33" s="356">
        <f t="shared" si="23"/>
        <v>1895924.6145837782</v>
      </c>
      <c r="I33" s="356">
        <f t="shared" si="23"/>
        <v>2275109.5375005337</v>
      </c>
      <c r="J33" s="356">
        <f t="shared" si="23"/>
        <v>2730131.4450006406</v>
      </c>
      <c r="K33" s="356">
        <f t="shared" si="23"/>
        <v>3276157.7340007685</v>
      </c>
      <c r="L33" s="356">
        <f t="shared" si="23"/>
        <v>3931389.2808009218</v>
      </c>
      <c r="M33" s="356">
        <f t="shared" si="23"/>
        <v>4717667.1369611062</v>
      </c>
      <c r="N33" s="356">
        <f t="shared" si="23"/>
        <v>5661200.5643533273</v>
      </c>
      <c r="O33" s="358">
        <f t="shared" ref="O33:O35" si="24">SUM(G33:N33)</f>
        <v>26067517.492020894</v>
      </c>
    </row>
    <row r="34" spans="2:15" x14ac:dyDescent="0.35">
      <c r="B34" s="23"/>
      <c r="C34" s="84" t="s">
        <v>73</v>
      </c>
      <c r="D34" s="353">
        <f>D32+D33-D35</f>
        <v>883838.31376880081</v>
      </c>
      <c r="E34" s="356">
        <f t="shared" ref="E34:N34" si="25">E32+E33-E35</f>
        <v>1060605.9765225612</v>
      </c>
      <c r="F34" s="356">
        <f t="shared" si="25"/>
        <v>1272727.1718270734</v>
      </c>
      <c r="G34" s="356">
        <f t="shared" si="25"/>
        <v>1527272.606192488</v>
      </c>
      <c r="H34" s="356">
        <f t="shared" si="25"/>
        <v>1832727.1274309857</v>
      </c>
      <c r="I34" s="356">
        <f t="shared" si="25"/>
        <v>2199272.5529171824</v>
      </c>
      <c r="J34" s="356">
        <f t="shared" si="25"/>
        <v>2639127.0635006195</v>
      </c>
      <c r="K34" s="356">
        <f t="shared" si="25"/>
        <v>3166952.4762007431</v>
      </c>
      <c r="L34" s="356">
        <f t="shared" si="25"/>
        <v>3800342.9714408908</v>
      </c>
      <c r="M34" s="356">
        <f t="shared" si="25"/>
        <v>4560411.5657290695</v>
      </c>
      <c r="N34" s="356">
        <f t="shared" si="25"/>
        <v>5472493.8788748831</v>
      </c>
      <c r="O34" s="358">
        <f t="shared" si="24"/>
        <v>25198600.242286861</v>
      </c>
    </row>
    <row r="35" spans="2:15" ht="15" thickBot="1" x14ac:dyDescent="0.4">
      <c r="B35" s="24"/>
      <c r="C35" s="90" t="s">
        <v>74</v>
      </c>
      <c r="D35" s="354">
        <f>$E$5*D33</f>
        <v>182863.0994004416</v>
      </c>
      <c r="E35" s="357">
        <f t="shared" ref="E35:N35" si="26">$E$5*E33</f>
        <v>219435.71928052991</v>
      </c>
      <c r="F35" s="357">
        <f t="shared" si="26"/>
        <v>263322.86313663586</v>
      </c>
      <c r="G35" s="357">
        <f t="shared" si="26"/>
        <v>315987.43576396303</v>
      </c>
      <c r="H35" s="357">
        <f t="shared" si="26"/>
        <v>379184.92291675566</v>
      </c>
      <c r="I35" s="357">
        <f t="shared" si="26"/>
        <v>455021.90750010678</v>
      </c>
      <c r="J35" s="357">
        <f t="shared" si="26"/>
        <v>546026.28900012816</v>
      </c>
      <c r="K35" s="357">
        <f t="shared" si="26"/>
        <v>655231.5468001538</v>
      </c>
      <c r="L35" s="357">
        <f t="shared" si="26"/>
        <v>786277.85616018437</v>
      </c>
      <c r="M35" s="357">
        <f t="shared" si="26"/>
        <v>943533.42739222129</v>
      </c>
      <c r="N35" s="357">
        <f t="shared" si="26"/>
        <v>1132240.1128706655</v>
      </c>
      <c r="O35" s="359">
        <f t="shared" si="24"/>
        <v>5213503.4984041778</v>
      </c>
    </row>
    <row r="38" spans="2:15" ht="15" thickBot="1" x14ac:dyDescent="0.4"/>
    <row r="39" spans="2:15" ht="15" thickBot="1" x14ac:dyDescent="0.4">
      <c r="C39" s="365" t="s">
        <v>218</v>
      </c>
      <c r="D39" s="366"/>
      <c r="E39" s="366"/>
      <c r="F39" s="366"/>
      <c r="G39" s="366"/>
      <c r="H39" s="367"/>
    </row>
    <row r="40" spans="2:15" ht="15" thickBot="1" x14ac:dyDescent="0.4">
      <c r="C40" s="23"/>
      <c r="D40" s="95" t="s">
        <v>219</v>
      </c>
      <c r="E40" s="95" t="s">
        <v>220</v>
      </c>
      <c r="F40" s="144" t="s">
        <v>221</v>
      </c>
      <c r="G40" s="144" t="s">
        <v>222</v>
      </c>
      <c r="H40" s="144" t="s">
        <v>223</v>
      </c>
    </row>
    <row r="41" spans="2:15" x14ac:dyDescent="0.35">
      <c r="C41" s="23" t="s">
        <v>224</v>
      </c>
      <c r="D41" s="172">
        <f>O13</f>
        <v>8553.125560319997</v>
      </c>
      <c r="E41" s="172">
        <f>O18</f>
        <v>63550.438868632467</v>
      </c>
      <c r="F41" s="171">
        <f>O23</f>
        <v>472185.0804028993</v>
      </c>
      <c r="G41" s="171">
        <f>O28</f>
        <v>3508374.6725334041</v>
      </c>
      <c r="H41" s="171">
        <f>O33</f>
        <v>26067517.492020894</v>
      </c>
    </row>
    <row r="42" spans="2:15" x14ac:dyDescent="0.35">
      <c r="C42" s="23" t="s">
        <v>225</v>
      </c>
      <c r="D42" s="172">
        <f t="shared" ref="D42:D43" si="27">O14</f>
        <v>8268.0213749759987</v>
      </c>
      <c r="E42" s="172">
        <f t="shared" ref="E42:E43" si="28">O19</f>
        <v>61432.090906344718</v>
      </c>
      <c r="F42" s="171">
        <f t="shared" ref="F42:F43" si="29">O24</f>
        <v>456445.5777228027</v>
      </c>
      <c r="G42" s="171">
        <f t="shared" ref="G42:G43" si="30">O29</f>
        <v>3391428.8501156243</v>
      </c>
      <c r="H42" s="171">
        <f t="shared" ref="H42:H43" si="31">O34</f>
        <v>25198600.242286861</v>
      </c>
    </row>
    <row r="43" spans="2:15" x14ac:dyDescent="0.35">
      <c r="C43" s="23" t="s">
        <v>226</v>
      </c>
      <c r="D43" s="172">
        <f t="shared" si="27"/>
        <v>1710.6251120639995</v>
      </c>
      <c r="E43" s="172">
        <f t="shared" si="28"/>
        <v>12710.087773726493</v>
      </c>
      <c r="F43" s="171">
        <f t="shared" si="29"/>
        <v>94437.016080579866</v>
      </c>
      <c r="G43" s="171">
        <f t="shared" si="30"/>
        <v>701674.9345066807</v>
      </c>
      <c r="H43" s="171">
        <f t="shared" si="31"/>
        <v>5213503.4984041778</v>
      </c>
    </row>
    <row r="44" spans="2:15" x14ac:dyDescent="0.35">
      <c r="C44" s="23" t="s">
        <v>227</v>
      </c>
      <c r="D44" s="96">
        <v>2500</v>
      </c>
      <c r="E44" s="96">
        <v>2500</v>
      </c>
      <c r="F44" s="78">
        <v>2500</v>
      </c>
      <c r="G44" s="78">
        <v>2500</v>
      </c>
      <c r="H44" s="78">
        <v>2500</v>
      </c>
    </row>
    <row r="45" spans="2:15" ht="15" thickBot="1" x14ac:dyDescent="0.4">
      <c r="C45" s="24" t="s">
        <v>228</v>
      </c>
      <c r="D45" s="120">
        <f>D44/'Exchange rate forecast'!G7</f>
        <v>167.32404763554382</v>
      </c>
      <c r="E45" s="120">
        <f>E44/'Exchange rate forecast'!G8</f>
        <v>99.299192148323101</v>
      </c>
      <c r="F45" s="79">
        <f>F44/'Exchange rate forecast'!G9</f>
        <v>45.396957300269364</v>
      </c>
      <c r="G45" s="79">
        <f>G44/'Exchange rate forecast'!G10</f>
        <v>15.988269219537401</v>
      </c>
      <c r="H45" s="79">
        <f>H44/'Exchange rate forecast'!G11</f>
        <v>4.3378031150996863</v>
      </c>
    </row>
  </sheetData>
  <mergeCells count="2">
    <mergeCell ref="D2:I2"/>
    <mergeCell ref="C39:H39"/>
  </mergeCells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297A-0252-4E57-8928-3681097048EA}">
  <dimension ref="B1:N56"/>
  <sheetViews>
    <sheetView showGridLines="0" zoomScale="68" zoomScaleNormal="68" workbookViewId="0">
      <selection activeCell="G20" sqref="G20"/>
    </sheetView>
  </sheetViews>
  <sheetFormatPr defaultRowHeight="14.5" x14ac:dyDescent="0.35"/>
  <cols>
    <col min="2" max="2" width="21.36328125" bestFit="1" customWidth="1"/>
    <col min="3" max="3" width="17.36328125" customWidth="1"/>
    <col min="4" max="4" width="16.08984375" bestFit="1" customWidth="1"/>
    <col min="5" max="5" width="14.6328125" bestFit="1" customWidth="1"/>
    <col min="6" max="6" width="22.6328125" bestFit="1" customWidth="1"/>
    <col min="7" max="7" width="22.90625" bestFit="1" customWidth="1"/>
    <col min="8" max="8" width="14.6328125" bestFit="1" customWidth="1"/>
    <col min="9" max="9" width="13.6328125" bestFit="1" customWidth="1"/>
    <col min="10" max="10" width="14.6328125" bestFit="1" customWidth="1"/>
    <col min="11" max="11" width="13.6328125" bestFit="1" customWidth="1"/>
    <col min="12" max="12" width="14.6328125" bestFit="1" customWidth="1"/>
    <col min="13" max="13" width="11.90625" bestFit="1" customWidth="1"/>
    <col min="14" max="14" width="11.36328125" bestFit="1" customWidth="1"/>
    <col min="15" max="15" width="12.453125" bestFit="1" customWidth="1"/>
    <col min="16" max="16" width="11.81640625" bestFit="1" customWidth="1"/>
  </cols>
  <sheetData>
    <row r="1" spans="2:8" ht="15" thickBot="1" x14ac:dyDescent="0.4">
      <c r="C1" s="20"/>
    </row>
    <row r="2" spans="2:8" ht="15" thickBot="1" x14ac:dyDescent="0.4">
      <c r="B2" s="365" t="s">
        <v>77</v>
      </c>
      <c r="C2" s="366"/>
      <c r="D2" s="367"/>
      <c r="E2" s="160"/>
      <c r="F2" s="64"/>
      <c r="G2" s="18"/>
      <c r="H2" s="18"/>
    </row>
    <row r="3" spans="2:8" x14ac:dyDescent="0.35">
      <c r="B3" s="91" t="s">
        <v>154</v>
      </c>
      <c r="C3" s="133">
        <v>5</v>
      </c>
      <c r="D3" s="136"/>
      <c r="F3" s="64"/>
      <c r="G3" s="18"/>
      <c r="H3" s="18"/>
    </row>
    <row r="4" spans="2:8" x14ac:dyDescent="0.35">
      <c r="B4" s="71" t="s">
        <v>78</v>
      </c>
      <c r="C4" s="133">
        <v>12</v>
      </c>
      <c r="D4" s="136"/>
      <c r="F4" s="64"/>
    </row>
    <row r="5" spans="2:8" x14ac:dyDescent="0.35">
      <c r="B5" s="70" t="s">
        <v>79</v>
      </c>
      <c r="C5" s="20"/>
      <c r="D5" s="67"/>
      <c r="F5" s="20"/>
    </row>
    <row r="6" spans="2:8" x14ac:dyDescent="0.35">
      <c r="B6" s="71" t="s">
        <v>80</v>
      </c>
      <c r="C6" s="20">
        <v>3000</v>
      </c>
      <c r="D6" s="67" t="s">
        <v>52</v>
      </c>
      <c r="F6" s="20"/>
    </row>
    <row r="7" spans="2:8" x14ac:dyDescent="0.35">
      <c r="B7" s="71" t="s">
        <v>81</v>
      </c>
      <c r="C7" s="20">
        <v>2000</v>
      </c>
      <c r="D7" s="67" t="s">
        <v>52</v>
      </c>
      <c r="F7" s="20"/>
    </row>
    <row r="8" spans="2:8" x14ac:dyDescent="0.35">
      <c r="B8" s="71" t="s">
        <v>82</v>
      </c>
      <c r="C8" s="20">
        <v>5500</v>
      </c>
      <c r="D8" s="67" t="s">
        <v>52</v>
      </c>
      <c r="F8" s="20"/>
      <c r="G8" s="1"/>
      <c r="H8" s="1"/>
    </row>
    <row r="9" spans="2:8" x14ac:dyDescent="0.35">
      <c r="B9" s="70" t="s">
        <v>83</v>
      </c>
      <c r="C9" s="22">
        <f>SUM(C6:C8)</f>
        <v>10500</v>
      </c>
      <c r="D9" s="138"/>
      <c r="F9" s="22"/>
    </row>
    <row r="10" spans="2:8" ht="29" x14ac:dyDescent="0.35">
      <c r="B10" s="246" t="s">
        <v>84</v>
      </c>
      <c r="C10" s="148">
        <v>0.4</v>
      </c>
      <c r="D10" s="67"/>
      <c r="F10" s="20"/>
    </row>
    <row r="11" spans="2:8" x14ac:dyDescent="0.35">
      <c r="B11" s="70" t="s">
        <v>85</v>
      </c>
      <c r="C11" s="20"/>
      <c r="D11" s="67"/>
      <c r="F11" s="20"/>
    </row>
    <row r="12" spans="2:8" x14ac:dyDescent="0.35">
      <c r="B12" s="71" t="s">
        <v>86</v>
      </c>
      <c r="C12" s="20">
        <v>1000</v>
      </c>
      <c r="D12" s="67" t="s">
        <v>52</v>
      </c>
      <c r="F12" s="20"/>
    </row>
    <row r="13" spans="2:8" x14ac:dyDescent="0.35">
      <c r="B13" s="70" t="s">
        <v>87</v>
      </c>
      <c r="C13" s="20"/>
      <c r="D13" s="67"/>
      <c r="F13" s="20"/>
    </row>
    <row r="14" spans="2:8" x14ac:dyDescent="0.35">
      <c r="B14" s="71" t="s">
        <v>88</v>
      </c>
      <c r="C14" s="20">
        <v>20000</v>
      </c>
      <c r="D14" s="67" t="s">
        <v>52</v>
      </c>
      <c r="F14" s="20"/>
    </row>
    <row r="15" spans="2:8" x14ac:dyDescent="0.35">
      <c r="B15" s="71" t="s">
        <v>89</v>
      </c>
      <c r="C15" s="20">
        <v>12000</v>
      </c>
      <c r="D15" s="67" t="s">
        <v>52</v>
      </c>
      <c r="F15" s="20"/>
    </row>
    <row r="16" spans="2:8" x14ac:dyDescent="0.35">
      <c r="B16" s="71" t="s">
        <v>90</v>
      </c>
      <c r="C16" s="20">
        <v>15000</v>
      </c>
      <c r="D16" s="67" t="s">
        <v>52</v>
      </c>
      <c r="F16" s="20"/>
    </row>
    <row r="17" spans="2:12" x14ac:dyDescent="0.35">
      <c r="B17" s="71" t="s">
        <v>91</v>
      </c>
      <c r="C17" s="20">
        <v>13000</v>
      </c>
      <c r="D17" s="67" t="s">
        <v>52</v>
      </c>
      <c r="F17" s="20"/>
    </row>
    <row r="18" spans="2:12" x14ac:dyDescent="0.35">
      <c r="B18" s="71" t="s">
        <v>92</v>
      </c>
      <c r="C18" s="20">
        <f>C42/12</f>
        <v>83.66202381777191</v>
      </c>
      <c r="D18" s="67" t="s">
        <v>52</v>
      </c>
      <c r="F18" s="20"/>
    </row>
    <row r="19" spans="2:12" x14ac:dyDescent="0.35">
      <c r="B19" s="71" t="s">
        <v>83</v>
      </c>
      <c r="C19" s="20">
        <f>SUM(C12:C18)</f>
        <v>61083.662023817771</v>
      </c>
      <c r="D19" s="67"/>
      <c r="G19" s="20"/>
      <c r="H19" s="20"/>
    </row>
    <row r="20" spans="2:12" ht="15" thickBot="1" x14ac:dyDescent="0.4">
      <c r="B20" s="72" t="s">
        <v>71</v>
      </c>
      <c r="C20" s="25">
        <f>SUM(C9:C18)</f>
        <v>71584.062023817765</v>
      </c>
      <c r="D20" s="115" t="s">
        <v>52</v>
      </c>
      <c r="F20" s="20"/>
    </row>
    <row r="23" spans="2:12" ht="15" thickBot="1" x14ac:dyDescent="0.4"/>
    <row r="24" spans="2:12" ht="15" thickBot="1" x14ac:dyDescent="0.4">
      <c r="B24" s="365" t="s">
        <v>93</v>
      </c>
      <c r="C24" s="366"/>
      <c r="D24" s="366"/>
      <c r="E24" s="366"/>
      <c r="F24" s="366"/>
      <c r="G24" s="366"/>
      <c r="H24" s="366"/>
      <c r="I24" s="366"/>
      <c r="J24" s="366"/>
      <c r="K24" s="366"/>
      <c r="L24" s="367"/>
    </row>
    <row r="25" spans="2:12" ht="15" thickBot="1" x14ac:dyDescent="0.4">
      <c r="B25" s="132"/>
      <c r="C25" s="365" t="s">
        <v>219</v>
      </c>
      <c r="D25" s="367"/>
      <c r="E25" s="366" t="s">
        <v>220</v>
      </c>
      <c r="F25" s="367"/>
      <c r="G25" s="366" t="s">
        <v>221</v>
      </c>
      <c r="H25" s="367"/>
      <c r="I25" s="366" t="s">
        <v>222</v>
      </c>
      <c r="J25" s="367"/>
      <c r="K25" s="366" t="s">
        <v>223</v>
      </c>
      <c r="L25" s="367"/>
    </row>
    <row r="26" spans="2:12" ht="15" thickBot="1" x14ac:dyDescent="0.4">
      <c r="B26" s="27"/>
      <c r="C26" s="130" t="s">
        <v>39</v>
      </c>
      <c r="D26" s="134" t="s">
        <v>196</v>
      </c>
      <c r="E26" s="131" t="s">
        <v>39</v>
      </c>
      <c r="F26" s="134" t="s">
        <v>196</v>
      </c>
      <c r="G26" s="131" t="s">
        <v>39</v>
      </c>
      <c r="H26" s="134" t="s">
        <v>196</v>
      </c>
      <c r="I26" s="130" t="s">
        <v>39</v>
      </c>
      <c r="J26" s="134" t="s">
        <v>196</v>
      </c>
      <c r="K26" s="131" t="s">
        <v>39</v>
      </c>
      <c r="L26" s="134" t="s">
        <v>196</v>
      </c>
    </row>
    <row r="27" spans="2:12" x14ac:dyDescent="0.35">
      <c r="B27" s="70" t="str">
        <f>B5</f>
        <v>SELLING COST:</v>
      </c>
      <c r="C27" s="20"/>
      <c r="D27" s="67"/>
      <c r="E27" s="20"/>
      <c r="F27" s="67"/>
      <c r="G27" s="20"/>
      <c r="H27" s="67"/>
      <c r="I27" s="84"/>
      <c r="J27" s="67"/>
      <c r="K27" s="20"/>
      <c r="L27" s="67"/>
    </row>
    <row r="28" spans="2:12" x14ac:dyDescent="0.35">
      <c r="B28" s="71" t="str">
        <f>B6</f>
        <v>DISTRIBUTION COST</v>
      </c>
      <c r="C28" s="77">
        <f>$C$4*C6</f>
        <v>36000</v>
      </c>
      <c r="D28" s="78">
        <f>C28*'Exchange rate forecast'!$G$7</f>
        <v>537878.45364602422</v>
      </c>
      <c r="E28" s="77">
        <f>(1+$C$10)*C28</f>
        <v>50400</v>
      </c>
      <c r="F28" s="78">
        <f>E28*'Exchange rate forecast'!$G$8</f>
        <v>1268892.498257125</v>
      </c>
      <c r="G28" s="77">
        <f>(1+$C$10)*E28</f>
        <v>70560</v>
      </c>
      <c r="H28" s="78">
        <f>G28*'Exchange rate forecast'!$G$9</f>
        <v>3885722.9755121344</v>
      </c>
      <c r="I28" s="80">
        <f>(1+$C$10)*G28</f>
        <v>98784</v>
      </c>
      <c r="J28" s="78">
        <f>I28*'Exchange rate forecast'!$G$10</f>
        <v>15446324.840353513</v>
      </c>
      <c r="K28" s="77">
        <f>(1+$C$10)*I28</f>
        <v>138297.59999999998</v>
      </c>
      <c r="L28" s="78">
        <f>K28*'Exchange rate forecast'!$G$11</f>
        <v>79704862.306101799</v>
      </c>
    </row>
    <row r="29" spans="2:12" x14ac:dyDescent="0.35">
      <c r="B29" s="71" t="str">
        <f>B7</f>
        <v>PACKAGING COST</v>
      </c>
      <c r="C29" s="77">
        <f>$C$4*C7</f>
        <v>24000</v>
      </c>
      <c r="D29" s="78">
        <f>C29*'Exchange rate forecast'!$G$7</f>
        <v>358585.63576401613</v>
      </c>
      <c r="E29" s="77">
        <f>(1+$C$10)*C29</f>
        <v>33600</v>
      </c>
      <c r="F29" s="78">
        <f>E29*'Exchange rate forecast'!$G$8</f>
        <v>845928.33217141673</v>
      </c>
      <c r="G29" s="77">
        <f>(1+$C$10)*E29</f>
        <v>47040</v>
      </c>
      <c r="H29" s="78">
        <f>G29*'Exchange rate forecast'!$G$9</f>
        <v>2590481.9836747563</v>
      </c>
      <c r="I29" s="80">
        <f>(1+$C$10)*G29</f>
        <v>65856</v>
      </c>
      <c r="J29" s="78">
        <f>I29*'Exchange rate forecast'!$G$10</f>
        <v>10297549.893569008</v>
      </c>
      <c r="K29" s="77">
        <f>(1+$C$10)*I29</f>
        <v>92198.399999999994</v>
      </c>
      <c r="L29" s="78">
        <f>K29*'Exchange rate forecast'!$G$11</f>
        <v>53136574.870734535</v>
      </c>
    </row>
    <row r="30" spans="2:12" x14ac:dyDescent="0.35">
      <c r="B30" s="71" t="str">
        <f>B8</f>
        <v>ADVERTISING COST</v>
      </c>
      <c r="C30" s="77">
        <f>$C$4*C8</f>
        <v>66000</v>
      </c>
      <c r="D30" s="78">
        <f>C30*'Exchange rate forecast'!$G$7</f>
        <v>986110.49835104437</v>
      </c>
      <c r="E30" s="77">
        <f>(1+$C$10)*C30</f>
        <v>92400</v>
      </c>
      <c r="F30" s="78">
        <f>E30*'Exchange rate forecast'!$G$8</f>
        <v>2326302.9134713961</v>
      </c>
      <c r="G30" s="77">
        <f>(1+$C$10)*E30</f>
        <v>129359.99999999999</v>
      </c>
      <c r="H30" s="78">
        <f>G30*'Exchange rate forecast'!$G$9</f>
        <v>7123825.4551055795</v>
      </c>
      <c r="I30" s="80">
        <f>(1+$C$10)*G30</f>
        <v>181103.99999999997</v>
      </c>
      <c r="J30" s="78">
        <f>I30*'Exchange rate forecast'!$G$10</f>
        <v>28318262.207314767</v>
      </c>
      <c r="K30" s="77">
        <f>(1+$C$10)*I30</f>
        <v>253545.59999999995</v>
      </c>
      <c r="L30" s="78">
        <f>K30*'Exchange rate forecast'!$G$11</f>
        <v>146125580.89451995</v>
      </c>
    </row>
    <row r="31" spans="2:12" x14ac:dyDescent="0.35">
      <c r="B31" s="71" t="str">
        <f>B9</f>
        <v>SUB TOTAL</v>
      </c>
      <c r="C31" s="77">
        <f>SUM(C28:C30)</f>
        <v>126000</v>
      </c>
      <c r="D31" s="78">
        <f>SUM(D28:D30)</f>
        <v>1882574.5877610845</v>
      </c>
      <c r="E31" s="77">
        <f t="shared" ref="E31:L31" si="0">SUM(E28:E30)</f>
        <v>176400</v>
      </c>
      <c r="F31" s="78">
        <f t="shared" si="0"/>
        <v>4441123.7438999377</v>
      </c>
      <c r="G31" s="77">
        <f t="shared" si="0"/>
        <v>246960</v>
      </c>
      <c r="H31" s="78">
        <f t="shared" si="0"/>
        <v>13600030.41429247</v>
      </c>
      <c r="I31" s="80">
        <f t="shared" si="0"/>
        <v>345744</v>
      </c>
      <c r="J31" s="78">
        <f t="shared" si="0"/>
        <v>54062136.941237286</v>
      </c>
      <c r="K31" s="77">
        <f t="shared" si="0"/>
        <v>484041.59999999992</v>
      </c>
      <c r="L31" s="78">
        <f t="shared" si="0"/>
        <v>278967018.0713563</v>
      </c>
    </row>
    <row r="32" spans="2:12" x14ac:dyDescent="0.35">
      <c r="B32" s="71"/>
      <c r="C32" s="77"/>
      <c r="D32" s="78"/>
      <c r="E32" s="77"/>
      <c r="F32" s="78"/>
      <c r="G32" s="77"/>
      <c r="H32" s="78"/>
      <c r="I32" s="80"/>
      <c r="J32" s="78"/>
      <c r="K32" s="77"/>
      <c r="L32" s="78"/>
    </row>
    <row r="33" spans="2:14" x14ac:dyDescent="0.35">
      <c r="B33" s="70" t="str">
        <f t="shared" ref="B33:B39" si="1">B11</f>
        <v>ADMINISTRATION COST:</v>
      </c>
      <c r="C33" s="77"/>
      <c r="D33" s="78"/>
      <c r="E33" s="77"/>
      <c r="F33" s="78"/>
      <c r="G33" s="77"/>
      <c r="H33" s="78"/>
      <c r="I33" s="80"/>
      <c r="J33" s="78"/>
      <c r="K33" s="77"/>
      <c r="L33" s="78"/>
      <c r="N33" s="19"/>
    </row>
    <row r="34" spans="2:14" x14ac:dyDescent="0.35">
      <c r="B34" s="71" t="str">
        <f t="shared" si="1"/>
        <v>TELEPHONE BILLS</v>
      </c>
      <c r="C34" s="77">
        <f>$C$4*$C$12</f>
        <v>12000</v>
      </c>
      <c r="D34" s="78">
        <f>C34*'Exchange rate forecast'!$G$7</f>
        <v>179292.81788200806</v>
      </c>
      <c r="E34" s="77">
        <f>$C$4*$C$12</f>
        <v>12000</v>
      </c>
      <c r="F34" s="78">
        <f>E34*'Exchange rate forecast'!$G$8</f>
        <v>302117.26148979168</v>
      </c>
      <c r="G34" s="77">
        <f>$C$4*$C$12</f>
        <v>12000</v>
      </c>
      <c r="H34" s="78">
        <f>G34*'Exchange rate forecast'!$G$9</f>
        <v>660837.24073335622</v>
      </c>
      <c r="I34" s="80">
        <f>$C$4*$C$12</f>
        <v>12000</v>
      </c>
      <c r="J34" s="78">
        <f>I34*'Exchange rate forecast'!$G$10</f>
        <v>1876375.7094695715</v>
      </c>
      <c r="K34" s="77">
        <f>$C$4*$C$12</f>
        <v>12000</v>
      </c>
      <c r="L34" s="78">
        <f>K34*'Exchange rate forecast'!$G$11</f>
        <v>6915943.2099560779</v>
      </c>
    </row>
    <row r="35" spans="2:14" x14ac:dyDescent="0.35">
      <c r="B35" s="70" t="str">
        <f t="shared" si="1"/>
        <v>SALARY:</v>
      </c>
      <c r="C35" s="77"/>
      <c r="D35" s="78"/>
      <c r="E35" s="77"/>
      <c r="F35" s="78"/>
      <c r="G35" s="77"/>
      <c r="H35" s="78"/>
      <c r="I35" s="80"/>
      <c r="J35" s="78"/>
      <c r="K35" s="77"/>
      <c r="L35" s="78"/>
    </row>
    <row r="36" spans="2:14" x14ac:dyDescent="0.35">
      <c r="B36" s="247" t="str">
        <f t="shared" si="1"/>
        <v>ACCOUNTANT</v>
      </c>
      <c r="C36" s="77">
        <f>D36/'Exchange rate forecast'!$G$7</f>
        <v>16063.108573012207</v>
      </c>
      <c r="D36" s="78">
        <f>$C$14*$C$4</f>
        <v>240000</v>
      </c>
      <c r="E36" s="77">
        <f>F36/'Exchange rate forecast'!$G$8</f>
        <v>9532.7224462390186</v>
      </c>
      <c r="F36" s="78">
        <f>$C$14*$C$4</f>
        <v>240000</v>
      </c>
      <c r="G36" s="77">
        <f>H36/'Exchange rate forecast'!$G$9</f>
        <v>4358.1079008258594</v>
      </c>
      <c r="H36" s="78">
        <f>$C$14*$C$4</f>
        <v>240000</v>
      </c>
      <c r="I36" s="80">
        <f>J36/'Exchange rate forecast'!$G$10</f>
        <v>1534.8738450755905</v>
      </c>
      <c r="J36" s="78">
        <f>$C$14*$C$4</f>
        <v>240000</v>
      </c>
      <c r="K36" s="77">
        <f>L36/'Exchange rate forecast'!$G$11</f>
        <v>416.42909904956991</v>
      </c>
      <c r="L36" s="78">
        <f>$C$14*$C$4</f>
        <v>240000</v>
      </c>
    </row>
    <row r="37" spans="2:14" x14ac:dyDescent="0.35">
      <c r="B37" s="247" t="str">
        <f t="shared" si="1"/>
        <v>IT MANAGER</v>
      </c>
      <c r="C37" s="77">
        <f>D37/'Exchange rate forecast'!$G$7</f>
        <v>9637.8651438073248</v>
      </c>
      <c r="D37" s="78">
        <f>$C$4*C15</f>
        <v>144000</v>
      </c>
      <c r="E37" s="77">
        <f>F37/'Exchange rate forecast'!$G$8</f>
        <v>5719.6334677434106</v>
      </c>
      <c r="F37" s="78">
        <f>$C$15*$C$4</f>
        <v>144000</v>
      </c>
      <c r="G37" s="77">
        <f>H37/'Exchange rate forecast'!$G$9</f>
        <v>2614.8647404955154</v>
      </c>
      <c r="H37" s="78">
        <f>$C$15*$C$4</f>
        <v>144000</v>
      </c>
      <c r="I37" s="80">
        <f>J37/'Exchange rate forecast'!$G$10</f>
        <v>920.92430704535423</v>
      </c>
      <c r="J37" s="78">
        <f>$C$15*$C$4</f>
        <v>144000</v>
      </c>
      <c r="K37" s="77">
        <f>L37/'Exchange rate forecast'!$G$11</f>
        <v>249.85745942974194</v>
      </c>
      <c r="L37" s="78">
        <f>$C$15*$C$4</f>
        <v>144000</v>
      </c>
    </row>
    <row r="38" spans="2:14" x14ac:dyDescent="0.35">
      <c r="B38" s="247" t="str">
        <f t="shared" si="1"/>
        <v>SALES MANAGER</v>
      </c>
      <c r="C38" s="77">
        <f>D38/'Exchange rate forecast'!$G$7</f>
        <v>12047.331429759155</v>
      </c>
      <c r="D38" s="78">
        <f>$C$16*$C$4</f>
        <v>180000</v>
      </c>
      <c r="E38" s="77">
        <f>F38/'Exchange rate forecast'!$G$8</f>
        <v>7149.541834679264</v>
      </c>
      <c r="F38" s="78">
        <f>$C$16*$C$4</f>
        <v>180000</v>
      </c>
      <c r="G38" s="77">
        <f>H38/'Exchange rate forecast'!$G$9</f>
        <v>3268.5809256193943</v>
      </c>
      <c r="H38" s="78">
        <f>$C$16*$C$4</f>
        <v>180000</v>
      </c>
      <c r="I38" s="80">
        <f>J38/'Exchange rate forecast'!$G$10</f>
        <v>1151.1553838066927</v>
      </c>
      <c r="J38" s="78">
        <f>$C$16*$C$4</f>
        <v>180000</v>
      </c>
      <c r="K38" s="77">
        <f>L38/'Exchange rate forecast'!$G$11</f>
        <v>312.32182428717744</v>
      </c>
      <c r="L38" s="78">
        <f>$C$16*$C$4</f>
        <v>180000</v>
      </c>
    </row>
    <row r="39" spans="2:14" x14ac:dyDescent="0.35">
      <c r="B39" s="247" t="str">
        <f t="shared" si="1"/>
        <v>OPERATIONS MANAGER</v>
      </c>
      <c r="C39" s="77">
        <f>D39/'Exchange rate forecast'!$G$7</f>
        <v>10441.020572457935</v>
      </c>
      <c r="D39" s="78">
        <f>$C$17*$C$4</f>
        <v>156000</v>
      </c>
      <c r="E39" s="77">
        <f>F39/'Exchange rate forecast'!$G$8</f>
        <v>6196.2695900553617</v>
      </c>
      <c r="F39" s="78">
        <f>$C$17*$C$4</f>
        <v>156000</v>
      </c>
      <c r="G39" s="77">
        <f>H39/'Exchange rate forecast'!$G$9</f>
        <v>2832.7701355368085</v>
      </c>
      <c r="H39" s="78">
        <f>$C$17*$C$4</f>
        <v>156000</v>
      </c>
      <c r="I39" s="80">
        <f>J39/'Exchange rate forecast'!$G$10</f>
        <v>997.66799929913373</v>
      </c>
      <c r="J39" s="78">
        <f>$C$17*$C$4</f>
        <v>156000</v>
      </c>
      <c r="K39" s="77">
        <f>L39/'Exchange rate forecast'!$G$11</f>
        <v>270.67891438222046</v>
      </c>
      <c r="L39" s="78">
        <f>$C$17*$C$4</f>
        <v>156000</v>
      </c>
    </row>
    <row r="40" spans="2:14" x14ac:dyDescent="0.35">
      <c r="B40" s="247" t="s">
        <v>174</v>
      </c>
      <c r="C40" s="77">
        <f>D40/'Exchange rate forecast'!$G$7</f>
        <v>1197826.0062895203</v>
      </c>
      <c r="D40" s="78">
        <f>30%*'Initial cash outflow'!$D$12</f>
        <v>17896800</v>
      </c>
      <c r="E40" s="77">
        <f>F40/'Exchange rate forecast'!$G$8</f>
        <v>710855.11281604355</v>
      </c>
      <c r="F40" s="78">
        <f>30%*'Initial cash outflow'!$D$12</f>
        <v>17896800</v>
      </c>
      <c r="G40" s="77">
        <f>H40/'Exchange rate forecast'!$G$9</f>
        <v>324984.10616458429</v>
      </c>
      <c r="H40" s="78">
        <f>30%*'Initial cash outflow'!$D$12</f>
        <v>17896800</v>
      </c>
      <c r="I40" s="80">
        <f>J40/'Exchange rate forecast'!$G$10</f>
        <v>114455.54262728678</v>
      </c>
      <c r="J40" s="78">
        <f>30%*'Initial cash outflow'!$D$12</f>
        <v>17896800</v>
      </c>
      <c r="K40" s="77">
        <f>L40/'Exchange rate forecast'!$G$11</f>
        <v>31053.117916126426</v>
      </c>
      <c r="L40" s="78">
        <f>30%*'Initial cash outflow'!$D$12</f>
        <v>17896800</v>
      </c>
    </row>
    <row r="41" spans="2:14" x14ac:dyDescent="0.35">
      <c r="B41" s="71" t="s">
        <v>94</v>
      </c>
      <c r="C41" s="77">
        <f>D41/'Exchange rate forecast'!$G$7</f>
        <v>1338.5923810843506</v>
      </c>
      <c r="D41" s="78">
        <v>20000</v>
      </c>
      <c r="E41" s="77">
        <f>F41/'Exchange rate forecast'!$G$8</f>
        <v>794.39353718658481</v>
      </c>
      <c r="F41" s="78">
        <v>20000</v>
      </c>
      <c r="G41" s="77">
        <f>H41/'Exchange rate forecast'!$G$9</f>
        <v>363.17565840215491</v>
      </c>
      <c r="H41" s="78">
        <v>20000</v>
      </c>
      <c r="I41" s="80">
        <f>J41/'Exchange rate forecast'!$G$10</f>
        <v>127.9061537562992</v>
      </c>
      <c r="J41" s="78">
        <v>20000</v>
      </c>
      <c r="K41" s="77">
        <f>L41/'Exchange rate forecast'!$G$11</f>
        <v>34.70242492079749</v>
      </c>
      <c r="L41" s="78">
        <v>20000</v>
      </c>
    </row>
    <row r="42" spans="2:14" x14ac:dyDescent="0.35">
      <c r="B42" s="71" t="str">
        <f>B18</f>
        <v>OFFICE SUPPLIES</v>
      </c>
      <c r="C42" s="77">
        <f>D42/'Exchange rate forecast'!$G$7</f>
        <v>1003.9442858132629</v>
      </c>
      <c r="D42" s="78">
        <v>15000</v>
      </c>
      <c r="E42" s="77">
        <f>F42/'Exchange rate forecast'!$G$8</f>
        <v>595.79515288993866</v>
      </c>
      <c r="F42" s="78">
        <v>15000</v>
      </c>
      <c r="G42" s="77">
        <f>H42/'Exchange rate forecast'!$G$9</f>
        <v>272.38174380161621</v>
      </c>
      <c r="H42" s="78">
        <v>15000</v>
      </c>
      <c r="I42" s="80">
        <f>J42/'Exchange rate forecast'!$G$10</f>
        <v>95.929615317224403</v>
      </c>
      <c r="J42" s="78">
        <v>15000</v>
      </c>
      <c r="K42" s="77">
        <f>L42/'Exchange rate forecast'!$G$11</f>
        <v>26.02681869059812</v>
      </c>
      <c r="L42" s="78">
        <v>15000</v>
      </c>
    </row>
    <row r="43" spans="2:14" x14ac:dyDescent="0.35">
      <c r="B43" s="71" t="str">
        <f>B19</f>
        <v>SUB TOTAL</v>
      </c>
      <c r="C43" s="77">
        <f t="shared" ref="C43:L43" si="2">SUM(C34:C42)</f>
        <v>1260357.8686754545</v>
      </c>
      <c r="D43" s="78">
        <f t="shared" si="2"/>
        <v>18831092.817882009</v>
      </c>
      <c r="E43" s="77">
        <f t="shared" si="2"/>
        <v>752843.46884483704</v>
      </c>
      <c r="F43" s="78">
        <f t="shared" si="2"/>
        <v>18953917.26148979</v>
      </c>
      <c r="G43" s="77">
        <f t="shared" si="2"/>
        <v>350693.98726926564</v>
      </c>
      <c r="H43" s="78">
        <f t="shared" si="2"/>
        <v>19312637.240733355</v>
      </c>
      <c r="I43" s="80">
        <f t="shared" si="2"/>
        <v>131283.99993158708</v>
      </c>
      <c r="J43" s="78">
        <f t="shared" si="2"/>
        <v>20528175.709469572</v>
      </c>
      <c r="K43" s="77">
        <f t="shared" si="2"/>
        <v>44363.134456886532</v>
      </c>
      <c r="L43" s="78">
        <f t="shared" si="2"/>
        <v>25567743.20995608</v>
      </c>
      <c r="M43" s="75"/>
    </row>
    <row r="44" spans="2:14" ht="15" thickBot="1" x14ac:dyDescent="0.4">
      <c r="B44" s="72" t="str">
        <f>B20</f>
        <v>TOTAL</v>
      </c>
      <c r="C44" s="121">
        <f t="shared" ref="C44:L44" si="3">C31+C43</f>
        <v>1386357.8686754545</v>
      </c>
      <c r="D44" s="245">
        <f t="shared" si="3"/>
        <v>20713667.405643094</v>
      </c>
      <c r="E44" s="121">
        <f t="shared" si="3"/>
        <v>929243.46884483704</v>
      </c>
      <c r="F44" s="245">
        <f t="shared" si="3"/>
        <v>23395041.005389728</v>
      </c>
      <c r="G44" s="121">
        <f t="shared" si="3"/>
        <v>597653.98726926558</v>
      </c>
      <c r="H44" s="245">
        <f t="shared" si="3"/>
        <v>32912667.655025825</v>
      </c>
      <c r="I44" s="248">
        <f t="shared" si="3"/>
        <v>477027.99993158708</v>
      </c>
      <c r="J44" s="245">
        <f t="shared" si="3"/>
        <v>74590312.650706857</v>
      </c>
      <c r="K44" s="121">
        <f t="shared" si="3"/>
        <v>528404.73445688642</v>
      </c>
      <c r="L44" s="245">
        <f t="shared" si="3"/>
        <v>304534761.28131235</v>
      </c>
      <c r="M44" s="75"/>
    </row>
    <row r="46" spans="2:14" x14ac:dyDescent="0.35">
      <c r="D46" s="41"/>
    </row>
    <row r="48" spans="2:14" ht="15" thickBot="1" x14ac:dyDescent="0.4"/>
    <row r="49" spans="2:8" ht="15" thickBot="1" x14ac:dyDescent="0.4">
      <c r="B49" s="91"/>
      <c r="C49" s="95" t="s">
        <v>229</v>
      </c>
      <c r="D49" s="144" t="s">
        <v>230</v>
      </c>
      <c r="E49" s="249" t="s">
        <v>231</v>
      </c>
      <c r="F49" s="144" t="s">
        <v>233</v>
      </c>
      <c r="G49" s="95" t="s">
        <v>232</v>
      </c>
      <c r="H49" s="22"/>
    </row>
    <row r="50" spans="2:8" ht="15" thickBot="1" x14ac:dyDescent="0.4">
      <c r="B50" s="73"/>
      <c r="C50" s="129" t="s">
        <v>196</v>
      </c>
      <c r="D50" s="134" t="s">
        <v>196</v>
      </c>
      <c r="E50" s="134" t="s">
        <v>196</v>
      </c>
      <c r="F50" s="134" t="s">
        <v>196</v>
      </c>
      <c r="G50" s="129" t="s">
        <v>196</v>
      </c>
      <c r="H50" s="133"/>
    </row>
    <row r="51" spans="2:8" x14ac:dyDescent="0.35">
      <c r="B51" s="71" t="s">
        <v>219</v>
      </c>
      <c r="C51" s="78">
        <f>500*'Production and Sales Budget'!D41</f>
        <v>4276562.7801599987</v>
      </c>
      <c r="D51" s="78">
        <f>10000*('Operating Needs'!$C$19+'Operating Needs'!$C$20+'Operating Needs'!$C$21+'Operating Needs'!$C$22)*12</f>
        <v>5400000</v>
      </c>
      <c r="E51" s="78">
        <f>D31</f>
        <v>1882574.5877610845</v>
      </c>
      <c r="F51" s="43">
        <f>SUM(C51:E51)</f>
        <v>11559137.367921084</v>
      </c>
      <c r="G51" s="244">
        <f>F51/'Production and Sales Budget'!D41</f>
        <v>1351.4518507183734</v>
      </c>
      <c r="H51" s="20"/>
    </row>
    <row r="52" spans="2:8" x14ac:dyDescent="0.35">
      <c r="B52" s="71" t="s">
        <v>220</v>
      </c>
      <c r="C52" s="78">
        <f>110%*C51</f>
        <v>4704219.0581759987</v>
      </c>
      <c r="D52" s="78">
        <f>10000*('Operating Needs'!$C$19+'Operating Needs'!$C$20+'Operating Needs'!$C$21+'Operating Needs'!$C$22)*12</f>
        <v>5400000</v>
      </c>
      <c r="E52" s="78">
        <f>F31</f>
        <v>4441123.7438999377</v>
      </c>
      <c r="F52" s="43">
        <f t="shared" ref="F52:F55" si="4">SUM(C52:E52)</f>
        <v>14545342.802075937</v>
      </c>
      <c r="G52" s="244">
        <f>F52/'Production and Sales Budget'!E41</f>
        <v>228.87871525392876</v>
      </c>
      <c r="H52" s="20"/>
    </row>
    <row r="53" spans="2:8" x14ac:dyDescent="0.35">
      <c r="B53" s="71" t="s">
        <v>221</v>
      </c>
      <c r="C53" s="78">
        <f t="shared" ref="C53:C55" si="5">110%*C52</f>
        <v>5174640.9639935987</v>
      </c>
      <c r="D53" s="78">
        <f>10000*('Operating Needs'!$C$19+'Operating Needs'!$C$20+'Operating Needs'!$C$21+'Operating Needs'!$C$22)*12</f>
        <v>5400000</v>
      </c>
      <c r="E53" s="78">
        <f>H31</f>
        <v>13600030.41429247</v>
      </c>
      <c r="F53" s="43">
        <f t="shared" si="4"/>
        <v>24174671.378286067</v>
      </c>
      <c r="G53" s="244">
        <f>F53/'Production and Sales Budget'!F41</f>
        <v>51.197448588715787</v>
      </c>
      <c r="H53" s="20"/>
    </row>
    <row r="54" spans="2:8" x14ac:dyDescent="0.35">
      <c r="B54" s="71" t="s">
        <v>222</v>
      </c>
      <c r="C54" s="78">
        <f t="shared" si="5"/>
        <v>5692105.060392959</v>
      </c>
      <c r="D54" s="78">
        <f>10000*('Operating Needs'!$C$19+'Operating Needs'!$C$20+'Operating Needs'!$C$21+'Operating Needs'!$C$22)*12</f>
        <v>5400000</v>
      </c>
      <c r="E54" s="78">
        <f>J31</f>
        <v>54062136.941237286</v>
      </c>
      <c r="F54" s="43">
        <f t="shared" si="4"/>
        <v>65154242.001630247</v>
      </c>
      <c r="G54" s="244">
        <f>F54/'Production and Sales Budget'!G41</f>
        <v>18.571061555002689</v>
      </c>
      <c r="H54" s="20"/>
    </row>
    <row r="55" spans="2:8" ht="15" thickBot="1" x14ac:dyDescent="0.4">
      <c r="B55" s="72" t="s">
        <v>223</v>
      </c>
      <c r="C55" s="79">
        <f t="shared" si="5"/>
        <v>6261315.5664322553</v>
      </c>
      <c r="D55" s="79">
        <f>10000*('Operating Needs'!$C$19+'Operating Needs'!$C$20+'Operating Needs'!$C$21+'Operating Needs'!$C$22)*12</f>
        <v>5400000</v>
      </c>
      <c r="E55" s="79">
        <f>L31</f>
        <v>278967018.0713563</v>
      </c>
      <c r="F55" s="174">
        <f t="shared" si="4"/>
        <v>290628333.63778853</v>
      </c>
      <c r="G55" s="250">
        <f>F55/'Production and Sales Budget'!H41</f>
        <v>11.149060654768835</v>
      </c>
      <c r="H55" s="20"/>
    </row>
    <row r="56" spans="2:8" x14ac:dyDescent="0.35">
      <c r="E56" s="19"/>
      <c r="F56" s="19"/>
      <c r="G56" s="41"/>
    </row>
  </sheetData>
  <mergeCells count="7">
    <mergeCell ref="B24:L24"/>
    <mergeCell ref="C25:D25"/>
    <mergeCell ref="E25:F25"/>
    <mergeCell ref="G25:H25"/>
    <mergeCell ref="B2:D2"/>
    <mergeCell ref="I25:J25"/>
    <mergeCell ref="K25:L25"/>
  </mergeCells>
  <phoneticPr fontId="8" type="noConversion"/>
  <pageMargins left="0.7" right="0.7" top="0.75" bottom="0.75" header="0.3" footer="0.3"/>
  <ignoredErrors>
    <ignoredError sqref="E29:E30 D43:E43 D34:E35 E28 K34 K29:K30 I34 I29:I30 G34 G29:G30 K28 I28 G28 F35:L35 F44:L44 F31:L33 F28 H28 J28 L28 F29:F30 H29:H30 F34 H34 J29:J30 J34 L29:L30 L34 D36:K39 F43:J43 L43 E44 E40:L42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9D6A-DF17-4989-825B-61DF8F9F8AB8}">
  <dimension ref="B2:J41"/>
  <sheetViews>
    <sheetView showGridLines="0" topLeftCell="A7" zoomScale="78" zoomScaleNormal="78" workbookViewId="0">
      <selection activeCell="B30" sqref="B30:D35"/>
    </sheetView>
  </sheetViews>
  <sheetFormatPr defaultRowHeight="14.5" x14ac:dyDescent="0.35"/>
  <cols>
    <col min="2" max="2" width="30.08984375" bestFit="1" customWidth="1"/>
    <col min="3" max="7" width="14.6328125" bestFit="1" customWidth="1"/>
    <col min="8" max="9" width="16.36328125" bestFit="1" customWidth="1"/>
  </cols>
  <sheetData>
    <row r="2" spans="2:10" ht="15" thickBot="1" x14ac:dyDescent="0.4"/>
    <row r="3" spans="2:10" ht="15" thickBot="1" x14ac:dyDescent="0.4">
      <c r="B3" s="365" t="s">
        <v>124</v>
      </c>
      <c r="C3" s="366"/>
      <c r="D3" s="366"/>
      <c r="E3" s="366"/>
      <c r="F3" s="366"/>
      <c r="G3" s="366"/>
      <c r="H3" s="367"/>
      <c r="I3" s="160"/>
    </row>
    <row r="4" spans="2:10" ht="15" thickBot="1" x14ac:dyDescent="0.4">
      <c r="B4" s="91"/>
      <c r="C4" s="95" t="s">
        <v>36</v>
      </c>
      <c r="D4" s="95" t="s">
        <v>37</v>
      </c>
      <c r="E4" s="95" t="s">
        <v>38</v>
      </c>
      <c r="F4" s="238" t="s">
        <v>152</v>
      </c>
      <c r="G4" s="95" t="s">
        <v>153</v>
      </c>
      <c r="H4" s="144" t="s">
        <v>156</v>
      </c>
    </row>
    <row r="5" spans="2:10" ht="15" thickBot="1" x14ac:dyDescent="0.4">
      <c r="B5" s="70"/>
      <c r="C5" s="95" t="s">
        <v>196</v>
      </c>
      <c r="D5" s="95" t="s">
        <v>196</v>
      </c>
      <c r="E5" s="95" t="s">
        <v>196</v>
      </c>
      <c r="F5" s="142" t="s">
        <v>196</v>
      </c>
      <c r="G5" s="95" t="s">
        <v>196</v>
      </c>
      <c r="H5" s="144" t="s">
        <v>196</v>
      </c>
    </row>
    <row r="6" spans="2:10" x14ac:dyDescent="0.35">
      <c r="B6" s="70" t="s">
        <v>75</v>
      </c>
      <c r="C6" s="96">
        <f>'Operating Cost'!D43</f>
        <v>18831092.817882009</v>
      </c>
      <c r="D6" s="96">
        <f>'Operating Cost'!F43</f>
        <v>18953917.26148979</v>
      </c>
      <c r="E6" s="96">
        <f>'Operating Cost'!H43</f>
        <v>19312637.240733355</v>
      </c>
      <c r="F6" s="80">
        <f>'Operating Cost'!J43</f>
        <v>20528175.709469572</v>
      </c>
      <c r="G6" s="96">
        <f>'Operating Cost'!L43</f>
        <v>25567743.20995608</v>
      </c>
      <c r="H6" s="78">
        <f>SUM(C6:G6)</f>
        <v>103193566.2395308</v>
      </c>
    </row>
    <row r="7" spans="2:10" x14ac:dyDescent="0.35">
      <c r="B7" s="70" t="s">
        <v>125</v>
      </c>
      <c r="C7" s="96">
        <f>'income statement'!C4</f>
        <v>2500</v>
      </c>
      <c r="D7" s="96">
        <f>'income statement'!E4</f>
        <v>2500</v>
      </c>
      <c r="E7" s="96">
        <f>'income statement'!G4</f>
        <v>2500</v>
      </c>
      <c r="F7" s="80">
        <f>'income statement'!I4</f>
        <v>2500</v>
      </c>
      <c r="G7" s="96">
        <f>'income statement'!K4</f>
        <v>2500</v>
      </c>
      <c r="H7" s="78">
        <f>G7</f>
        <v>2500</v>
      </c>
    </row>
    <row r="8" spans="2:10" x14ac:dyDescent="0.35">
      <c r="B8" s="70" t="s">
        <v>76</v>
      </c>
      <c r="C8" s="96">
        <f>'Operating Cost'!G51</f>
        <v>1351.4518507183734</v>
      </c>
      <c r="D8" s="96">
        <f>'Operating Cost'!G52</f>
        <v>228.87871525392876</v>
      </c>
      <c r="E8" s="96">
        <f>'Operating Cost'!G53</f>
        <v>51.197448588715787</v>
      </c>
      <c r="F8" s="80">
        <f>'Operating Cost'!G54</f>
        <v>18.571061555002689</v>
      </c>
      <c r="G8" s="96">
        <f>'Operating Cost'!G55</f>
        <v>11.149060654768835</v>
      </c>
      <c r="H8" s="78">
        <f>'Operating Cost'!G56</f>
        <v>0</v>
      </c>
    </row>
    <row r="9" spans="2:10" x14ac:dyDescent="0.35">
      <c r="B9" s="70" t="s">
        <v>126</v>
      </c>
      <c r="C9" s="97">
        <f>C7-C8</f>
        <v>1148.5481492816266</v>
      </c>
      <c r="D9" s="97">
        <f t="shared" ref="D9:F9" si="0">D7-D8</f>
        <v>2271.1212847460711</v>
      </c>
      <c r="E9" s="97">
        <f t="shared" si="0"/>
        <v>2448.8025514112842</v>
      </c>
      <c r="F9" s="235">
        <f t="shared" si="0"/>
        <v>2481.4289384449971</v>
      </c>
      <c r="G9" s="97">
        <f t="shared" ref="G9" si="1">G7-G8</f>
        <v>2488.8509393452314</v>
      </c>
      <c r="H9" s="161">
        <f>H7-H8</f>
        <v>2500</v>
      </c>
    </row>
    <row r="10" spans="2:10" ht="15" thickBot="1" x14ac:dyDescent="0.4">
      <c r="B10" s="70"/>
      <c r="C10" s="96"/>
      <c r="D10" s="96"/>
      <c r="E10" s="96"/>
      <c r="F10" s="80"/>
      <c r="G10" s="96"/>
      <c r="H10" s="78"/>
    </row>
    <row r="11" spans="2:10" ht="15" thickBot="1" x14ac:dyDescent="0.4">
      <c r="B11" s="92"/>
      <c r="C11" s="361" t="s">
        <v>2</v>
      </c>
      <c r="D11" s="361" t="s">
        <v>2</v>
      </c>
      <c r="E11" s="361" t="s">
        <v>2</v>
      </c>
      <c r="F11" s="361" t="s">
        <v>2</v>
      </c>
      <c r="G11" s="361" t="s">
        <v>2</v>
      </c>
      <c r="H11" s="361" t="s">
        <v>2</v>
      </c>
    </row>
    <row r="12" spans="2:10" x14ac:dyDescent="0.35">
      <c r="B12" s="93" t="s">
        <v>127</v>
      </c>
      <c r="C12" s="239">
        <f>C6/C9</f>
        <v>16395.562371207638</v>
      </c>
      <c r="D12" s="239">
        <f t="shared" ref="D12:F12" si="2">D6/D9</f>
        <v>8345.6209004747125</v>
      </c>
      <c r="E12" s="239">
        <f t="shared" si="2"/>
        <v>7886.5636715394521</v>
      </c>
      <c r="F12" s="240">
        <f t="shared" si="2"/>
        <v>8272.7235873752961</v>
      </c>
      <c r="G12" s="239">
        <f t="shared" ref="G12" si="3">G6/G9</f>
        <v>10272.910605358495</v>
      </c>
      <c r="H12" s="241">
        <f>H6/H9</f>
        <v>41277.426495812324</v>
      </c>
      <c r="J12" s="39"/>
    </row>
    <row r="13" spans="2:10" ht="15" thickBot="1" x14ac:dyDescent="0.4">
      <c r="B13" s="70"/>
      <c r="C13" s="96"/>
      <c r="D13" s="96"/>
      <c r="E13" s="96"/>
      <c r="F13" s="80"/>
      <c r="G13" s="96"/>
      <c r="H13" s="78"/>
    </row>
    <row r="14" spans="2:10" ht="15" thickBot="1" x14ac:dyDescent="0.4">
      <c r="B14" s="95" t="s">
        <v>128</v>
      </c>
      <c r="C14" s="98">
        <f>C9/C7</f>
        <v>0.45941925971265063</v>
      </c>
      <c r="D14" s="98">
        <f>D9/D7</f>
        <v>0.9084485138984284</v>
      </c>
      <c r="E14" s="98">
        <f t="shared" ref="E14:F14" si="4">E9/E7</f>
        <v>0.97952102056451362</v>
      </c>
      <c r="F14" s="236">
        <f t="shared" si="4"/>
        <v>0.99257157537799889</v>
      </c>
      <c r="G14" s="98">
        <f t="shared" ref="G14" si="5">G9/G7</f>
        <v>0.99554037573809251</v>
      </c>
      <c r="H14" s="99">
        <f>H9/H7</f>
        <v>1</v>
      </c>
    </row>
    <row r="15" spans="2:10" x14ac:dyDescent="0.35">
      <c r="B15" s="70"/>
      <c r="C15" s="96" t="s">
        <v>39</v>
      </c>
      <c r="D15" s="96" t="s">
        <v>39</v>
      </c>
      <c r="E15" s="96" t="s">
        <v>39</v>
      </c>
      <c r="F15" s="80" t="s">
        <v>39</v>
      </c>
      <c r="G15" s="96" t="s">
        <v>39</v>
      </c>
      <c r="H15" s="78" t="s">
        <v>39</v>
      </c>
    </row>
    <row r="16" spans="2:10" ht="15" thickBot="1" x14ac:dyDescent="0.4">
      <c r="B16" s="73" t="s">
        <v>129</v>
      </c>
      <c r="C16" s="94">
        <f>C6/C14</f>
        <v>40988905.928019091</v>
      </c>
      <c r="D16" s="94">
        <f t="shared" ref="D16:F16" si="6">D6/D14</f>
        <v>20864052.251186781</v>
      </c>
      <c r="E16" s="94">
        <f t="shared" si="6"/>
        <v>19716409.178848632</v>
      </c>
      <c r="F16" s="237">
        <f t="shared" si="6"/>
        <v>20681808.968438242</v>
      </c>
      <c r="G16" s="94">
        <f t="shared" ref="G16" si="7">G6/G14</f>
        <v>25682276.513396237</v>
      </c>
      <c r="H16" s="162">
        <f>H6/H14</f>
        <v>103193566.2395308</v>
      </c>
    </row>
    <row r="18" spans="2:8" x14ac:dyDescent="0.35">
      <c r="B18" s="20"/>
      <c r="C18" s="20"/>
      <c r="D18" s="20"/>
      <c r="E18" s="20"/>
      <c r="F18" s="20"/>
      <c r="G18" s="68"/>
      <c r="H18" s="20"/>
    </row>
    <row r="19" spans="2:8" x14ac:dyDescent="0.35">
      <c r="B19" s="20"/>
      <c r="C19" s="40"/>
      <c r="D19" s="77"/>
      <c r="E19" s="40"/>
      <c r="F19" s="77"/>
      <c r="G19" s="40"/>
      <c r="H19" s="40"/>
    </row>
    <row r="20" spans="2:8" x14ac:dyDescent="0.35">
      <c r="B20" s="20"/>
      <c r="C20" s="40"/>
      <c r="D20" s="77"/>
      <c r="E20" s="40"/>
      <c r="F20" s="77"/>
      <c r="G20" s="40"/>
      <c r="H20" s="40"/>
    </row>
    <row r="21" spans="2:8" x14ac:dyDescent="0.35">
      <c r="B21" s="20"/>
      <c r="C21" s="40"/>
      <c r="D21" s="77"/>
      <c r="E21" s="40"/>
      <c r="F21" s="77"/>
      <c r="G21" s="40"/>
      <c r="H21" s="40"/>
    </row>
    <row r="22" spans="2:8" x14ac:dyDescent="0.35">
      <c r="B22" s="20"/>
      <c r="C22" s="40"/>
      <c r="D22" s="77"/>
      <c r="E22" s="40"/>
      <c r="F22" s="77"/>
      <c r="G22" s="40"/>
      <c r="H22" s="40"/>
    </row>
    <row r="23" spans="2:8" x14ac:dyDescent="0.35">
      <c r="B23" s="20"/>
      <c r="C23" s="40"/>
      <c r="D23" s="77"/>
      <c r="E23" s="40"/>
      <c r="F23" s="77"/>
      <c r="G23" s="40"/>
      <c r="H23" s="40"/>
    </row>
    <row r="24" spans="2:8" x14ac:dyDescent="0.35">
      <c r="B24" s="20"/>
      <c r="C24" s="40"/>
      <c r="D24" s="77"/>
      <c r="E24" s="40"/>
      <c r="F24" s="77"/>
      <c r="G24" s="40"/>
      <c r="H24" s="40"/>
    </row>
    <row r="25" spans="2:8" x14ac:dyDescent="0.35">
      <c r="B25" s="20"/>
      <c r="C25" s="40"/>
      <c r="D25" s="40"/>
      <c r="E25" s="40"/>
      <c r="F25" s="40"/>
      <c r="G25" s="40"/>
      <c r="H25" s="40"/>
    </row>
    <row r="26" spans="2:8" x14ac:dyDescent="0.35">
      <c r="B26" s="20"/>
      <c r="C26" s="77"/>
      <c r="D26" s="77"/>
      <c r="E26" s="77"/>
      <c r="F26" s="77"/>
      <c r="G26" s="77"/>
      <c r="H26" s="40"/>
    </row>
    <row r="27" spans="2:8" x14ac:dyDescent="0.35">
      <c r="B27" s="20"/>
      <c r="C27" s="40"/>
      <c r="D27" s="40"/>
      <c r="E27" s="40"/>
      <c r="F27" s="40"/>
      <c r="G27" s="40"/>
      <c r="H27" s="40"/>
    </row>
    <row r="28" spans="2:8" x14ac:dyDescent="0.35">
      <c r="B28" s="20"/>
      <c r="C28" s="40"/>
      <c r="D28" s="40"/>
      <c r="E28" s="40"/>
      <c r="F28" s="40"/>
      <c r="G28" s="77"/>
      <c r="H28" s="40"/>
    </row>
    <row r="29" spans="2:8" x14ac:dyDescent="0.35">
      <c r="B29" s="20"/>
      <c r="C29" s="20"/>
      <c r="D29" s="20"/>
      <c r="E29" s="20"/>
      <c r="F29" s="20"/>
      <c r="G29" s="77"/>
      <c r="H29" s="20"/>
    </row>
    <row r="32" spans="2:8" x14ac:dyDescent="0.35">
      <c r="C32" s="69"/>
    </row>
    <row r="33" spans="3:6" x14ac:dyDescent="0.35">
      <c r="C33" s="69"/>
    </row>
    <row r="39" spans="3:6" x14ac:dyDescent="0.35">
      <c r="D39" s="19"/>
      <c r="E39" s="19"/>
      <c r="F39" s="19"/>
    </row>
    <row r="40" spans="3:6" x14ac:dyDescent="0.35">
      <c r="D40" s="19"/>
      <c r="E40" s="19"/>
      <c r="F40" s="19"/>
    </row>
    <row r="41" spans="3:6" x14ac:dyDescent="0.35">
      <c r="D41" s="19"/>
      <c r="E41" s="19"/>
      <c r="F41" s="19"/>
    </row>
  </sheetData>
  <mergeCells count="1">
    <mergeCell ref="B3:H3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B567A-2C35-429E-AA3E-690DE61FBE0F}">
  <dimension ref="C2:K11"/>
  <sheetViews>
    <sheetView showGridLines="0" workbookViewId="0">
      <selection activeCell="M20" sqref="M20"/>
    </sheetView>
  </sheetViews>
  <sheetFormatPr defaultRowHeight="14.5" x14ac:dyDescent="0.35"/>
  <cols>
    <col min="3" max="3" width="2.453125" bestFit="1" customWidth="1"/>
    <col min="5" max="5" width="7.54296875" bestFit="1" customWidth="1"/>
    <col min="7" max="7" width="12.453125" bestFit="1" customWidth="1"/>
    <col min="10" max="10" width="23.08984375" bestFit="1" customWidth="1"/>
  </cols>
  <sheetData>
    <row r="2" spans="3:11" ht="15" thickBot="1" x14ac:dyDescent="0.4"/>
    <row r="3" spans="3:11" ht="15" thickBot="1" x14ac:dyDescent="0.4">
      <c r="C3" s="365" t="s">
        <v>190</v>
      </c>
      <c r="D3" s="366"/>
      <c r="E3" s="366"/>
      <c r="F3" s="366"/>
      <c r="G3" s="366"/>
      <c r="H3" s="366"/>
      <c r="I3" s="366"/>
      <c r="J3" s="366"/>
      <c r="K3" s="367"/>
    </row>
    <row r="4" spans="3:11" ht="15" thickBot="1" x14ac:dyDescent="0.4">
      <c r="C4" s="124"/>
      <c r="D4" s="125"/>
      <c r="E4" s="125"/>
      <c r="F4" s="125"/>
      <c r="G4" s="126"/>
      <c r="H4" s="28"/>
      <c r="I4" s="28"/>
      <c r="J4" s="28"/>
      <c r="K4" s="88"/>
    </row>
    <row r="5" spans="3:11" ht="15" thickBot="1" x14ac:dyDescent="0.4">
      <c r="C5" s="116"/>
      <c r="D5" s="117"/>
      <c r="E5" s="117"/>
      <c r="F5" s="118"/>
      <c r="G5" s="95" t="s">
        <v>191</v>
      </c>
      <c r="H5" s="20"/>
      <c r="I5" s="20"/>
      <c r="J5" s="20"/>
      <c r="K5" s="67"/>
    </row>
    <row r="6" spans="3:11" ht="17" thickBot="1" x14ac:dyDescent="0.5">
      <c r="C6" s="91" t="s">
        <v>238</v>
      </c>
      <c r="D6" s="20"/>
      <c r="E6" s="143" t="s">
        <v>197</v>
      </c>
      <c r="F6" s="20"/>
      <c r="G6" s="138">
        <v>11.51</v>
      </c>
      <c r="H6" s="20"/>
      <c r="I6" s="20"/>
      <c r="J6" s="20"/>
      <c r="K6" s="67"/>
    </row>
    <row r="7" spans="3:11" ht="17" thickBot="1" x14ac:dyDescent="0.5">
      <c r="C7" s="70" t="s">
        <v>239</v>
      </c>
      <c r="D7" s="20"/>
      <c r="E7" s="138" t="s">
        <v>197</v>
      </c>
      <c r="F7" s="20"/>
      <c r="G7" s="178">
        <f>G6*((1+$K$9)/(1+$K$8))^1</f>
        <v>14.941068156834005</v>
      </c>
      <c r="H7" s="20"/>
      <c r="I7" s="20"/>
      <c r="J7" s="365" t="s">
        <v>192</v>
      </c>
      <c r="K7" s="367"/>
    </row>
    <row r="8" spans="3:11" ht="16.5" x14ac:dyDescent="0.45">
      <c r="C8" s="70" t="s">
        <v>240</v>
      </c>
      <c r="D8" s="20"/>
      <c r="E8" s="138" t="s">
        <v>197</v>
      </c>
      <c r="F8" s="20"/>
      <c r="G8" s="178">
        <f>G7*((1+$K$9)/(1+$K$8))^2</f>
        <v>25.176438457482639</v>
      </c>
      <c r="H8" s="20"/>
      <c r="I8" s="20"/>
      <c r="J8" s="23" t="s">
        <v>193</v>
      </c>
      <c r="K8" s="127">
        <v>9.1600000000000001E-2</v>
      </c>
    </row>
    <row r="9" spans="3:11" ht="17" thickBot="1" x14ac:dyDescent="0.5">
      <c r="C9" s="70" t="s">
        <v>241</v>
      </c>
      <c r="D9" s="20"/>
      <c r="E9" s="138" t="s">
        <v>197</v>
      </c>
      <c r="F9" s="20"/>
      <c r="G9" s="178">
        <f>G8*((1+$K$9)/(1+$K$8))^3</f>
        <v>55.069770061113019</v>
      </c>
      <c r="H9" s="20"/>
      <c r="I9" s="20"/>
      <c r="J9" s="24" t="s">
        <v>194</v>
      </c>
      <c r="K9" s="128">
        <v>0.41699999999999998</v>
      </c>
    </row>
    <row r="10" spans="3:11" ht="16.5" x14ac:dyDescent="0.45">
      <c r="C10" s="70" t="s">
        <v>242</v>
      </c>
      <c r="D10" s="20"/>
      <c r="E10" s="138" t="s">
        <v>197</v>
      </c>
      <c r="F10" s="20"/>
      <c r="G10" s="178">
        <f>G9*((1+$K$9)/(1+$K$8))^4</f>
        <v>156.36464245579762</v>
      </c>
      <c r="H10" s="20"/>
      <c r="I10" s="20"/>
      <c r="J10" s="20"/>
      <c r="K10" s="67"/>
    </row>
    <row r="11" spans="3:11" ht="17" thickBot="1" x14ac:dyDescent="0.5">
      <c r="C11" s="73" t="s">
        <v>243</v>
      </c>
      <c r="D11" s="25"/>
      <c r="E11" s="169" t="s">
        <v>197</v>
      </c>
      <c r="F11" s="25"/>
      <c r="G11" s="179">
        <f>G10*((1+$K$9)/(1+$K$8))^5</f>
        <v>576.32860082967318</v>
      </c>
      <c r="H11" s="25"/>
      <c r="I11" s="25"/>
      <c r="J11" s="25"/>
      <c r="K11" s="115"/>
    </row>
  </sheetData>
  <mergeCells count="2">
    <mergeCell ref="C3:K3"/>
    <mergeCell ref="J7:K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0E41-1DC0-4034-A260-E6AC659477C7}">
  <dimension ref="A2:P50"/>
  <sheetViews>
    <sheetView showGridLines="0" topLeftCell="A25" zoomScale="53" zoomScaleNormal="53" workbookViewId="0">
      <selection activeCell="C44" sqref="C44:L44"/>
    </sheetView>
  </sheetViews>
  <sheetFormatPr defaultRowHeight="18.5" x14ac:dyDescent="0.45"/>
  <cols>
    <col min="1" max="1" width="8.7265625" style="251"/>
    <col min="2" max="2" width="34.36328125" style="251" bestFit="1" customWidth="1"/>
    <col min="3" max="3" width="18.453125" style="251" bestFit="1" customWidth="1"/>
    <col min="4" max="4" width="19.81640625" style="251" bestFit="1" customWidth="1"/>
    <col min="5" max="5" width="17.453125" style="251" bestFit="1" customWidth="1"/>
    <col min="6" max="6" width="19" style="251" bestFit="1" customWidth="1"/>
    <col min="7" max="7" width="17.453125" style="251" bestFit="1" customWidth="1"/>
    <col min="8" max="8" width="20.6328125" style="251" bestFit="1" customWidth="1"/>
    <col min="9" max="9" width="19" style="251" bestFit="1" customWidth="1"/>
    <col min="10" max="10" width="22.54296875" style="251" bestFit="1" customWidth="1"/>
    <col min="11" max="11" width="19" style="251" bestFit="1" customWidth="1"/>
    <col min="12" max="12" width="23.90625" style="251" bestFit="1" customWidth="1"/>
    <col min="13" max="13" width="11.81640625" style="251" bestFit="1" customWidth="1"/>
    <col min="14" max="16384" width="8.7265625" style="251"/>
  </cols>
  <sheetData>
    <row r="2" spans="1:13" ht="19.5" thickBot="1" x14ac:dyDescent="0.55000000000000004">
      <c r="B2" s="252"/>
      <c r="C2" s="252"/>
      <c r="D2" s="252"/>
      <c r="E2" s="252"/>
      <c r="F2" s="252"/>
      <c r="G2" s="252"/>
      <c r="H2" s="252"/>
      <c r="I2" s="252"/>
      <c r="J2" s="252"/>
    </row>
    <row r="3" spans="1:13" ht="19" thickBot="1" x14ac:dyDescent="0.5">
      <c r="A3" s="253"/>
      <c r="B3" s="368" t="s">
        <v>48</v>
      </c>
      <c r="C3" s="369"/>
      <c r="D3" s="369"/>
      <c r="E3" s="369"/>
      <c r="F3" s="369"/>
      <c r="G3" s="369"/>
      <c r="H3" s="369"/>
      <c r="I3" s="369"/>
      <c r="J3" s="369"/>
      <c r="K3" s="369"/>
      <c r="L3" s="370"/>
    </row>
    <row r="4" spans="1:13" ht="19" thickBot="1" x14ac:dyDescent="0.5">
      <c r="A4" s="253"/>
      <c r="B4" s="254" t="s">
        <v>198</v>
      </c>
      <c r="C4" s="255">
        <v>2500</v>
      </c>
      <c r="D4" s="256"/>
      <c r="E4" s="255">
        <v>2500</v>
      </c>
      <c r="F4" s="256"/>
      <c r="G4" s="255">
        <v>2500</v>
      </c>
      <c r="H4" s="256"/>
      <c r="I4" s="255">
        <v>2500</v>
      </c>
      <c r="J4" s="256"/>
      <c r="K4" s="255">
        <v>2500</v>
      </c>
      <c r="L4" s="257"/>
    </row>
    <row r="5" spans="1:13" ht="19" thickBot="1" x14ac:dyDescent="0.5">
      <c r="A5" s="253"/>
      <c r="B5" s="254" t="s">
        <v>95</v>
      </c>
      <c r="C5" s="258">
        <f>C4/'Exchange rate forecast'!G7</f>
        <v>167.32404763554382</v>
      </c>
      <c r="D5" s="256"/>
      <c r="E5" s="258">
        <f>E4/'Exchange rate forecast'!G8</f>
        <v>99.299192148323101</v>
      </c>
      <c r="F5" s="256"/>
      <c r="G5" s="258">
        <f>G4/'Exchange rate forecast'!G9</f>
        <v>45.396957300269364</v>
      </c>
      <c r="H5" s="256"/>
      <c r="I5" s="258">
        <f>I4/'Exchange rate forecast'!G10</f>
        <v>15.988269219537401</v>
      </c>
      <c r="J5" s="256"/>
      <c r="K5" s="258">
        <f>K4/'Exchange rate forecast'!G11</f>
        <v>4.3378031150996863</v>
      </c>
      <c r="L5" s="259"/>
    </row>
    <row r="6" spans="1:13" ht="19" thickBot="1" x14ac:dyDescent="0.5">
      <c r="A6" s="253"/>
      <c r="B6" s="260" t="s">
        <v>176</v>
      </c>
      <c r="C6" s="261">
        <v>0.65</v>
      </c>
      <c r="D6" s="262" t="s">
        <v>177</v>
      </c>
      <c r="E6" s="262"/>
      <c r="F6" s="262"/>
      <c r="G6" s="262"/>
      <c r="H6" s="262"/>
      <c r="I6" s="262"/>
      <c r="J6" s="262"/>
      <c r="K6" s="262"/>
      <c r="L6" s="263"/>
    </row>
    <row r="7" spans="1:13" ht="19" thickBot="1" x14ac:dyDescent="0.5">
      <c r="A7" s="253"/>
      <c r="B7" s="260" t="s">
        <v>184</v>
      </c>
      <c r="C7" s="261">
        <v>0.3</v>
      </c>
      <c r="D7" s="262"/>
      <c r="E7" s="262"/>
      <c r="F7" s="262"/>
      <c r="G7" s="262"/>
      <c r="H7" s="262"/>
      <c r="I7" s="264"/>
      <c r="J7" s="264"/>
      <c r="K7" s="264"/>
      <c r="L7" s="263"/>
    </row>
    <row r="8" spans="1:13" ht="19" thickBot="1" x14ac:dyDescent="0.5">
      <c r="A8" s="253"/>
      <c r="B8" s="265" t="s">
        <v>204</v>
      </c>
      <c r="C8" s="261">
        <v>0.1</v>
      </c>
      <c r="D8" s="262"/>
      <c r="E8" s="262"/>
      <c r="F8" s="262"/>
      <c r="G8" s="262"/>
      <c r="H8" s="262"/>
      <c r="I8" s="264"/>
      <c r="J8" s="264"/>
      <c r="K8" s="264"/>
      <c r="L8" s="263"/>
    </row>
    <row r="9" spans="1:13" ht="19" thickBot="1" x14ac:dyDescent="0.5">
      <c r="A9" s="253"/>
      <c r="B9" s="265" t="s">
        <v>187</v>
      </c>
      <c r="C9" s="261">
        <v>0</v>
      </c>
      <c r="D9" s="262"/>
      <c r="E9" s="262"/>
      <c r="F9" s="262"/>
      <c r="G9" s="262"/>
      <c r="H9" s="262"/>
      <c r="I9" s="264"/>
      <c r="J9" s="264"/>
      <c r="K9" s="264"/>
      <c r="L9" s="263"/>
    </row>
    <row r="10" spans="1:13" ht="19" thickBot="1" x14ac:dyDescent="0.5">
      <c r="A10" s="253"/>
      <c r="B10" s="265" t="s">
        <v>188</v>
      </c>
      <c r="C10" s="261">
        <v>1</v>
      </c>
      <c r="D10" s="262"/>
      <c r="E10" s="262"/>
      <c r="F10" s="262"/>
      <c r="G10" s="262"/>
      <c r="H10" s="262"/>
      <c r="I10" s="264"/>
      <c r="J10" s="264"/>
      <c r="K10" s="264"/>
      <c r="L10" s="263"/>
    </row>
    <row r="11" spans="1:13" ht="19" thickBot="1" x14ac:dyDescent="0.5">
      <c r="A11" s="253"/>
      <c r="B11" s="265"/>
      <c r="C11" s="368" t="str">
        <f>C15</f>
        <v>Projected Year 1</v>
      </c>
      <c r="D11" s="370"/>
      <c r="E11" s="368" t="str">
        <f>E15</f>
        <v>Projected Year 2</v>
      </c>
      <c r="F11" s="370"/>
      <c r="G11" s="368" t="str">
        <f>G15</f>
        <v>Projected Year 3</v>
      </c>
      <c r="H11" s="370"/>
      <c r="I11" s="368" t="str">
        <f>I15</f>
        <v>Projected Year 4</v>
      </c>
      <c r="J11" s="370"/>
      <c r="K11" s="368" t="str">
        <f>K15</f>
        <v>Projected Year 5</v>
      </c>
      <c r="L11" s="370"/>
      <c r="M11" s="266"/>
    </row>
    <row r="12" spans="1:13" ht="19" thickBot="1" x14ac:dyDescent="0.5">
      <c r="A12" s="253"/>
      <c r="B12" s="267" t="s">
        <v>96</v>
      </c>
      <c r="C12" s="371">
        <f>'Production and Sales Budget'!O14</f>
        <v>8268.0213749759987</v>
      </c>
      <c r="D12" s="372"/>
      <c r="E12" s="373">
        <f>'Production and Sales Budget'!O19</f>
        <v>61432.090906344718</v>
      </c>
      <c r="F12" s="374"/>
      <c r="G12" s="373">
        <f>'Production and Sales Budget'!O24</f>
        <v>456445.5777228027</v>
      </c>
      <c r="H12" s="374"/>
      <c r="I12" s="373">
        <f>'Production and Sales Budget'!O29</f>
        <v>3391428.8501156243</v>
      </c>
      <c r="J12" s="375"/>
      <c r="K12" s="373">
        <f>'Production and Sales Budget'!O34</f>
        <v>25198600.242286861</v>
      </c>
      <c r="L12" s="374"/>
    </row>
    <row r="13" spans="1:13" x14ac:dyDescent="0.45">
      <c r="B13" s="268"/>
      <c r="C13" s="269"/>
      <c r="D13" s="270"/>
      <c r="E13" s="271"/>
      <c r="F13" s="271"/>
      <c r="G13" s="269"/>
      <c r="H13" s="269"/>
      <c r="I13" s="269"/>
      <c r="J13" s="270"/>
      <c r="K13" s="272"/>
      <c r="L13" s="272"/>
    </row>
    <row r="14" spans="1:13" ht="19" thickBot="1" x14ac:dyDescent="0.5">
      <c r="B14" s="272"/>
      <c r="C14" s="271"/>
      <c r="D14" s="271"/>
      <c r="E14" s="271"/>
      <c r="F14" s="271"/>
      <c r="G14" s="271"/>
      <c r="H14" s="271"/>
      <c r="I14" s="271"/>
      <c r="J14" s="271"/>
      <c r="K14" s="272"/>
      <c r="L14" s="272"/>
    </row>
    <row r="15" spans="1:13" ht="19" thickBot="1" x14ac:dyDescent="0.5">
      <c r="A15" s="253"/>
      <c r="B15" s="273"/>
      <c r="C15" s="368" t="s">
        <v>36</v>
      </c>
      <c r="D15" s="370"/>
      <c r="E15" s="368" t="s">
        <v>37</v>
      </c>
      <c r="F15" s="370"/>
      <c r="G15" s="368" t="s">
        <v>38</v>
      </c>
      <c r="H15" s="370"/>
      <c r="I15" s="368" t="s">
        <v>152</v>
      </c>
      <c r="J15" s="370"/>
      <c r="K15" s="368" t="s">
        <v>153</v>
      </c>
      <c r="L15" s="370"/>
      <c r="M15" s="274"/>
    </row>
    <row r="16" spans="1:13" ht="19" thickBot="1" x14ac:dyDescent="0.5">
      <c r="B16" s="255"/>
      <c r="C16" s="275" t="s">
        <v>39</v>
      </c>
      <c r="D16" s="276" t="s">
        <v>196</v>
      </c>
      <c r="E16" s="260" t="s">
        <v>39</v>
      </c>
      <c r="F16" s="260" t="s">
        <v>196</v>
      </c>
      <c r="G16" s="260" t="s">
        <v>39</v>
      </c>
      <c r="H16" s="260" t="s">
        <v>196</v>
      </c>
      <c r="I16" s="276" t="s">
        <v>39</v>
      </c>
      <c r="J16" s="276" t="s">
        <v>196</v>
      </c>
      <c r="K16" s="276" t="s">
        <v>39</v>
      </c>
      <c r="L16" s="260" t="s">
        <v>196</v>
      </c>
    </row>
    <row r="17" spans="1:13" x14ac:dyDescent="0.45">
      <c r="B17" s="277"/>
      <c r="C17" s="275"/>
      <c r="D17" s="276"/>
      <c r="E17" s="276"/>
      <c r="F17" s="265"/>
      <c r="G17" s="265"/>
      <c r="H17" s="265"/>
      <c r="I17" s="276"/>
      <c r="J17" s="276"/>
      <c r="K17" s="277"/>
      <c r="L17" s="278"/>
      <c r="M17" s="274"/>
    </row>
    <row r="18" spans="1:13" x14ac:dyDescent="0.45">
      <c r="A18" s="266"/>
      <c r="B18" s="265" t="s">
        <v>178</v>
      </c>
      <c r="C18" s="279">
        <f>$C$5*C12</f>
        <v>1383438.8023981785</v>
      </c>
      <c r="D18" s="280">
        <f>$C$4*C12</f>
        <v>20670053.437439997</v>
      </c>
      <c r="E18" s="280">
        <f>$E$5*E12</f>
        <v>6100156.9989823764</v>
      </c>
      <c r="F18" s="280">
        <f>$C$4*E12</f>
        <v>153580227.26586181</v>
      </c>
      <c r="G18" s="280">
        <f>G5*G12</f>
        <v>20721240.401778854</v>
      </c>
      <c r="H18" s="280">
        <f>$C$4*G12</f>
        <v>1141113944.3070068</v>
      </c>
      <c r="I18" s="280">
        <f>I5*I12</f>
        <v>54223077.494554758</v>
      </c>
      <c r="J18" s="280">
        <f>$C$4*I12</f>
        <v>8478572125.2890606</v>
      </c>
      <c r="K18" s="280">
        <f>K5*K12</f>
        <v>109306566.62714365</v>
      </c>
      <c r="L18" s="280">
        <f>$C$4*K12</f>
        <v>62996500605.717155</v>
      </c>
      <c r="M18" s="274"/>
    </row>
    <row r="19" spans="1:13" ht="19" thickBot="1" x14ac:dyDescent="0.5">
      <c r="B19" s="265" t="s">
        <v>179</v>
      </c>
      <c r="C19" s="279">
        <f>$C$6*C18</f>
        <v>899235.22155881603</v>
      </c>
      <c r="D19" s="280">
        <f t="shared" ref="D19:L19" si="0">$C$6*D18</f>
        <v>13435534.734335998</v>
      </c>
      <c r="E19" s="280">
        <f t="shared" si="0"/>
        <v>3965102.0493385447</v>
      </c>
      <c r="F19" s="280">
        <f t="shared" si="0"/>
        <v>99827147.722810179</v>
      </c>
      <c r="G19" s="280">
        <f t="shared" si="0"/>
        <v>13468806.261156255</v>
      </c>
      <c r="H19" s="280">
        <f t="shared" si="0"/>
        <v>741724063.79955447</v>
      </c>
      <c r="I19" s="280">
        <f t="shared" si="0"/>
        <v>35245000.371460594</v>
      </c>
      <c r="J19" s="280">
        <f t="shared" si="0"/>
        <v>5511071881.4378891</v>
      </c>
      <c r="K19" s="280">
        <f t="shared" si="0"/>
        <v>71049268.307643369</v>
      </c>
      <c r="L19" s="280">
        <f t="shared" si="0"/>
        <v>40947725393.716156</v>
      </c>
    </row>
    <row r="20" spans="1:13" x14ac:dyDescent="0.45">
      <c r="B20" s="265" t="s">
        <v>180</v>
      </c>
      <c r="C20" s="281">
        <f>C18-C19</f>
        <v>484203.58083936246</v>
      </c>
      <c r="D20" s="282">
        <f t="shared" ref="D20:L20" si="1">D18-D19</f>
        <v>7234518.7031039987</v>
      </c>
      <c r="E20" s="282">
        <f t="shared" si="1"/>
        <v>2135054.9496438317</v>
      </c>
      <c r="F20" s="282">
        <f t="shared" si="1"/>
        <v>53753079.54305163</v>
      </c>
      <c r="G20" s="282">
        <f t="shared" si="1"/>
        <v>7252434.1406225991</v>
      </c>
      <c r="H20" s="282">
        <f t="shared" si="1"/>
        <v>399389880.50745237</v>
      </c>
      <c r="I20" s="282">
        <f t="shared" si="1"/>
        <v>18978077.123094164</v>
      </c>
      <c r="J20" s="282">
        <f t="shared" si="1"/>
        <v>2967500243.8511715</v>
      </c>
      <c r="K20" s="282">
        <f t="shared" si="1"/>
        <v>38257298.319500282</v>
      </c>
      <c r="L20" s="282">
        <f t="shared" si="1"/>
        <v>22048775212.000999</v>
      </c>
    </row>
    <row r="21" spans="1:13" x14ac:dyDescent="0.45">
      <c r="B21" s="265"/>
      <c r="C21" s="283"/>
      <c r="D21" s="284"/>
      <c r="E21" s="284"/>
      <c r="F21" s="284"/>
      <c r="G21" s="284"/>
      <c r="H21" s="284"/>
      <c r="I21" s="284"/>
      <c r="J21" s="284"/>
      <c r="K21" s="284"/>
      <c r="L21" s="279"/>
    </row>
    <row r="22" spans="1:13" x14ac:dyDescent="0.45">
      <c r="B22" s="265" t="s">
        <v>182</v>
      </c>
      <c r="C22" s="279"/>
      <c r="D22" s="280"/>
      <c r="E22" s="280"/>
      <c r="F22" s="280"/>
      <c r="G22" s="280"/>
      <c r="H22" s="280"/>
      <c r="I22" s="280"/>
      <c r="J22" s="280"/>
      <c r="K22" s="280"/>
      <c r="L22" s="279"/>
    </row>
    <row r="23" spans="1:13" x14ac:dyDescent="0.45">
      <c r="B23" s="265" t="s">
        <v>79</v>
      </c>
      <c r="C23" s="279"/>
      <c r="D23" s="280"/>
      <c r="E23" s="280"/>
      <c r="F23" s="280"/>
      <c r="G23" s="280"/>
      <c r="H23" s="280"/>
      <c r="I23" s="280"/>
      <c r="J23" s="280"/>
      <c r="K23" s="280"/>
      <c r="L23" s="279"/>
    </row>
    <row r="24" spans="1:13" x14ac:dyDescent="0.45">
      <c r="B24" s="265" t="s">
        <v>80</v>
      </c>
      <c r="C24" s="279">
        <f>'Operating Cost'!C28</f>
        <v>36000</v>
      </c>
      <c r="D24" s="280">
        <f>'Operating Cost'!D28</f>
        <v>537878.45364602422</v>
      </c>
      <c r="E24" s="280">
        <f>'Operating Cost'!E28</f>
        <v>50400</v>
      </c>
      <c r="F24" s="280">
        <f>'Operating Cost'!F28</f>
        <v>1268892.498257125</v>
      </c>
      <c r="G24" s="280">
        <f>'Operating Cost'!G28</f>
        <v>70560</v>
      </c>
      <c r="H24" s="280">
        <f>'Operating Cost'!H28</f>
        <v>3885722.9755121344</v>
      </c>
      <c r="I24" s="280">
        <f>'Operating Cost'!I28</f>
        <v>98784</v>
      </c>
      <c r="J24" s="280">
        <f>'Operating Cost'!J28</f>
        <v>15446324.840353513</v>
      </c>
      <c r="K24" s="280">
        <f>'Operating Cost'!K28</f>
        <v>138297.59999999998</v>
      </c>
      <c r="L24" s="280">
        <f>'Operating Cost'!L28</f>
        <v>79704862.306101799</v>
      </c>
    </row>
    <row r="25" spans="1:13" x14ac:dyDescent="0.45">
      <c r="B25" s="265" t="s">
        <v>81</v>
      </c>
      <c r="C25" s="279">
        <f>'Operating Cost'!C29</f>
        <v>24000</v>
      </c>
      <c r="D25" s="280">
        <f>'Operating Cost'!D29</f>
        <v>358585.63576401613</v>
      </c>
      <c r="E25" s="280">
        <f>'Operating Cost'!E29</f>
        <v>33600</v>
      </c>
      <c r="F25" s="280">
        <f>'Operating Cost'!F29</f>
        <v>845928.33217141673</v>
      </c>
      <c r="G25" s="280">
        <f>'Operating Cost'!G29</f>
        <v>47040</v>
      </c>
      <c r="H25" s="280">
        <f>'Operating Cost'!H29</f>
        <v>2590481.9836747563</v>
      </c>
      <c r="I25" s="280">
        <f>'Operating Cost'!I29</f>
        <v>65856</v>
      </c>
      <c r="J25" s="280">
        <f>'Operating Cost'!J29</f>
        <v>10297549.893569008</v>
      </c>
      <c r="K25" s="280">
        <f>'Operating Cost'!K29</f>
        <v>92198.399999999994</v>
      </c>
      <c r="L25" s="280">
        <f>'Operating Cost'!L29</f>
        <v>53136574.870734535</v>
      </c>
    </row>
    <row r="26" spans="1:13" ht="19" thickBot="1" x14ac:dyDescent="0.5">
      <c r="B26" s="265" t="s">
        <v>82</v>
      </c>
      <c r="C26" s="285">
        <f>'Operating Cost'!C30</f>
        <v>66000</v>
      </c>
      <c r="D26" s="286">
        <f>'Operating Cost'!D30</f>
        <v>986110.49835104437</v>
      </c>
      <c r="E26" s="286">
        <f>'Operating Cost'!E30</f>
        <v>92400</v>
      </c>
      <c r="F26" s="286">
        <f>'Operating Cost'!F30</f>
        <v>2326302.9134713961</v>
      </c>
      <c r="G26" s="286">
        <f>'Operating Cost'!G30</f>
        <v>129359.99999999999</v>
      </c>
      <c r="H26" s="286">
        <f>'Operating Cost'!H30</f>
        <v>7123825.4551055795</v>
      </c>
      <c r="I26" s="286">
        <f>'Operating Cost'!I30</f>
        <v>181103.99999999997</v>
      </c>
      <c r="J26" s="286">
        <f>'Operating Cost'!J30</f>
        <v>28318262.207314767</v>
      </c>
      <c r="K26" s="286">
        <f>'Operating Cost'!K30</f>
        <v>253545.59999999995</v>
      </c>
      <c r="L26" s="286">
        <f>'Operating Cost'!L30</f>
        <v>146125580.89451995</v>
      </c>
    </row>
    <row r="27" spans="1:13" x14ac:dyDescent="0.45">
      <c r="B27" s="265" t="s">
        <v>83</v>
      </c>
      <c r="C27" s="281">
        <f>SUM(C24:C26)</f>
        <v>126000</v>
      </c>
      <c r="D27" s="282">
        <f t="shared" ref="D27:L27" si="2">SUM(D24:D26)</f>
        <v>1882574.5877610845</v>
      </c>
      <c r="E27" s="282">
        <f t="shared" si="2"/>
        <v>176400</v>
      </c>
      <c r="F27" s="282">
        <f t="shared" si="2"/>
        <v>4441123.7438999377</v>
      </c>
      <c r="G27" s="282">
        <f t="shared" si="2"/>
        <v>246960</v>
      </c>
      <c r="H27" s="282">
        <f t="shared" si="2"/>
        <v>13600030.41429247</v>
      </c>
      <c r="I27" s="282">
        <f t="shared" si="2"/>
        <v>345744</v>
      </c>
      <c r="J27" s="282">
        <f t="shared" si="2"/>
        <v>54062136.941237286</v>
      </c>
      <c r="K27" s="282">
        <f t="shared" si="2"/>
        <v>484041.59999999992</v>
      </c>
      <c r="L27" s="282">
        <f t="shared" si="2"/>
        <v>278967018.0713563</v>
      </c>
    </row>
    <row r="28" spans="1:13" x14ac:dyDescent="0.45">
      <c r="B28" s="265"/>
      <c r="C28" s="279"/>
      <c r="D28" s="280"/>
      <c r="E28" s="280"/>
      <c r="F28" s="280"/>
      <c r="G28" s="280"/>
      <c r="H28" s="280"/>
      <c r="I28" s="280"/>
      <c r="J28" s="280"/>
      <c r="K28" s="280"/>
      <c r="L28" s="280"/>
    </row>
    <row r="29" spans="1:13" x14ac:dyDescent="0.45">
      <c r="B29" s="265" t="s">
        <v>85</v>
      </c>
      <c r="C29" s="279"/>
      <c r="D29" s="280"/>
      <c r="E29" s="280"/>
      <c r="F29" s="280"/>
      <c r="G29" s="280"/>
      <c r="H29" s="280"/>
      <c r="I29" s="280"/>
      <c r="J29" s="280"/>
      <c r="K29" s="280"/>
      <c r="L29" s="280"/>
    </row>
    <row r="30" spans="1:13" x14ac:dyDescent="0.45">
      <c r="B30" s="265" t="s">
        <v>86</v>
      </c>
      <c r="C30" s="279">
        <f>'Operating Cost'!C34</f>
        <v>12000</v>
      </c>
      <c r="D30" s="280">
        <f>'Operating Cost'!D34</f>
        <v>179292.81788200806</v>
      </c>
      <c r="E30" s="280">
        <f>'Operating Cost'!E34</f>
        <v>12000</v>
      </c>
      <c r="F30" s="280">
        <f>'Operating Cost'!F34</f>
        <v>302117.26148979168</v>
      </c>
      <c r="G30" s="280">
        <f>'Operating Cost'!G34</f>
        <v>12000</v>
      </c>
      <c r="H30" s="280">
        <f>'Operating Cost'!H34</f>
        <v>660837.24073335622</v>
      </c>
      <c r="I30" s="280">
        <f>'Operating Cost'!I34</f>
        <v>12000</v>
      </c>
      <c r="J30" s="280">
        <f>'Operating Cost'!J34</f>
        <v>1876375.7094695715</v>
      </c>
      <c r="K30" s="280">
        <f>'Operating Cost'!K34</f>
        <v>12000</v>
      </c>
      <c r="L30" s="280">
        <f>'Operating Cost'!L34</f>
        <v>6915943.2099560779</v>
      </c>
    </row>
    <row r="31" spans="1:13" x14ac:dyDescent="0.45">
      <c r="B31" s="265" t="s">
        <v>87</v>
      </c>
      <c r="C31" s="279"/>
      <c r="D31" s="280"/>
      <c r="E31" s="280"/>
      <c r="F31" s="280"/>
      <c r="G31" s="280"/>
      <c r="H31" s="280"/>
      <c r="I31" s="280"/>
      <c r="J31" s="280"/>
      <c r="K31" s="280"/>
      <c r="L31" s="280"/>
    </row>
    <row r="32" spans="1:13" x14ac:dyDescent="0.45">
      <c r="B32" s="265" t="s">
        <v>88</v>
      </c>
      <c r="C32" s="279">
        <f>'Operating Cost'!C36</f>
        <v>16063.108573012207</v>
      </c>
      <c r="D32" s="280">
        <f>'Operating Cost'!D36</f>
        <v>240000</v>
      </c>
      <c r="E32" s="280">
        <f>'Operating Cost'!E36</f>
        <v>9532.7224462390186</v>
      </c>
      <c r="F32" s="280">
        <f>'Operating Cost'!F36</f>
        <v>240000</v>
      </c>
      <c r="G32" s="280">
        <f>'Operating Cost'!G36</f>
        <v>4358.1079008258594</v>
      </c>
      <c r="H32" s="280">
        <f>'Operating Cost'!H36</f>
        <v>240000</v>
      </c>
      <c r="I32" s="280">
        <f>'Operating Cost'!I36</f>
        <v>1534.8738450755905</v>
      </c>
      <c r="J32" s="280">
        <f>'Operating Cost'!J36</f>
        <v>240000</v>
      </c>
      <c r="K32" s="280">
        <f>'Operating Cost'!K36</f>
        <v>416.42909904956991</v>
      </c>
      <c r="L32" s="280">
        <f>'Operating Cost'!L36</f>
        <v>240000</v>
      </c>
    </row>
    <row r="33" spans="2:16" x14ac:dyDescent="0.45">
      <c r="B33" s="265" t="s">
        <v>89</v>
      </c>
      <c r="C33" s="279">
        <f>'Operating Cost'!C37</f>
        <v>9637.8651438073248</v>
      </c>
      <c r="D33" s="280">
        <f>'Operating Cost'!D37</f>
        <v>144000</v>
      </c>
      <c r="E33" s="280">
        <f>'Operating Cost'!E37</f>
        <v>5719.6334677434106</v>
      </c>
      <c r="F33" s="280">
        <f>'Operating Cost'!F37</f>
        <v>144000</v>
      </c>
      <c r="G33" s="280">
        <f>'Operating Cost'!G37</f>
        <v>2614.8647404955154</v>
      </c>
      <c r="H33" s="280">
        <f>'Operating Cost'!H37</f>
        <v>144000</v>
      </c>
      <c r="I33" s="280">
        <f>'Operating Cost'!I37</f>
        <v>920.92430704535423</v>
      </c>
      <c r="J33" s="280">
        <f>'Operating Cost'!J37</f>
        <v>144000</v>
      </c>
      <c r="K33" s="280">
        <f>'Operating Cost'!K37</f>
        <v>249.85745942974194</v>
      </c>
      <c r="L33" s="280">
        <f>'Operating Cost'!L37</f>
        <v>144000</v>
      </c>
    </row>
    <row r="34" spans="2:16" x14ac:dyDescent="0.45">
      <c r="B34" s="265" t="s">
        <v>90</v>
      </c>
      <c r="C34" s="279">
        <f>'Operating Cost'!C38</f>
        <v>12047.331429759155</v>
      </c>
      <c r="D34" s="280">
        <f>'Operating Cost'!D38</f>
        <v>180000</v>
      </c>
      <c r="E34" s="280">
        <f>'Operating Cost'!E38</f>
        <v>7149.541834679264</v>
      </c>
      <c r="F34" s="280">
        <f>'Operating Cost'!F38</f>
        <v>180000</v>
      </c>
      <c r="G34" s="280">
        <f>'Operating Cost'!G38</f>
        <v>3268.5809256193943</v>
      </c>
      <c r="H34" s="280">
        <f>'Operating Cost'!H38</f>
        <v>180000</v>
      </c>
      <c r="I34" s="280">
        <f>'Operating Cost'!I38</f>
        <v>1151.1553838066927</v>
      </c>
      <c r="J34" s="280">
        <f>'Operating Cost'!J38</f>
        <v>180000</v>
      </c>
      <c r="K34" s="280">
        <f>'Operating Cost'!K38</f>
        <v>312.32182428717744</v>
      </c>
      <c r="L34" s="280">
        <f>'Operating Cost'!L38</f>
        <v>180000</v>
      </c>
    </row>
    <row r="35" spans="2:16" x14ac:dyDescent="0.45">
      <c r="B35" s="265" t="s">
        <v>91</v>
      </c>
      <c r="C35" s="279">
        <f>'Operating Cost'!C39</f>
        <v>10441.020572457935</v>
      </c>
      <c r="D35" s="280">
        <f>'Operating Cost'!D39</f>
        <v>156000</v>
      </c>
      <c r="E35" s="280">
        <f>'Operating Cost'!E39</f>
        <v>6196.2695900553617</v>
      </c>
      <c r="F35" s="280">
        <f>'Operating Cost'!F39</f>
        <v>156000</v>
      </c>
      <c r="G35" s="280">
        <f>'Operating Cost'!G39</f>
        <v>2832.7701355368085</v>
      </c>
      <c r="H35" s="280">
        <f>'Operating Cost'!H39</f>
        <v>156000</v>
      </c>
      <c r="I35" s="280">
        <f>'Operating Cost'!I39</f>
        <v>997.66799929913373</v>
      </c>
      <c r="J35" s="280">
        <f>'Operating Cost'!J39</f>
        <v>156000</v>
      </c>
      <c r="K35" s="280">
        <f>'Operating Cost'!K39</f>
        <v>270.67891438222046</v>
      </c>
      <c r="L35" s="280">
        <f>'Operating Cost'!L39</f>
        <v>156000</v>
      </c>
    </row>
    <row r="36" spans="2:16" x14ac:dyDescent="0.45">
      <c r="B36" s="265" t="s">
        <v>174</v>
      </c>
      <c r="C36" s="279">
        <f>'Operating Cost'!C40</f>
        <v>1197826.0062895203</v>
      </c>
      <c r="D36" s="280">
        <f>'Operating Cost'!D40</f>
        <v>17896800</v>
      </c>
      <c r="E36" s="280">
        <f>'Operating Cost'!E40</f>
        <v>710855.11281604355</v>
      </c>
      <c r="F36" s="280">
        <f>'Operating Cost'!F40</f>
        <v>17896800</v>
      </c>
      <c r="G36" s="280">
        <f>'Operating Cost'!G40</f>
        <v>324984.10616458429</v>
      </c>
      <c r="H36" s="280">
        <f>'Operating Cost'!H40</f>
        <v>17896800</v>
      </c>
      <c r="I36" s="280">
        <f>'Operating Cost'!I40</f>
        <v>114455.54262728678</v>
      </c>
      <c r="J36" s="280">
        <f>'Operating Cost'!J40</f>
        <v>17896800</v>
      </c>
      <c r="K36" s="280">
        <f>'Operating Cost'!K40</f>
        <v>31053.117916126426</v>
      </c>
      <c r="L36" s="280">
        <f>'Operating Cost'!L40</f>
        <v>17896800</v>
      </c>
    </row>
    <row r="37" spans="2:16" x14ac:dyDescent="0.45">
      <c r="B37" s="265" t="s">
        <v>181</v>
      </c>
      <c r="C37" s="279">
        <f>'Operating Cost'!C41</f>
        <v>1338.5923810843506</v>
      </c>
      <c r="D37" s="280">
        <f>'Operating Cost'!D41</f>
        <v>20000</v>
      </c>
      <c r="E37" s="280">
        <f>'Operating Cost'!E41</f>
        <v>794.39353718658481</v>
      </c>
      <c r="F37" s="280">
        <f>'Operating Cost'!F41</f>
        <v>20000</v>
      </c>
      <c r="G37" s="280">
        <f>'Operating Cost'!G41</f>
        <v>363.17565840215491</v>
      </c>
      <c r="H37" s="280">
        <f>'Operating Cost'!H41</f>
        <v>20000</v>
      </c>
      <c r="I37" s="280">
        <f>'Operating Cost'!I41</f>
        <v>127.9061537562992</v>
      </c>
      <c r="J37" s="280">
        <f>'Operating Cost'!J41</f>
        <v>20000</v>
      </c>
      <c r="K37" s="280">
        <f>'Operating Cost'!K41</f>
        <v>34.70242492079749</v>
      </c>
      <c r="L37" s="280">
        <f>'Operating Cost'!L41</f>
        <v>20000</v>
      </c>
    </row>
    <row r="38" spans="2:16" ht="19" thickBot="1" x14ac:dyDescent="0.5">
      <c r="B38" s="265" t="s">
        <v>92</v>
      </c>
      <c r="C38" s="279">
        <f>'Operating Cost'!C42</f>
        <v>1003.9442858132629</v>
      </c>
      <c r="D38" s="280">
        <f>'Operating Cost'!D42</f>
        <v>15000</v>
      </c>
      <c r="E38" s="280">
        <f>'Operating Cost'!E42</f>
        <v>595.79515288993866</v>
      </c>
      <c r="F38" s="280">
        <f>'Operating Cost'!F42</f>
        <v>15000</v>
      </c>
      <c r="G38" s="280">
        <f>'Operating Cost'!G42</f>
        <v>272.38174380161621</v>
      </c>
      <c r="H38" s="280">
        <f>'Operating Cost'!H42</f>
        <v>15000</v>
      </c>
      <c r="I38" s="280">
        <f>'Operating Cost'!I42</f>
        <v>95.929615317224403</v>
      </c>
      <c r="J38" s="280">
        <f>'Operating Cost'!J42</f>
        <v>15000</v>
      </c>
      <c r="K38" s="280">
        <f>'Operating Cost'!K42</f>
        <v>26.02681869059812</v>
      </c>
      <c r="L38" s="280">
        <f>'Operating Cost'!L42</f>
        <v>15000</v>
      </c>
    </row>
    <row r="39" spans="2:16" x14ac:dyDescent="0.45">
      <c r="B39" s="265" t="s">
        <v>83</v>
      </c>
      <c r="C39" s="281">
        <f t="shared" ref="C39:L39" si="3">SUM(C30:C38)</f>
        <v>1260357.8686754545</v>
      </c>
      <c r="D39" s="282">
        <f t="shared" si="3"/>
        <v>18831092.817882009</v>
      </c>
      <c r="E39" s="282">
        <f t="shared" si="3"/>
        <v>752843.46884483704</v>
      </c>
      <c r="F39" s="282">
        <f t="shared" si="3"/>
        <v>18953917.26148979</v>
      </c>
      <c r="G39" s="282">
        <f t="shared" si="3"/>
        <v>350693.98726926564</v>
      </c>
      <c r="H39" s="282">
        <f t="shared" si="3"/>
        <v>19312637.240733355</v>
      </c>
      <c r="I39" s="282">
        <f t="shared" si="3"/>
        <v>131283.99993158708</v>
      </c>
      <c r="J39" s="282">
        <f t="shared" si="3"/>
        <v>20528175.709469572</v>
      </c>
      <c r="K39" s="282">
        <f t="shared" si="3"/>
        <v>44363.134456886532</v>
      </c>
      <c r="L39" s="282">
        <f t="shared" si="3"/>
        <v>25567743.20995608</v>
      </c>
    </row>
    <row r="40" spans="2:16" ht="19" thickBot="1" x14ac:dyDescent="0.5">
      <c r="B40" s="265"/>
      <c r="C40" s="279"/>
      <c r="D40" s="280"/>
      <c r="E40" s="280"/>
      <c r="F40" s="280"/>
      <c r="G40" s="280"/>
      <c r="H40" s="280"/>
      <c r="I40" s="280"/>
      <c r="J40" s="280"/>
      <c r="K40" s="280"/>
      <c r="L40" s="279"/>
    </row>
    <row r="41" spans="2:16" x14ac:dyDescent="0.45">
      <c r="B41" s="265" t="s">
        <v>183</v>
      </c>
      <c r="C41" s="281">
        <f t="shared" ref="C41:L41" si="4">C27+C39</f>
        <v>1386357.8686754545</v>
      </c>
      <c r="D41" s="282">
        <f t="shared" si="4"/>
        <v>20713667.405643094</v>
      </c>
      <c r="E41" s="282">
        <f t="shared" si="4"/>
        <v>929243.46884483704</v>
      </c>
      <c r="F41" s="282">
        <f t="shared" si="4"/>
        <v>23395041.005389728</v>
      </c>
      <c r="G41" s="282">
        <f t="shared" si="4"/>
        <v>597653.98726926558</v>
      </c>
      <c r="H41" s="282">
        <f t="shared" si="4"/>
        <v>32912667.655025825</v>
      </c>
      <c r="I41" s="282">
        <f t="shared" si="4"/>
        <v>477027.99993158708</v>
      </c>
      <c r="J41" s="282">
        <f t="shared" si="4"/>
        <v>74590312.650706857</v>
      </c>
      <c r="K41" s="282">
        <f t="shared" si="4"/>
        <v>528404.73445688642</v>
      </c>
      <c r="L41" s="282">
        <f t="shared" si="4"/>
        <v>304534761.28131235</v>
      </c>
    </row>
    <row r="42" spans="2:16" x14ac:dyDescent="0.45">
      <c r="B42" s="265"/>
      <c r="C42" s="279"/>
      <c r="D42" s="280"/>
      <c r="E42" s="280"/>
      <c r="F42" s="280"/>
      <c r="G42" s="280"/>
      <c r="H42" s="280"/>
      <c r="I42" s="280"/>
      <c r="J42" s="280"/>
      <c r="K42" s="280"/>
      <c r="L42" s="279"/>
    </row>
    <row r="43" spans="2:16" ht="36" x14ac:dyDescent="0.45">
      <c r="B43" s="287" t="s">
        <v>205</v>
      </c>
      <c r="C43" s="279">
        <f t="shared" ref="C43:L43" si="5">C20-C41</f>
        <v>-902154.28783609206</v>
      </c>
      <c r="D43" s="280">
        <f t="shared" si="5"/>
        <v>-13479148.702539096</v>
      </c>
      <c r="E43" s="280">
        <f t="shared" si="5"/>
        <v>1205811.4807989947</v>
      </c>
      <c r="F43" s="280">
        <f t="shared" si="5"/>
        <v>30358038.537661903</v>
      </c>
      <c r="G43" s="280">
        <f t="shared" si="5"/>
        <v>6654780.1533533335</v>
      </c>
      <c r="H43" s="280">
        <f t="shared" si="5"/>
        <v>366477212.85242653</v>
      </c>
      <c r="I43" s="280">
        <f t="shared" si="5"/>
        <v>18501049.123162575</v>
      </c>
      <c r="J43" s="280">
        <f t="shared" si="5"/>
        <v>2892909931.2004647</v>
      </c>
      <c r="K43" s="280">
        <f t="shared" si="5"/>
        <v>37728893.585043393</v>
      </c>
      <c r="L43" s="280">
        <f t="shared" si="5"/>
        <v>21744240450.719688</v>
      </c>
    </row>
    <row r="44" spans="2:16" ht="19" thickBot="1" x14ac:dyDescent="0.5">
      <c r="B44" s="288" t="s">
        <v>206</v>
      </c>
      <c r="C44" s="285">
        <f ca="1">$C$8*'Balance Sheet'!F26</f>
        <v>517529.66341020551</v>
      </c>
      <c r="D44" s="285">
        <f ca="1">$C$8*'Balance Sheet'!G26</f>
        <v>7732445.9741952419</v>
      </c>
      <c r="E44" s="285">
        <f ca="1">$C$8*'Balance Sheet'!H26</f>
        <v>654677.4967822032</v>
      </c>
      <c r="F44" s="285">
        <f ca="1">$C$8*'Balance Sheet'!I26</f>
        <v>16447867.023670847</v>
      </c>
      <c r="G44" s="285">
        <f ca="1">$C$8*'Balance Sheet'!J26</f>
        <v>1077443.8440363843</v>
      </c>
      <c r="H44" s="285">
        <f ca="1">$C$8*'Balance Sheet'!K26</f>
        <v>59608298.802650392</v>
      </c>
      <c r="I44" s="285">
        <f ca="1">$C$8*'Balance Sheet'!L26</f>
        <v>3271524.2795001827</v>
      </c>
      <c r="J44" s="285">
        <f ca="1">$C$8*'Balance Sheet'!M26</f>
        <v>518900131.27768421</v>
      </c>
      <c r="K44" s="285">
        <f ca="1">$C$8*'Balance Sheet'!N26</f>
        <v>15732357.177001644</v>
      </c>
      <c r="L44" s="285">
        <f ca="1">$C$8*'Balance Sheet'!O26</f>
        <v>9166421261.7465191</v>
      </c>
    </row>
    <row r="45" spans="2:16" x14ac:dyDescent="0.45">
      <c r="B45" s="265"/>
      <c r="C45" s="279">
        <f ca="1">C43-C44</f>
        <v>-1419683.9512462975</v>
      </c>
      <c r="D45" s="279">
        <f t="shared" ref="D45:L45" ca="1" si="6">D43-D44</f>
        <v>-21211594.676734336</v>
      </c>
      <c r="E45" s="279">
        <f t="shared" ca="1" si="6"/>
        <v>551133.98401679145</v>
      </c>
      <c r="F45" s="279">
        <f t="shared" ca="1" si="6"/>
        <v>13910171.513991056</v>
      </c>
      <c r="G45" s="279">
        <f t="shared" ca="1" si="6"/>
        <v>5577336.309316949</v>
      </c>
      <c r="H45" s="279">
        <f t="shared" ca="1" si="6"/>
        <v>306868914.04977614</v>
      </c>
      <c r="I45" s="279">
        <f t="shared" ca="1" si="6"/>
        <v>15229524.843662392</v>
      </c>
      <c r="J45" s="279">
        <f t="shared" ca="1" si="6"/>
        <v>2374009799.9227805</v>
      </c>
      <c r="K45" s="279">
        <f t="shared" ca="1" si="6"/>
        <v>21996536.408041749</v>
      </c>
      <c r="L45" s="279">
        <f t="shared" ca="1" si="6"/>
        <v>12577819188.973169</v>
      </c>
    </row>
    <row r="46" spans="2:16" x14ac:dyDescent="0.45">
      <c r="B46" s="288" t="s">
        <v>207</v>
      </c>
      <c r="C46" s="279">
        <v>0</v>
      </c>
      <c r="D46" s="280">
        <v>0</v>
      </c>
      <c r="E46" s="280">
        <f t="shared" ref="E46:L46" si="7">$C$7*E43</f>
        <v>361743.44423969841</v>
      </c>
      <c r="F46" s="280">
        <f t="shared" si="7"/>
        <v>9107411.5612985697</v>
      </c>
      <c r="G46" s="280">
        <f t="shared" si="7"/>
        <v>1996434.0460059999</v>
      </c>
      <c r="H46" s="280">
        <f t="shared" si="7"/>
        <v>109943163.85572796</v>
      </c>
      <c r="I46" s="280">
        <f t="shared" si="7"/>
        <v>5550314.7369487723</v>
      </c>
      <c r="J46" s="280">
        <f t="shared" si="7"/>
        <v>867872979.36013937</v>
      </c>
      <c r="K46" s="280">
        <f t="shared" si="7"/>
        <v>11318668.075513018</v>
      </c>
      <c r="L46" s="280">
        <f t="shared" si="7"/>
        <v>6523272135.2159061</v>
      </c>
    </row>
    <row r="47" spans="2:16" ht="19" thickBot="1" x14ac:dyDescent="0.5">
      <c r="B47" s="289" t="s">
        <v>208</v>
      </c>
      <c r="C47" s="290">
        <f ca="1">C45-C46</f>
        <v>-1419683.9512462975</v>
      </c>
      <c r="D47" s="291">
        <f t="shared" ref="D47:L47" ca="1" si="8">D45-D46</f>
        <v>-21211594.676734336</v>
      </c>
      <c r="E47" s="291">
        <f t="shared" ca="1" si="8"/>
        <v>189390.53977709304</v>
      </c>
      <c r="F47" s="291">
        <f t="shared" ca="1" si="8"/>
        <v>4802759.9526924863</v>
      </c>
      <c r="G47" s="291">
        <f t="shared" ca="1" si="8"/>
        <v>3580902.2633109493</v>
      </c>
      <c r="H47" s="291">
        <f t="shared" ca="1" si="8"/>
        <v>196925750.19404817</v>
      </c>
      <c r="I47" s="291">
        <f t="shared" ca="1" si="8"/>
        <v>9679210.1067136191</v>
      </c>
      <c r="J47" s="291">
        <f t="shared" ca="1" si="8"/>
        <v>1506136820.5626411</v>
      </c>
      <c r="K47" s="291">
        <f t="shared" ca="1" si="8"/>
        <v>10677868.332528731</v>
      </c>
      <c r="L47" s="291">
        <f t="shared" ca="1" si="8"/>
        <v>6054547053.7572632</v>
      </c>
    </row>
    <row r="48" spans="2:16" ht="22" thickBot="1" x14ac:dyDescent="0.8">
      <c r="B48" s="288"/>
      <c r="C48" s="292"/>
      <c r="D48" s="292"/>
      <c r="E48" s="292"/>
      <c r="F48" s="292"/>
      <c r="G48" s="292"/>
      <c r="H48" s="292"/>
      <c r="I48" s="292"/>
      <c r="J48" s="292"/>
      <c r="K48" s="292"/>
      <c r="L48" s="292"/>
      <c r="N48" s="293"/>
      <c r="O48" s="293"/>
      <c r="P48" s="293"/>
    </row>
    <row r="49" spans="2:12" ht="19" thickBot="1" x14ac:dyDescent="0.5">
      <c r="B49" s="294" t="s">
        <v>185</v>
      </c>
      <c r="C49" s="295">
        <f ca="1">$C$9*C47</f>
        <v>0</v>
      </c>
      <c r="D49" s="296">
        <f t="shared" ref="D49:L49" ca="1" si="9">$C$9*D47</f>
        <v>0</v>
      </c>
      <c r="E49" s="296">
        <f t="shared" ca="1" si="9"/>
        <v>0</v>
      </c>
      <c r="F49" s="296">
        <f t="shared" ca="1" si="9"/>
        <v>0</v>
      </c>
      <c r="G49" s="296">
        <f t="shared" ca="1" si="9"/>
        <v>0</v>
      </c>
      <c r="H49" s="296">
        <f t="shared" ca="1" si="9"/>
        <v>0</v>
      </c>
      <c r="I49" s="296">
        <f t="shared" ca="1" si="9"/>
        <v>0</v>
      </c>
      <c r="J49" s="296">
        <f t="shared" ca="1" si="9"/>
        <v>0</v>
      </c>
      <c r="K49" s="296">
        <f t="shared" ca="1" si="9"/>
        <v>0</v>
      </c>
      <c r="L49" s="296">
        <f t="shared" ca="1" si="9"/>
        <v>0</v>
      </c>
    </row>
    <row r="50" spans="2:12" ht="19" thickBot="1" x14ac:dyDescent="0.5">
      <c r="B50" s="289" t="s">
        <v>186</v>
      </c>
      <c r="C50" s="297">
        <f ca="1">$C$10*C47</f>
        <v>-1419683.9512462975</v>
      </c>
      <c r="D50" s="298">
        <f t="shared" ref="D50:L50" ca="1" si="10">$C$10*D47</f>
        <v>-21211594.676734336</v>
      </c>
      <c r="E50" s="298">
        <f t="shared" ca="1" si="10"/>
        <v>189390.53977709304</v>
      </c>
      <c r="F50" s="298">
        <f t="shared" ca="1" si="10"/>
        <v>4802759.9526924863</v>
      </c>
      <c r="G50" s="298">
        <f t="shared" ca="1" si="10"/>
        <v>3580902.2633109493</v>
      </c>
      <c r="H50" s="298">
        <f t="shared" ca="1" si="10"/>
        <v>196925750.19404817</v>
      </c>
      <c r="I50" s="298">
        <f t="shared" ca="1" si="10"/>
        <v>9679210.1067136191</v>
      </c>
      <c r="J50" s="298">
        <f t="shared" ca="1" si="10"/>
        <v>1506136820.5626411</v>
      </c>
      <c r="K50" s="298">
        <f t="shared" ca="1" si="10"/>
        <v>10677868.332528731</v>
      </c>
      <c r="L50" s="298">
        <f t="shared" ca="1" si="10"/>
        <v>6054547053.7572632</v>
      </c>
    </row>
  </sheetData>
  <mergeCells count="16">
    <mergeCell ref="B3:L3"/>
    <mergeCell ref="K15:L15"/>
    <mergeCell ref="I15:J15"/>
    <mergeCell ref="G15:H15"/>
    <mergeCell ref="C15:D15"/>
    <mergeCell ref="E15:F15"/>
    <mergeCell ref="C11:D11"/>
    <mergeCell ref="C12:D12"/>
    <mergeCell ref="E11:F11"/>
    <mergeCell ref="G11:H11"/>
    <mergeCell ref="I11:J11"/>
    <mergeCell ref="K11:L11"/>
    <mergeCell ref="E12:F12"/>
    <mergeCell ref="G12:H12"/>
    <mergeCell ref="I12:J12"/>
    <mergeCell ref="K12:L12"/>
  </mergeCells>
  <phoneticPr fontId="8" type="noConversion"/>
  <pageMargins left="0.7" right="0.7" top="0.75" bottom="0.75" header="0.3" footer="0.3"/>
  <pageSetup scale="63" orientation="portrait" r:id="rId1"/>
  <ignoredErrors>
    <ignoredError sqref="J18:K18 L18 E18:F18 E43:L43 H18 G18 I18 E45:L4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C0D8-42B2-4B79-A591-239E17E4D70C}">
  <dimension ref="C1:P51"/>
  <sheetViews>
    <sheetView showGridLines="0" topLeftCell="A31" zoomScale="52" zoomScaleNormal="52" workbookViewId="0">
      <selection activeCell="M43" sqref="M43"/>
    </sheetView>
  </sheetViews>
  <sheetFormatPr defaultRowHeight="18.5" x14ac:dyDescent="0.45"/>
  <cols>
    <col min="1" max="2" width="8.7265625" style="251"/>
    <col min="3" max="3" width="34.90625" style="299" bestFit="1" customWidth="1"/>
    <col min="4" max="4" width="2" style="251" hidden="1" customWidth="1"/>
    <col min="5" max="5" width="22.6328125" style="251" bestFit="1" customWidth="1"/>
    <col min="6" max="6" width="17.36328125" style="251" bestFit="1" customWidth="1"/>
    <col min="7" max="7" width="18.81640625" style="251" bestFit="1" customWidth="1"/>
    <col min="8" max="8" width="17.36328125" style="251" bestFit="1" customWidth="1"/>
    <col min="9" max="9" width="20.7265625" style="251" bestFit="1" customWidth="1"/>
    <col min="10" max="10" width="17.36328125" style="251" bestFit="1" customWidth="1"/>
    <col min="11" max="11" width="20.7265625" style="251" bestFit="1" customWidth="1"/>
    <col min="12" max="12" width="18.81640625" style="251" bestFit="1" customWidth="1"/>
    <col min="13" max="13" width="21.90625" style="251" bestFit="1" customWidth="1"/>
    <col min="14" max="14" width="20.7265625" style="251" bestFit="1" customWidth="1"/>
    <col min="15" max="15" width="23.36328125" style="251" bestFit="1" customWidth="1"/>
    <col min="16" max="16" width="19.453125" style="251" bestFit="1" customWidth="1"/>
    <col min="17" max="16384" width="8.7265625" style="251"/>
  </cols>
  <sheetData>
    <row r="1" spans="3:15" ht="19" thickBot="1" x14ac:dyDescent="0.5"/>
    <row r="2" spans="3:15" ht="19" thickBot="1" x14ac:dyDescent="0.5">
      <c r="C2" s="382" t="s">
        <v>97</v>
      </c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</row>
    <row r="3" spans="3:15" ht="19" thickBot="1" x14ac:dyDescent="0.5">
      <c r="C3" s="300"/>
      <c r="D3" s="301"/>
      <c r="E3" s="301"/>
      <c r="F3" s="383" t="s">
        <v>36</v>
      </c>
      <c r="G3" s="383"/>
      <c r="H3" s="382" t="s">
        <v>37</v>
      </c>
      <c r="I3" s="382"/>
      <c r="J3" s="382" t="s">
        <v>38</v>
      </c>
      <c r="K3" s="382"/>
      <c r="L3" s="382" t="s">
        <v>152</v>
      </c>
      <c r="M3" s="382"/>
      <c r="N3" s="382" t="s">
        <v>153</v>
      </c>
      <c r="O3" s="382"/>
    </row>
    <row r="4" spans="3:15" x14ac:dyDescent="0.45">
      <c r="C4" s="300"/>
      <c r="D4" s="301"/>
      <c r="E4" s="301" t="s">
        <v>98</v>
      </c>
      <c r="F4" s="302" t="s">
        <v>39</v>
      </c>
      <c r="G4" s="303" t="s">
        <v>196</v>
      </c>
      <c r="H4" s="304" t="s">
        <v>39</v>
      </c>
      <c r="I4" s="301" t="s">
        <v>196</v>
      </c>
      <c r="J4" s="301" t="s">
        <v>39</v>
      </c>
      <c r="K4" s="301" t="s">
        <v>196</v>
      </c>
      <c r="L4" s="301" t="s">
        <v>39</v>
      </c>
      <c r="M4" s="301" t="s">
        <v>196</v>
      </c>
      <c r="N4" s="301" t="s">
        <v>39</v>
      </c>
      <c r="O4" s="302" t="s">
        <v>196</v>
      </c>
    </row>
    <row r="5" spans="3:15" x14ac:dyDescent="0.45">
      <c r="C5" s="305" t="s">
        <v>99</v>
      </c>
      <c r="D5" s="306"/>
      <c r="E5" s="306"/>
      <c r="F5" s="306"/>
      <c r="G5" s="307"/>
      <c r="H5" s="307"/>
      <c r="I5" s="306"/>
      <c r="J5" s="306"/>
      <c r="K5" s="306"/>
      <c r="L5" s="306"/>
      <c r="M5" s="306"/>
      <c r="N5" s="306"/>
      <c r="O5" s="306"/>
    </row>
    <row r="6" spans="3:15" x14ac:dyDescent="0.45">
      <c r="C6" s="300" t="s">
        <v>100</v>
      </c>
      <c r="D6" s="306"/>
      <c r="E6" s="306"/>
      <c r="F6" s="306"/>
      <c r="G6" s="307"/>
      <c r="H6" s="307"/>
      <c r="I6" s="306"/>
      <c r="J6" s="306"/>
      <c r="K6" s="306"/>
      <c r="L6" s="306"/>
      <c r="M6" s="306"/>
      <c r="N6" s="306"/>
      <c r="O6" s="306"/>
    </row>
    <row r="7" spans="3:15" x14ac:dyDescent="0.45">
      <c r="C7" s="300" t="s">
        <v>101</v>
      </c>
      <c r="D7" s="306"/>
      <c r="E7" s="308">
        <f>F7/'income statement'!C18</f>
        <v>25.174948063930245</v>
      </c>
      <c r="F7" s="308">
        <f>'Operating Needs'!K12</f>
        <v>34828000</v>
      </c>
      <c r="G7" s="309">
        <f>'Exchange rate forecast'!$G$7*'Balance Sheet'!F7</f>
        <v>520367521.76621473</v>
      </c>
      <c r="H7" s="309">
        <f>110%*F7</f>
        <v>38310800</v>
      </c>
      <c r="I7" s="308">
        <f>H7*'Exchange rate forecast'!$G$8</f>
        <v>964529498.45692587</v>
      </c>
      <c r="J7" s="308">
        <f>110%*H7</f>
        <v>42141880</v>
      </c>
      <c r="K7" s="308">
        <f>'Exchange rate forecast'!$G$9*'Balance Sheet'!J7</f>
        <v>2320743641.5430174</v>
      </c>
      <c r="L7" s="308">
        <f>150%*J7</f>
        <v>63212820</v>
      </c>
      <c r="M7" s="308">
        <f>'Exchange rate forecast'!$G$10*'Balance Sheet'!L7</f>
        <v>9884249997.9226933</v>
      </c>
      <c r="N7" s="308">
        <f>150%*L7</f>
        <v>94819230</v>
      </c>
      <c r="O7" s="308">
        <f>'Exchange rate forecast'!$G$11*'Balance Sheet'!N7</f>
        <v>54647034157.646973</v>
      </c>
    </row>
    <row r="8" spans="3:15" x14ac:dyDescent="0.45">
      <c r="C8" s="300" t="s">
        <v>202</v>
      </c>
      <c r="D8" s="306"/>
      <c r="E8" s="306"/>
      <c r="F8" s="310">
        <f>'income statement'!C36</f>
        <v>1197826.0062895203</v>
      </c>
      <c r="G8" s="311">
        <f>'income statement'!D36</f>
        <v>17896800</v>
      </c>
      <c r="H8" s="312">
        <f>'income statement'!E36+F8</f>
        <v>1908681.119105564</v>
      </c>
      <c r="I8" s="313">
        <f>'income statement'!F36+G8</f>
        <v>35793600</v>
      </c>
      <c r="J8" s="313">
        <f>'income statement'!G36+H8</f>
        <v>2233665.2252701484</v>
      </c>
      <c r="K8" s="313">
        <f>'income statement'!H36+I8</f>
        <v>53690400</v>
      </c>
      <c r="L8" s="313">
        <f>'income statement'!I36+J8</f>
        <v>2348120.767897435</v>
      </c>
      <c r="M8" s="313">
        <f>'income statement'!J36+K8</f>
        <v>71587200</v>
      </c>
      <c r="N8" s="313">
        <f>'income statement'!K36+L8</f>
        <v>2379173.8858135613</v>
      </c>
      <c r="O8" s="310">
        <f>'income statement'!L36+M8</f>
        <v>89484000</v>
      </c>
    </row>
    <row r="9" spans="3:15" x14ac:dyDescent="0.45">
      <c r="C9" s="300" t="s">
        <v>203</v>
      </c>
      <c r="D9" s="306"/>
      <c r="E9" s="306"/>
      <c r="F9" s="308">
        <f>F7-F8</f>
        <v>33630173.993710481</v>
      </c>
      <c r="G9" s="309">
        <f t="shared" ref="G9:O9" si="0">G7-G8</f>
        <v>502470721.76621473</v>
      </c>
      <c r="H9" s="314">
        <f t="shared" si="0"/>
        <v>36402118.880894437</v>
      </c>
      <c r="I9" s="315">
        <f t="shared" si="0"/>
        <v>928735898.45692587</v>
      </c>
      <c r="J9" s="315">
        <f t="shared" si="0"/>
        <v>39908214.774729848</v>
      </c>
      <c r="K9" s="315">
        <f t="shared" si="0"/>
        <v>2267053241.5430174</v>
      </c>
      <c r="L9" s="315">
        <f t="shared" si="0"/>
        <v>60864699.232102565</v>
      </c>
      <c r="M9" s="315">
        <f t="shared" si="0"/>
        <v>9812662797.9226933</v>
      </c>
      <c r="N9" s="315">
        <f t="shared" si="0"/>
        <v>92440056.114186436</v>
      </c>
      <c r="O9" s="308">
        <f t="shared" si="0"/>
        <v>54557550157.646973</v>
      </c>
    </row>
    <row r="10" spans="3:15" x14ac:dyDescent="0.45">
      <c r="C10" s="300"/>
      <c r="D10" s="306"/>
      <c r="E10" s="306"/>
      <c r="F10" s="308"/>
      <c r="G10" s="309"/>
      <c r="H10" s="309"/>
      <c r="I10" s="308"/>
      <c r="J10" s="308"/>
      <c r="K10" s="308"/>
      <c r="L10" s="308"/>
      <c r="M10" s="308"/>
      <c r="N10" s="308"/>
      <c r="O10" s="308"/>
    </row>
    <row r="11" spans="3:15" x14ac:dyDescent="0.45">
      <c r="C11" s="300" t="s">
        <v>102</v>
      </c>
      <c r="D11" s="306"/>
      <c r="E11" s="306"/>
      <c r="F11" s="308"/>
      <c r="G11" s="309"/>
      <c r="H11" s="309"/>
      <c r="I11" s="308"/>
      <c r="J11" s="308"/>
      <c r="K11" s="308"/>
      <c r="L11" s="308"/>
      <c r="M11" s="308"/>
      <c r="N11" s="308"/>
      <c r="O11" s="308"/>
    </row>
    <row r="12" spans="3:15" x14ac:dyDescent="0.45">
      <c r="C12" s="300" t="s">
        <v>103</v>
      </c>
      <c r="D12" s="306"/>
      <c r="E12" s="306"/>
      <c r="F12" s="308">
        <f>'Production and Sales Budget'!O15*'income statement'!C5</f>
        <v>286228.71773755417</v>
      </c>
      <c r="G12" s="309">
        <f>'Exchange rate forecast'!$G$7*'Balance Sheet'!F12</f>
        <v>4276562.7801599987</v>
      </c>
      <c r="H12" s="309">
        <f>'Production and Sales Budget'!O20*'income statement'!C5</f>
        <v>2126703.3321029549</v>
      </c>
      <c r="I12" s="308">
        <f>H12*'Exchange rate forecast'!$G$8</f>
        <v>53542815.558013305</v>
      </c>
      <c r="J12" s="308">
        <f>'Production and Sales Budget'!O25*'income statement'!C5</f>
        <v>15801583.777225563</v>
      </c>
      <c r="K12" s="308">
        <f>'Exchange rate forecast'!$G$9*'Balance Sheet'!J12</f>
        <v>870189585.21322548</v>
      </c>
      <c r="L12" s="308">
        <f>'Production and Sales Budget'!O30*'income statement'!C5</f>
        <v>117407090.16606294</v>
      </c>
      <c r="M12" s="308">
        <f>'Exchange rate forecast'!$G$10*'Balance Sheet'!L12</f>
        <v>18358317675.592026</v>
      </c>
      <c r="N12" s="308">
        <f>'Production and Sales Budget'!O35*'income statement'!C5</f>
        <v>872344507.71505499</v>
      </c>
      <c r="O12" s="308">
        <f>'Exchange rate forecast'!$G$11*'Balance Sheet'!N12</f>
        <v>502757089572.86768</v>
      </c>
    </row>
    <row r="13" spans="3:15" x14ac:dyDescent="0.45">
      <c r="C13" s="300" t="s">
        <v>234</v>
      </c>
      <c r="D13" s="306"/>
      <c r="E13" s="316">
        <v>0.4</v>
      </c>
      <c r="F13" s="308">
        <f>$E$14*'income statement'!C18</f>
        <v>617531.41905297292</v>
      </c>
      <c r="G13" s="309">
        <f>$E$14*'income statement'!D18</f>
        <v>9226579.0210568905</v>
      </c>
      <c r="H13" s="314">
        <f>$E$14*'income statement'!E18</f>
        <v>2722952.8342687692</v>
      </c>
      <c r="I13" s="315">
        <f>$E$14*'income statement'!F18</f>
        <v>68554254.454595596</v>
      </c>
      <c r="J13" s="315">
        <f>$E$14*'income statement'!G18</f>
        <v>9249427.5624382608</v>
      </c>
      <c r="K13" s="315">
        <f>$E$14*'income statement'!H18</f>
        <v>509363849.06039619</v>
      </c>
      <c r="L13" s="315">
        <f>$E$14*'income statement'!I18</f>
        <v>24203784.029034551</v>
      </c>
      <c r="M13" s="315">
        <f>$E$14*'income statement'!J18</f>
        <v>3784616035.7773323</v>
      </c>
      <c r="N13" s="315">
        <f>$E$14*'income statement'!K18</f>
        <v>48791633.633563921</v>
      </c>
      <c r="O13" s="308">
        <f>$E$14*'income statement'!L18</f>
        <v>28120013944.225918</v>
      </c>
    </row>
    <row r="14" spans="3:15" x14ac:dyDescent="0.45">
      <c r="C14" s="300" t="s">
        <v>104</v>
      </c>
      <c r="D14" s="306"/>
      <c r="E14" s="316">
        <f>G14/'income statement'!$D$18</f>
        <v>0.44637422196232163</v>
      </c>
      <c r="F14" s="308">
        <v>617531.41905297292</v>
      </c>
      <c r="G14" s="309">
        <f>'Exchange rate forecast'!$G$7*'Balance Sheet'!F14</f>
        <v>9226579.0210568905</v>
      </c>
      <c r="H14" s="309">
        <v>3468105.8433606327</v>
      </c>
      <c r="I14" s="308">
        <f>H14*'Exchange rate forecast'!$G$8</f>
        <v>87314553.329404891</v>
      </c>
      <c r="J14" s="308">
        <v>12257034.359962631</v>
      </c>
      <c r="K14" s="308">
        <f>'Exchange rate forecast'!$G$9*'Balance Sheet'!J14</f>
        <v>674992063.83430362</v>
      </c>
      <c r="L14" s="308">
        <v>32367018.039428554</v>
      </c>
      <c r="M14" s="308">
        <f>'Exchange rate forecast'!$G$10*'Balance Sheet'!L14</f>
        <v>5061057203.0955973</v>
      </c>
      <c r="N14" s="308">
        <v>65420629.959745437</v>
      </c>
      <c r="O14" s="308">
        <f>'Exchange rate forecast'!$G$11*'Balance Sheet'!N14</f>
        <v>37703780130.095886</v>
      </c>
    </row>
    <row r="15" spans="3:15" x14ac:dyDescent="0.45">
      <c r="C15" s="300" t="s">
        <v>155</v>
      </c>
      <c r="D15" s="306"/>
      <c r="E15" s="316">
        <f>G15/'income statement'!$D$18</f>
        <v>9.999999999999995E-2</v>
      </c>
      <c r="F15" s="308">
        <f>'income statement'!C18-('income statement'!C18*90%)</f>
        <v>138343.88023981778</v>
      </c>
      <c r="G15" s="309">
        <f>'Exchange rate forecast'!$G$7*'Balance Sheet'!F15</f>
        <v>2067005.3437439986</v>
      </c>
      <c r="H15" s="309">
        <f>'income statement'!E18-('income statement'!E18*90%)</f>
        <v>610015.69989823736</v>
      </c>
      <c r="I15" s="308">
        <f>H15*'Exchange rate forecast'!$G$8</f>
        <v>15358022.726586172</v>
      </c>
      <c r="J15" s="308">
        <f>'income statement'!G18-('income statement'!G18*90%)</f>
        <v>2072124.0401778854</v>
      </c>
      <c r="K15" s="308">
        <f>'Exchange rate forecast'!$G$9*'Balance Sheet'!J15</f>
        <v>114111394.43070066</v>
      </c>
      <c r="L15" s="308">
        <f>'income statement'!I18-('income statement'!I18*90%)</f>
        <v>5422307.7494554743</v>
      </c>
      <c r="M15" s="308">
        <f>'Exchange rate forecast'!$G$10*'Balance Sheet'!L15</f>
        <v>847857212.52890587</v>
      </c>
      <c r="N15" s="308">
        <f>'income statement'!K18-('income statement'!K18*90%)</f>
        <v>10930656.662714362</v>
      </c>
      <c r="O15" s="308">
        <f>'Exchange rate forecast'!$G$11*'Balance Sheet'!N15</f>
        <v>6299650060.5717134</v>
      </c>
    </row>
    <row r="16" spans="3:15" x14ac:dyDescent="0.45">
      <c r="C16" s="305" t="s">
        <v>105</v>
      </c>
      <c r="D16" s="306"/>
      <c r="E16" s="306"/>
      <c r="F16" s="317">
        <f t="shared" ref="F16:O16" si="1">SUM(F12:F15)</f>
        <v>1659635.4360833177</v>
      </c>
      <c r="G16" s="318">
        <f t="shared" si="1"/>
        <v>24796726.166017778</v>
      </c>
      <c r="H16" s="318">
        <f t="shared" si="1"/>
        <v>8927777.7096305937</v>
      </c>
      <c r="I16" s="317">
        <f t="shared" si="1"/>
        <v>224769646.06859994</v>
      </c>
      <c r="J16" s="317">
        <f t="shared" si="1"/>
        <v>39380169.739804342</v>
      </c>
      <c r="K16" s="317">
        <f t="shared" si="1"/>
        <v>2168656892.5386257</v>
      </c>
      <c r="L16" s="317">
        <f t="shared" si="1"/>
        <v>179400199.98398152</v>
      </c>
      <c r="M16" s="317">
        <f t="shared" si="1"/>
        <v>28051848126.993858</v>
      </c>
      <c r="N16" s="317">
        <f t="shared" si="1"/>
        <v>997487427.97107863</v>
      </c>
      <c r="O16" s="317">
        <f t="shared" si="1"/>
        <v>574880533707.76111</v>
      </c>
    </row>
    <row r="17" spans="3:16" x14ac:dyDescent="0.45">
      <c r="C17" s="300"/>
      <c r="D17" s="306"/>
      <c r="E17" s="306"/>
      <c r="F17" s="308"/>
      <c r="G17" s="309"/>
      <c r="H17" s="309"/>
      <c r="I17" s="308"/>
      <c r="J17" s="308"/>
      <c r="K17" s="308"/>
      <c r="L17" s="308"/>
      <c r="M17" s="308"/>
      <c r="N17" s="308"/>
      <c r="O17" s="308"/>
    </row>
    <row r="18" spans="3:16" x14ac:dyDescent="0.45">
      <c r="C18" s="305" t="s">
        <v>106</v>
      </c>
      <c r="D18" s="306"/>
      <c r="E18" s="306"/>
      <c r="F18" s="319">
        <f t="shared" ref="F18:O18" si="2">F9+F16</f>
        <v>35289809.429793797</v>
      </c>
      <c r="G18" s="320">
        <f t="shared" si="2"/>
        <v>527267447.9322325</v>
      </c>
      <c r="H18" s="321">
        <f t="shared" si="2"/>
        <v>45329896.590525031</v>
      </c>
      <c r="I18" s="322">
        <f t="shared" si="2"/>
        <v>1153505544.5255258</v>
      </c>
      <c r="J18" s="322">
        <f t="shared" si="2"/>
        <v>79288384.51453419</v>
      </c>
      <c r="K18" s="322">
        <f t="shared" si="2"/>
        <v>4435710134.0816431</v>
      </c>
      <c r="L18" s="322">
        <f t="shared" si="2"/>
        <v>240264899.21608409</v>
      </c>
      <c r="M18" s="322">
        <f t="shared" si="2"/>
        <v>37864510924.91655</v>
      </c>
      <c r="N18" s="322">
        <f t="shared" si="2"/>
        <v>1089927484.0852652</v>
      </c>
      <c r="O18" s="319">
        <f t="shared" si="2"/>
        <v>629438083865.40808</v>
      </c>
      <c r="P18" s="323"/>
    </row>
    <row r="19" spans="3:16" x14ac:dyDescent="0.45">
      <c r="C19" s="300"/>
      <c r="D19" s="306"/>
      <c r="E19" s="306"/>
      <c r="F19" s="308"/>
      <c r="G19" s="309"/>
      <c r="H19" s="309"/>
      <c r="I19" s="308"/>
      <c r="J19" s="308"/>
      <c r="K19" s="308"/>
      <c r="L19" s="308"/>
      <c r="M19" s="308"/>
      <c r="N19" s="308"/>
      <c r="O19" s="308"/>
    </row>
    <row r="20" spans="3:16" x14ac:dyDescent="0.45">
      <c r="C20" s="305" t="s">
        <v>107</v>
      </c>
      <c r="D20" s="306"/>
      <c r="E20" s="306"/>
      <c r="F20" s="308"/>
      <c r="G20" s="309"/>
      <c r="H20" s="309"/>
      <c r="I20" s="308"/>
      <c r="J20" s="308"/>
      <c r="K20" s="308"/>
      <c r="L20" s="308"/>
      <c r="M20" s="308"/>
      <c r="N20" s="308"/>
      <c r="O20" s="308"/>
    </row>
    <row r="21" spans="3:16" x14ac:dyDescent="0.45">
      <c r="C21" s="300" t="s">
        <v>108</v>
      </c>
      <c r="D21" s="306"/>
      <c r="E21" s="306"/>
      <c r="F21" s="308"/>
      <c r="G21" s="309"/>
      <c r="H21" s="309"/>
      <c r="I21" s="308"/>
      <c r="J21" s="308"/>
      <c r="K21" s="308"/>
      <c r="L21" s="308"/>
      <c r="M21" s="308"/>
      <c r="N21" s="308"/>
      <c r="O21" s="308"/>
    </row>
    <row r="22" spans="3:16" x14ac:dyDescent="0.45">
      <c r="C22" s="300" t="s">
        <v>109</v>
      </c>
      <c r="D22" s="306"/>
      <c r="E22" s="324">
        <v>0.15</v>
      </c>
      <c r="F22" s="308">
        <f>$E$22*'income statement'!C18</f>
        <v>207515.82035972676</v>
      </c>
      <c r="G22" s="311">
        <f>'Exchange rate forecast'!$G$7*'Balance Sheet'!F22</f>
        <v>3100508.0156159992</v>
      </c>
      <c r="H22" s="311">
        <f>$E$22*'income statement'!E18</f>
        <v>915023.54984735639</v>
      </c>
      <c r="I22" s="308">
        <f>H22*'Exchange rate forecast'!$G$8</f>
        <v>23037034.089879267</v>
      </c>
      <c r="J22" s="310">
        <f>$E$22*'income statement'!G18</f>
        <v>3108186.0602668282</v>
      </c>
      <c r="K22" s="310">
        <f>'Exchange rate forecast'!$G$9*'Balance Sheet'!J22</f>
        <v>171167091.64605099</v>
      </c>
      <c r="L22" s="308">
        <f>$E$22*'income statement'!I18</f>
        <v>8133461.6241832133</v>
      </c>
      <c r="M22" s="310">
        <f>'Exchange rate forecast'!$G$10*'Balance Sheet'!L22</f>
        <v>1271785818.7933593</v>
      </c>
      <c r="N22" s="308">
        <f>$E$22*'income statement'!K18</f>
        <v>16395984.994071547</v>
      </c>
      <c r="O22" s="308">
        <f>'Exchange rate forecast'!$G$11*'Balance Sheet'!N22</f>
        <v>9449475090.8575726</v>
      </c>
    </row>
    <row r="23" spans="3:16" x14ac:dyDescent="0.45">
      <c r="C23" s="300" t="s">
        <v>130</v>
      </c>
      <c r="D23" s="306"/>
      <c r="E23" s="306"/>
      <c r="F23" s="317">
        <f>F22</f>
        <v>207515.82035972676</v>
      </c>
      <c r="G23" s="318">
        <f t="shared" ref="G23:O23" si="3">G22</f>
        <v>3100508.0156159992</v>
      </c>
      <c r="H23" s="325">
        <f t="shared" si="3"/>
        <v>915023.54984735639</v>
      </c>
      <c r="I23" s="326">
        <f t="shared" si="3"/>
        <v>23037034.089879267</v>
      </c>
      <c r="J23" s="326">
        <f t="shared" si="3"/>
        <v>3108186.0602668282</v>
      </c>
      <c r="K23" s="326">
        <f t="shared" si="3"/>
        <v>171167091.64605099</v>
      </c>
      <c r="L23" s="326">
        <f t="shared" si="3"/>
        <v>8133461.6241832133</v>
      </c>
      <c r="M23" s="326">
        <f t="shared" si="3"/>
        <v>1271785818.7933593</v>
      </c>
      <c r="N23" s="326">
        <f t="shared" si="3"/>
        <v>16395984.994071547</v>
      </c>
      <c r="O23" s="317">
        <f t="shared" si="3"/>
        <v>9449475090.8575726</v>
      </c>
    </row>
    <row r="24" spans="3:16" x14ac:dyDescent="0.45">
      <c r="C24" s="300"/>
      <c r="D24" s="306"/>
      <c r="E24" s="306"/>
      <c r="F24" s="308"/>
      <c r="G24" s="309"/>
      <c r="H24" s="309"/>
      <c r="I24" s="308"/>
      <c r="J24" s="308"/>
      <c r="K24" s="308"/>
      <c r="L24" s="308"/>
      <c r="M24" s="308"/>
      <c r="N24" s="308"/>
      <c r="O24" s="308"/>
    </row>
    <row r="25" spans="3:16" x14ac:dyDescent="0.45">
      <c r="C25" s="300" t="s">
        <v>110</v>
      </c>
      <c r="D25" s="306"/>
      <c r="E25" s="306"/>
      <c r="F25" s="308"/>
      <c r="G25" s="309"/>
      <c r="H25" s="309"/>
      <c r="I25" s="308"/>
      <c r="J25" s="308"/>
      <c r="K25" s="308"/>
      <c r="L25" s="308"/>
      <c r="M25" s="308"/>
      <c r="N25" s="308"/>
      <c r="O25" s="308"/>
    </row>
    <row r="26" spans="3:16" x14ac:dyDescent="0.45">
      <c r="C26" s="300" t="s">
        <v>195</v>
      </c>
      <c r="D26" s="306"/>
      <c r="E26" s="306"/>
      <c r="F26" s="308">
        <f ca="1">$E$43*F40</f>
        <v>5175296.6341020549</v>
      </c>
      <c r="G26" s="309">
        <f t="shared" ref="G26:O26" ca="1" si="4">$E$43*G40</f>
        <v>77324459.741952419</v>
      </c>
      <c r="H26" s="314">
        <f t="shared" ca="1" si="4"/>
        <v>6546774.967822032</v>
      </c>
      <c r="I26" s="315">
        <f t="shared" ca="1" si="4"/>
        <v>164478670.23670846</v>
      </c>
      <c r="J26" s="315">
        <f t="shared" ca="1" si="4"/>
        <v>10774438.440363843</v>
      </c>
      <c r="K26" s="315">
        <f t="shared" ca="1" si="4"/>
        <v>596082988.02650392</v>
      </c>
      <c r="L26" s="315">
        <f t="shared" ca="1" si="4"/>
        <v>32715242.795001827</v>
      </c>
      <c r="M26" s="315">
        <f t="shared" ca="1" si="4"/>
        <v>5189001312.7768421</v>
      </c>
      <c r="N26" s="315">
        <f ca="1">$E$43*N40</f>
        <v>157323571.77001643</v>
      </c>
      <c r="O26" s="310">
        <f t="shared" ca="1" si="4"/>
        <v>91664212617.465179</v>
      </c>
    </row>
    <row r="27" spans="3:16" x14ac:dyDescent="0.45">
      <c r="C27" s="305" t="s">
        <v>111</v>
      </c>
      <c r="D27" s="306"/>
      <c r="E27" s="306"/>
      <c r="F27" s="317">
        <f ca="1">F23+F26</f>
        <v>5382812.4544617813</v>
      </c>
      <c r="G27" s="318">
        <f ca="1">G22+G26</f>
        <v>80424967.757568419</v>
      </c>
      <c r="H27" s="318">
        <f t="shared" ref="H27:O27" ca="1" si="5">H22+H26</f>
        <v>7461798.5176693881</v>
      </c>
      <c r="I27" s="317">
        <f ca="1">I22+I26</f>
        <v>187515704.32658774</v>
      </c>
      <c r="J27" s="317">
        <f t="shared" ca="1" si="5"/>
        <v>13882624.500630671</v>
      </c>
      <c r="K27" s="317">
        <f t="shared" ca="1" si="5"/>
        <v>767250079.67255497</v>
      </c>
      <c r="L27" s="317">
        <f t="shared" ca="1" si="5"/>
        <v>40848704.419185042</v>
      </c>
      <c r="M27" s="317">
        <f t="shared" ca="1" si="5"/>
        <v>6460787131.5702019</v>
      </c>
      <c r="N27" s="317">
        <f t="shared" ca="1" si="5"/>
        <v>173719556.76408798</v>
      </c>
      <c r="O27" s="317">
        <f t="shared" ca="1" si="5"/>
        <v>101113687708.32275</v>
      </c>
    </row>
    <row r="28" spans="3:16" x14ac:dyDescent="0.45">
      <c r="C28" s="300"/>
      <c r="D28" s="306"/>
      <c r="E28" s="306"/>
      <c r="F28" s="308"/>
      <c r="G28" s="309"/>
      <c r="H28" s="309"/>
      <c r="I28" s="308"/>
      <c r="J28" s="308"/>
      <c r="K28" s="308"/>
      <c r="L28" s="308"/>
      <c r="M28" s="308"/>
      <c r="N28" s="308"/>
      <c r="O28" s="308"/>
    </row>
    <row r="29" spans="3:16" x14ac:dyDescent="0.45">
      <c r="C29" s="305" t="s">
        <v>112</v>
      </c>
      <c r="D29" s="306"/>
      <c r="E29" s="306"/>
      <c r="F29" s="308"/>
      <c r="G29" s="309"/>
      <c r="H29" s="309"/>
      <c r="I29" s="308"/>
      <c r="J29" s="308"/>
      <c r="K29" s="308"/>
      <c r="L29" s="308"/>
      <c r="M29" s="308"/>
      <c r="N29" s="308"/>
      <c r="O29" s="308"/>
    </row>
    <row r="30" spans="3:16" x14ac:dyDescent="0.45">
      <c r="C30" s="300" t="s">
        <v>113</v>
      </c>
      <c r="D30" s="306"/>
      <c r="E30" s="306"/>
      <c r="F30" s="308">
        <v>2000000</v>
      </c>
      <c r="G30" s="309">
        <f>'Exchange rate forecast'!$G$7*'Balance Sheet'!F30</f>
        <v>29882136.313668009</v>
      </c>
      <c r="H30" s="309">
        <f>$F$30</f>
        <v>2000000</v>
      </c>
      <c r="I30" s="308">
        <f>H30*'Exchange rate forecast'!$G$8</f>
        <v>50352876.914965279</v>
      </c>
      <c r="J30" s="315">
        <f>$F$30</f>
        <v>2000000</v>
      </c>
      <c r="K30" s="308">
        <f>'Exchange rate forecast'!$G$9*'Balance Sheet'!J30</f>
        <v>110139540.12222604</v>
      </c>
      <c r="L30" s="314">
        <f>$F$30</f>
        <v>2000000</v>
      </c>
      <c r="M30" s="308">
        <f>'Exchange rate forecast'!$G$10*'Balance Sheet'!L30</f>
        <v>312729284.91159523</v>
      </c>
      <c r="N30" s="309">
        <f>$F$30</f>
        <v>2000000</v>
      </c>
      <c r="O30" s="308">
        <f>'Exchange rate forecast'!$G$11*'Balance Sheet'!N30</f>
        <v>1152657201.6593463</v>
      </c>
    </row>
    <row r="31" spans="3:16" x14ac:dyDescent="0.45">
      <c r="C31" s="300" t="s">
        <v>114</v>
      </c>
      <c r="D31" s="306"/>
      <c r="E31" s="306"/>
      <c r="F31" s="308">
        <f ca="1">$E$44*F40</f>
        <v>29326680.926578309</v>
      </c>
      <c r="G31" s="309">
        <f t="shared" ref="G31:O31" ca="1" si="6">$E$44*G40</f>
        <v>438171938.5377304</v>
      </c>
      <c r="H31" s="314">
        <f t="shared" ca="1" si="6"/>
        <v>37098391.48432485</v>
      </c>
      <c r="I31" s="315">
        <f t="shared" ca="1" si="6"/>
        <v>932045798.00801456</v>
      </c>
      <c r="J31" s="315">
        <f t="shared" ca="1" si="6"/>
        <v>61055151.162061773</v>
      </c>
      <c r="K31" s="315">
        <f t="shared" ca="1" si="6"/>
        <v>3377803598.8168559</v>
      </c>
      <c r="L31" s="315">
        <f t="shared" ca="1" si="6"/>
        <v>185386375.83834368</v>
      </c>
      <c r="M31" s="315">
        <f t="shared" ca="1" si="6"/>
        <v>29404340772.402103</v>
      </c>
      <c r="N31" s="315">
        <f t="shared" ca="1" si="6"/>
        <v>891500240.03009307</v>
      </c>
      <c r="O31" s="308">
        <f t="shared" ca="1" si="6"/>
        <v>519430538165.63599</v>
      </c>
    </row>
    <row r="32" spans="3:16" x14ac:dyDescent="0.45">
      <c r="C32" s="300" t="s">
        <v>189</v>
      </c>
      <c r="D32" s="306"/>
      <c r="E32" s="306"/>
      <c r="F32" s="308">
        <f ca="1">'income statement'!C50</f>
        <v>-1419683.9512462975</v>
      </c>
      <c r="G32" s="311">
        <f ca="1">'income statement'!D50</f>
        <v>-21211594.676734336</v>
      </c>
      <c r="H32" s="309">
        <f ca="1">'income statement'!E50+F32</f>
        <v>-1230293.4114692044</v>
      </c>
      <c r="I32" s="308">
        <f ca="1">'income statement'!F50+G32</f>
        <v>-16408834.724041849</v>
      </c>
      <c r="J32" s="308">
        <f ca="1">'income statement'!G50+H32</f>
        <v>2350608.851841745</v>
      </c>
      <c r="K32" s="308">
        <f ca="1">'income statement'!H50+I32</f>
        <v>180516915.47000632</v>
      </c>
      <c r="L32" s="308">
        <f ca="1">'income statement'!I50+J32</f>
        <v>12029818.958555363</v>
      </c>
      <c r="M32" s="308">
        <f ca="1">'income statement'!J50+K32</f>
        <v>1686653736.0326474</v>
      </c>
      <c r="N32" s="308">
        <f ca="1">'income statement'!K50+L32</f>
        <v>22707687.291084096</v>
      </c>
      <c r="O32" s="308">
        <f ca="1">'income statement'!L50+M32</f>
        <v>7741200789.7899103</v>
      </c>
    </row>
    <row r="33" spans="3:16" x14ac:dyDescent="0.45">
      <c r="C33" s="305" t="s">
        <v>115</v>
      </c>
      <c r="D33" s="306"/>
      <c r="E33" s="306"/>
      <c r="F33" s="317">
        <f ca="1">SUM(F30:F32)</f>
        <v>29906996.975332011</v>
      </c>
      <c r="G33" s="318">
        <f t="shared" ref="G33:O33" ca="1" si="7">SUM(G30:G32)</f>
        <v>446842480.17466408</v>
      </c>
      <c r="H33" s="318">
        <f t="shared" ca="1" si="7"/>
        <v>37868098.072855644</v>
      </c>
      <c r="I33" s="317">
        <f t="shared" ca="1" si="7"/>
        <v>965989840.19893801</v>
      </c>
      <c r="J33" s="317">
        <f t="shared" ca="1" si="7"/>
        <v>65405760.013903521</v>
      </c>
      <c r="K33" s="317">
        <f t="shared" ca="1" si="7"/>
        <v>3668460054.4090886</v>
      </c>
      <c r="L33" s="317">
        <f t="shared" ca="1" si="7"/>
        <v>199416194.79689905</v>
      </c>
      <c r="M33" s="317">
        <f t="shared" ca="1" si="7"/>
        <v>31403723793.346344</v>
      </c>
      <c r="N33" s="317">
        <f t="shared" ca="1" si="7"/>
        <v>916207927.32117712</v>
      </c>
      <c r="O33" s="317">
        <f t="shared" ca="1" si="7"/>
        <v>528324396157.08527</v>
      </c>
      <c r="P33" s="323"/>
    </row>
    <row r="34" spans="3:16" x14ac:dyDescent="0.45">
      <c r="C34" s="300"/>
      <c r="D34" s="306"/>
      <c r="E34" s="306"/>
      <c r="F34" s="308"/>
      <c r="G34" s="309"/>
      <c r="H34" s="309"/>
      <c r="I34" s="308"/>
      <c r="J34" s="308"/>
      <c r="K34" s="308"/>
      <c r="L34" s="308"/>
      <c r="M34" s="308"/>
      <c r="N34" s="308"/>
      <c r="O34" s="308"/>
    </row>
    <row r="35" spans="3:16" ht="19" thickBot="1" x14ac:dyDescent="0.5">
      <c r="C35" s="327" t="s">
        <v>116</v>
      </c>
      <c r="D35" s="328"/>
      <c r="E35" s="328"/>
      <c r="F35" s="329">
        <f ca="1">F27+F33</f>
        <v>35289809.42979379</v>
      </c>
      <c r="G35" s="330">
        <f t="shared" ref="G35:O35" ca="1" si="8">G27+G33</f>
        <v>527267447.9322325</v>
      </c>
      <c r="H35" s="330">
        <f t="shared" ca="1" si="8"/>
        <v>45329896.590525031</v>
      </c>
      <c r="I35" s="329">
        <f t="shared" ca="1" si="8"/>
        <v>1153505544.5255258</v>
      </c>
      <c r="J35" s="329">
        <f t="shared" ca="1" si="8"/>
        <v>79288384.51453419</v>
      </c>
      <c r="K35" s="329">
        <f t="shared" ca="1" si="8"/>
        <v>4435710134.0816441</v>
      </c>
      <c r="L35" s="329">
        <f t="shared" ca="1" si="8"/>
        <v>240264899.21608409</v>
      </c>
      <c r="M35" s="329">
        <f t="shared" ca="1" si="8"/>
        <v>37864510924.91655</v>
      </c>
      <c r="N35" s="329">
        <f t="shared" ca="1" si="8"/>
        <v>1089927484.0852652</v>
      </c>
      <c r="O35" s="329">
        <f t="shared" ca="1" si="8"/>
        <v>629438083865.40796</v>
      </c>
    </row>
    <row r="36" spans="3:16" ht="19" thickBot="1" x14ac:dyDescent="0.5"/>
    <row r="37" spans="3:16" ht="19" thickBot="1" x14ac:dyDescent="0.5">
      <c r="C37" s="376" t="s">
        <v>117</v>
      </c>
      <c r="D37" s="377"/>
      <c r="E37" s="377"/>
      <c r="F37" s="377"/>
      <c r="G37" s="377"/>
      <c r="H37" s="377"/>
      <c r="I37" s="377"/>
      <c r="J37" s="377"/>
      <c r="K37" s="377"/>
      <c r="L37" s="377"/>
      <c r="M37" s="377"/>
      <c r="N37" s="377"/>
      <c r="O37" s="377"/>
    </row>
    <row r="38" spans="3:16" x14ac:dyDescent="0.45">
      <c r="C38" s="331" t="s">
        <v>118</v>
      </c>
      <c r="D38" s="266"/>
      <c r="E38" s="266"/>
      <c r="F38" s="332">
        <f>F18</f>
        <v>35289809.429793797</v>
      </c>
      <c r="G38" s="332">
        <f t="shared" ref="G38:M38" si="9">G18</f>
        <v>527267447.9322325</v>
      </c>
      <c r="H38" s="332">
        <f t="shared" si="9"/>
        <v>45329896.590525031</v>
      </c>
      <c r="I38" s="332">
        <f t="shared" si="9"/>
        <v>1153505544.5255258</v>
      </c>
      <c r="J38" s="332">
        <f t="shared" si="9"/>
        <v>79288384.51453419</v>
      </c>
      <c r="K38" s="332">
        <f t="shared" si="9"/>
        <v>4435710134.0816431</v>
      </c>
      <c r="L38" s="332">
        <f t="shared" si="9"/>
        <v>240264899.21608409</v>
      </c>
      <c r="M38" s="332">
        <f t="shared" si="9"/>
        <v>37864510924.91655</v>
      </c>
      <c r="N38" s="332">
        <f>N18</f>
        <v>1089927484.0852652</v>
      </c>
      <c r="O38" s="333">
        <f>O18</f>
        <v>629438083865.40808</v>
      </c>
    </row>
    <row r="39" spans="3:16" x14ac:dyDescent="0.45">
      <c r="C39" s="331" t="s">
        <v>119</v>
      </c>
      <c r="D39" s="266"/>
      <c r="E39" s="266"/>
      <c r="F39" s="334">
        <f ca="1">F23+F30+F32</f>
        <v>787831.86911342945</v>
      </c>
      <c r="G39" s="334">
        <f ca="1">G23+G30+G32</f>
        <v>11771049.652549673</v>
      </c>
      <c r="H39" s="334">
        <f t="shared" ref="H39:N39" ca="1" si="10">H23+H30+H32</f>
        <v>1684730.1383781522</v>
      </c>
      <c r="I39" s="334">
        <f t="shared" ca="1" si="10"/>
        <v>56981076.280802697</v>
      </c>
      <c r="J39" s="334">
        <f t="shared" ca="1" si="10"/>
        <v>7458794.9121085731</v>
      </c>
      <c r="K39" s="334">
        <f t="shared" ca="1" si="10"/>
        <v>461823547.2382834</v>
      </c>
      <c r="L39" s="334">
        <f t="shared" ca="1" si="10"/>
        <v>22163280.582738578</v>
      </c>
      <c r="M39" s="334">
        <f t="shared" ca="1" si="10"/>
        <v>3271168839.7376022</v>
      </c>
      <c r="N39" s="334">
        <f t="shared" ca="1" si="10"/>
        <v>41103672.285155639</v>
      </c>
      <c r="O39" s="335">
        <f ca="1">O23+O30+O32</f>
        <v>18343333082.306828</v>
      </c>
    </row>
    <row r="40" spans="3:16" ht="19" thickBot="1" x14ac:dyDescent="0.5">
      <c r="C40" s="336" t="s">
        <v>120</v>
      </c>
      <c r="D40" s="337"/>
      <c r="E40" s="337"/>
      <c r="F40" s="338">
        <f ca="1">F38-F39</f>
        <v>34501977.560680367</v>
      </c>
      <c r="G40" s="338">
        <f t="shared" ref="G40:N40" ca="1" si="11">G38-G39</f>
        <v>515496398.27968282</v>
      </c>
      <c r="H40" s="338">
        <f t="shared" ca="1" si="11"/>
        <v>43645166.45214688</v>
      </c>
      <c r="I40" s="338">
        <f t="shared" ca="1" si="11"/>
        <v>1096524468.2447231</v>
      </c>
      <c r="J40" s="338">
        <f t="shared" ca="1" si="11"/>
        <v>71829589.60242562</v>
      </c>
      <c r="K40" s="338">
        <f t="shared" ca="1" si="11"/>
        <v>3973886586.8433599</v>
      </c>
      <c r="L40" s="338">
        <f t="shared" ca="1" si="11"/>
        <v>218101618.63334551</v>
      </c>
      <c r="M40" s="338">
        <f t="shared" ca="1" si="11"/>
        <v>34593342085.178947</v>
      </c>
      <c r="N40" s="338">
        <f t="shared" ca="1" si="11"/>
        <v>1048823811.8001095</v>
      </c>
      <c r="O40" s="339">
        <f ca="1">O38-O39</f>
        <v>611094750783.1012</v>
      </c>
      <c r="P40" s="293"/>
    </row>
    <row r="41" spans="3:16" ht="19" thickBot="1" x14ac:dyDescent="0.5">
      <c r="L41" s="340"/>
      <c r="M41" s="266"/>
    </row>
    <row r="42" spans="3:16" x14ac:dyDescent="0.45">
      <c r="C42" s="379" t="s">
        <v>121</v>
      </c>
      <c r="D42" s="380"/>
      <c r="E42" s="381"/>
    </row>
    <row r="43" spans="3:16" x14ac:dyDescent="0.45">
      <c r="C43" s="300" t="s">
        <v>122</v>
      </c>
      <c r="D43" s="266"/>
      <c r="E43" s="341">
        <v>0.15</v>
      </c>
    </row>
    <row r="44" spans="3:16" ht="19" thickBot="1" x14ac:dyDescent="0.5">
      <c r="C44" s="327" t="s">
        <v>123</v>
      </c>
      <c r="D44" s="337"/>
      <c r="E44" s="342">
        <f>1-E43</f>
        <v>0.85</v>
      </c>
    </row>
    <row r="46" spans="3:16" ht="19" thickBot="1" x14ac:dyDescent="0.5"/>
    <row r="47" spans="3:16" ht="19" thickBot="1" x14ac:dyDescent="0.5">
      <c r="C47" s="376" t="s">
        <v>285</v>
      </c>
      <c r="D47" s="377"/>
      <c r="E47" s="377"/>
      <c r="F47" s="377"/>
      <c r="G47" s="378"/>
    </row>
    <row r="48" spans="3:16" ht="19" thickBot="1" x14ac:dyDescent="0.5">
      <c r="C48" s="256"/>
      <c r="D48" s="343"/>
      <c r="E48" s="344" t="s">
        <v>196</v>
      </c>
      <c r="F48" s="344" t="s">
        <v>39</v>
      </c>
      <c r="G48" s="345" t="s">
        <v>288</v>
      </c>
    </row>
    <row r="49" spans="3:7" x14ac:dyDescent="0.45">
      <c r="C49" s="346" t="s">
        <v>112</v>
      </c>
      <c r="D49" s="266"/>
      <c r="E49" s="347">
        <f ca="1">G33</f>
        <v>446842480.17466408</v>
      </c>
      <c r="F49" s="347">
        <f ca="1">F33</f>
        <v>29906996.975332011</v>
      </c>
      <c r="G49" s="348">
        <f ca="1">E49/E51</f>
        <v>0.85248123478704507</v>
      </c>
    </row>
    <row r="50" spans="3:7" ht="19" thickBot="1" x14ac:dyDescent="0.5">
      <c r="C50" s="346" t="s">
        <v>286</v>
      </c>
      <c r="D50" s="266"/>
      <c r="E50" s="347">
        <f ca="1">G26</f>
        <v>77324459.741952419</v>
      </c>
      <c r="F50" s="347">
        <f ca="1">F26</f>
        <v>5175296.6341020549</v>
      </c>
      <c r="G50" s="348">
        <f ca="1">E50/E51</f>
        <v>0.14751876521295496</v>
      </c>
    </row>
    <row r="51" spans="3:7" ht="22" thickBot="1" x14ac:dyDescent="0.8">
      <c r="C51" s="349" t="s">
        <v>287</v>
      </c>
      <c r="D51" s="343"/>
      <c r="E51" s="350">
        <f ca="1">E49+E50</f>
        <v>524166939.9166165</v>
      </c>
      <c r="F51" s="350">
        <f ca="1">F49+F50</f>
        <v>35082293.609434068</v>
      </c>
      <c r="G51" s="351"/>
    </row>
  </sheetData>
  <mergeCells count="9">
    <mergeCell ref="C47:G47"/>
    <mergeCell ref="C42:E42"/>
    <mergeCell ref="C2:O2"/>
    <mergeCell ref="C37:O37"/>
    <mergeCell ref="F3:G3"/>
    <mergeCell ref="H3:I3"/>
    <mergeCell ref="J3:K3"/>
    <mergeCell ref="L3:M3"/>
    <mergeCell ref="N3:O3"/>
  </mergeCells>
  <phoneticPr fontId="8" type="noConversion"/>
  <pageMargins left="0.7" right="0.7" top="0.75" bottom="0.75" header="0.3" footer="0.3"/>
  <pageSetup orientation="portrait" r:id="rId1"/>
  <ignoredErrors>
    <ignoredError sqref="I30:N31 I7:M7 I1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5"/>
  <sheetViews>
    <sheetView showGridLines="0" zoomScale="63" zoomScaleNormal="63" workbookViewId="0">
      <selection activeCell="H10" sqref="H10"/>
    </sheetView>
  </sheetViews>
  <sheetFormatPr defaultRowHeight="14.5" x14ac:dyDescent="0.35"/>
  <cols>
    <col min="2" max="2" width="27.26953125" style="3" bestFit="1" customWidth="1"/>
    <col min="3" max="3" width="8.6328125" bestFit="1" customWidth="1"/>
    <col min="4" max="4" width="12.36328125" bestFit="1" customWidth="1"/>
    <col min="5" max="5" width="14.08984375" bestFit="1" customWidth="1"/>
  </cols>
  <sheetData>
    <row r="2" spans="1:5" ht="15" thickBot="1" x14ac:dyDescent="0.4">
      <c r="B2" s="384"/>
      <c r="C2" s="384"/>
      <c r="D2" s="384"/>
    </row>
    <row r="3" spans="1:5" ht="15" thickBot="1" x14ac:dyDescent="0.4">
      <c r="B3" s="365" t="s">
        <v>0</v>
      </c>
      <c r="C3" s="366"/>
      <c r="D3" s="366"/>
      <c r="E3" s="367"/>
    </row>
    <row r="4" spans="1:5" x14ac:dyDescent="0.35">
      <c r="A4" s="2"/>
      <c r="B4" s="187" t="s">
        <v>1</v>
      </c>
      <c r="C4" s="190" t="s">
        <v>2</v>
      </c>
      <c r="D4" s="190" t="s">
        <v>39</v>
      </c>
      <c r="E4" s="194" t="s">
        <v>196</v>
      </c>
    </row>
    <row r="5" spans="1:5" x14ac:dyDescent="0.35">
      <c r="B5" s="26"/>
      <c r="C5" s="67"/>
      <c r="D5" s="67"/>
      <c r="E5" s="67"/>
    </row>
    <row r="6" spans="1:5" x14ac:dyDescent="0.35">
      <c r="B6" s="26" t="s">
        <v>172</v>
      </c>
      <c r="C6" s="88">
        <v>60</v>
      </c>
      <c r="D6" s="180">
        <f>'Operating Needs'!K8</f>
        <v>4200000</v>
      </c>
      <c r="E6" s="180">
        <f>'Operating Needs'!L8</f>
        <v>48342000</v>
      </c>
    </row>
    <row r="7" spans="1:5" x14ac:dyDescent="0.35">
      <c r="B7" s="26" t="s">
        <v>3</v>
      </c>
      <c r="C7" s="88">
        <v>20</v>
      </c>
      <c r="D7" s="180">
        <f>'Operating Needs'!K9</f>
        <v>386000</v>
      </c>
      <c r="E7" s="180">
        <f>'Operating Needs'!L11</f>
        <v>828720</v>
      </c>
    </row>
    <row r="8" spans="1:5" x14ac:dyDescent="0.35">
      <c r="B8" s="26" t="s">
        <v>4</v>
      </c>
      <c r="C8" s="88">
        <v>3</v>
      </c>
      <c r="D8" s="180">
        <f>'Operating Needs'!K10</f>
        <v>170000</v>
      </c>
      <c r="E8" s="180">
        <f>'Operating Needs'!L10</f>
        <v>1956700</v>
      </c>
    </row>
    <row r="9" spans="1:5" x14ac:dyDescent="0.35">
      <c r="B9" s="26" t="s">
        <v>5</v>
      </c>
      <c r="C9" s="88">
        <v>6</v>
      </c>
      <c r="D9" s="180">
        <f>'Operating Needs'!K11</f>
        <v>72000</v>
      </c>
      <c r="E9" s="180">
        <f>'Operating Needs'!L9</f>
        <v>4442860</v>
      </c>
    </row>
    <row r="10" spans="1:5" x14ac:dyDescent="0.35">
      <c r="B10" s="26" t="s">
        <v>201</v>
      </c>
      <c r="C10" s="88"/>
      <c r="D10" s="180">
        <f>'Operating Needs'!K7</f>
        <v>20000000</v>
      </c>
      <c r="E10" s="180">
        <f>'Operating Needs'!L7</f>
        <v>230200000</v>
      </c>
    </row>
    <row r="11" spans="1:5" x14ac:dyDescent="0.35">
      <c r="B11" s="26" t="s">
        <v>199</v>
      </c>
      <c r="C11" s="88"/>
      <c r="D11" s="180">
        <f>'Operating Needs'!K12</f>
        <v>34828000</v>
      </c>
      <c r="E11" s="180">
        <f>'Operating Needs'!L6</f>
        <v>115100000</v>
      </c>
    </row>
    <row r="12" spans="1:5" x14ac:dyDescent="0.35">
      <c r="B12" s="195" t="s">
        <v>6</v>
      </c>
      <c r="C12" s="191"/>
      <c r="D12" s="181">
        <f>SUM(D6:D11)</f>
        <v>59656000</v>
      </c>
      <c r="E12" s="181">
        <f>SUM(E6:E11)</f>
        <v>400870280</v>
      </c>
    </row>
    <row r="13" spans="1:5" x14ac:dyDescent="0.35">
      <c r="B13" s="26"/>
      <c r="C13" s="67"/>
      <c r="D13" s="67"/>
      <c r="E13" s="67"/>
    </row>
    <row r="14" spans="1:5" x14ac:dyDescent="0.35">
      <c r="B14" s="26"/>
      <c r="C14" s="67"/>
      <c r="D14" s="67"/>
      <c r="E14" s="67"/>
    </row>
    <row r="15" spans="1:5" x14ac:dyDescent="0.35">
      <c r="B15" s="188" t="s">
        <v>7</v>
      </c>
      <c r="C15" s="67"/>
      <c r="D15" s="67"/>
      <c r="E15" s="67"/>
    </row>
    <row r="16" spans="1:5" x14ac:dyDescent="0.35">
      <c r="B16" s="26" t="s">
        <v>8</v>
      </c>
      <c r="C16" s="67"/>
      <c r="D16" s="193">
        <f>E16/11.51</f>
        <v>29885.845351867942</v>
      </c>
      <c r="E16" s="182">
        <v>343986.08</v>
      </c>
    </row>
    <row r="17" spans="2:21" x14ac:dyDescent="0.35">
      <c r="B17" s="26" t="s">
        <v>9</v>
      </c>
      <c r="C17" s="67"/>
      <c r="D17" s="193">
        <f>'Operating Needs'!E48</f>
        <v>16000</v>
      </c>
      <c r="E17" s="43">
        <f>D17*11.51</f>
        <v>184160</v>
      </c>
    </row>
    <row r="18" spans="2:21" x14ac:dyDescent="0.35">
      <c r="B18" s="27" t="s">
        <v>6</v>
      </c>
      <c r="C18" s="67"/>
      <c r="D18" s="183">
        <f>SUM(D16:D17)</f>
        <v>45885.845351867945</v>
      </c>
      <c r="E18" s="183">
        <f>SUM(E16:E17)</f>
        <v>528146.08000000007</v>
      </c>
      <c r="U18" s="1"/>
    </row>
    <row r="19" spans="2:21" x14ac:dyDescent="0.35">
      <c r="B19" s="26"/>
      <c r="C19" s="67"/>
      <c r="D19" s="67"/>
      <c r="E19" s="67"/>
    </row>
    <row r="20" spans="2:21" x14ac:dyDescent="0.35">
      <c r="B20" s="27" t="s">
        <v>10</v>
      </c>
      <c r="C20" s="67"/>
      <c r="D20" s="67"/>
      <c r="E20" s="67"/>
    </row>
    <row r="21" spans="2:21" x14ac:dyDescent="0.35">
      <c r="B21" s="26" t="s">
        <v>11</v>
      </c>
      <c r="C21" s="67"/>
      <c r="D21" s="193">
        <v>5000</v>
      </c>
      <c r="E21" s="43">
        <f>D21*11.51</f>
        <v>57550</v>
      </c>
    </row>
    <row r="22" spans="2:21" x14ac:dyDescent="0.35">
      <c r="B22" s="26" t="s">
        <v>12</v>
      </c>
      <c r="C22" s="67"/>
      <c r="D22" s="193">
        <v>1000</v>
      </c>
      <c r="E22" s="43">
        <f>D22*11.51</f>
        <v>11510</v>
      </c>
    </row>
    <row r="23" spans="2:21" x14ac:dyDescent="0.35">
      <c r="B23" s="27" t="s">
        <v>6</v>
      </c>
      <c r="C23" s="67"/>
      <c r="D23" s="184">
        <f>SUM(D21:D22)</f>
        <v>6000</v>
      </c>
      <c r="E23" s="184">
        <f>SUM(E21:E22)</f>
        <v>69060</v>
      </c>
    </row>
    <row r="24" spans="2:21" x14ac:dyDescent="0.35">
      <c r="B24" s="26"/>
      <c r="C24" s="67"/>
      <c r="D24" s="67"/>
      <c r="E24" s="67"/>
    </row>
    <row r="25" spans="2:21" ht="16.5" thickBot="1" x14ac:dyDescent="0.55000000000000004">
      <c r="B25" s="189" t="s">
        <v>13</v>
      </c>
      <c r="C25" s="192"/>
      <c r="D25" s="186">
        <f>SUM(D23,D18,D12)</f>
        <v>59707885.845351867</v>
      </c>
      <c r="E25" s="186">
        <f>SUM(E23,E18,E12)</f>
        <v>401467486.07999998</v>
      </c>
    </row>
  </sheetData>
  <mergeCells count="2">
    <mergeCell ref="B2:D2"/>
    <mergeCell ref="B3:E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7852-0C37-4B23-8196-0ED888B070FF}">
  <dimension ref="B1:D22"/>
  <sheetViews>
    <sheetView showGridLines="0" zoomScale="44" zoomScaleNormal="44" workbookViewId="0">
      <selection activeCell="C14" sqref="C14"/>
    </sheetView>
  </sheetViews>
  <sheetFormatPr defaultRowHeight="14.5" x14ac:dyDescent="0.35"/>
  <cols>
    <col min="2" max="2" width="65.54296875" bestFit="1" customWidth="1"/>
    <col min="3" max="3" width="30.6328125" bestFit="1" customWidth="1"/>
    <col min="4" max="4" width="47.81640625" bestFit="1" customWidth="1"/>
  </cols>
  <sheetData>
    <row r="1" spans="2:4" ht="15" thickBot="1" x14ac:dyDescent="0.4"/>
    <row r="2" spans="2:4" ht="28.5" x14ac:dyDescent="0.65">
      <c r="B2" s="196"/>
      <c r="C2" s="197"/>
      <c r="D2" s="197"/>
    </row>
    <row r="3" spans="2:4" ht="28.5" x14ac:dyDescent="0.65">
      <c r="B3" s="198" t="s">
        <v>133</v>
      </c>
      <c r="C3" s="199">
        <v>0.3</v>
      </c>
      <c r="D3" s="200" t="s">
        <v>132</v>
      </c>
    </row>
    <row r="4" spans="2:4" ht="28.5" x14ac:dyDescent="0.65">
      <c r="B4" s="198"/>
      <c r="C4" s="200"/>
      <c r="D4" s="200"/>
    </row>
    <row r="5" spans="2:4" ht="28.5" x14ac:dyDescent="0.65">
      <c r="B5" s="201" t="s">
        <v>134</v>
      </c>
      <c r="C5" s="200"/>
      <c r="D5" s="200"/>
    </row>
    <row r="6" spans="2:4" ht="32.5" x14ac:dyDescent="0.85">
      <c r="B6" s="198" t="s">
        <v>244</v>
      </c>
      <c r="C6" s="202">
        <v>0.15</v>
      </c>
      <c r="D6" s="200"/>
    </row>
    <row r="7" spans="2:4" ht="32.5" x14ac:dyDescent="0.85">
      <c r="B7" s="198" t="s">
        <v>245</v>
      </c>
      <c r="C7" s="203">
        <f>C3</f>
        <v>0.3</v>
      </c>
      <c r="D7" s="200" t="s">
        <v>209</v>
      </c>
    </row>
    <row r="8" spans="2:4" ht="32.5" x14ac:dyDescent="0.85">
      <c r="B8" s="198" t="s">
        <v>246</v>
      </c>
      <c r="C8" s="204">
        <f>C6*(1-C7)</f>
        <v>0.105</v>
      </c>
      <c r="D8" s="200"/>
    </row>
    <row r="9" spans="2:4" ht="28.5" x14ac:dyDescent="0.65">
      <c r="B9" s="198"/>
      <c r="C9" s="200"/>
      <c r="D9" s="200"/>
    </row>
    <row r="10" spans="2:4" ht="28.5" x14ac:dyDescent="0.65">
      <c r="B10" s="201" t="s">
        <v>135</v>
      </c>
      <c r="C10" s="200"/>
      <c r="D10" s="200"/>
    </row>
    <row r="11" spans="2:4" ht="28.5" x14ac:dyDescent="0.65">
      <c r="B11" s="198" t="s">
        <v>136</v>
      </c>
      <c r="C11" s="204">
        <v>0.11</v>
      </c>
      <c r="D11" s="200" t="s">
        <v>132</v>
      </c>
    </row>
    <row r="12" spans="2:4" ht="28.5" x14ac:dyDescent="0.65">
      <c r="B12" s="198" t="s">
        <v>137</v>
      </c>
      <c r="C12" s="204">
        <f>C8</f>
        <v>0.105</v>
      </c>
      <c r="D12" s="200" t="s">
        <v>138</v>
      </c>
    </row>
    <row r="13" spans="2:4" ht="28.5" x14ac:dyDescent="0.65">
      <c r="B13" s="198"/>
      <c r="C13" s="200"/>
      <c r="D13" s="200"/>
    </row>
    <row r="14" spans="2:4" ht="28.5" x14ac:dyDescent="0.65">
      <c r="B14" s="198" t="s">
        <v>215</v>
      </c>
      <c r="C14" s="205">
        <f ca="1">'Balance Sheet'!G33</f>
        <v>446842480.17466408</v>
      </c>
      <c r="D14" s="200" t="s">
        <v>132</v>
      </c>
    </row>
    <row r="15" spans="2:4" ht="28.5" x14ac:dyDescent="0.65">
      <c r="B15" s="198" t="s">
        <v>216</v>
      </c>
      <c r="C15" s="206">
        <f ca="1">'Balance Sheet'!G26</f>
        <v>77324459.741952419</v>
      </c>
      <c r="D15" s="200" t="s">
        <v>132</v>
      </c>
    </row>
    <row r="16" spans="2:4" ht="28.5" x14ac:dyDescent="0.65">
      <c r="B16" s="198" t="s">
        <v>217</v>
      </c>
      <c r="C16" s="205">
        <f ca="1">C14+C15</f>
        <v>524166939.9166165</v>
      </c>
      <c r="D16" s="200" t="s">
        <v>132</v>
      </c>
    </row>
    <row r="17" spans="2:4" ht="28.5" x14ac:dyDescent="0.65">
      <c r="B17" s="198"/>
      <c r="C17" s="200"/>
      <c r="D17" s="200"/>
    </row>
    <row r="18" spans="2:4" ht="28.5" x14ac:dyDescent="0.65">
      <c r="B18" s="198" t="s">
        <v>139</v>
      </c>
      <c r="C18" s="207">
        <f ca="1">C14/C16</f>
        <v>0.85248123478704507</v>
      </c>
      <c r="D18" s="200"/>
    </row>
    <row r="19" spans="2:4" ht="28.5" x14ac:dyDescent="0.65">
      <c r="B19" s="198" t="s">
        <v>140</v>
      </c>
      <c r="C19" s="207">
        <f ca="1">C15/C16</f>
        <v>0.14751876521295496</v>
      </c>
      <c r="D19" s="200"/>
    </row>
    <row r="20" spans="2:4" ht="28.5" x14ac:dyDescent="0.65">
      <c r="B20" s="198"/>
      <c r="C20" s="200"/>
      <c r="D20" s="200"/>
    </row>
    <row r="21" spans="2:4" ht="28.5" x14ac:dyDescent="0.65">
      <c r="B21" s="198" t="s">
        <v>214</v>
      </c>
      <c r="C21" s="208"/>
      <c r="D21" s="200"/>
    </row>
    <row r="22" spans="2:4" ht="29" thickBot="1" x14ac:dyDescent="0.7">
      <c r="B22" s="209" t="s">
        <v>141</v>
      </c>
      <c r="C22" s="210">
        <f ca="1">(C18*C11)+(C19*C12)</f>
        <v>0.10926240617393523</v>
      </c>
      <c r="D22" s="211" t="s">
        <v>142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6C645-146A-4566-8588-F41AEF0A9D54}">
  <dimension ref="B2:M18"/>
  <sheetViews>
    <sheetView showGridLines="0" zoomScale="50" zoomScaleNormal="50" workbookViewId="0">
      <selection activeCell="G26" sqref="G26"/>
    </sheetView>
  </sheetViews>
  <sheetFormatPr defaultRowHeight="23.5" x14ac:dyDescent="0.55000000000000004"/>
  <cols>
    <col min="1" max="1" width="8.7265625" style="212"/>
    <col min="2" max="2" width="50.26953125" style="212" bestFit="1" customWidth="1"/>
    <col min="3" max="3" width="23.36328125" style="212" bestFit="1" customWidth="1"/>
    <col min="4" max="4" width="25.1796875" style="212" bestFit="1" customWidth="1"/>
    <col min="5" max="5" width="22.453125" style="212" bestFit="1" customWidth="1"/>
    <col min="6" max="6" width="25.1796875" style="212" bestFit="1" customWidth="1"/>
    <col min="7" max="7" width="22.453125" style="212" bestFit="1" customWidth="1"/>
    <col min="8" max="8" width="26.6328125" style="212" bestFit="1" customWidth="1"/>
    <col min="9" max="9" width="22.453125" style="212" bestFit="1" customWidth="1"/>
    <col min="10" max="10" width="26.6328125" style="212" bestFit="1" customWidth="1"/>
    <col min="11" max="11" width="24.26953125" style="212" bestFit="1" customWidth="1"/>
    <col min="12" max="12" width="28.453125" style="212" bestFit="1" customWidth="1"/>
    <col min="13" max="13" width="24.81640625" style="212" bestFit="1" customWidth="1"/>
    <col min="14" max="16384" width="8.7265625" style="212"/>
  </cols>
  <sheetData>
    <row r="2" spans="2:13" ht="24" thickBot="1" x14ac:dyDescent="0.6">
      <c r="B2" s="385"/>
      <c r="C2" s="385"/>
      <c r="D2" s="385"/>
      <c r="E2" s="385"/>
      <c r="F2" s="385"/>
      <c r="G2" s="385"/>
      <c r="H2" s="385"/>
      <c r="I2" s="385"/>
      <c r="J2" s="385"/>
      <c r="K2" s="385"/>
    </row>
    <row r="3" spans="2:13" ht="24" thickBot="1" x14ac:dyDescent="0.6">
      <c r="B3" s="386" t="s">
        <v>289</v>
      </c>
      <c r="C3" s="387"/>
      <c r="D3" s="387"/>
      <c r="E3" s="387"/>
      <c r="F3" s="387"/>
      <c r="G3" s="387"/>
      <c r="H3" s="387"/>
      <c r="I3" s="387"/>
      <c r="J3" s="387"/>
      <c r="K3" s="387"/>
      <c r="L3" s="388"/>
    </row>
    <row r="4" spans="2:13" ht="24" thickBot="1" x14ac:dyDescent="0.6">
      <c r="B4" s="213"/>
      <c r="C4" s="389" t="s">
        <v>36</v>
      </c>
      <c r="D4" s="390"/>
      <c r="E4" s="389" t="s">
        <v>37</v>
      </c>
      <c r="F4" s="390"/>
      <c r="G4" s="389" t="s">
        <v>38</v>
      </c>
      <c r="H4" s="390"/>
      <c r="I4" s="389" t="s">
        <v>152</v>
      </c>
      <c r="J4" s="390"/>
      <c r="K4" s="389" t="s">
        <v>153</v>
      </c>
      <c r="L4" s="390"/>
    </row>
    <row r="5" spans="2:13" ht="24" thickBot="1" x14ac:dyDescent="0.6">
      <c r="B5" s="214" t="s">
        <v>200</v>
      </c>
      <c r="C5" s="215" t="s">
        <v>39</v>
      </c>
      <c r="D5" s="216" t="s">
        <v>196</v>
      </c>
      <c r="E5" s="215" t="s">
        <v>39</v>
      </c>
      <c r="F5" s="216" t="s">
        <v>196</v>
      </c>
      <c r="G5" s="215" t="s">
        <v>39</v>
      </c>
      <c r="H5" s="216" t="s">
        <v>196</v>
      </c>
      <c r="I5" s="215" t="s">
        <v>39</v>
      </c>
      <c r="J5" s="216" t="s">
        <v>196</v>
      </c>
      <c r="K5" s="215" t="s">
        <v>39</v>
      </c>
      <c r="L5" s="216" t="s">
        <v>196</v>
      </c>
    </row>
    <row r="6" spans="2:13" x14ac:dyDescent="0.55000000000000004">
      <c r="B6" s="214" t="s">
        <v>40</v>
      </c>
      <c r="C6" s="217">
        <f>'income statement'!C18</f>
        <v>1383438.8023981785</v>
      </c>
      <c r="D6" s="218">
        <f>'income statement'!D18</f>
        <v>20670053.437439997</v>
      </c>
      <c r="E6" s="217">
        <f>'income statement'!E18</f>
        <v>6100156.9989823764</v>
      </c>
      <c r="F6" s="218">
        <f>'income statement'!F18</f>
        <v>153580227.26586181</v>
      </c>
      <c r="G6" s="217">
        <f>'income statement'!G18</f>
        <v>20721240.401778854</v>
      </c>
      <c r="H6" s="218">
        <f>'income statement'!H18</f>
        <v>1141113944.3070068</v>
      </c>
      <c r="I6" s="217">
        <f>'income statement'!I18</f>
        <v>54223077.494554758</v>
      </c>
      <c r="J6" s="218">
        <f>'income statement'!J18</f>
        <v>8478572125.2890606</v>
      </c>
      <c r="K6" s="217">
        <f>'income statement'!K18</f>
        <v>109306566.62714365</v>
      </c>
      <c r="L6" s="218">
        <f>'income statement'!L18</f>
        <v>62996500605.717155</v>
      </c>
    </row>
    <row r="7" spans="2:13" x14ac:dyDescent="0.55000000000000004">
      <c r="B7" s="214" t="s">
        <v>41</v>
      </c>
      <c r="C7" s="219">
        <f>'Operating Cost'!C44</f>
        <v>1386357.8686754545</v>
      </c>
      <c r="D7" s="220">
        <f>'Operating Cost'!D44</f>
        <v>20713667.405643094</v>
      </c>
      <c r="E7" s="219">
        <f>'Operating Cost'!E44</f>
        <v>929243.46884483704</v>
      </c>
      <c r="F7" s="220">
        <f>'Operating Cost'!F44</f>
        <v>23395041.005389728</v>
      </c>
      <c r="G7" s="219">
        <f>'Operating Cost'!G44</f>
        <v>597653.98726926558</v>
      </c>
      <c r="H7" s="220">
        <f>'Operating Cost'!H44</f>
        <v>32912667.655025825</v>
      </c>
      <c r="I7" s="219">
        <f>'Operating Cost'!I44</f>
        <v>477027.99993158708</v>
      </c>
      <c r="J7" s="220">
        <f>'Operating Cost'!J44</f>
        <v>74590312.650706857</v>
      </c>
      <c r="K7" s="219">
        <f>'Operating Cost'!K44</f>
        <v>528404.73445688642</v>
      </c>
      <c r="L7" s="220">
        <f>'Operating Cost'!L44</f>
        <v>304534761.28131235</v>
      </c>
    </row>
    <row r="8" spans="2:13" x14ac:dyDescent="0.55000000000000004">
      <c r="B8" s="221" t="s">
        <v>42</v>
      </c>
      <c r="C8" s="217">
        <f>C6-C7</f>
        <v>-2919.0662772760261</v>
      </c>
      <c r="D8" s="218">
        <f t="shared" ref="D8:L8" si="0">D6-D7</f>
        <v>-43613.968203097582</v>
      </c>
      <c r="E8" s="217">
        <f t="shared" si="0"/>
        <v>5170913.5301375389</v>
      </c>
      <c r="F8" s="218">
        <f t="shared" si="0"/>
        <v>130185186.26047209</v>
      </c>
      <c r="G8" s="217">
        <f t="shared" si="0"/>
        <v>20123586.414509587</v>
      </c>
      <c r="H8" s="218">
        <f t="shared" si="0"/>
        <v>1108201276.6519811</v>
      </c>
      <c r="I8" s="217">
        <f t="shared" si="0"/>
        <v>53746049.494623169</v>
      </c>
      <c r="J8" s="218">
        <f t="shared" si="0"/>
        <v>8403981812.6383533</v>
      </c>
      <c r="K8" s="217">
        <f t="shared" si="0"/>
        <v>108778161.89268677</v>
      </c>
      <c r="L8" s="218">
        <f t="shared" si="0"/>
        <v>62691965844.435844</v>
      </c>
    </row>
    <row r="9" spans="2:13" x14ac:dyDescent="0.55000000000000004">
      <c r="B9" s="214" t="s">
        <v>43</v>
      </c>
      <c r="C9" s="219">
        <f>30%*'Balance Sheet'!F7</f>
        <v>10448400</v>
      </c>
      <c r="D9" s="219">
        <f>30%*'Balance Sheet'!G7</f>
        <v>156110256.5298644</v>
      </c>
      <c r="E9" s="219">
        <f>30%*'Balance Sheet'!H7</f>
        <v>11493240</v>
      </c>
      <c r="F9" s="219">
        <f>30%*'Balance Sheet'!I7</f>
        <v>289358849.53707772</v>
      </c>
      <c r="G9" s="219">
        <f>30%*'Balance Sheet'!J7</f>
        <v>12642564</v>
      </c>
      <c r="H9" s="219">
        <f>30%*'Balance Sheet'!K7</f>
        <v>696223092.46290517</v>
      </c>
      <c r="I9" s="219">
        <f>30%*'Balance Sheet'!L7</f>
        <v>18963846</v>
      </c>
      <c r="J9" s="219">
        <f>30%*'Balance Sheet'!M7</f>
        <v>2965274999.3768077</v>
      </c>
      <c r="K9" s="219">
        <f>30%*'Balance Sheet'!N7</f>
        <v>28445769</v>
      </c>
      <c r="L9" s="219">
        <f>30%*'Balance Sheet'!O7</f>
        <v>16394110247.29409</v>
      </c>
    </row>
    <row r="10" spans="2:13" x14ac:dyDescent="0.55000000000000004">
      <c r="B10" s="221" t="s">
        <v>44</v>
      </c>
      <c r="C10" s="217">
        <f>C8-C9</f>
        <v>-10451319.066277277</v>
      </c>
      <c r="D10" s="218">
        <f t="shared" ref="D10:L10" si="1">D8-D9</f>
        <v>-156153870.4980675</v>
      </c>
      <c r="E10" s="217">
        <f t="shared" si="1"/>
        <v>-6322326.4698624611</v>
      </c>
      <c r="F10" s="218">
        <f t="shared" si="1"/>
        <v>-159173663.27660564</v>
      </c>
      <c r="G10" s="217">
        <f t="shared" si="1"/>
        <v>7481022.414509587</v>
      </c>
      <c r="H10" s="218">
        <f t="shared" si="1"/>
        <v>411978184.18907595</v>
      </c>
      <c r="I10" s="217">
        <f t="shared" si="1"/>
        <v>34782203.494623169</v>
      </c>
      <c r="J10" s="218">
        <f t="shared" si="1"/>
        <v>5438706813.2615452</v>
      </c>
      <c r="K10" s="217">
        <f t="shared" si="1"/>
        <v>80332392.892686769</v>
      </c>
      <c r="L10" s="218">
        <f t="shared" si="1"/>
        <v>46297855597.141754</v>
      </c>
    </row>
    <row r="11" spans="2:13" x14ac:dyDescent="0.55000000000000004">
      <c r="B11" s="214" t="s">
        <v>45</v>
      </c>
      <c r="C11" s="219">
        <f>'income statement'!C46</f>
        <v>0</v>
      </c>
      <c r="D11" s="220">
        <f>'income statement'!D46</f>
        <v>0</v>
      </c>
      <c r="E11" s="219">
        <f>'income statement'!E46</f>
        <v>361743.44423969841</v>
      </c>
      <c r="F11" s="220">
        <f>'income statement'!F46</f>
        <v>9107411.5612985697</v>
      </c>
      <c r="G11" s="219">
        <f>'income statement'!G46</f>
        <v>1996434.0460059999</v>
      </c>
      <c r="H11" s="220">
        <f>'income statement'!H46</f>
        <v>109943163.85572796</v>
      </c>
      <c r="I11" s="219">
        <f>'income statement'!I46</f>
        <v>5550314.7369487723</v>
      </c>
      <c r="J11" s="220">
        <f>'income statement'!J46</f>
        <v>867872979.36013937</v>
      </c>
      <c r="K11" s="219">
        <f>'income statement'!K46</f>
        <v>11318668.075513018</v>
      </c>
      <c r="L11" s="220">
        <f>'income statement'!L46</f>
        <v>6523272135.2159061</v>
      </c>
    </row>
    <row r="12" spans="2:13" x14ac:dyDescent="0.55000000000000004">
      <c r="B12" s="221" t="s">
        <v>46</v>
      </c>
      <c r="C12" s="217">
        <f>C10-C11</f>
        <v>-10451319.066277277</v>
      </c>
      <c r="D12" s="218">
        <f t="shared" ref="D12:L12" si="2">D10-D11</f>
        <v>-156153870.4980675</v>
      </c>
      <c r="E12" s="217">
        <f t="shared" si="2"/>
        <v>-6684069.9141021594</v>
      </c>
      <c r="F12" s="218">
        <f t="shared" si="2"/>
        <v>-168281074.83790421</v>
      </c>
      <c r="G12" s="217">
        <f t="shared" si="2"/>
        <v>5484588.3685035873</v>
      </c>
      <c r="H12" s="218">
        <f t="shared" si="2"/>
        <v>302035020.33334798</v>
      </c>
      <c r="I12" s="217">
        <f t="shared" si="2"/>
        <v>29231888.757674396</v>
      </c>
      <c r="J12" s="218">
        <f t="shared" si="2"/>
        <v>4570833833.9014053</v>
      </c>
      <c r="K12" s="217">
        <f t="shared" si="2"/>
        <v>69013724.817173749</v>
      </c>
      <c r="L12" s="218">
        <f t="shared" si="2"/>
        <v>39774583461.92585</v>
      </c>
    </row>
    <row r="13" spans="2:13" x14ac:dyDescent="0.55000000000000004">
      <c r="B13" s="214" t="s">
        <v>47</v>
      </c>
      <c r="C13" s="219">
        <f>C9</f>
        <v>10448400</v>
      </c>
      <c r="D13" s="219">
        <f t="shared" ref="D13:L13" si="3">D9</f>
        <v>156110256.5298644</v>
      </c>
      <c r="E13" s="219">
        <f t="shared" si="3"/>
        <v>11493240</v>
      </c>
      <c r="F13" s="219">
        <f t="shared" si="3"/>
        <v>289358849.53707772</v>
      </c>
      <c r="G13" s="219">
        <f t="shared" si="3"/>
        <v>12642564</v>
      </c>
      <c r="H13" s="219">
        <f t="shared" si="3"/>
        <v>696223092.46290517</v>
      </c>
      <c r="I13" s="219">
        <f t="shared" si="3"/>
        <v>18963846</v>
      </c>
      <c r="J13" s="219">
        <f t="shared" si="3"/>
        <v>2965274999.3768077</v>
      </c>
      <c r="K13" s="219">
        <f t="shared" si="3"/>
        <v>28445769</v>
      </c>
      <c r="L13" s="219">
        <f t="shared" si="3"/>
        <v>16394110247.29409</v>
      </c>
    </row>
    <row r="14" spans="2:13" ht="24" thickBot="1" x14ac:dyDescent="0.6">
      <c r="B14" s="222" t="s">
        <v>131</v>
      </c>
      <c r="C14" s="223">
        <f>C12+C13</f>
        <v>-2919.0662772767246</v>
      </c>
      <c r="D14" s="224">
        <f t="shared" ref="D14:L14" si="4">D12+D13</f>
        <v>-43613.968203097582</v>
      </c>
      <c r="E14" s="223">
        <f>E12+E13</f>
        <v>4809170.0858978406</v>
      </c>
      <c r="F14" s="224">
        <f t="shared" si="4"/>
        <v>121077774.69917351</v>
      </c>
      <c r="G14" s="223">
        <f>G12+G13</f>
        <v>18127152.368503585</v>
      </c>
      <c r="H14" s="224">
        <f t="shared" si="4"/>
        <v>998258112.7962532</v>
      </c>
      <c r="I14" s="223">
        <f t="shared" si="4"/>
        <v>48195734.757674396</v>
      </c>
      <c r="J14" s="224">
        <f t="shared" si="4"/>
        <v>7536108833.2782135</v>
      </c>
      <c r="K14" s="223">
        <f t="shared" si="4"/>
        <v>97459493.817173749</v>
      </c>
      <c r="L14" s="224">
        <f t="shared" si="4"/>
        <v>56168693709.21994</v>
      </c>
    </row>
    <row r="15" spans="2:13" x14ac:dyDescent="0.55000000000000004">
      <c r="M15" s="225"/>
    </row>
    <row r="18" spans="4:4" x14ac:dyDescent="0.55000000000000004">
      <c r="D18" s="226"/>
    </row>
  </sheetData>
  <mergeCells count="7">
    <mergeCell ref="B2:K2"/>
    <mergeCell ref="B3:L3"/>
    <mergeCell ref="C4:D4"/>
    <mergeCell ref="E4:F4"/>
    <mergeCell ref="G4:H4"/>
    <mergeCell ref="I4:J4"/>
    <mergeCell ref="K4:L4"/>
  </mergeCells>
  <phoneticPr fontId="8" type="noConversion"/>
  <pageMargins left="0.7" right="0.7" top="0.75" bottom="0.75" header="0.3" footer="0.3"/>
  <pageSetup orientation="portrait" r:id="rId1"/>
  <ignoredErrors>
    <ignoredError sqref="D10:L12 C11 D14 F14 H14:L14 C8:L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B4618-2780-4149-8559-AAA468CD2358}">
  <dimension ref="B1:H20"/>
  <sheetViews>
    <sheetView showGridLines="0" zoomScaleNormal="100" workbookViewId="0">
      <selection activeCell="G17" sqref="G17"/>
    </sheetView>
  </sheetViews>
  <sheetFormatPr defaultRowHeight="14.5" x14ac:dyDescent="0.35"/>
  <cols>
    <col min="2" max="2" width="20.7265625" bestFit="1" customWidth="1"/>
    <col min="3" max="3" width="7.1796875" bestFit="1" customWidth="1"/>
    <col min="4" max="4" width="19.6328125" bestFit="1" customWidth="1"/>
    <col min="5" max="5" width="22.36328125" customWidth="1"/>
    <col min="6" max="6" width="19.90625" bestFit="1" customWidth="1"/>
    <col min="7" max="7" width="25.26953125" bestFit="1" customWidth="1"/>
    <col min="8" max="8" width="20.54296875" customWidth="1"/>
  </cols>
  <sheetData>
    <row r="1" spans="2:8" ht="15" thickBot="1" x14ac:dyDescent="0.4"/>
    <row r="2" spans="2:8" ht="15" thickTop="1" x14ac:dyDescent="0.35">
      <c r="B2" s="56"/>
      <c r="C2" s="57"/>
      <c r="D2" s="57" t="s">
        <v>141</v>
      </c>
      <c r="E2" s="57"/>
      <c r="F2" s="58">
        <f ca="1">WACC!C22</f>
        <v>0.10926240617393523</v>
      </c>
      <c r="G2" s="149"/>
      <c r="H2" s="101"/>
    </row>
    <row r="3" spans="2:8" ht="15" thickBot="1" x14ac:dyDescent="0.4">
      <c r="B3" s="59"/>
      <c r="G3" s="55"/>
      <c r="H3" s="67"/>
    </row>
    <row r="4" spans="2:8" ht="15.5" thickTop="1" thickBot="1" x14ac:dyDescent="0.4">
      <c r="B4" s="48"/>
      <c r="C4" s="49" t="s">
        <v>144</v>
      </c>
      <c r="D4" s="49" t="s">
        <v>145</v>
      </c>
      <c r="E4" s="49"/>
      <c r="F4" s="150" t="s">
        <v>146</v>
      </c>
      <c r="G4" s="391" t="s">
        <v>147</v>
      </c>
      <c r="H4" s="391"/>
    </row>
    <row r="5" spans="2:8" ht="15" thickBot="1" x14ac:dyDescent="0.4">
      <c r="B5" s="59"/>
      <c r="C5" s="54"/>
      <c r="D5" s="54"/>
      <c r="E5" s="50"/>
      <c r="F5" s="151" t="s">
        <v>148</v>
      </c>
      <c r="G5" s="392" t="s">
        <v>149</v>
      </c>
      <c r="H5" s="392"/>
    </row>
    <row r="6" spans="2:8" ht="15.5" thickTop="1" thickBot="1" x14ac:dyDescent="0.4">
      <c r="B6" s="59"/>
      <c r="C6" s="50"/>
      <c r="D6" s="152" t="s">
        <v>39</v>
      </c>
      <c r="E6" s="154" t="s">
        <v>196</v>
      </c>
      <c r="F6" s="153"/>
      <c r="G6" s="152" t="s">
        <v>39</v>
      </c>
      <c r="H6" s="154" t="s">
        <v>196</v>
      </c>
    </row>
    <row r="7" spans="2:8" ht="15" thickTop="1" x14ac:dyDescent="0.35">
      <c r="B7" s="59"/>
      <c r="C7" s="52">
        <v>1</v>
      </c>
      <c r="D7" s="53">
        <f>'Free Cashflow'!C14</f>
        <v>-2919.0662772767246</v>
      </c>
      <c r="E7" s="53">
        <f>'Free Cashflow'!D14</f>
        <v>-43613.968203097582</v>
      </c>
      <c r="F7" s="52">
        <f ca="1">(1+$F$2)^-C7</f>
        <v>0.90149994666203215</v>
      </c>
      <c r="G7" s="51">
        <f ca="1">D7*F7</f>
        <v>-2631.5380932679041</v>
      </c>
      <c r="H7" s="51">
        <f ca="1">E7*F7</f>
        <v>-39317.990008812034</v>
      </c>
    </row>
    <row r="8" spans="2:8" x14ac:dyDescent="0.35">
      <c r="B8" s="59"/>
      <c r="C8" s="52">
        <v>2</v>
      </c>
      <c r="D8" s="53">
        <f>'Free Cashflow'!E14</f>
        <v>4809170.0858978406</v>
      </c>
      <c r="E8" s="53">
        <f>'Free Cashflow'!F14</f>
        <v>121077774.69917351</v>
      </c>
      <c r="F8" s="52">
        <f t="shared" ref="F8:F11" ca="1" si="0">(1+$F$2)^-C8</f>
        <v>0.81270215383164701</v>
      </c>
      <c r="G8" s="51">
        <f t="shared" ref="G8:G10" ca="1" si="1">D8*F8</f>
        <v>3908422.8869519019</v>
      </c>
      <c r="H8" s="51">
        <f t="shared" ref="H8:H12" ca="1" si="2">E8*F8</f>
        <v>98400168.279161215</v>
      </c>
    </row>
    <row r="9" spans="2:8" x14ac:dyDescent="0.35">
      <c r="B9" s="59"/>
      <c r="C9" s="52">
        <v>3</v>
      </c>
      <c r="D9" s="53">
        <f>'Free Cashflow'!G14</f>
        <v>18127152.368503585</v>
      </c>
      <c r="E9" s="53">
        <f>'Free Cashflow'!H14</f>
        <v>998258112.7962532</v>
      </c>
      <c r="F9" s="52">
        <f t="shared" ca="1" si="0"/>
        <v>0.73265094833134836</v>
      </c>
      <c r="G9" s="51">
        <f t="shared" ca="1" si="1"/>
        <v>13280875.373330999</v>
      </c>
      <c r="H9" s="51">
        <f t="shared" ca="1" si="2"/>
        <v>731374753.01963699</v>
      </c>
    </row>
    <row r="10" spans="2:8" x14ac:dyDescent="0.35">
      <c r="B10" s="59"/>
      <c r="C10" s="52">
        <v>4</v>
      </c>
      <c r="D10" s="53">
        <f>'Free Cashflow'!I14</f>
        <v>48195734.757674396</v>
      </c>
      <c r="E10" s="53">
        <f>'Free Cashflow'!J14</f>
        <v>7536108833.2782135</v>
      </c>
      <c r="F10" s="52">
        <f t="shared" ca="1" si="0"/>
        <v>0.66048479084259792</v>
      </c>
      <c r="G10" s="51">
        <f t="shared" ca="1" si="1"/>
        <v>31832549.790927902</v>
      </c>
      <c r="H10" s="51">
        <f t="shared" ca="1" si="2"/>
        <v>4977485266.5148153</v>
      </c>
    </row>
    <row r="11" spans="2:8" x14ac:dyDescent="0.35">
      <c r="B11" s="59"/>
      <c r="C11" s="52">
        <v>5</v>
      </c>
      <c r="D11" s="53">
        <f>'Free Cashflow'!K14</f>
        <v>97459493.817173749</v>
      </c>
      <c r="E11" s="53">
        <f>'Free Cashflow'!L14</f>
        <v>56168693709.21994</v>
      </c>
      <c r="F11" s="52">
        <f t="shared" ca="1" si="0"/>
        <v>0.59542700371568547</v>
      </c>
      <c r="G11" s="51">
        <f ca="1">D11*F11</f>
        <v>58030014.387207136</v>
      </c>
      <c r="H11" s="51">
        <f t="shared" ca="1" si="2"/>
        <v>33444356997.9049</v>
      </c>
    </row>
    <row r="12" spans="2:8" ht="15" thickBot="1" x14ac:dyDescent="0.4">
      <c r="B12" s="59" t="s">
        <v>150</v>
      </c>
      <c r="C12" s="155">
        <v>5</v>
      </c>
      <c r="D12" s="156">
        <f>D11</f>
        <v>97459493.817173749</v>
      </c>
      <c r="E12" s="156">
        <f>E11</f>
        <v>56168693709.21994</v>
      </c>
      <c r="F12" s="155">
        <f ca="1">(1+$F$2)^-C12</f>
        <v>0.59542700371568547</v>
      </c>
      <c r="G12" s="157">
        <f ca="1">D12*F12</f>
        <v>58030014.387207136</v>
      </c>
      <c r="H12" s="51">
        <f t="shared" ca="1" si="2"/>
        <v>33444356997.9049</v>
      </c>
    </row>
    <row r="13" spans="2:8" ht="16.5" thickBot="1" x14ac:dyDescent="0.55000000000000004">
      <c r="B13" s="60" t="s">
        <v>147</v>
      </c>
      <c r="C13" s="61"/>
      <c r="D13" s="42"/>
      <c r="E13" s="42"/>
      <c r="F13" s="42"/>
      <c r="G13" s="62">
        <f ca="1">SUM(G7:G12)</f>
        <v>165079245.28753179</v>
      </c>
      <c r="H13" s="158">
        <f ca="1">SUM(H7:H12)</f>
        <v>72695934865.633392</v>
      </c>
    </row>
    <row r="14" spans="2:8" x14ac:dyDescent="0.35">
      <c r="B14" s="100"/>
      <c r="C14" s="66"/>
      <c r="D14" s="66"/>
      <c r="E14" s="66"/>
      <c r="F14" s="66"/>
      <c r="G14" s="101"/>
      <c r="H14" s="67"/>
    </row>
    <row r="15" spans="2:8" x14ac:dyDescent="0.35">
      <c r="B15" s="84"/>
      <c r="C15" s="20"/>
      <c r="D15" s="20"/>
      <c r="E15" s="20"/>
      <c r="F15" s="20"/>
      <c r="G15" s="102"/>
      <c r="H15" s="67"/>
    </row>
    <row r="16" spans="2:8" ht="15" thickBot="1" x14ac:dyDescent="0.4">
      <c r="B16" s="84" t="s">
        <v>143</v>
      </c>
      <c r="C16" s="20"/>
      <c r="D16" s="20"/>
      <c r="E16" s="20"/>
      <c r="F16" s="20"/>
      <c r="G16" s="43">
        <v>181459240939.47656</v>
      </c>
      <c r="H16" s="43">
        <v>181459240939.47656</v>
      </c>
    </row>
    <row r="17" spans="2:8" ht="15" thickBot="1" x14ac:dyDescent="0.4">
      <c r="B17" s="103" t="s">
        <v>151</v>
      </c>
      <c r="C17" s="74"/>
      <c r="D17" s="74"/>
      <c r="E17" s="74"/>
      <c r="F17" s="74"/>
      <c r="G17" s="104">
        <f ca="1">G13/G16</f>
        <v>9.0973181874265581E-4</v>
      </c>
      <c r="H17" s="104">
        <f ca="1">H13/H16</f>
        <v>0.40061853278599463</v>
      </c>
    </row>
    <row r="20" spans="2:8" x14ac:dyDescent="0.35">
      <c r="D20" s="163"/>
    </row>
  </sheetData>
  <mergeCells count="2">
    <mergeCell ref="G4:H4"/>
    <mergeCell ref="G5:H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24DC-DC80-4B7A-ABFC-9064AA62377E}">
  <dimension ref="B3:J52"/>
  <sheetViews>
    <sheetView showGridLines="0" tabSelected="1" zoomScaleNormal="100" workbookViewId="0">
      <selection activeCell="E5" sqref="E5"/>
    </sheetView>
  </sheetViews>
  <sheetFormatPr defaultRowHeight="14.5" x14ac:dyDescent="0.35"/>
  <cols>
    <col min="2" max="2" width="4.54296875" bestFit="1" customWidth="1"/>
    <col min="3" max="3" width="17.1796875" bestFit="1" customWidth="1"/>
    <col min="4" max="4" width="31.90625" bestFit="1" customWidth="1"/>
    <col min="5" max="5" width="23.90625" bestFit="1" customWidth="1"/>
    <col min="6" max="6" width="20.7265625" customWidth="1"/>
    <col min="7" max="7" width="22.26953125" customWidth="1"/>
    <col min="8" max="8" width="25.36328125" customWidth="1"/>
    <col min="9" max="9" width="20" bestFit="1" customWidth="1"/>
    <col min="10" max="10" width="20.7265625" customWidth="1"/>
  </cols>
  <sheetData>
    <row r="3" spans="2:7" ht="15" thickBot="1" x14ac:dyDescent="0.4"/>
    <row r="4" spans="2:7" ht="15" thickBot="1" x14ac:dyDescent="0.4">
      <c r="B4" s="89" t="s">
        <v>35</v>
      </c>
      <c r="C4" s="366" t="s">
        <v>157</v>
      </c>
      <c r="D4" s="367"/>
      <c r="E4" s="89" t="s">
        <v>158</v>
      </c>
      <c r="F4" s="365" t="s">
        <v>159</v>
      </c>
      <c r="G4" s="367"/>
    </row>
    <row r="5" spans="2:7" ht="15" thickBot="1" x14ac:dyDescent="0.4">
      <c r="B5" s="76"/>
      <c r="C5" s="83" t="s">
        <v>39</v>
      </c>
      <c r="D5" s="89" t="s">
        <v>196</v>
      </c>
      <c r="E5" s="164">
        <f ca="1">WACC!C22</f>
        <v>0.10926240617393523</v>
      </c>
      <c r="F5" s="137" t="s">
        <v>39</v>
      </c>
      <c r="G5" s="89" t="s">
        <v>196</v>
      </c>
    </row>
    <row r="6" spans="2:7" x14ac:dyDescent="0.35">
      <c r="B6" s="26">
        <v>0</v>
      </c>
      <c r="C6" s="176">
        <f>-'Initial cash outflow'!D25</f>
        <v>-59707885.845351867</v>
      </c>
      <c r="D6" s="175">
        <f>-'Initial cash outflow'!E25</f>
        <v>-401467486.07999998</v>
      </c>
      <c r="E6" s="175">
        <f t="shared" ref="E6:E11" ca="1" si="0">1/((1+$E$5)^B6)</f>
        <v>1</v>
      </c>
      <c r="F6" s="176">
        <f ca="1">C6*$E$6</f>
        <v>-59707885.845351867</v>
      </c>
      <c r="G6" s="176">
        <f ca="1">D6*E6</f>
        <v>-401467486.07999998</v>
      </c>
    </row>
    <row r="7" spans="2:7" x14ac:dyDescent="0.35">
      <c r="B7" s="26">
        <v>1</v>
      </c>
      <c r="C7" s="176">
        <f>'Free Cashflow'!C14</f>
        <v>-2919.0662772767246</v>
      </c>
      <c r="D7" s="227">
        <f>'Free Cashflow'!D14</f>
        <v>-43613.968203097582</v>
      </c>
      <c r="E7" s="175">
        <f t="shared" ca="1" si="0"/>
        <v>0.90149994666203215</v>
      </c>
      <c r="F7" s="176">
        <f ca="1">C7*E7</f>
        <v>-2631.5380932679041</v>
      </c>
      <c r="G7" s="176">
        <f ca="1">D7*E7</f>
        <v>-39317.990008812034</v>
      </c>
    </row>
    <row r="8" spans="2:7" x14ac:dyDescent="0.35">
      <c r="B8" s="26">
        <v>2</v>
      </c>
      <c r="C8" s="176">
        <f>'Free Cashflow'!E14</f>
        <v>4809170.0858978406</v>
      </c>
      <c r="D8" s="227">
        <f>'Free Cashflow'!F14</f>
        <v>121077774.69917351</v>
      </c>
      <c r="E8" s="175">
        <f t="shared" ca="1" si="0"/>
        <v>0.81270215383164701</v>
      </c>
      <c r="F8" s="176">
        <f ca="1">C8*E8</f>
        <v>3908422.8869519019</v>
      </c>
      <c r="G8" s="176">
        <f t="shared" ref="G8:G10" ca="1" si="1">D8*E8</f>
        <v>98400168.279161215</v>
      </c>
    </row>
    <row r="9" spans="2:7" x14ac:dyDescent="0.35">
      <c r="B9" s="26">
        <v>3</v>
      </c>
      <c r="C9" s="176">
        <f>'Free Cashflow'!G14</f>
        <v>18127152.368503585</v>
      </c>
      <c r="D9" s="227">
        <f>'Free Cashflow'!H14</f>
        <v>998258112.7962532</v>
      </c>
      <c r="E9" s="175">
        <f t="shared" ca="1" si="0"/>
        <v>0.73265094833134836</v>
      </c>
      <c r="F9" s="176">
        <f ca="1">C9*E9</f>
        <v>13280875.373330999</v>
      </c>
      <c r="G9" s="176">
        <f t="shared" ca="1" si="1"/>
        <v>731374753.01963699</v>
      </c>
    </row>
    <row r="10" spans="2:7" x14ac:dyDescent="0.35">
      <c r="B10" s="26">
        <v>4</v>
      </c>
      <c r="C10" s="176">
        <f>'Free Cashflow'!I14</f>
        <v>48195734.757674396</v>
      </c>
      <c r="D10" s="227">
        <f>'Free Cashflow'!J14</f>
        <v>7536108833.2782135</v>
      </c>
      <c r="E10" s="175">
        <f t="shared" ca="1" si="0"/>
        <v>0.66048479084259792</v>
      </c>
      <c r="F10" s="176">
        <f ca="1">C10*E10</f>
        <v>31832549.790927902</v>
      </c>
      <c r="G10" s="176">
        <f t="shared" ca="1" si="1"/>
        <v>4977485266.5148153</v>
      </c>
    </row>
    <row r="11" spans="2:7" ht="15" thickBot="1" x14ac:dyDescent="0.4">
      <c r="B11" s="26">
        <v>5</v>
      </c>
      <c r="C11" s="176">
        <f>'Free Cashflow'!K14</f>
        <v>97459493.817173749</v>
      </c>
      <c r="D11" s="227">
        <f>'Free Cashflow'!L14</f>
        <v>56168693709.21994</v>
      </c>
      <c r="E11" s="175">
        <f t="shared" ca="1" si="0"/>
        <v>0.59542700371568547</v>
      </c>
      <c r="F11" s="176">
        <f ca="1">C11*E11</f>
        <v>58030014.387207136</v>
      </c>
      <c r="G11" s="176">
        <f ca="1">D11*E11</f>
        <v>33444356997.9049</v>
      </c>
    </row>
    <row r="12" spans="2:7" ht="15" thickBot="1" x14ac:dyDescent="0.4">
      <c r="B12" s="76"/>
      <c r="C12" s="99"/>
      <c r="D12" s="98"/>
      <c r="E12" s="228" t="s">
        <v>160</v>
      </c>
      <c r="F12" s="229">
        <f ca="1">SUM(F6:F11)</f>
        <v>47341345.054972798</v>
      </c>
      <c r="G12" s="229">
        <f ca="1">SUM(G6:G11)</f>
        <v>38850110381.648506</v>
      </c>
    </row>
    <row r="23" spans="2:8" ht="15" thickBot="1" x14ac:dyDescent="0.4"/>
    <row r="24" spans="2:8" ht="15" thickBot="1" x14ac:dyDescent="0.4">
      <c r="C24" s="141"/>
      <c r="D24" s="168"/>
      <c r="E24" s="89" t="s">
        <v>196</v>
      </c>
    </row>
    <row r="25" spans="2:8" x14ac:dyDescent="0.35">
      <c r="C25" s="23" t="s">
        <v>213</v>
      </c>
      <c r="D25" s="22"/>
      <c r="E25" s="230">
        <f ca="1">SUM(G7:G11)</f>
        <v>39251577867.7285</v>
      </c>
    </row>
    <row r="26" spans="2:8" ht="15" thickBot="1" x14ac:dyDescent="0.4">
      <c r="C26" s="24" t="s">
        <v>0</v>
      </c>
      <c r="D26" s="147"/>
      <c r="E26" s="231">
        <f ca="1">G6</f>
        <v>-401467486.07999998</v>
      </c>
    </row>
    <row r="27" spans="2:8" ht="15" thickBot="1" x14ac:dyDescent="0.4">
      <c r="C27" s="24" t="s">
        <v>161</v>
      </c>
      <c r="D27" s="147"/>
      <c r="E27" s="173">
        <f ca="1">E25/-D6</f>
        <v>97.770253454365374</v>
      </c>
    </row>
    <row r="30" spans="2:8" ht="15" thickBot="1" x14ac:dyDescent="0.4"/>
    <row r="31" spans="2:8" ht="15" thickBot="1" x14ac:dyDescent="0.4">
      <c r="B31" s="365" t="s">
        <v>212</v>
      </c>
      <c r="C31" s="366"/>
      <c r="D31" s="366"/>
      <c r="E31" s="366"/>
      <c r="F31" s="367"/>
    </row>
    <row r="32" spans="2:8" ht="15" thickBot="1" x14ac:dyDescent="0.4">
      <c r="B32" s="89" t="s">
        <v>35</v>
      </c>
      <c r="C32" s="159" t="s">
        <v>157</v>
      </c>
      <c r="D32" s="89" t="s">
        <v>211</v>
      </c>
      <c r="E32" s="89" t="s">
        <v>237</v>
      </c>
      <c r="F32" s="159" t="s">
        <v>159</v>
      </c>
      <c r="G32" s="166"/>
      <c r="H32" s="160"/>
    </row>
    <row r="33" spans="2:10" ht="15" thickBot="1" x14ac:dyDescent="0.4">
      <c r="B33" s="76"/>
      <c r="C33" s="83" t="s">
        <v>196</v>
      </c>
      <c r="D33" s="164">
        <f ca="1">WACC!C22</f>
        <v>0.10926240617393523</v>
      </c>
      <c r="E33" s="164">
        <f>WACC!C6</f>
        <v>0.15</v>
      </c>
      <c r="F33" s="82" t="s">
        <v>196</v>
      </c>
      <c r="G33" s="167"/>
      <c r="H33" s="160"/>
    </row>
    <row r="34" spans="2:10" x14ac:dyDescent="0.35">
      <c r="B34" s="26">
        <v>0</v>
      </c>
      <c r="C34" s="176">
        <f>D6</f>
        <v>-401467486.07999998</v>
      </c>
      <c r="D34" s="175">
        <f ca="1">1/((1+$D$33)^B34)</f>
        <v>1</v>
      </c>
      <c r="E34" s="175"/>
      <c r="F34" s="177">
        <f ca="1">C34*D34</f>
        <v>-401467486.07999998</v>
      </c>
      <c r="G34" s="170"/>
      <c r="H34" s="160"/>
    </row>
    <row r="35" spans="2:10" ht="15" thickBot="1" x14ac:dyDescent="0.4">
      <c r="B35" s="26">
        <v>1</v>
      </c>
      <c r="C35" s="176">
        <f>D7</f>
        <v>-43613.968203097582</v>
      </c>
      <c r="D35" s="175">
        <f t="shared" ref="D35" ca="1" si="2">1/((1+$D$33)^B35)</f>
        <v>0.90149994666203215</v>
      </c>
      <c r="E35" s="175"/>
      <c r="F35" s="177">
        <f ca="1">C35*D35</f>
        <v>-39317.990008812034</v>
      </c>
      <c r="G35" s="170"/>
      <c r="H35" s="160"/>
    </row>
    <row r="36" spans="2:10" ht="15" thickBot="1" x14ac:dyDescent="0.4">
      <c r="B36" s="135"/>
      <c r="C36" s="234"/>
      <c r="D36" s="228" t="s">
        <v>235</v>
      </c>
      <c r="E36" s="232"/>
      <c r="F36" s="233">
        <f ca="1">SUM(F34:F35)</f>
        <v>-401506804.07000881</v>
      </c>
      <c r="G36" s="170"/>
      <c r="H36" s="160"/>
    </row>
    <row r="37" spans="2:10" x14ac:dyDescent="0.35">
      <c r="B37" s="26">
        <v>2</v>
      </c>
      <c r="C37" s="176">
        <f>D8</f>
        <v>121077774.69917351</v>
      </c>
      <c r="D37" s="175"/>
      <c r="E37" s="175">
        <f>((1+$E$33)^($B$40-B37))</f>
        <v>1.5208749999999995</v>
      </c>
      <c r="F37" s="177">
        <f>C37*E37</f>
        <v>184144160.59560546</v>
      </c>
      <c r="G37" s="87"/>
      <c r="H37" s="85"/>
    </row>
    <row r="38" spans="2:10" x14ac:dyDescent="0.35">
      <c r="B38" s="26">
        <v>3</v>
      </c>
      <c r="C38" s="176">
        <f>D9</f>
        <v>998258112.7962532</v>
      </c>
      <c r="D38" s="175"/>
      <c r="E38" s="175">
        <f t="shared" ref="E38:E40" si="3">((1+$E$33)^($B$40-B38))</f>
        <v>1.3224999999999998</v>
      </c>
      <c r="F38" s="177">
        <f>C38*E38</f>
        <v>1320196354.1730447</v>
      </c>
      <c r="G38" s="87"/>
      <c r="H38" s="139"/>
    </row>
    <row r="39" spans="2:10" x14ac:dyDescent="0.35">
      <c r="B39" s="26">
        <v>4</v>
      </c>
      <c r="C39" s="176">
        <f>D10</f>
        <v>7536108833.2782135</v>
      </c>
      <c r="D39" s="175"/>
      <c r="E39" s="175">
        <f t="shared" si="3"/>
        <v>1.1499999999999999</v>
      </c>
      <c r="F39" s="177">
        <f>C39*E39</f>
        <v>8666525158.2699451</v>
      </c>
      <c r="G39" s="87"/>
      <c r="H39" s="139"/>
    </row>
    <row r="40" spans="2:10" ht="15" thickBot="1" x14ac:dyDescent="0.4">
      <c r="B40" s="26">
        <v>5</v>
      </c>
      <c r="C40" s="176">
        <f>D11</f>
        <v>56168693709.21994</v>
      </c>
      <c r="D40" s="175"/>
      <c r="E40" s="175">
        <f t="shared" si="3"/>
        <v>1</v>
      </c>
      <c r="F40" s="177">
        <f t="shared" ref="F40" si="4">C40*E40</f>
        <v>56168693709.21994</v>
      </c>
      <c r="G40" s="87"/>
      <c r="H40" s="139"/>
    </row>
    <row r="41" spans="2:10" ht="15" thickBot="1" x14ac:dyDescent="0.4">
      <c r="B41" s="76"/>
      <c r="C41" s="99"/>
      <c r="D41" s="228" t="s">
        <v>236</v>
      </c>
      <c r="E41" s="228"/>
      <c r="F41" s="229">
        <f>SUM(F37:F40)</f>
        <v>66339559382.258537</v>
      </c>
      <c r="G41" s="84"/>
      <c r="H41" s="165"/>
    </row>
    <row r="43" spans="2:10" x14ac:dyDescent="0.35">
      <c r="B43" s="160"/>
      <c r="C43" s="160"/>
      <c r="D43" s="160" t="s">
        <v>210</v>
      </c>
      <c r="E43" s="145">
        <f ca="1">((F41/-F36)^(1/5)) - 1</f>
        <v>1.7772561340639235</v>
      </c>
      <c r="F43" s="160"/>
      <c r="G43" s="160"/>
      <c r="H43" s="160"/>
      <c r="I43" s="20"/>
      <c r="J43" s="20"/>
    </row>
    <row r="44" spans="2:10" x14ac:dyDescent="0.35">
      <c r="B44" s="22"/>
      <c r="C44" s="22"/>
      <c r="D44" s="163"/>
      <c r="E44" s="22"/>
      <c r="F44" s="384"/>
      <c r="G44" s="384"/>
      <c r="H44" s="22"/>
      <c r="I44" s="384"/>
      <c r="J44" s="384"/>
    </row>
    <row r="45" spans="2:10" x14ac:dyDescent="0.35">
      <c r="B45" s="22"/>
      <c r="C45" s="81"/>
      <c r="D45" s="81"/>
      <c r="E45" s="148"/>
      <c r="F45" s="81"/>
      <c r="G45" s="81"/>
      <c r="H45" s="148"/>
      <c r="I45" s="81"/>
      <c r="J45" s="81"/>
    </row>
    <row r="46" spans="2:10" x14ac:dyDescent="0.35">
      <c r="B46" s="20"/>
      <c r="C46" s="140"/>
      <c r="D46" s="140"/>
      <c r="E46" s="20"/>
      <c r="F46" s="77"/>
      <c r="G46" s="77"/>
      <c r="H46" s="28"/>
      <c r="I46" s="77"/>
      <c r="J46" s="77"/>
    </row>
    <row r="47" spans="2:10" x14ac:dyDescent="0.35">
      <c r="B47" s="20"/>
      <c r="C47" s="140"/>
      <c r="D47" s="140"/>
      <c r="E47" s="20"/>
      <c r="F47" s="77"/>
      <c r="G47" s="77"/>
      <c r="H47" s="28"/>
      <c r="I47" s="77"/>
      <c r="J47" s="77"/>
    </row>
    <row r="48" spans="2:10" x14ac:dyDescent="0.35">
      <c r="B48" s="20"/>
      <c r="C48" s="140"/>
      <c r="D48" s="140"/>
      <c r="E48" s="20"/>
      <c r="F48" s="77"/>
      <c r="G48" s="77"/>
      <c r="H48" s="28"/>
      <c r="I48" s="77"/>
      <c r="J48" s="77"/>
    </row>
    <row r="49" spans="2:10" x14ac:dyDescent="0.35">
      <c r="B49" s="20"/>
      <c r="C49" s="140"/>
      <c r="D49" s="140"/>
      <c r="E49" s="20"/>
      <c r="F49" s="77"/>
      <c r="G49" s="77"/>
      <c r="H49" s="28"/>
      <c r="I49" s="77"/>
      <c r="J49" s="77"/>
    </row>
    <row r="50" spans="2:10" x14ac:dyDescent="0.35">
      <c r="B50" s="20"/>
      <c r="C50" s="140"/>
      <c r="D50" s="140"/>
      <c r="E50" s="20"/>
      <c r="F50" s="77"/>
      <c r="G50" s="77"/>
      <c r="H50" s="28"/>
      <c r="I50" s="77"/>
      <c r="J50" s="77"/>
    </row>
    <row r="51" spans="2:10" x14ac:dyDescent="0.35">
      <c r="B51" s="20"/>
      <c r="C51" s="140"/>
      <c r="D51" s="140"/>
      <c r="E51" s="20"/>
      <c r="F51" s="77"/>
      <c r="G51" s="77"/>
      <c r="H51" s="28"/>
      <c r="I51" s="77"/>
      <c r="J51" s="77"/>
    </row>
    <row r="52" spans="2:10" x14ac:dyDescent="0.35">
      <c r="B52" s="20"/>
      <c r="C52" s="20"/>
      <c r="D52" s="20"/>
      <c r="E52" s="22"/>
      <c r="F52" s="146"/>
      <c r="G52" s="146"/>
      <c r="H52" s="22"/>
      <c r="I52" s="146"/>
      <c r="J52" s="146"/>
    </row>
  </sheetData>
  <mergeCells count="5">
    <mergeCell ref="B31:F31"/>
    <mergeCell ref="C4:D4"/>
    <mergeCell ref="F4:G4"/>
    <mergeCell ref="F44:G44"/>
    <mergeCell ref="I44:J4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5AF93B52A80C4293DABBC5ADB4B4FA" ma:contentTypeVersion="13" ma:contentTypeDescription="Create a new document." ma:contentTypeScope="" ma:versionID="64025ae4a5055bfea0f4b8a234cdb059">
  <xsd:schema xmlns:xsd="http://www.w3.org/2001/XMLSchema" xmlns:xs="http://www.w3.org/2001/XMLSchema" xmlns:p="http://schemas.microsoft.com/office/2006/metadata/properties" xmlns:ns3="6c48658d-69bf-41d7-9378-d45271c47707" xmlns:ns4="43a0faf5-a0a4-42b6-96e6-68379810a62e" targetNamespace="http://schemas.microsoft.com/office/2006/metadata/properties" ma:root="true" ma:fieldsID="7e5dbeefbc809292895623142d066b9a" ns3:_="" ns4:_="">
    <xsd:import namespace="6c48658d-69bf-41d7-9378-d45271c47707"/>
    <xsd:import namespace="43a0faf5-a0a4-42b6-96e6-68379810a62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Location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8658d-69bf-41d7-9378-d45271c4770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hidden="true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a0faf5-a0a4-42b6-96e6-68379810a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8C19E7-45D3-4161-9138-0163601EDBD0}">
  <ds:schemaRefs>
    <ds:schemaRef ds:uri="6c48658d-69bf-41d7-9378-d45271c47707"/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43a0faf5-a0a4-42b6-96e6-68379810a62e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53AFF05-6F68-424C-B703-933B128022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2F0E05-550D-45A8-9AE8-CA0515A24E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8658d-69bf-41d7-9378-d45271c47707"/>
    <ds:schemaRef ds:uri="43a0faf5-a0a4-42b6-96e6-68379810a6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Country Risk</vt:lpstr>
      <vt:lpstr>Exchange rate forecast</vt:lpstr>
      <vt:lpstr>income statement</vt:lpstr>
      <vt:lpstr>Balance Sheet</vt:lpstr>
      <vt:lpstr>Initial cash outflow</vt:lpstr>
      <vt:lpstr>WACC</vt:lpstr>
      <vt:lpstr>Free Cashflow</vt:lpstr>
      <vt:lpstr>Present Value</vt:lpstr>
      <vt:lpstr>Evaluations</vt:lpstr>
      <vt:lpstr>Operating Needs</vt:lpstr>
      <vt:lpstr>Production and Sales Budget</vt:lpstr>
      <vt:lpstr>Operating Cost</vt:lpstr>
      <vt:lpstr>Break Even </vt:lpstr>
      <vt:lpstr>'Balance Sheet'!_Toc500955878</vt:lpstr>
      <vt:lpstr>'income statement'!Print_Area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Keziah Kyiraah Acquah</cp:lastModifiedBy>
  <cp:revision/>
  <dcterms:created xsi:type="dcterms:W3CDTF">2016-03-19T23:00:42Z</dcterms:created>
  <dcterms:modified xsi:type="dcterms:W3CDTF">2021-01-04T12:26:51Z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0x010100685AF93B52A80C4293DABBC5ADB4B4FA</vt:lpwstr>
  </property>
</Properties>
</file>